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style7.xml" ContentType="application/vnd.ms-office.chartstyle+xml"/>
  <Override PartName="/xl/charts/colors7.xml" ContentType="application/vnd.ms-office.chartcolorstyle+xml"/>
  <Override PartName="/xl/charts/chart2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8.xml" ContentType="application/vnd.openxmlformats-officedocument.drawing+xml"/>
  <Override PartName="/xl/charts/chart21.xml" ContentType="application/vnd.openxmlformats-officedocument.drawingml.chart+xml"/>
  <Override PartName="/xl/charts/style9.xml" ContentType="application/vnd.ms-office.chartstyle+xml"/>
  <Override PartName="/xl/charts/colors9.xml" ContentType="application/vnd.ms-office.chartcolorstyle+xml"/>
  <Override PartName="/xl/charts/chart22.xml" ContentType="application/vnd.openxmlformats-officedocument.drawingml.chart+xml"/>
  <Override PartName="/xl/charts/style10.xml" ContentType="application/vnd.ms-office.chartstyle+xml"/>
  <Override PartName="/xl/charts/colors10.xml" ContentType="application/vnd.ms-office.chartcolorstyle+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1.xml" ContentType="application/vnd.ms-office.chartstyle+xml"/>
  <Override PartName="/xl/charts/colors11.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pivotTables/pivotTable5.xml" ContentType="application/vnd.openxmlformats-officedocument.spreadsheetml.pivotTable+xml"/>
  <Override PartName="/xl/drawings/drawing11.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pivotTables/pivotTable6.xml" ContentType="application/vnd.openxmlformats-officedocument.spreadsheetml.pivotTable+xml"/>
  <Override PartName="/xl/drawings/drawing12.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mma/Documents/**Uni/Enviro Chem/Assignments/ENVI5708_Chem_Lab-Report/"/>
    </mc:Choice>
  </mc:AlternateContent>
  <xr:revisionPtr revIDLastSave="0" documentId="13_ncr:1_{8BAE412E-CF88-E144-8DF6-954AA931B8B8}" xr6:coauthVersionLast="47" xr6:coauthVersionMax="47" xr10:uidLastSave="{00000000-0000-0000-0000-000000000000}"/>
  <bookViews>
    <workbookView xWindow="6960" yWindow="0" windowWidth="35580" windowHeight="30260" xr2:uid="{00000000-000D-0000-FFFF-FFFF00000000}"/>
  </bookViews>
  <sheets>
    <sheet name="Python data only summary" sheetId="20" r:id="rId1"/>
    <sheet name="Lab water data" sheetId="4" state="hidden" r:id="rId2"/>
    <sheet name="Water - DO" sheetId="8" state="hidden" r:id="rId3"/>
    <sheet name="water C + N" sheetId="12" state="hidden" r:id="rId4"/>
    <sheet name="Water - alkalinity" sheetId="9" state="hidden" r:id="rId5"/>
    <sheet name="water pH + EC" sheetId="13" state="hidden" r:id="rId6"/>
    <sheet name="graph comparison" sheetId="19" state="hidden" r:id="rId7"/>
    <sheet name="Lab soil data" sheetId="7" state="hidden" r:id="rId8"/>
    <sheet name="Soil - H2O, C, pH + Ec" sheetId="14" state="hidden" r:id="rId9"/>
    <sheet name="Soil N" sheetId="17" state="hidden" r:id="rId10"/>
    <sheet name="Soil P" sheetId="15" state="hidden" r:id="rId11"/>
    <sheet name="Soil texture" sheetId="18" state="hidden" r:id="rId12"/>
    <sheet name="Cat ion exchange" sheetId="11" state="hidden" r:id="rId13"/>
  </sheets>
  <calcPr calcId="191028"/>
  <pivotCaches>
    <pivotCache cacheId="6" r:id="rId14"/>
    <pivotCache cacheId="7" r:id="rId15"/>
    <pivotCache cacheId="8" r:id="rId16"/>
    <pivotCache cacheId="9" r:id="rId17"/>
    <pivotCache cacheId="10" r:id="rId18"/>
    <pivotCache cacheId="11"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9" i="20" l="1"/>
  <c r="H229" i="20"/>
  <c r="J229" i="20"/>
  <c r="K229" i="20"/>
  <c r="M229" i="20"/>
  <c r="O229" i="20"/>
  <c r="Q229" i="20"/>
  <c r="G230" i="20"/>
  <c r="H230" i="20"/>
  <c r="J230" i="20"/>
  <c r="K230" i="20"/>
  <c r="M230" i="20"/>
  <c r="O230" i="20"/>
  <c r="Q230" i="20"/>
  <c r="G231" i="20"/>
  <c r="H231" i="20"/>
  <c r="J231" i="20"/>
  <c r="K231" i="20"/>
  <c r="M231" i="20"/>
  <c r="O231" i="20"/>
  <c r="Q231" i="20"/>
  <c r="G232" i="20"/>
  <c r="H232" i="20"/>
  <c r="J232" i="20"/>
  <c r="K232" i="20"/>
  <c r="M232" i="20"/>
  <c r="O232" i="20"/>
  <c r="Q232" i="20"/>
  <c r="G233" i="20"/>
  <c r="H233" i="20"/>
  <c r="J233" i="20"/>
  <c r="K233" i="20"/>
  <c r="M233" i="20"/>
  <c r="O233" i="20"/>
  <c r="Q233" i="20"/>
  <c r="G234" i="20"/>
  <c r="H234" i="20"/>
  <c r="J234" i="20"/>
  <c r="K234" i="20"/>
  <c r="M234" i="20"/>
  <c r="O234" i="20"/>
  <c r="Q234" i="20"/>
  <c r="G235" i="20"/>
  <c r="H235" i="20"/>
  <c r="J235" i="20"/>
  <c r="K235" i="20"/>
  <c r="M235" i="20"/>
  <c r="O235" i="20"/>
  <c r="Q235" i="20"/>
  <c r="G236" i="20"/>
  <c r="H236" i="20"/>
  <c r="J236" i="20"/>
  <c r="K236" i="20"/>
  <c r="M236" i="20"/>
  <c r="O236" i="20"/>
  <c r="Q236" i="20"/>
  <c r="G237" i="20"/>
  <c r="H237" i="20"/>
  <c r="J237" i="20"/>
  <c r="K237" i="20"/>
  <c r="M237" i="20"/>
  <c r="O237" i="20"/>
  <c r="Q237" i="20"/>
  <c r="G238" i="20"/>
  <c r="H238" i="20"/>
  <c r="J238" i="20"/>
  <c r="K238" i="20"/>
  <c r="M238" i="20"/>
  <c r="O238" i="20"/>
  <c r="Q238" i="20"/>
  <c r="G239" i="20"/>
  <c r="H239" i="20"/>
  <c r="J239" i="20"/>
  <c r="K239" i="20"/>
  <c r="M239" i="20"/>
  <c r="O239" i="20"/>
  <c r="Q239" i="20"/>
  <c r="G240" i="20"/>
  <c r="H240" i="20"/>
  <c r="J240" i="20"/>
  <c r="K240" i="20"/>
  <c r="M240" i="20"/>
  <c r="O240" i="20"/>
  <c r="Q240" i="20"/>
  <c r="P275" i="20"/>
  <c r="N275" i="20"/>
  <c r="H275" i="20"/>
  <c r="P274" i="20"/>
  <c r="N274" i="20"/>
  <c r="H274" i="20"/>
  <c r="P273" i="20"/>
  <c r="N273" i="20"/>
  <c r="H273" i="20"/>
  <c r="P272" i="20"/>
  <c r="N272" i="20"/>
  <c r="H272" i="20"/>
  <c r="P271" i="20"/>
  <c r="N271" i="20"/>
  <c r="H271" i="20"/>
  <c r="P270" i="20"/>
  <c r="N270" i="20"/>
  <c r="H270" i="20"/>
  <c r="P269" i="20"/>
  <c r="N269" i="20"/>
  <c r="H269" i="20"/>
  <c r="P268" i="20"/>
  <c r="N268" i="20"/>
  <c r="H268" i="20"/>
  <c r="P267" i="20"/>
  <c r="N267" i="20"/>
  <c r="H267" i="20"/>
  <c r="P266" i="20"/>
  <c r="N266" i="20"/>
  <c r="H266" i="20"/>
  <c r="P265" i="20"/>
  <c r="N265" i="20"/>
  <c r="H265" i="20"/>
  <c r="P264" i="20"/>
  <c r="N264" i="20"/>
  <c r="H264" i="20"/>
  <c r="G256" i="20"/>
  <c r="K256" i="20" s="1"/>
  <c r="G255" i="20"/>
  <c r="K255" i="20" s="1"/>
  <c r="G254" i="20"/>
  <c r="K254" i="20" s="1"/>
  <c r="G253" i="20"/>
  <c r="K253" i="20" s="1"/>
  <c r="G252" i="20"/>
  <c r="K252" i="20" s="1"/>
  <c r="G251" i="20"/>
  <c r="K251" i="20" s="1"/>
  <c r="G250" i="20"/>
  <c r="K250" i="20" s="1"/>
  <c r="G249" i="20"/>
  <c r="K249" i="20" s="1"/>
  <c r="G248" i="20"/>
  <c r="K248" i="20" s="1"/>
  <c r="G247" i="20"/>
  <c r="K247" i="20" s="1"/>
  <c r="G246" i="20"/>
  <c r="K246" i="20" s="1"/>
  <c r="G245" i="20"/>
  <c r="K245" i="20" s="1"/>
  <c r="G223" i="20"/>
  <c r="H223" i="20" s="1"/>
  <c r="G222" i="20"/>
  <c r="H222" i="20" s="1"/>
  <c r="G221" i="20"/>
  <c r="H221" i="20" s="1"/>
  <c r="G220" i="20"/>
  <c r="H220" i="20" s="1"/>
  <c r="G219" i="20"/>
  <c r="H219" i="20" s="1"/>
  <c r="G218" i="20"/>
  <c r="H218" i="20" s="1"/>
  <c r="G217" i="20"/>
  <c r="H217" i="20" s="1"/>
  <c r="G216" i="20"/>
  <c r="H216" i="20" s="1"/>
  <c r="G215" i="20"/>
  <c r="H215" i="20" s="1"/>
  <c r="G214" i="20"/>
  <c r="H214" i="20" s="1"/>
  <c r="G213" i="20"/>
  <c r="H213" i="20" s="1"/>
  <c r="G212" i="20"/>
  <c r="H212" i="20" s="1"/>
  <c r="F189" i="20"/>
  <c r="E189" i="20"/>
  <c r="F188" i="20"/>
  <c r="F190" i="20" s="1"/>
  <c r="E188" i="20"/>
  <c r="E190" i="20" s="1"/>
  <c r="F187" i="20"/>
  <c r="E187" i="20"/>
  <c r="G167" i="20"/>
  <c r="G168" i="20" s="1"/>
  <c r="F167" i="20"/>
  <c r="E167" i="20"/>
  <c r="G166" i="20"/>
  <c r="F166" i="20"/>
  <c r="E166" i="20"/>
  <c r="G165" i="20"/>
  <c r="F165" i="20"/>
  <c r="E165" i="20"/>
  <c r="H164" i="20"/>
  <c r="I164" i="20" s="1"/>
  <c r="H163" i="20"/>
  <c r="I163" i="20" s="1"/>
  <c r="H162" i="20"/>
  <c r="I162" i="20" s="1"/>
  <c r="H161" i="20"/>
  <c r="I161" i="20" s="1"/>
  <c r="H160" i="20"/>
  <c r="I160" i="20" s="1"/>
  <c r="H159" i="20"/>
  <c r="I159" i="20" s="1"/>
  <c r="H158" i="20"/>
  <c r="I158" i="20" s="1"/>
  <c r="H157" i="20"/>
  <c r="I157" i="20" s="1"/>
  <c r="H156" i="20"/>
  <c r="I156" i="20" s="1"/>
  <c r="H155" i="20"/>
  <c r="I155" i="20" s="1"/>
  <c r="H154" i="20"/>
  <c r="I154" i="20" s="1"/>
  <c r="H153" i="20"/>
  <c r="G146" i="20"/>
  <c r="F146" i="20"/>
  <c r="E146" i="20"/>
  <c r="G145" i="20"/>
  <c r="F145" i="20"/>
  <c r="E145" i="20"/>
  <c r="G144" i="20"/>
  <c r="F144" i="20"/>
  <c r="E144" i="20"/>
  <c r="H143" i="20"/>
  <c r="H142" i="20"/>
  <c r="H141" i="20"/>
  <c r="H140" i="20"/>
  <c r="H139" i="20"/>
  <c r="H138" i="20"/>
  <c r="H137" i="20"/>
  <c r="H136" i="20"/>
  <c r="H135" i="20"/>
  <c r="H134" i="20"/>
  <c r="H133" i="20"/>
  <c r="H132" i="20"/>
  <c r="N103" i="20"/>
  <c r="M103" i="20"/>
  <c r="L103" i="20"/>
  <c r="K103" i="20"/>
  <c r="J103" i="20"/>
  <c r="N102" i="20"/>
  <c r="N104" i="20" s="1"/>
  <c r="M102" i="20"/>
  <c r="L102" i="20"/>
  <c r="K102" i="20"/>
  <c r="J102" i="20"/>
  <c r="J104" i="20" s="1"/>
  <c r="N101" i="20"/>
  <c r="M101" i="20"/>
  <c r="L101" i="20"/>
  <c r="K101" i="20"/>
  <c r="J101" i="20"/>
  <c r="G103" i="20"/>
  <c r="F103" i="20"/>
  <c r="E103" i="20"/>
  <c r="D103" i="20"/>
  <c r="C103" i="20"/>
  <c r="G102" i="20"/>
  <c r="F102" i="20"/>
  <c r="E102" i="20"/>
  <c r="D102" i="20"/>
  <c r="D104" i="20" s="1"/>
  <c r="C102" i="20"/>
  <c r="G101" i="20"/>
  <c r="F101" i="20"/>
  <c r="E101" i="20"/>
  <c r="D101" i="20"/>
  <c r="C101" i="20"/>
  <c r="K17" i="20"/>
  <c r="I17" i="20"/>
  <c r="G17" i="20"/>
  <c r="E17" i="20"/>
  <c r="C17" i="20"/>
  <c r="K16" i="20"/>
  <c r="K18" i="20" s="1"/>
  <c r="I16" i="20"/>
  <c r="G16" i="20"/>
  <c r="E16" i="20"/>
  <c r="C16" i="20"/>
  <c r="C18" i="20" s="1"/>
  <c r="K15" i="20"/>
  <c r="I15" i="20"/>
  <c r="G15" i="20"/>
  <c r="E15" i="20"/>
  <c r="C15" i="20"/>
  <c r="D14" i="20"/>
  <c r="D13" i="20"/>
  <c r="D12" i="20"/>
  <c r="F11" i="20"/>
  <c r="D11" i="20"/>
  <c r="L10" i="20"/>
  <c r="H10" i="20"/>
  <c r="F10" i="20"/>
  <c r="D10" i="20"/>
  <c r="L9" i="20"/>
  <c r="H9" i="20"/>
  <c r="F9" i="20"/>
  <c r="D9" i="20"/>
  <c r="L8" i="20"/>
  <c r="J8" i="20"/>
  <c r="H8" i="20"/>
  <c r="F8" i="20"/>
  <c r="D8" i="20"/>
  <c r="L7" i="20"/>
  <c r="L16" i="20" s="1"/>
  <c r="J7" i="20"/>
  <c r="H7" i="20"/>
  <c r="F7" i="20"/>
  <c r="D7" i="20"/>
  <c r="G86" i="20"/>
  <c r="F86" i="20"/>
  <c r="E86" i="20"/>
  <c r="D86" i="20"/>
  <c r="C86" i="20"/>
  <c r="G85" i="20"/>
  <c r="F85" i="20"/>
  <c r="E85" i="20"/>
  <c r="D85" i="20"/>
  <c r="C85" i="20"/>
  <c r="G84" i="20"/>
  <c r="F84" i="20"/>
  <c r="E84" i="20"/>
  <c r="D84" i="20"/>
  <c r="C84" i="20"/>
  <c r="G73" i="20"/>
  <c r="F73" i="20"/>
  <c r="E73" i="20"/>
  <c r="D73" i="20"/>
  <c r="C73" i="20"/>
  <c r="G72" i="20"/>
  <c r="F72" i="20"/>
  <c r="E72" i="20"/>
  <c r="D72" i="20"/>
  <c r="D74" i="20" s="1"/>
  <c r="C72" i="20"/>
  <c r="G71" i="20"/>
  <c r="F71" i="20"/>
  <c r="E71" i="20"/>
  <c r="D71" i="20"/>
  <c r="C71" i="20"/>
  <c r="G55" i="20"/>
  <c r="E55" i="20"/>
  <c r="C55" i="20"/>
  <c r="G54" i="20"/>
  <c r="E54" i="20"/>
  <c r="C54" i="20"/>
  <c r="G53" i="20"/>
  <c r="E53" i="20"/>
  <c r="C53" i="20"/>
  <c r="G52" i="20"/>
  <c r="E52" i="20"/>
  <c r="C52" i="20"/>
  <c r="G51" i="20"/>
  <c r="E51" i="20"/>
  <c r="C51" i="20"/>
  <c r="K46" i="20"/>
  <c r="I46" i="20"/>
  <c r="G46" i="20"/>
  <c r="E46" i="20"/>
  <c r="C46" i="20"/>
  <c r="K45" i="20"/>
  <c r="I45" i="20"/>
  <c r="G45" i="20"/>
  <c r="E45" i="20"/>
  <c r="C45" i="20"/>
  <c r="K44" i="20"/>
  <c r="I44" i="20"/>
  <c r="G44" i="20"/>
  <c r="E44" i="20"/>
  <c r="C44" i="20"/>
  <c r="L43" i="20"/>
  <c r="H43" i="20"/>
  <c r="F43" i="20"/>
  <c r="F55" i="20" s="1"/>
  <c r="D43" i="20"/>
  <c r="L42" i="20"/>
  <c r="H42" i="20"/>
  <c r="F42" i="20"/>
  <c r="D42" i="20"/>
  <c r="L41" i="20"/>
  <c r="H41" i="20"/>
  <c r="F41" i="20"/>
  <c r="D41" i="20"/>
  <c r="L40" i="20"/>
  <c r="J40" i="20"/>
  <c r="H40" i="20"/>
  <c r="F40" i="20"/>
  <c r="D40" i="20"/>
  <c r="L39" i="20"/>
  <c r="J39" i="20"/>
  <c r="H39" i="20"/>
  <c r="F39" i="20"/>
  <c r="D39" i="20"/>
  <c r="L33" i="20"/>
  <c r="K33" i="20"/>
  <c r="I33" i="20"/>
  <c r="G33" i="20"/>
  <c r="E33" i="20"/>
  <c r="C33" i="20"/>
  <c r="L32" i="20"/>
  <c r="K32" i="20"/>
  <c r="I32" i="20"/>
  <c r="G32" i="20"/>
  <c r="E32" i="20"/>
  <c r="C32" i="20"/>
  <c r="L31" i="20"/>
  <c r="K31" i="20"/>
  <c r="I31" i="20"/>
  <c r="G31" i="20"/>
  <c r="E31" i="20"/>
  <c r="C31" i="20"/>
  <c r="D29" i="20"/>
  <c r="H28" i="20"/>
  <c r="F28" i="20"/>
  <c r="F54" i="20" s="1"/>
  <c r="D28" i="20"/>
  <c r="H27" i="20"/>
  <c r="F27" i="20"/>
  <c r="D27" i="20"/>
  <c r="J26" i="20"/>
  <c r="H26" i="20"/>
  <c r="F26" i="20"/>
  <c r="D26" i="20"/>
  <c r="J25" i="20"/>
  <c r="J32" i="20" s="1"/>
  <c r="H25" i="20"/>
  <c r="F25" i="20"/>
  <c r="D25" i="20"/>
  <c r="D6" i="4"/>
  <c r="F6" i="4"/>
  <c r="F15" i="4" s="1"/>
  <c r="H6" i="4"/>
  <c r="J6" i="4"/>
  <c r="L6" i="4"/>
  <c r="D7" i="4"/>
  <c r="F7" i="4"/>
  <c r="H7" i="4"/>
  <c r="J7" i="4"/>
  <c r="L7" i="4"/>
  <c r="D8" i="4"/>
  <c r="F8" i="4"/>
  <c r="H8" i="4"/>
  <c r="L8" i="4"/>
  <c r="D9" i="4"/>
  <c r="F9" i="4"/>
  <c r="H9" i="4"/>
  <c r="L9" i="4"/>
  <c r="D10" i="4"/>
  <c r="F10" i="4"/>
  <c r="D11" i="4"/>
  <c r="D12" i="4"/>
  <c r="D13" i="4"/>
  <c r="C14" i="4"/>
  <c r="E14" i="4"/>
  <c r="G14" i="4"/>
  <c r="I14" i="4"/>
  <c r="K14" i="4"/>
  <c r="C15" i="4"/>
  <c r="D15" i="4"/>
  <c r="E15" i="4"/>
  <c r="G15" i="4"/>
  <c r="I15" i="4"/>
  <c r="K15" i="4"/>
  <c r="C16" i="4"/>
  <c r="E16" i="4"/>
  <c r="G16" i="4"/>
  <c r="G17" i="4" s="1"/>
  <c r="I16" i="4"/>
  <c r="I17" i="4" s="1"/>
  <c r="K16" i="4"/>
  <c r="E17" i="4"/>
  <c r="R60" i="14"/>
  <c r="Q60" i="14"/>
  <c r="R56" i="14"/>
  <c r="Q56" i="14"/>
  <c r="R52" i="14"/>
  <c r="Q52" i="14"/>
  <c r="R48" i="14"/>
  <c r="Q48" i="14"/>
  <c r="L61" i="14"/>
  <c r="K61" i="14"/>
  <c r="L60" i="14"/>
  <c r="K60" i="14"/>
  <c r="L59" i="14"/>
  <c r="K59" i="14"/>
  <c r="K51" i="14"/>
  <c r="K50" i="14"/>
  <c r="L52" i="14"/>
  <c r="K52" i="14"/>
  <c r="L51" i="14"/>
  <c r="L50" i="14"/>
  <c r="E59" i="14"/>
  <c r="F61" i="14"/>
  <c r="E61" i="14"/>
  <c r="F60" i="14"/>
  <c r="E60" i="14"/>
  <c r="F59" i="14"/>
  <c r="G41" i="14"/>
  <c r="F41" i="14"/>
  <c r="G40" i="14"/>
  <c r="F40" i="14"/>
  <c r="G39" i="14"/>
  <c r="F39" i="14"/>
  <c r="E41" i="14"/>
  <c r="E40" i="14"/>
  <c r="E39" i="14"/>
  <c r="G18" i="14"/>
  <c r="F18" i="14"/>
  <c r="G17" i="14"/>
  <c r="F17" i="14"/>
  <c r="G16" i="14"/>
  <c r="F16" i="14"/>
  <c r="E18" i="14"/>
  <c r="E17" i="14"/>
  <c r="E16" i="14"/>
  <c r="L19" i="9"/>
  <c r="X21" i="9"/>
  <c r="W21" i="9"/>
  <c r="V21" i="9"/>
  <c r="U21" i="9"/>
  <c r="T21" i="9"/>
  <c r="S21" i="9"/>
  <c r="R21" i="9"/>
  <c r="Q21" i="9"/>
  <c r="P21" i="9"/>
  <c r="O21" i="9"/>
  <c r="X20" i="9"/>
  <c r="X22" i="9" s="1"/>
  <c r="W20" i="9"/>
  <c r="W22" i="9" s="1"/>
  <c r="V20" i="9"/>
  <c r="V22" i="9" s="1"/>
  <c r="U20" i="9"/>
  <c r="U22" i="9" s="1"/>
  <c r="T20" i="9"/>
  <c r="T22" i="9" s="1"/>
  <c r="S20" i="9"/>
  <c r="S22" i="9" s="1"/>
  <c r="R20" i="9"/>
  <c r="R22" i="9" s="1"/>
  <c r="Q20" i="9"/>
  <c r="Q22" i="9" s="1"/>
  <c r="P20" i="9"/>
  <c r="P22" i="9" s="1"/>
  <c r="O20" i="9"/>
  <c r="O22" i="9" s="1"/>
  <c r="X19" i="9"/>
  <c r="W19" i="9"/>
  <c r="V19" i="9"/>
  <c r="U19" i="9"/>
  <c r="T19" i="9"/>
  <c r="S19" i="9"/>
  <c r="R19" i="9"/>
  <c r="Q19" i="9"/>
  <c r="P19" i="9"/>
  <c r="O19" i="9"/>
  <c r="I22" i="9"/>
  <c r="E22" i="9"/>
  <c r="L21" i="9"/>
  <c r="K21" i="9"/>
  <c r="J21" i="9"/>
  <c r="J22" i="9" s="1"/>
  <c r="I21" i="9"/>
  <c r="H21" i="9"/>
  <c r="G21" i="9"/>
  <c r="F21" i="9"/>
  <c r="F22" i="9" s="1"/>
  <c r="E21" i="9"/>
  <c r="D21" i="9"/>
  <c r="L20" i="9"/>
  <c r="L22" i="9" s="1"/>
  <c r="K20" i="9"/>
  <c r="K22" i="9" s="1"/>
  <c r="J20" i="9"/>
  <c r="I20" i="9"/>
  <c r="H20" i="9"/>
  <c r="H22" i="9" s="1"/>
  <c r="G20" i="9"/>
  <c r="G22" i="9" s="1"/>
  <c r="F20" i="9"/>
  <c r="E20" i="9"/>
  <c r="D20" i="9"/>
  <c r="D22" i="9" s="1"/>
  <c r="K19" i="9"/>
  <c r="J19" i="9"/>
  <c r="I19" i="9"/>
  <c r="H19" i="9"/>
  <c r="G19" i="9"/>
  <c r="F19" i="9"/>
  <c r="E19" i="9"/>
  <c r="D19" i="9"/>
  <c r="C21" i="9"/>
  <c r="C20" i="9"/>
  <c r="C19" i="9"/>
  <c r="C22" i="9"/>
  <c r="G35" i="13"/>
  <c r="F35" i="13"/>
  <c r="E35" i="13"/>
  <c r="D35" i="13"/>
  <c r="G34" i="13"/>
  <c r="G36" i="13" s="1"/>
  <c r="F34" i="13"/>
  <c r="F36" i="13" s="1"/>
  <c r="E34" i="13"/>
  <c r="E36" i="13" s="1"/>
  <c r="D34" i="13"/>
  <c r="D36" i="13" s="1"/>
  <c r="G33" i="13"/>
  <c r="F33" i="13"/>
  <c r="E33" i="13"/>
  <c r="D33" i="13"/>
  <c r="C35" i="13"/>
  <c r="C34" i="13"/>
  <c r="C33" i="13"/>
  <c r="C16" i="13"/>
  <c r="G15" i="13"/>
  <c r="F15" i="13"/>
  <c r="E15" i="13"/>
  <c r="D15" i="13"/>
  <c r="C15" i="13"/>
  <c r="C14" i="13"/>
  <c r="D14" i="13"/>
  <c r="E14" i="13"/>
  <c r="F14" i="13"/>
  <c r="G14" i="13"/>
  <c r="G13" i="13"/>
  <c r="F13" i="13"/>
  <c r="E13" i="13"/>
  <c r="F16" i="13"/>
  <c r="G16" i="13"/>
  <c r="C36" i="13"/>
  <c r="E16" i="13"/>
  <c r="D13" i="13"/>
  <c r="C13" i="13"/>
  <c r="C23" i="12"/>
  <c r="G12" i="12"/>
  <c r="F12" i="12"/>
  <c r="E12" i="12"/>
  <c r="D12" i="12"/>
  <c r="C12" i="12"/>
  <c r="G11" i="12"/>
  <c r="G13" i="12" s="1"/>
  <c r="F11" i="12"/>
  <c r="F13" i="12" s="1"/>
  <c r="E11" i="12"/>
  <c r="D11" i="12"/>
  <c r="C11" i="12"/>
  <c r="C13" i="12" s="1"/>
  <c r="G10" i="12"/>
  <c r="F10" i="12"/>
  <c r="E10" i="12"/>
  <c r="D10" i="12"/>
  <c r="C10" i="12"/>
  <c r="Z30" i="8"/>
  <c r="AB30" i="8"/>
  <c r="X30" i="8"/>
  <c r="V30" i="8"/>
  <c r="AB29" i="8"/>
  <c r="Z29" i="8"/>
  <c r="Z31" i="8" s="1"/>
  <c r="X29" i="8"/>
  <c r="X31" i="8" s="1"/>
  <c r="V29" i="8"/>
  <c r="V31" i="8" s="1"/>
  <c r="AB28" i="8"/>
  <c r="Z28" i="8"/>
  <c r="X28" i="8"/>
  <c r="V28" i="8"/>
  <c r="T30" i="8"/>
  <c r="T29" i="8"/>
  <c r="T31" i="8" s="1"/>
  <c r="T28" i="8"/>
  <c r="Y12" i="8"/>
  <c r="Z17" i="8"/>
  <c r="Z16" i="8"/>
  <c r="Z15" i="8"/>
  <c r="X17" i="8"/>
  <c r="X16" i="8"/>
  <c r="X15" i="8"/>
  <c r="AC17" i="8"/>
  <c r="AB17" i="8"/>
  <c r="V17" i="8"/>
  <c r="AC16" i="8"/>
  <c r="AB16" i="8"/>
  <c r="V16" i="8"/>
  <c r="AC15" i="8"/>
  <c r="AB15" i="8"/>
  <c r="V15" i="8"/>
  <c r="T17" i="8"/>
  <c r="T16" i="8"/>
  <c r="T15" i="8"/>
  <c r="G25" i="12"/>
  <c r="F25" i="12"/>
  <c r="E25" i="12"/>
  <c r="D25" i="12"/>
  <c r="G24" i="12"/>
  <c r="G26" i="12" s="1"/>
  <c r="F24" i="12"/>
  <c r="F26" i="12" s="1"/>
  <c r="E24" i="12"/>
  <c r="E26" i="12" s="1"/>
  <c r="D24" i="12"/>
  <c r="G23" i="12"/>
  <c r="F23" i="12"/>
  <c r="E23" i="12"/>
  <c r="D23" i="12"/>
  <c r="C25" i="12"/>
  <c r="C24" i="12"/>
  <c r="C26" i="12" s="1"/>
  <c r="G31" i="18"/>
  <c r="K31" i="18" s="1"/>
  <c r="G30" i="18"/>
  <c r="J30" i="18" s="1"/>
  <c r="G29" i="18"/>
  <c r="K29" i="18" s="1"/>
  <c r="G28" i="18"/>
  <c r="K28" i="18" s="1"/>
  <c r="G27" i="18"/>
  <c r="K27" i="18" s="1"/>
  <c r="G26" i="18"/>
  <c r="K26" i="18" s="1"/>
  <c r="G25" i="18"/>
  <c r="K25" i="18" s="1"/>
  <c r="G24" i="18"/>
  <c r="K24" i="18" s="1"/>
  <c r="G23" i="18"/>
  <c r="K23" i="18" s="1"/>
  <c r="G22" i="18"/>
  <c r="K22" i="18" s="1"/>
  <c r="G21" i="18"/>
  <c r="K21" i="18" s="1"/>
  <c r="G20" i="18"/>
  <c r="K20" i="18" s="1"/>
  <c r="Q15" i="18"/>
  <c r="O15" i="18"/>
  <c r="J15" i="18"/>
  <c r="K15" i="18" s="1"/>
  <c r="G15" i="18"/>
  <c r="H15" i="18" s="1"/>
  <c r="Q14" i="18"/>
  <c r="O14" i="18"/>
  <c r="M15" i="18"/>
  <c r="J14" i="18"/>
  <c r="K14" i="18" s="1"/>
  <c r="G14" i="18"/>
  <c r="Q13" i="18"/>
  <c r="O13" i="18"/>
  <c r="M14" i="18"/>
  <c r="J13" i="18"/>
  <c r="G13" i="18"/>
  <c r="Q12" i="18"/>
  <c r="O12" i="18"/>
  <c r="M13" i="18"/>
  <c r="J12" i="18"/>
  <c r="G12" i="18"/>
  <c r="Q11" i="18"/>
  <c r="O11" i="18"/>
  <c r="M12" i="18"/>
  <c r="J11" i="18"/>
  <c r="G11" i="18"/>
  <c r="Q10" i="18"/>
  <c r="O10" i="18"/>
  <c r="M11" i="18"/>
  <c r="J10" i="18"/>
  <c r="G10" i="18"/>
  <c r="Q9" i="18"/>
  <c r="O9" i="18"/>
  <c r="M10" i="18"/>
  <c r="J9" i="18"/>
  <c r="G9" i="18"/>
  <c r="Q8" i="18"/>
  <c r="O8" i="18"/>
  <c r="M9" i="18"/>
  <c r="J8" i="18"/>
  <c r="G8" i="18"/>
  <c r="Q7" i="18"/>
  <c r="O7" i="18"/>
  <c r="M8" i="18"/>
  <c r="J7" i="18"/>
  <c r="K7" i="18" s="1"/>
  <c r="G7" i="18"/>
  <c r="H7" i="18" s="1"/>
  <c r="Q6" i="18"/>
  <c r="O6" i="18"/>
  <c r="M7" i="18"/>
  <c r="J6" i="18"/>
  <c r="K6" i="18" s="1"/>
  <c r="G6" i="18"/>
  <c r="Q5" i="18"/>
  <c r="O5" i="18"/>
  <c r="M6" i="18"/>
  <c r="J5" i="18"/>
  <c r="G5" i="18"/>
  <c r="Q4" i="18"/>
  <c r="O4" i="18"/>
  <c r="M5" i="18"/>
  <c r="J4" i="18"/>
  <c r="G4" i="18"/>
  <c r="M4" i="18"/>
  <c r="G15" i="15"/>
  <c r="H15" i="15" s="1"/>
  <c r="G14" i="15"/>
  <c r="H14" i="15" s="1"/>
  <c r="G13" i="15"/>
  <c r="H13" i="15" s="1"/>
  <c r="G12" i="15"/>
  <c r="H12" i="15" s="1"/>
  <c r="G11" i="15"/>
  <c r="H11" i="15" s="1"/>
  <c r="G10" i="15"/>
  <c r="H10" i="15" s="1"/>
  <c r="G9" i="15"/>
  <c r="H9" i="15" s="1"/>
  <c r="G8" i="15"/>
  <c r="H8" i="15" s="1"/>
  <c r="G7" i="15"/>
  <c r="H7" i="15" s="1"/>
  <c r="G6" i="15"/>
  <c r="H6" i="15" s="1"/>
  <c r="G5" i="15"/>
  <c r="H5" i="15" s="1"/>
  <c r="G4" i="15"/>
  <c r="H4" i="15" s="1"/>
  <c r="H38" i="14"/>
  <c r="I38" i="14" s="1"/>
  <c r="H37" i="14"/>
  <c r="I37" i="14" s="1"/>
  <c r="H36" i="14"/>
  <c r="I36" i="14" s="1"/>
  <c r="H35" i="14"/>
  <c r="I35" i="14" s="1"/>
  <c r="H34" i="14"/>
  <c r="I34" i="14" s="1"/>
  <c r="H33" i="14"/>
  <c r="I33" i="14" s="1"/>
  <c r="H32" i="14"/>
  <c r="I32" i="14" s="1"/>
  <c r="H31" i="14"/>
  <c r="I31" i="14" s="1"/>
  <c r="H30" i="14"/>
  <c r="I30" i="14" s="1"/>
  <c r="H29" i="14"/>
  <c r="I29" i="14" s="1"/>
  <c r="H28" i="14"/>
  <c r="I28" i="14" s="1"/>
  <c r="H27" i="14"/>
  <c r="I27" i="14" s="1"/>
  <c r="H15" i="14"/>
  <c r="H14" i="14"/>
  <c r="H13" i="14"/>
  <c r="H12" i="14"/>
  <c r="H11" i="14"/>
  <c r="H10" i="14"/>
  <c r="H9" i="14"/>
  <c r="H8" i="14"/>
  <c r="H7" i="14"/>
  <c r="H6" i="14"/>
  <c r="H5" i="14"/>
  <c r="H4" i="14"/>
  <c r="X40" i="8"/>
  <c r="V40" i="8"/>
  <c r="T40" i="8"/>
  <c r="X39" i="8"/>
  <c r="V39" i="8"/>
  <c r="T39" i="8"/>
  <c r="X38" i="8"/>
  <c r="V38" i="8"/>
  <c r="T38" i="8"/>
  <c r="X37" i="8"/>
  <c r="V37" i="8"/>
  <c r="T37" i="8"/>
  <c r="X36" i="8"/>
  <c r="V36" i="8"/>
  <c r="T36" i="8"/>
  <c r="AC27" i="8"/>
  <c r="AC26" i="8"/>
  <c r="AC25" i="8"/>
  <c r="AC24" i="8"/>
  <c r="AC23" i="8"/>
  <c r="AA24" i="8"/>
  <c r="AA23" i="8"/>
  <c r="AA30" i="8" s="1"/>
  <c r="Y27" i="8"/>
  <c r="Y26" i="8"/>
  <c r="Y25" i="8"/>
  <c r="Y24" i="8"/>
  <c r="Y23" i="8"/>
  <c r="W27" i="8"/>
  <c r="W26" i="8"/>
  <c r="W25" i="8"/>
  <c r="W24" i="8"/>
  <c r="W23" i="8"/>
  <c r="U24" i="8"/>
  <c r="U25" i="8"/>
  <c r="U26" i="8"/>
  <c r="U27" i="8"/>
  <c r="U23" i="8"/>
  <c r="AA10" i="8"/>
  <c r="Y10" i="8"/>
  <c r="Y11" i="8"/>
  <c r="W10" i="8"/>
  <c r="W11" i="8"/>
  <c r="W12" i="8"/>
  <c r="AA9" i="8"/>
  <c r="Y9" i="8"/>
  <c r="W9" i="8"/>
  <c r="U10" i="8"/>
  <c r="U11" i="8"/>
  <c r="U12" i="8"/>
  <c r="U13" i="8"/>
  <c r="U9" i="8"/>
  <c r="K142" i="7"/>
  <c r="O123" i="7"/>
  <c r="G146" i="7"/>
  <c r="J146" i="7" s="1"/>
  <c r="J90" i="7"/>
  <c r="G143" i="7"/>
  <c r="K143" i="7" s="1"/>
  <c r="G144" i="7"/>
  <c r="J144" i="7" s="1"/>
  <c r="G145" i="7"/>
  <c r="J145" i="7" s="1"/>
  <c r="G147" i="7"/>
  <c r="J147" i="7" s="1"/>
  <c r="G148" i="7"/>
  <c r="K148" i="7" s="1"/>
  <c r="G149" i="7"/>
  <c r="J149" i="7" s="1"/>
  <c r="G150" i="7"/>
  <c r="J150" i="7" s="1"/>
  <c r="G151" i="7"/>
  <c r="J151" i="7" s="1"/>
  <c r="G152" i="7"/>
  <c r="K152" i="7" s="1"/>
  <c r="G153" i="7"/>
  <c r="J153" i="7" s="1"/>
  <c r="G142" i="7"/>
  <c r="J142" i="7" s="1"/>
  <c r="O134" i="7"/>
  <c r="O133" i="7"/>
  <c r="O132" i="7"/>
  <c r="O131" i="7"/>
  <c r="O130" i="7"/>
  <c r="O129" i="7"/>
  <c r="O128" i="7"/>
  <c r="O127" i="7"/>
  <c r="O126" i="7"/>
  <c r="O125" i="7"/>
  <c r="O124" i="7"/>
  <c r="Q124" i="7"/>
  <c r="Q125" i="7"/>
  <c r="Q126" i="7"/>
  <c r="Q127" i="7"/>
  <c r="Q128" i="7"/>
  <c r="Q129" i="7"/>
  <c r="Q130" i="7"/>
  <c r="Q131" i="7"/>
  <c r="Q132" i="7"/>
  <c r="Q133" i="7"/>
  <c r="Q134" i="7"/>
  <c r="Q123" i="7"/>
  <c r="J127" i="7"/>
  <c r="J126" i="7"/>
  <c r="J124" i="7"/>
  <c r="J123" i="7"/>
  <c r="K123" i="7" s="1"/>
  <c r="J134" i="7"/>
  <c r="J133" i="7"/>
  <c r="J132" i="7"/>
  <c r="J131" i="7"/>
  <c r="J130" i="7"/>
  <c r="J129" i="7"/>
  <c r="G132" i="7"/>
  <c r="G131" i="7"/>
  <c r="G130" i="7"/>
  <c r="G129" i="7"/>
  <c r="M133" i="7"/>
  <c r="M132" i="7"/>
  <c r="M131" i="7"/>
  <c r="M130" i="7"/>
  <c r="M129" i="7"/>
  <c r="M128" i="7"/>
  <c r="M127" i="7"/>
  <c r="M126" i="7"/>
  <c r="M125" i="7"/>
  <c r="M124" i="7"/>
  <c r="M123" i="7"/>
  <c r="M122" i="7"/>
  <c r="J128" i="7"/>
  <c r="J125" i="7"/>
  <c r="G134" i="7"/>
  <c r="G133" i="7"/>
  <c r="G128" i="7"/>
  <c r="G127" i="7"/>
  <c r="G126" i="7"/>
  <c r="G125" i="7"/>
  <c r="G124" i="7"/>
  <c r="G123" i="7"/>
  <c r="H123" i="7" s="1"/>
  <c r="O13" i="11"/>
  <c r="O17" i="11"/>
  <c r="O12" i="11"/>
  <c r="O8" i="11"/>
  <c r="Q8" i="11" s="1"/>
  <c r="O9" i="11"/>
  <c r="Q9" i="11" s="1"/>
  <c r="O10" i="11"/>
  <c r="O11" i="11"/>
  <c r="O14" i="11"/>
  <c r="O15" i="11"/>
  <c r="O16" i="11"/>
  <c r="O18" i="11"/>
  <c r="O7" i="11"/>
  <c r="Q7" i="11" s="1"/>
  <c r="Q13" i="11"/>
  <c r="P18" i="11"/>
  <c r="P17" i="11"/>
  <c r="Q17" i="11" s="1"/>
  <c r="P16" i="11"/>
  <c r="Q16" i="11" s="1"/>
  <c r="P15" i="11"/>
  <c r="Q15" i="11" s="1"/>
  <c r="P14" i="11"/>
  <c r="P13" i="11"/>
  <c r="P12" i="11"/>
  <c r="Q12" i="11" s="1"/>
  <c r="P11" i="11"/>
  <c r="P10" i="11"/>
  <c r="P9" i="11"/>
  <c r="P8" i="11"/>
  <c r="P7" i="11"/>
  <c r="H7" i="11"/>
  <c r="N18" i="11"/>
  <c r="N17" i="11"/>
  <c r="N16" i="11"/>
  <c r="N15" i="11"/>
  <c r="N14" i="11"/>
  <c r="N13" i="11"/>
  <c r="N12" i="11"/>
  <c r="N11" i="11"/>
  <c r="N10" i="11"/>
  <c r="N9" i="11"/>
  <c r="N8" i="11"/>
  <c r="N7" i="11"/>
  <c r="H18" i="11"/>
  <c r="H17" i="11"/>
  <c r="H16" i="11"/>
  <c r="H15" i="11"/>
  <c r="H14" i="11"/>
  <c r="H13" i="11"/>
  <c r="H12" i="11"/>
  <c r="H11" i="11"/>
  <c r="H10" i="11"/>
  <c r="H9" i="11"/>
  <c r="H8" i="11"/>
  <c r="J101" i="7"/>
  <c r="J100" i="7"/>
  <c r="J99" i="7"/>
  <c r="J98" i="7"/>
  <c r="J97" i="7"/>
  <c r="J96" i="7"/>
  <c r="J95" i="7"/>
  <c r="J94" i="7"/>
  <c r="J93" i="7"/>
  <c r="J92" i="7"/>
  <c r="J91" i="7"/>
  <c r="H101" i="7"/>
  <c r="H100" i="7"/>
  <c r="H99" i="7"/>
  <c r="H98" i="7"/>
  <c r="H97" i="7"/>
  <c r="H96" i="7"/>
  <c r="H95" i="7"/>
  <c r="H94" i="7"/>
  <c r="H93" i="7"/>
  <c r="H92" i="7"/>
  <c r="H91" i="7"/>
  <c r="H90" i="7"/>
  <c r="I73" i="7"/>
  <c r="J73" i="7" s="1"/>
  <c r="G51" i="7"/>
  <c r="H51" i="7" s="1"/>
  <c r="G50" i="7"/>
  <c r="H50" i="7" s="1"/>
  <c r="G49" i="7"/>
  <c r="H49" i="7" s="1"/>
  <c r="G48" i="7"/>
  <c r="H48" i="7" s="1"/>
  <c r="G47" i="7"/>
  <c r="H47" i="7" s="1"/>
  <c r="G46" i="7"/>
  <c r="H46" i="7" s="1"/>
  <c r="G45" i="7"/>
  <c r="H45" i="7" s="1"/>
  <c r="G44" i="7"/>
  <c r="H44" i="7" s="1"/>
  <c r="G43" i="7"/>
  <c r="H43" i="7" s="1"/>
  <c r="G42" i="7"/>
  <c r="H42" i="7" s="1"/>
  <c r="G41" i="7"/>
  <c r="H41" i="7" s="1"/>
  <c r="G40" i="7"/>
  <c r="H40" i="7" s="1"/>
  <c r="I84" i="7"/>
  <c r="J84" i="7" s="1"/>
  <c r="I83" i="7"/>
  <c r="J83" i="7" s="1"/>
  <c r="I82" i="7"/>
  <c r="J82" i="7" s="1"/>
  <c r="I81" i="7"/>
  <c r="J81" i="7" s="1"/>
  <c r="I80" i="7"/>
  <c r="J80" i="7" s="1"/>
  <c r="I79" i="7"/>
  <c r="J79" i="7" s="1"/>
  <c r="I78" i="7"/>
  <c r="J78" i="7" s="1"/>
  <c r="I77" i="7"/>
  <c r="J77" i="7" s="1"/>
  <c r="I76" i="7"/>
  <c r="J76" i="7" s="1"/>
  <c r="I75" i="7"/>
  <c r="J75" i="7" s="1"/>
  <c r="I74" i="7"/>
  <c r="J74" i="7" s="1"/>
  <c r="H5" i="7"/>
  <c r="H33" i="7"/>
  <c r="I33" i="7" s="1"/>
  <c r="H32" i="7"/>
  <c r="I32" i="7" s="1"/>
  <c r="H31" i="7"/>
  <c r="I31" i="7" s="1"/>
  <c r="H30" i="7"/>
  <c r="I30" i="7" s="1"/>
  <c r="H29" i="7"/>
  <c r="I29" i="7" s="1"/>
  <c r="H28" i="7"/>
  <c r="I28" i="7" s="1"/>
  <c r="H27" i="7"/>
  <c r="I27" i="7" s="1"/>
  <c r="H26" i="7"/>
  <c r="I26" i="7" s="1"/>
  <c r="H25" i="7"/>
  <c r="I25" i="7" s="1"/>
  <c r="H24" i="7"/>
  <c r="I24" i="7" s="1"/>
  <c r="H23" i="7"/>
  <c r="I23" i="7" s="1"/>
  <c r="H22" i="7"/>
  <c r="I22" i="7" s="1"/>
  <c r="H7" i="7"/>
  <c r="H16" i="7"/>
  <c r="H15" i="7"/>
  <c r="H14" i="7"/>
  <c r="H13" i="7"/>
  <c r="H12" i="7"/>
  <c r="H11" i="7"/>
  <c r="H10" i="7"/>
  <c r="H9" i="7"/>
  <c r="H8" i="7"/>
  <c r="H6" i="7"/>
  <c r="X18" i="9"/>
  <c r="X17" i="9"/>
  <c r="X16" i="9"/>
  <c r="X15" i="9"/>
  <c r="X14" i="9"/>
  <c r="X13" i="9"/>
  <c r="X12" i="9"/>
  <c r="X11" i="9"/>
  <c r="X10" i="9"/>
  <c r="X9" i="9"/>
  <c r="X8" i="9"/>
  <c r="X7" i="9"/>
  <c r="V18" i="9"/>
  <c r="V17" i="9"/>
  <c r="V16" i="9"/>
  <c r="V15" i="9"/>
  <c r="V14" i="9"/>
  <c r="V13" i="9"/>
  <c r="V12" i="9"/>
  <c r="V11" i="9"/>
  <c r="V10" i="9"/>
  <c r="V9" i="9"/>
  <c r="V8" i="9"/>
  <c r="V7" i="9"/>
  <c r="T18" i="9"/>
  <c r="T17" i="9"/>
  <c r="T16" i="9"/>
  <c r="T15" i="9"/>
  <c r="T14" i="9"/>
  <c r="T13" i="9"/>
  <c r="T12" i="9"/>
  <c r="T11" i="9"/>
  <c r="T10" i="9"/>
  <c r="T9" i="9"/>
  <c r="T8" i="9"/>
  <c r="T7" i="9"/>
  <c r="R18" i="9"/>
  <c r="R17" i="9"/>
  <c r="R16" i="9"/>
  <c r="R15" i="9"/>
  <c r="R14" i="9"/>
  <c r="R13" i="9"/>
  <c r="R12" i="9"/>
  <c r="R11" i="9"/>
  <c r="R10" i="9"/>
  <c r="R9" i="9"/>
  <c r="R8" i="9"/>
  <c r="R7" i="9"/>
  <c r="P18" i="9"/>
  <c r="P17" i="9"/>
  <c r="P16" i="9"/>
  <c r="P15" i="9"/>
  <c r="P14" i="9"/>
  <c r="P13" i="9"/>
  <c r="P12" i="9"/>
  <c r="P11" i="9"/>
  <c r="P10" i="9"/>
  <c r="P9" i="9"/>
  <c r="P8" i="9"/>
  <c r="P7" i="9"/>
  <c r="W8" i="9"/>
  <c r="W9" i="9"/>
  <c r="W10" i="9"/>
  <c r="W11" i="9"/>
  <c r="W12" i="9"/>
  <c r="W13" i="9"/>
  <c r="W14" i="9"/>
  <c r="W15" i="9"/>
  <c r="W16" i="9"/>
  <c r="W17" i="9"/>
  <c r="W18" i="9"/>
  <c r="W7" i="9"/>
  <c r="U8" i="9"/>
  <c r="U9" i="9"/>
  <c r="U10" i="9"/>
  <c r="U11" i="9"/>
  <c r="U12" i="9"/>
  <c r="U13" i="9"/>
  <c r="U14" i="9"/>
  <c r="U15" i="9"/>
  <c r="U16" i="9"/>
  <c r="U17" i="9"/>
  <c r="U18" i="9"/>
  <c r="U7" i="9"/>
  <c r="S8" i="9"/>
  <c r="S9" i="9"/>
  <c r="S10" i="9"/>
  <c r="S11" i="9"/>
  <c r="S12" i="9"/>
  <c r="S13" i="9"/>
  <c r="S14" i="9"/>
  <c r="S15" i="9"/>
  <c r="S16" i="9"/>
  <c r="S17" i="9"/>
  <c r="S18" i="9"/>
  <c r="S7" i="9"/>
  <c r="Q7" i="9"/>
  <c r="Q8" i="9"/>
  <c r="Q9" i="9"/>
  <c r="Q10" i="9"/>
  <c r="Q11" i="9"/>
  <c r="Q12" i="9"/>
  <c r="Q13" i="9"/>
  <c r="Q14" i="9"/>
  <c r="Q15" i="9"/>
  <c r="Q16" i="9"/>
  <c r="Q17" i="9"/>
  <c r="Q18" i="9"/>
  <c r="O8" i="9"/>
  <c r="O9" i="9"/>
  <c r="O10" i="9"/>
  <c r="O11" i="9"/>
  <c r="O12" i="9"/>
  <c r="O13" i="9"/>
  <c r="O14" i="9"/>
  <c r="O15" i="9"/>
  <c r="O16" i="9"/>
  <c r="O17" i="9"/>
  <c r="O18" i="9"/>
  <c r="O7" i="9"/>
  <c r="AB3" i="8"/>
  <c r="Q30" i="8"/>
  <c r="Q29" i="8"/>
  <c r="Q28" i="8"/>
  <c r="Q27" i="8"/>
  <c r="Q26" i="8"/>
  <c r="N30" i="8"/>
  <c r="N29" i="8"/>
  <c r="N28" i="8"/>
  <c r="N27" i="8"/>
  <c r="N26" i="8"/>
  <c r="K30" i="8"/>
  <c r="K29" i="8"/>
  <c r="K28" i="8"/>
  <c r="K27" i="8"/>
  <c r="K26" i="8"/>
  <c r="H30" i="8"/>
  <c r="H29" i="8"/>
  <c r="H28" i="8"/>
  <c r="H27" i="8"/>
  <c r="H26" i="8"/>
  <c r="E30" i="8"/>
  <c r="E29" i="8"/>
  <c r="E28" i="8"/>
  <c r="E27" i="8"/>
  <c r="E26" i="8"/>
  <c r="Q14" i="8"/>
  <c r="Q13" i="8"/>
  <c r="Q12" i="8"/>
  <c r="Q11" i="8"/>
  <c r="Q10" i="8"/>
  <c r="Q9" i="8"/>
  <c r="N14" i="8"/>
  <c r="N13" i="8"/>
  <c r="N12" i="8"/>
  <c r="N11" i="8"/>
  <c r="N10" i="8"/>
  <c r="N9" i="8"/>
  <c r="K14" i="8"/>
  <c r="K13" i="8"/>
  <c r="K12" i="8"/>
  <c r="K11" i="8"/>
  <c r="K10" i="8"/>
  <c r="K9" i="8"/>
  <c r="H14" i="8"/>
  <c r="H13" i="8"/>
  <c r="H12" i="8"/>
  <c r="H11" i="8"/>
  <c r="H10" i="8"/>
  <c r="H9" i="8"/>
  <c r="E14" i="8"/>
  <c r="E13" i="8"/>
  <c r="E12" i="8"/>
  <c r="E11" i="8"/>
  <c r="E10" i="8"/>
  <c r="E9" i="8"/>
  <c r="O266" i="20" l="1"/>
  <c r="O270" i="20"/>
  <c r="O274" i="20"/>
  <c r="Q274" i="20" s="1"/>
  <c r="O272" i="20"/>
  <c r="Q272" i="20" s="1"/>
  <c r="O267" i="20"/>
  <c r="Q267" i="20" s="1"/>
  <c r="L34" i="20"/>
  <c r="F46" i="20"/>
  <c r="C74" i="20"/>
  <c r="G74" i="20"/>
  <c r="D87" i="20"/>
  <c r="J17" i="20"/>
  <c r="I18" i="20"/>
  <c r="C104" i="20"/>
  <c r="G104" i="20"/>
  <c r="K104" i="20"/>
  <c r="O265" i="20"/>
  <c r="Q265" i="20" s="1"/>
  <c r="Q266" i="20"/>
  <c r="O269" i="20"/>
  <c r="Q269" i="20" s="1"/>
  <c r="Q270" i="20"/>
  <c r="O273" i="20"/>
  <c r="Q273" i="20" s="1"/>
  <c r="E147" i="20"/>
  <c r="F168" i="20"/>
  <c r="O271" i="20"/>
  <c r="Q271" i="20" s="1"/>
  <c r="H146" i="20"/>
  <c r="F147" i="20"/>
  <c r="O264" i="20"/>
  <c r="Q264" i="20" s="1"/>
  <c r="O275" i="20"/>
  <c r="Q275" i="20" s="1"/>
  <c r="F33" i="20"/>
  <c r="K34" i="20"/>
  <c r="C57" i="20"/>
  <c r="F74" i="20"/>
  <c r="E74" i="20"/>
  <c r="C87" i="20"/>
  <c r="G18" i="20"/>
  <c r="F104" i="20"/>
  <c r="E104" i="20"/>
  <c r="M104" i="20"/>
  <c r="L104" i="20"/>
  <c r="G147" i="20"/>
  <c r="O268" i="20"/>
  <c r="Q268" i="20" s="1"/>
  <c r="J245" i="20"/>
  <c r="L245" i="20" s="1"/>
  <c r="J246" i="20"/>
  <c r="L246" i="20" s="1"/>
  <c r="J247" i="20"/>
  <c r="L247" i="20" s="1"/>
  <c r="J248" i="20"/>
  <c r="L248" i="20" s="1"/>
  <c r="J249" i="20"/>
  <c r="L249" i="20" s="1"/>
  <c r="J250" i="20"/>
  <c r="L250" i="20" s="1"/>
  <c r="J251" i="20"/>
  <c r="L251" i="20" s="1"/>
  <c r="J252" i="20"/>
  <c r="L252" i="20" s="1"/>
  <c r="J253" i="20"/>
  <c r="L253" i="20" s="1"/>
  <c r="J254" i="20"/>
  <c r="L254" i="20" s="1"/>
  <c r="J255" i="20"/>
  <c r="L255" i="20" s="1"/>
  <c r="J256" i="20"/>
  <c r="L256" i="20" s="1"/>
  <c r="H165" i="20"/>
  <c r="E168" i="20"/>
  <c r="H166" i="20"/>
  <c r="I153" i="20"/>
  <c r="H167" i="20"/>
  <c r="H144" i="20"/>
  <c r="H145" i="20"/>
  <c r="L15" i="4"/>
  <c r="D14" i="4"/>
  <c r="L14" i="4"/>
  <c r="C17" i="4"/>
  <c r="F14" i="4"/>
  <c r="H15" i="4"/>
  <c r="J15" i="4"/>
  <c r="K17" i="4"/>
  <c r="H14" i="4"/>
  <c r="G87" i="20"/>
  <c r="H16" i="20"/>
  <c r="D46" i="20"/>
  <c r="C58" i="20"/>
  <c r="D51" i="20"/>
  <c r="I34" i="20"/>
  <c r="H45" i="20"/>
  <c r="J33" i="20"/>
  <c r="C34" i="20"/>
  <c r="J45" i="20"/>
  <c r="C47" i="20"/>
  <c r="K47" i="20"/>
  <c r="H17" i="20"/>
  <c r="H32" i="20"/>
  <c r="D55" i="20"/>
  <c r="D16" i="20"/>
  <c r="F16" i="20"/>
  <c r="D54" i="20"/>
  <c r="E47" i="20"/>
  <c r="F87" i="20"/>
  <c r="E87" i="20"/>
  <c r="F17" i="20"/>
  <c r="E18" i="20"/>
  <c r="D15" i="20"/>
  <c r="L15" i="20"/>
  <c r="D17" i="20"/>
  <c r="H15" i="20"/>
  <c r="J16" i="20"/>
  <c r="L17" i="20"/>
  <c r="L18" i="20" s="1"/>
  <c r="F15" i="20"/>
  <c r="J15" i="20"/>
  <c r="J34" i="20"/>
  <c r="D33" i="20"/>
  <c r="D52" i="20"/>
  <c r="D53" i="20"/>
  <c r="J31" i="20"/>
  <c r="E34" i="20"/>
  <c r="H46" i="20"/>
  <c r="F45" i="20"/>
  <c r="D44" i="20"/>
  <c r="G47" i="20"/>
  <c r="E57" i="20"/>
  <c r="G56" i="20"/>
  <c r="F51" i="20"/>
  <c r="F52" i="20"/>
  <c r="F31" i="20"/>
  <c r="G34" i="20"/>
  <c r="D45" i="20"/>
  <c r="L45" i="20"/>
  <c r="L44" i="20"/>
  <c r="I47" i="20"/>
  <c r="L46" i="20"/>
  <c r="G58" i="20"/>
  <c r="E58" i="20"/>
  <c r="D32" i="20"/>
  <c r="F53" i="20"/>
  <c r="C56" i="20"/>
  <c r="G57" i="20"/>
  <c r="D31" i="20"/>
  <c r="H31" i="20"/>
  <c r="F32" i="20"/>
  <c r="H33" i="20"/>
  <c r="F44" i="20"/>
  <c r="J44" i="20"/>
  <c r="J46" i="20"/>
  <c r="E56" i="20"/>
  <c r="H44" i="20"/>
  <c r="J16" i="4"/>
  <c r="F16" i="4"/>
  <c r="F17" i="4" s="1"/>
  <c r="J14" i="4"/>
  <c r="L16" i="4"/>
  <c r="L17" i="4" s="1"/>
  <c r="H16" i="4"/>
  <c r="D16" i="4"/>
  <c r="D17" i="4" s="1"/>
  <c r="H12" i="18"/>
  <c r="K12" i="18"/>
  <c r="H4" i="18"/>
  <c r="H8" i="18"/>
  <c r="K4" i="18"/>
  <c r="K8" i="18"/>
  <c r="H6" i="18"/>
  <c r="K9" i="18"/>
  <c r="H10" i="18"/>
  <c r="H14" i="18"/>
  <c r="Y30" i="8"/>
  <c r="T42" i="8"/>
  <c r="AB18" i="8"/>
  <c r="AA15" i="8"/>
  <c r="T18" i="8"/>
  <c r="W15" i="8"/>
  <c r="U28" i="8"/>
  <c r="Y29" i="8"/>
  <c r="Y31" i="8" s="1"/>
  <c r="AC29" i="8"/>
  <c r="V43" i="8"/>
  <c r="T43" i="8"/>
  <c r="T44" i="8"/>
  <c r="Y17" i="8"/>
  <c r="U30" i="8"/>
  <c r="X42" i="8"/>
  <c r="AB31" i="8"/>
  <c r="W30" i="8"/>
  <c r="W29" i="8"/>
  <c r="AC30" i="8"/>
  <c r="X43" i="8"/>
  <c r="D26" i="12"/>
  <c r="Y28" i="8"/>
  <c r="AC28" i="8"/>
  <c r="V41" i="8"/>
  <c r="AC18" i="8"/>
  <c r="U29" i="8"/>
  <c r="U31" i="8" s="1"/>
  <c r="V42" i="8"/>
  <c r="V44" i="8" s="1"/>
  <c r="AA16" i="8"/>
  <c r="W28" i="8"/>
  <c r="AA28" i="8"/>
  <c r="X41" i="8"/>
  <c r="T41" i="8"/>
  <c r="U16" i="8"/>
  <c r="V18" i="8"/>
  <c r="AA29" i="8"/>
  <c r="AA31" i="8" s="1"/>
  <c r="H5" i="18"/>
  <c r="H13" i="18"/>
  <c r="K5" i="18"/>
  <c r="K10" i="18"/>
  <c r="H11" i="18"/>
  <c r="K13" i="18"/>
  <c r="H9" i="18"/>
  <c r="K11" i="18"/>
  <c r="K53" i="14"/>
  <c r="K62" i="14"/>
  <c r="E42" i="14"/>
  <c r="F42" i="14"/>
  <c r="L53" i="14"/>
  <c r="L62" i="14"/>
  <c r="H16" i="14"/>
  <c r="E19" i="14"/>
  <c r="G42" i="14"/>
  <c r="H18" i="14"/>
  <c r="I41" i="14"/>
  <c r="F62" i="14"/>
  <c r="F19" i="14"/>
  <c r="H39" i="14"/>
  <c r="H40" i="14"/>
  <c r="H41" i="14"/>
  <c r="G19" i="14"/>
  <c r="I39" i="14"/>
  <c r="I40" i="14"/>
  <c r="I42" i="14" s="1"/>
  <c r="H17" i="14"/>
  <c r="E62" i="14"/>
  <c r="D16" i="13"/>
  <c r="E13" i="12"/>
  <c r="D13" i="12"/>
  <c r="W17" i="8"/>
  <c r="Y15" i="8"/>
  <c r="U15" i="8"/>
  <c r="W16" i="8"/>
  <c r="Y16" i="8"/>
  <c r="Z18" i="8"/>
  <c r="U17" i="8"/>
  <c r="AA17" i="8"/>
  <c r="X18" i="8"/>
  <c r="W38" i="8"/>
  <c r="U36" i="8"/>
  <c r="W39" i="8"/>
  <c r="U39" i="8"/>
  <c r="U37" i="8"/>
  <c r="W37" i="8"/>
  <c r="U38" i="8"/>
  <c r="U40" i="8"/>
  <c r="W36" i="8"/>
  <c r="W40" i="8"/>
  <c r="J20" i="18"/>
  <c r="L20" i="18" s="1"/>
  <c r="J22" i="18"/>
  <c r="L22" i="18" s="1"/>
  <c r="J23" i="18"/>
  <c r="L23" i="18" s="1"/>
  <c r="J24" i="18"/>
  <c r="L24" i="18" s="1"/>
  <c r="J25" i="18"/>
  <c r="L25" i="18" s="1"/>
  <c r="J26" i="18"/>
  <c r="L26" i="18" s="1"/>
  <c r="J27" i="18"/>
  <c r="L27" i="18" s="1"/>
  <c r="J28" i="18"/>
  <c r="L28" i="18" s="1"/>
  <c r="J31" i="18"/>
  <c r="L31" i="18" s="1"/>
  <c r="J21" i="18"/>
  <c r="L21" i="18" s="1"/>
  <c r="J29" i="18"/>
  <c r="L29" i="18" s="1"/>
  <c r="K30" i="18"/>
  <c r="L30" i="18" s="1"/>
  <c r="L142" i="7"/>
  <c r="K147" i="7"/>
  <c r="L147" i="7" s="1"/>
  <c r="K151" i="7"/>
  <c r="L151" i="7" s="1"/>
  <c r="L145" i="7"/>
  <c r="K146" i="7"/>
  <c r="L146" i="7" s="1"/>
  <c r="K150" i="7"/>
  <c r="L150" i="7" s="1"/>
  <c r="K144" i="7"/>
  <c r="L144" i="7" s="1"/>
  <c r="H125" i="7"/>
  <c r="H133" i="7"/>
  <c r="H129" i="7"/>
  <c r="K129" i="7"/>
  <c r="K133" i="7"/>
  <c r="K145" i="7"/>
  <c r="K149" i="7"/>
  <c r="L149" i="7" s="1"/>
  <c r="K153" i="7"/>
  <c r="L153" i="7" s="1"/>
  <c r="H126" i="7"/>
  <c r="K130" i="7"/>
  <c r="H127" i="7"/>
  <c r="H131" i="7"/>
  <c r="K131" i="7"/>
  <c r="H134" i="7"/>
  <c r="H130" i="7"/>
  <c r="K134" i="7"/>
  <c r="H124" i="7"/>
  <c r="H128" i="7"/>
  <c r="K128" i="7"/>
  <c r="H132" i="7"/>
  <c r="K132" i="7"/>
  <c r="K124" i="7"/>
  <c r="J152" i="7"/>
  <c r="L152" i="7" s="1"/>
  <c r="J148" i="7"/>
  <c r="L148" i="7" s="1"/>
  <c r="J143" i="7"/>
  <c r="L143" i="7" s="1"/>
  <c r="K126" i="7"/>
  <c r="K125" i="7"/>
  <c r="K127" i="7"/>
  <c r="K91" i="7"/>
  <c r="K95" i="7"/>
  <c r="K99" i="7"/>
  <c r="K92" i="7"/>
  <c r="K96" i="7"/>
  <c r="K100" i="7"/>
  <c r="K93" i="7"/>
  <c r="K97" i="7"/>
  <c r="K101" i="7"/>
  <c r="K90" i="7"/>
  <c r="K94" i="7"/>
  <c r="K98" i="7"/>
  <c r="Q11" i="11"/>
  <c r="Q14" i="11"/>
  <c r="Q18" i="11"/>
  <c r="Q10" i="11"/>
  <c r="H147" i="20" l="1"/>
  <c r="F34" i="20"/>
  <c r="F47" i="20"/>
  <c r="H47" i="20"/>
  <c r="J47" i="20"/>
  <c r="J18" i="20"/>
  <c r="C59" i="20"/>
  <c r="H34" i="20"/>
  <c r="I165" i="20"/>
  <c r="I167" i="20"/>
  <c r="I166" i="20"/>
  <c r="H168" i="20"/>
  <c r="H17" i="4"/>
  <c r="J17" i="4"/>
  <c r="H18" i="20"/>
  <c r="D47" i="20"/>
  <c r="F56" i="20"/>
  <c r="E59" i="20"/>
  <c r="D58" i="20"/>
  <c r="D18" i="20"/>
  <c r="L47" i="20"/>
  <c r="F18" i="20"/>
  <c r="F57" i="20"/>
  <c r="F58" i="20"/>
  <c r="D57" i="20"/>
  <c r="G59" i="20"/>
  <c r="D34" i="20"/>
  <c r="D56" i="20"/>
  <c r="AA18" i="8"/>
  <c r="W31" i="8"/>
  <c r="AC31" i="8"/>
  <c r="X44" i="8"/>
  <c r="Y18" i="8"/>
  <c r="W43" i="8"/>
  <c r="W42" i="8"/>
  <c r="W44" i="8" s="1"/>
  <c r="W41" i="8"/>
  <c r="U41" i="8"/>
  <c r="U42" i="8"/>
  <c r="U43" i="8"/>
  <c r="U18" i="8"/>
  <c r="H19" i="14"/>
  <c r="H42" i="14"/>
  <c r="W18" i="8"/>
  <c r="I168" i="20" l="1"/>
  <c r="F59" i="20"/>
  <c r="D59" i="20"/>
  <c r="U44" i="8"/>
  <c r="M6" i="12"/>
  <c r="K6" i="12"/>
  <c r="Q64" i="14"/>
  <c r="W68" i="14"/>
  <c r="M18" i="12"/>
  <c r="K18" i="12"/>
  <c r="M7" i="12"/>
  <c r="K7" i="12"/>
  <c r="M22" i="12"/>
  <c r="K22" i="12"/>
  <c r="M20" i="12"/>
  <c r="K20" i="12"/>
  <c r="M8" i="12"/>
  <c r="K8" i="12"/>
  <c r="L5" i="12"/>
  <c r="M21" i="12"/>
  <c r="K21" i="12"/>
  <c r="J5" i="12"/>
  <c r="K5" i="12"/>
  <c r="M5" i="12"/>
  <c r="J20" i="12"/>
  <c r="L20" i="12"/>
  <c r="J22" i="12"/>
  <c r="L22" i="12"/>
  <c r="M9" i="12"/>
  <c r="K9" i="12"/>
  <c r="J9" i="12"/>
  <c r="L9" i="12"/>
  <c r="L19" i="12"/>
  <c r="J21" i="12"/>
  <c r="L21" i="12"/>
  <c r="J8" i="12"/>
  <c r="L8" i="12"/>
  <c r="J7" i="12"/>
  <c r="L7" i="12"/>
  <c r="R64" i="14"/>
  <c r="J19" i="12"/>
  <c r="K19" i="12"/>
  <c r="M19" i="12"/>
  <c r="J18" i="12"/>
  <c r="L18" i="12"/>
  <c r="J6" i="12"/>
  <c r="L6" i="12"/>
  <c r="X68" i="14"/>
</calcChain>
</file>

<file path=xl/sharedStrings.xml><?xml version="1.0" encoding="utf-8"?>
<sst xmlns="http://schemas.openxmlformats.org/spreadsheetml/2006/main" count="1761" uniqueCount="232">
  <si>
    <t>LABORATORY MEASUREMENTS - WATER</t>
  </si>
  <si>
    <t>TOTAL PHOSPHORUS</t>
  </si>
  <si>
    <t>P Absorbance (Table 3.1)</t>
  </si>
  <si>
    <t>P standard curve (Table 3.2)</t>
  </si>
  <si>
    <t>replicate</t>
  </si>
  <si>
    <t>Coolac</t>
  </si>
  <si>
    <t>Bongongalong</t>
  </si>
  <si>
    <t>Absorbance</t>
  </si>
  <si>
    <t>DO AND BOD</t>
  </si>
  <si>
    <t>DISSOLVED ORGANIC CARBON</t>
  </si>
  <si>
    <t>pH</t>
  </si>
  <si>
    <t>Water pH (Table 4.1)</t>
  </si>
  <si>
    <t>ALKALINITY</t>
  </si>
  <si>
    <t>Water alkalinity (Table 4.2)</t>
  </si>
  <si>
    <t>LABORATORY MEASUREMENTS - SOIL</t>
  </si>
  <si>
    <t>INSTRUCTIONS</t>
  </si>
  <si>
    <t>Empty weight crucible (g)</t>
  </si>
  <si>
    <t>Ground soil weight into crucible (g)</t>
  </si>
  <si>
    <t>Soil pH and EC (Table 5.3)</t>
  </si>
  <si>
    <t>Moist soil weight (g)</t>
  </si>
  <si>
    <t>Hydrometer reading blank</t>
  </si>
  <si>
    <t>Cootamundry</t>
  </si>
  <si>
    <r>
      <t>Read instructions on page 9 and 10 of lab manual to calculate total dissolved P (in mg L</t>
    </r>
    <r>
      <rPr>
        <vertAlign val="superscript"/>
        <sz val="11"/>
        <color theme="1"/>
        <rFont val="Calibri"/>
        <family val="2"/>
        <scheme val="minor"/>
      </rPr>
      <t>-1</t>
    </r>
    <r>
      <rPr>
        <sz val="11"/>
        <color theme="1"/>
        <rFont val="Calibri"/>
        <family val="2"/>
        <scheme val="minor"/>
      </rPr>
      <t>).</t>
    </r>
  </si>
  <si>
    <t>DO sample (mL) (Table 3.3)</t>
  </si>
  <si>
    <t>TOTAL DISSOLVED NITROGEN</t>
  </si>
  <si>
    <t>pH and EC</t>
  </si>
  <si>
    <r>
      <t>Dissolved organic carbon (mg L</t>
    </r>
    <r>
      <rPr>
        <vertAlign val="superscript"/>
        <sz val="11"/>
        <color theme="1"/>
        <rFont val="Calibri"/>
        <family val="2"/>
        <scheme val="minor"/>
      </rPr>
      <t>-1</t>
    </r>
    <r>
      <rPr>
        <sz val="11"/>
        <color theme="1"/>
        <rFont val="Calibri"/>
        <family val="2"/>
        <scheme val="minor"/>
      </rPr>
      <t>)</t>
    </r>
  </si>
  <si>
    <r>
      <t>Total nitrogen (mg L</t>
    </r>
    <r>
      <rPr>
        <vertAlign val="superscript"/>
        <sz val="11"/>
        <color theme="1"/>
        <rFont val="Calibri"/>
        <family val="2"/>
        <scheme val="minor"/>
      </rPr>
      <t>-1</t>
    </r>
    <r>
      <rPr>
        <sz val="11"/>
        <color theme="1"/>
        <rFont val="Calibri"/>
        <family val="2"/>
        <scheme val="minor"/>
      </rPr>
      <t>)</t>
    </r>
  </si>
  <si>
    <r>
      <t>Read instructions on page 14 of lab manual to calculate DO and BOD (in mg L</t>
    </r>
    <r>
      <rPr>
        <vertAlign val="superscript"/>
        <sz val="11"/>
        <color theme="1"/>
        <rFont val="Calibri"/>
        <family val="2"/>
        <scheme val="minor"/>
      </rPr>
      <t>-1</t>
    </r>
    <r>
      <rPr>
        <sz val="11"/>
        <color theme="1"/>
        <rFont val="Calibri"/>
        <family val="2"/>
        <scheme val="minor"/>
      </rPr>
      <t>). The molarity of the thiosulphate titrant was 0.025 M.</t>
    </r>
  </si>
  <si>
    <r>
      <t>Read instructions on page 18 of lab manual to calculate alkalinity (in mmol L</t>
    </r>
    <r>
      <rPr>
        <vertAlign val="superscript"/>
        <sz val="11"/>
        <color theme="1"/>
        <rFont val="Calibri"/>
        <family val="2"/>
        <scheme val="minor"/>
      </rPr>
      <t>-1</t>
    </r>
    <r>
      <rPr>
        <sz val="11"/>
        <color theme="1"/>
        <rFont val="Calibri"/>
        <family val="2"/>
        <scheme val="minor"/>
      </rPr>
      <t>). The molarity of the HCl titrant was 0.02 M.</t>
    </r>
  </si>
  <si>
    <t>Starting volume (mL)</t>
  </si>
  <si>
    <t>End volume (mL)</t>
  </si>
  <si>
    <r>
      <t>Water EC (uS cm</t>
    </r>
    <r>
      <rPr>
        <vertAlign val="superscript"/>
        <sz val="11"/>
        <color theme="1"/>
        <rFont val="Calibri"/>
        <family val="2"/>
        <scheme val="minor"/>
      </rPr>
      <t>-1</t>
    </r>
    <r>
      <rPr>
        <sz val="11"/>
        <color theme="1"/>
        <rFont val="Calibri"/>
        <family val="2"/>
        <scheme val="minor"/>
      </rPr>
      <t>) (Table 4.1)</t>
    </r>
  </si>
  <si>
    <t>Read instructions on page 21 of lab manual to calculate soil moisture (%)</t>
  </si>
  <si>
    <r>
      <t>Read instructions on page 32 of lab manual to calculate eCEC (in cmolc kg</t>
    </r>
    <r>
      <rPr>
        <vertAlign val="superscript"/>
        <sz val="11"/>
        <color theme="1"/>
        <rFont val="Calibri"/>
        <family val="2"/>
        <scheme val="minor"/>
      </rPr>
      <t>-1</t>
    </r>
    <r>
      <rPr>
        <sz val="11"/>
        <color theme="1"/>
        <rFont val="Calibri"/>
        <family val="2"/>
        <scheme val="minor"/>
      </rPr>
      <t>) and ESP (%).</t>
    </r>
  </si>
  <si>
    <t>Read instructions on page 35/36 of lab manual to calculate sand, silt and clay fraction (%).</t>
  </si>
  <si>
    <t>Site</t>
  </si>
  <si>
    <t>Agriculture</t>
  </si>
  <si>
    <t>0-10</t>
  </si>
  <si>
    <t>10-20</t>
  </si>
  <si>
    <t>20-30</t>
  </si>
  <si>
    <t>Native</t>
  </si>
  <si>
    <t>SOIL MOISTURE</t>
  </si>
  <si>
    <t>Soil depth</t>
  </si>
  <si>
    <t>Land use</t>
  </si>
  <si>
    <t>Weight empty tin (g)</t>
  </si>
  <si>
    <t>Weight tin + moist soil (g)</t>
  </si>
  <si>
    <t>Weight tin + dry soil (g)</t>
  </si>
  <si>
    <t>TOTAL SOIL ORGANIC MATTER</t>
  </si>
  <si>
    <t>Ashed soil + crucible weight (g)</t>
  </si>
  <si>
    <t>TOTAL SOIL PHOSPHORUS</t>
  </si>
  <si>
    <t>Ashed Soil Weight (g)</t>
  </si>
  <si>
    <t>SOIL pH AND EC</t>
  </si>
  <si>
    <t>SOIL AVAILABLE N</t>
  </si>
  <si>
    <t>Soil weights for available N (Table 5.4)</t>
  </si>
  <si>
    <t>SOIL AVAILABLE P</t>
  </si>
  <si>
    <t>Soil weights for available P and absorbance (Table 5.5)</t>
  </si>
  <si>
    <t>P standard curve (Table 5.6)</t>
  </si>
  <si>
    <t>CATION EXCHANGE CAPACITY AND ESP</t>
  </si>
  <si>
    <t>Soil weights and NaOH used for exch cations and acidity (Table 6.1)</t>
  </si>
  <si>
    <t>Weight for exch cations (g)</t>
  </si>
  <si>
    <t>Weight for exch acidity (g)</t>
  </si>
  <si>
    <t>Volume NaOH (mL)</t>
  </si>
  <si>
    <t>SOIL TEXTURE</t>
  </si>
  <si>
    <t>Soil weight and hydrometer readings for soil samples (Table 6.2)</t>
  </si>
  <si>
    <t>Table 6.3 Blanks</t>
  </si>
  <si>
    <t>Hydrometer reading after 4 min</t>
  </si>
  <si>
    <t>Hydrometer reading after 2 hr</t>
  </si>
  <si>
    <t>Temperature sample</t>
  </si>
  <si>
    <t>Temperature blank</t>
  </si>
  <si>
    <t>Exch K (cmolc/mL)</t>
  </si>
  <si>
    <t>Exch Ca (cmolc/mL)</t>
  </si>
  <si>
    <t>Exch Mg (cmolc/mL)</t>
  </si>
  <si>
    <t>Exch Na (cmolc/mL)</t>
  </si>
  <si>
    <t>Brawlins Rd</t>
  </si>
  <si>
    <t>Cootamundra</t>
  </si>
  <si>
    <t>BOD sample (mL) (Table 4.3)</t>
  </si>
  <si>
    <t>Brawlins</t>
  </si>
  <si>
    <t>Soil moisture (Table 5.3)</t>
  </si>
  <si>
    <t>Total soil organic matter (Table 5.3)</t>
  </si>
  <si>
    <t>Soil phosphorus (Table 5.3 and 6.1)</t>
  </si>
  <si>
    <t>Table 6.2</t>
  </si>
  <si>
    <t>Absorbance (x)</t>
  </si>
  <si>
    <t>y</t>
  </si>
  <si>
    <t>x</t>
  </si>
  <si>
    <r>
      <t>Read instructions on page 14 of lab manual to calculate DO and BOD (in mg L</t>
    </r>
    <r>
      <rPr>
        <vertAlign val="superscript"/>
        <sz val="11"/>
        <color rgb="FF000000"/>
        <rFont val="Calibri"/>
        <family val="2"/>
        <scheme val="minor"/>
      </rPr>
      <t>-1</t>
    </r>
    <r>
      <rPr>
        <sz val="11"/>
        <color rgb="FF000000"/>
        <rFont val="Calibri"/>
        <family val="2"/>
        <scheme val="minor"/>
      </rPr>
      <t>). The molarity of the thiosulphate titrant was 0.025 M.</t>
    </r>
  </si>
  <si>
    <t>Total volume</t>
  </si>
  <si>
    <t>Total volume (ml)</t>
  </si>
  <si>
    <t>DO sample total volumes (mL) (Table 3.3.1</t>
  </si>
  <si>
    <t>BOD sample total volumes (ml) (Table 4.3.1)</t>
  </si>
  <si>
    <t>Biochemical Oxygen Demand (DO - BOD) in mg/L</t>
  </si>
  <si>
    <t>Bthio = volume of thiosulphate titrant (in mL) ----- X
Mthio = molarity of the thiosulphate titrant ----- 0.0250 M
mwtO2 = molar weight of O2 (32) ----- 32
Vsample = volume of sample used for titration (in L) ----- 200ml</t>
  </si>
  <si>
    <t>Dissolved oxygen (mg L-1)</t>
  </si>
  <si>
    <t>Dissolved oxygen (mg L-1) = (Bthio × Mthio × mwtO2) / (4 × Vsample)
Dissolved oxygen (mg L-1) = (Bthio × Mthio × 32) / (4 × Vsample)
Dissolved oxygen (mg L-1) = (X × 0.0250 × 32) / (4 × 0.200)
Dissolved oxygen (mg L-1) = (X × 0.8) / (0.800)</t>
  </si>
  <si>
    <t>Total alkalinity (mmol L-1)</t>
  </si>
  <si>
    <t>B. Calculations
Total alkalinity is calculated with the following equation:
Total alkalinity (mmol L-1) = BHCl to 4.5 pH endpoint × MHCl/Vsample
Where BHCl to 4.5 pH endpoint is the total amount of HCl is expressed in mL (difference between starting and end volume), MHCl is the molarity of the HCl, and Vsample is the volume of the sample is expressed in L.
Total alkalinity (mmol L-1) = BHCl to 4.5 pH endpoint × MHCl/Vsample
BHCl to 4.5 pH endpoint = total HCl in mL (difference between starting and end volume)
MHCl = HCl molarity = 0.02 M
Vsample = sample volume L = 50ml
Total alkalinity (mmol L-1) 
= BHCl to 4.5 pH endpoint × MHCl/Vsample
= BHCl to 4.5 pH endpoint × 0.02M/0.05L</t>
  </si>
  <si>
    <t>Soil organic matter</t>
  </si>
  <si>
    <t>Soil carbon</t>
  </si>
  <si>
    <t>W</t>
  </si>
  <si>
    <t>Read instructions on page 27 of lab manual to calculate available soil N (in mg kg-1).</t>
  </si>
  <si>
    <t>Concentration of available N in the soil (in mg N kg-1 soil) can be calculated as follows:
Soil N availability (mg kg-1) = (NH4+ + NO3-)*VK2SO4/Wdry soil
= (NH4+ + NO3-)*40/Wdry soil
NH4+,  NO3- = NH4+, NO3- concentration in mg L-1
VK2SO4 = volume of 0.05 M K2SO4 used for extractions in mL = 40 mL
Wdry soil = dry soil weight in g.
The dry soil weight, Wdry soil, can be calculated from the moist soil weighed into the Falcon tube for the extraction, Wwet soil, and soil moisture content (SM %, see page 21):
Wdry soil = Wwet soil/((SM/100)+1)</t>
  </si>
  <si>
    <t>Soil N availability</t>
  </si>
  <si>
    <t>equation of the regression line = y = 0.1034x</t>
  </si>
  <si>
    <t>y=mx+b</t>
  </si>
  <si>
    <t>xi and yi = absorbance and concentration data points, n
n = number of standards</t>
  </si>
  <si>
    <t>Total dissolved P (in mg L-1)</t>
  </si>
  <si>
    <t>ç</t>
  </si>
  <si>
    <t>Soil P availability (mg kg-1) = P*VNH4F/HCl/Wdry soil</t>
  </si>
  <si>
    <t>equation of the regression line = 1/0.0533</t>
  </si>
  <si>
    <t xml:space="preserve">Make a standard curve using the absorbance measured for the different standard concentrations (Table 6.2). For this, plot the absorbance on the x-axis and the concentration on the y-axis. Then fit a linear regression line through the data and set the intercept to zero. </t>
  </si>
  <si>
    <t>A</t>
  </si>
  <si>
    <t>y = 18.6356x_x000B_ | R² = 0.9939</t>
  </si>
  <si>
    <t>Soil P (mg g-1)</t>
  </si>
  <si>
    <t>P concentration  (in mg L-1)</t>
  </si>
  <si>
    <t>y = 13.587x</t>
  </si>
  <si>
    <t>R² = 0.9989</t>
  </si>
  <si>
    <t xml:space="preserve">P absorbance </t>
  </si>
  <si>
    <t xml:space="preserve">Soil P availability (mg kg-1) </t>
  </si>
  <si>
    <t>Soil moisture (%)</t>
  </si>
  <si>
    <t>exch cat (cmolc kg-1)</t>
  </si>
  <si>
    <t>exch acidity (cmolc kg-1)</t>
  </si>
  <si>
    <t>VNH4OAc</t>
  </si>
  <si>
    <t>Effective cation exchange capacity (eCEC):
eCEC (cmolc kg-1) = exch cat + exch acidity
Where
exch cat (cmolc kg-1) = (exch K+ + exch Ca2+ + exch Mg2+ + exch Na+) × VNH4OAc/(Wmoist soil cat/(SM/100+1))
exch acidity (cmolc kg-1) = NaOH/(Wmoist soil acidity/(SM/100+1)) × 10
Where
Exch K+ etc. = concentration of individual ions expressed as cmolc mL-1.
VNH4OAc = volume of NH4OAc used in mL = 40ml
Wmoist soil, cat = Moist soil weight for exchangeable cations in g. - 10g
SM = soil moisture in %.
NaOH = mL of NaOH added to sample filtrate.
Wmoist soil, acidity = Moist soil weight for exchangeable acidity in g.
Exchangeable sodium percentage (ESP):
ESP (%) = exch Na+ (cmolc kg-1)/eCEC (cmolc kg-1) × 100</t>
  </si>
  <si>
    <t>Soil moisture %</t>
  </si>
  <si>
    <t>Sum of cations</t>
  </si>
  <si>
    <t>Dry soil, cat ions</t>
  </si>
  <si>
    <t>Soil weights and NaOH used for exch cations (Table 6.1.1)</t>
  </si>
  <si>
    <t xml:space="preserve">
exch acidity (cmolc kg-1) = NaOH/(Wmoist soil acidity/(SM/100+1)) × 10</t>
  </si>
  <si>
    <t>Moist soil weight, 
acidity (g)</t>
  </si>
  <si>
    <t>Moist soil weight, 
cat ions (g)</t>
  </si>
  <si>
    <t>eCEC (cmolc kg-1) 
= exch cat + exch acidity</t>
  </si>
  <si>
    <t>See tab</t>
  </si>
  <si>
    <t>The hydrometer readings are temperature dependent, and therefore readings (both blank and soil suspension readings below) need to be temperature-corrected:
1. each degree above 20 °C add 0.4 g L-1 to the hydrometer reading
2. each degree below 20 °C subtract 0.4 g L-1 from the hydrometer reading.</t>
  </si>
  <si>
    <t>Coorected values</t>
  </si>
  <si>
    <t>Corrected hydrometer reading after 4 min</t>
  </si>
  <si>
    <t>Corrected hydrometer reading after 2 hr</t>
  </si>
  <si>
    <t>Corrected temperature sample</t>
  </si>
  <si>
    <t>Corrected temperature blank</t>
  </si>
  <si>
    <t>Temperature &amp; blank solution corrected hydrometer reading 4 mins</t>
  </si>
  <si>
    <t>Temperature &amp; blank solution corrected hydrometer reading 2 hours</t>
  </si>
  <si>
    <t xml:space="preserve">The hydrometer reading of the soil suspension then needs to be corrected for the blank solution: subtract the temperature-corrected blank reading from the temperature-corrected hydrometer readings with the soil suspensions if the blank reading is greater than 0 and add this value to the hydrometer readings if the blank reading is less than 0. </t>
  </si>
  <si>
    <t>Sand fraction (%)</t>
  </si>
  <si>
    <t>Dry soil weight (g)</t>
  </si>
  <si>
    <t>Hydrometer reading 4 mins (corrected for temperature &amp; blank)</t>
  </si>
  <si>
    <t>Hydrometer reading 2 hours (corrected for temperature &amp; blank)</t>
  </si>
  <si>
    <t>Silt fraction (%)</t>
  </si>
  <si>
    <t>Clay fraction) %)</t>
  </si>
  <si>
    <t>Dissolved P (in mg L-1)</t>
  </si>
  <si>
    <r>
      <t xml:space="preserve">The soil moisture content (SM) is calculated as follows:
</t>
    </r>
    <r>
      <rPr>
        <b/>
        <sz val="11"/>
        <color theme="1"/>
        <rFont val="Avenir Book"/>
        <family val="2"/>
      </rPr>
      <t xml:space="preserve">SM (%) = (Wmoist+tin – Wdry+tin)/(Wdry+tin – Wtin)* 100
</t>
    </r>
    <r>
      <rPr>
        <sz val="11"/>
        <color theme="1"/>
        <rFont val="Avenir Book"/>
        <family val="2"/>
      </rPr>
      <t xml:space="preserve">
Wmoist+tin = weight of  soil + tin cup before drying
Wdry+tin = weight of  soil + tin cup after drying
Wtin = weight of  empty tin cup</t>
    </r>
  </si>
  <si>
    <r>
      <t>Read instructions on page 24 of lab manual to calculate soil organic matter (g g</t>
    </r>
    <r>
      <rPr>
        <vertAlign val="superscript"/>
        <sz val="11"/>
        <color theme="1"/>
        <rFont val="Avenir Book"/>
        <family val="2"/>
      </rPr>
      <t>-1</t>
    </r>
    <r>
      <rPr>
        <sz val="11"/>
        <color theme="1"/>
        <rFont val="Avenir Book"/>
        <family val="2"/>
      </rPr>
      <t>)</t>
    </r>
  </si>
  <si>
    <r>
      <t xml:space="preserve">Soil organic matter
Calculate the soil organic matter (SOM) content in g g-1 using:
weight of the ground soil weighed into the crucible (DScrucible)
weight of the empty crucible (Weightempty crucible)
weight of ashed soil+crucible recorded in Table 5.3:
</t>
    </r>
    <r>
      <rPr>
        <b/>
        <sz val="11"/>
        <color theme="1"/>
        <rFont val="Avenir Book"/>
        <family val="2"/>
      </rPr>
      <t xml:space="preserve">SOM (in g g-1) = (DScrucible + Weightempty crucible - Weightashed soil+crucible)/DScrucible
</t>
    </r>
    <r>
      <rPr>
        <sz val="11"/>
        <color theme="1"/>
        <rFont val="Avenir Book"/>
        <family val="2"/>
      </rPr>
      <t xml:space="preserve">
Total soil C (in %) = SOM*0.45*100</t>
    </r>
  </si>
  <si>
    <r>
      <t>Standard (mg L</t>
    </r>
    <r>
      <rPr>
        <vertAlign val="superscript"/>
        <sz val="11"/>
        <color theme="1"/>
        <rFont val="Avenir Book"/>
        <family val="2"/>
      </rPr>
      <t>-1</t>
    </r>
    <r>
      <rPr>
        <sz val="11"/>
        <color theme="1"/>
        <rFont val="Avenir Book"/>
        <family val="2"/>
      </rPr>
      <t>)</t>
    </r>
  </si>
  <si>
    <r>
      <t xml:space="preserve">Then calculate the concentration (in mg L-1) of total P in your samples using the equation of the regression line and the absorbance recorded in Table 6.1. The total soil P concentration (in mg P g-1 dry weight) can then be calculated with:
</t>
    </r>
    <r>
      <rPr>
        <b/>
        <sz val="11"/>
        <color theme="1"/>
        <rFont val="Avenir Book"/>
        <family val="2"/>
      </rPr>
      <t xml:space="preserve">Total soil P (mg g-1) = A* (25/1000)/W
</t>
    </r>
    <r>
      <rPr>
        <sz val="11"/>
        <color theme="1"/>
        <rFont val="Avenir Book"/>
        <family val="2"/>
      </rPr>
      <t xml:space="preserve">
where A = concentration of P in the extract (in mg L-1)
W = weight of the ashed soil sample weighed into the Falcon tube (in g) from Table 5.3.</t>
    </r>
  </si>
  <si>
    <r>
      <t>EC (mS cm</t>
    </r>
    <r>
      <rPr>
        <b/>
        <vertAlign val="superscript"/>
        <sz val="11"/>
        <color theme="1"/>
        <rFont val="Avenir Book"/>
        <family val="2"/>
      </rPr>
      <t>-1</t>
    </r>
    <r>
      <rPr>
        <b/>
        <sz val="11"/>
        <color theme="1"/>
        <rFont val="Avenir Book"/>
        <family val="2"/>
      </rPr>
      <t>)</t>
    </r>
  </si>
  <si>
    <r>
      <t>NH</t>
    </r>
    <r>
      <rPr>
        <b/>
        <vertAlign val="subscript"/>
        <sz val="11"/>
        <color theme="1"/>
        <rFont val="Avenir Book"/>
        <family val="2"/>
      </rPr>
      <t>4</t>
    </r>
    <r>
      <rPr>
        <b/>
        <vertAlign val="superscript"/>
        <sz val="11"/>
        <color theme="1"/>
        <rFont val="Avenir Book"/>
        <family val="2"/>
      </rPr>
      <t>+</t>
    </r>
    <r>
      <rPr>
        <b/>
        <sz val="11"/>
        <color theme="1"/>
        <rFont val="Avenir Book"/>
        <family val="2"/>
      </rPr>
      <t xml:space="preserve"> (mg/L)</t>
    </r>
  </si>
  <si>
    <r>
      <t>NO</t>
    </r>
    <r>
      <rPr>
        <b/>
        <vertAlign val="subscript"/>
        <sz val="11"/>
        <color theme="1"/>
        <rFont val="Avenir Book"/>
        <family val="2"/>
      </rPr>
      <t>3</t>
    </r>
    <r>
      <rPr>
        <b/>
        <vertAlign val="superscript"/>
        <sz val="11"/>
        <color theme="1"/>
        <rFont val="Avenir Book"/>
        <family val="2"/>
      </rPr>
      <t>-</t>
    </r>
    <r>
      <rPr>
        <b/>
        <sz val="11"/>
        <color theme="1"/>
        <rFont val="Avenir Book"/>
        <family val="2"/>
      </rPr>
      <t xml:space="preserve"> (mg/L)</t>
    </r>
  </si>
  <si>
    <r>
      <t>Read instructions on page 28/29 of lab manual to calculate available soil P (in mg kg</t>
    </r>
    <r>
      <rPr>
        <vertAlign val="superscript"/>
        <sz val="11"/>
        <color theme="1"/>
        <rFont val="Avenir Book"/>
        <family val="2"/>
      </rPr>
      <t>-1</t>
    </r>
    <r>
      <rPr>
        <sz val="11"/>
        <color theme="1"/>
        <rFont val="Avenir Book"/>
        <family val="2"/>
      </rPr>
      <t>).</t>
    </r>
  </si>
  <si>
    <r>
      <t xml:space="preserve">P = concentration of P in mg L-1 (y=0.1034x ?)
VNH4F/HCl = volume of the NH4F/HCl solution used for the extractions in mL
Wdry soil = dry soil weight in g (calculated as for available N above).
The concentration of available P in the soil (in mg P kg-1 soil) can then be calculated as follows:
</t>
    </r>
    <r>
      <rPr>
        <b/>
        <sz val="11"/>
        <color theme="1"/>
        <rFont val="Avenir Book"/>
        <family val="2"/>
      </rPr>
      <t xml:space="preserve">Soil P availability (mg kg-1) = P*VNH4F/HCl/Wdry soil
</t>
    </r>
    <r>
      <rPr>
        <sz val="11"/>
        <color theme="1"/>
        <rFont val="Avenir Book"/>
        <family val="2"/>
      </rPr>
      <t>Soil P availability (mg kg-1) = P*20/Wdry soil
P  =  concentration of P in mg L-1
VNH4F/HCl + volume of the NH4F/HCl solution in mL = 20ml
Wdry soil = dry soil weight in g (calculated as for available N above).</t>
    </r>
  </si>
  <si>
    <r>
      <t>Read instructions on page 32 of lab manual to calculate eCEC (in cmolc kg</t>
    </r>
    <r>
      <rPr>
        <vertAlign val="superscript"/>
        <sz val="11"/>
        <color theme="1"/>
        <rFont val="Avenir Book"/>
        <family val="2"/>
      </rPr>
      <t>-1</t>
    </r>
    <r>
      <rPr>
        <sz val="11"/>
        <color theme="1"/>
        <rFont val="Avenir Book"/>
        <family val="2"/>
      </rPr>
      <t>) and ESP (%).</t>
    </r>
  </si>
  <si>
    <r>
      <t xml:space="preserve">The sand, silt and clay fractions (%) are calculated as follows:
</t>
    </r>
    <r>
      <rPr>
        <b/>
        <sz val="11"/>
        <color theme="1"/>
        <rFont val="Avenir Book"/>
        <family val="2"/>
      </rPr>
      <t xml:space="preserve">Sand fraction (%) = (Wdry soil – 4 min reading corrected for blank and temperature)/Wdry soil *100
</t>
    </r>
    <r>
      <rPr>
        <sz val="11"/>
        <color theme="1"/>
        <rFont val="Avenir Book"/>
        <family val="2"/>
      </rPr>
      <t xml:space="preserve">
The dry soil weight, Wdry soil, can be calculated from the moist soil weighed into the shaking bottle, Wwet soil (Table 7.2), and soil moisture content (SM, page 21):
</t>
    </r>
    <r>
      <rPr>
        <b/>
        <sz val="11"/>
        <color theme="1"/>
        <rFont val="Avenir Book"/>
        <family val="2"/>
      </rPr>
      <t xml:space="preserve">Wdry soil = Wwet soil/((SM/100)+1)
</t>
    </r>
    <r>
      <rPr>
        <sz val="11"/>
        <color theme="1"/>
        <rFont val="Avenir Book"/>
        <family val="2"/>
      </rPr>
      <t xml:space="preserve">
Silt fraction (%) = (4 min reading corrected for blank and temperature – (2 hr reading)×0.7 corrected for blank and temperature)/Wdry soil * 100
Note that the 2 hr reading needs to multiplied by 0.7 because the 2 hr reading represents particles smaller than 4 μm, while clay particles are smaller than 2 μm (which would take 4 hrs to settle).
</t>
    </r>
  </si>
  <si>
    <t xml:space="preserve">Total soil C (%) </t>
  </si>
  <si>
    <r>
      <t>Standard (mg L</t>
    </r>
    <r>
      <rPr>
        <b/>
        <vertAlign val="superscript"/>
        <sz val="11"/>
        <color theme="1"/>
        <rFont val="Avenir Book"/>
        <family val="2"/>
      </rPr>
      <t>-1</t>
    </r>
    <r>
      <rPr>
        <b/>
        <sz val="11"/>
        <color theme="1"/>
        <rFont val="Avenir Book"/>
        <family val="2"/>
      </rPr>
      <t>)</t>
    </r>
  </si>
  <si>
    <t>Soil weight and hydrometer readings for soil samples corrected for tempoerature and blank (Table 6.2)</t>
  </si>
  <si>
    <t>P standard (mg L-1)</t>
  </si>
  <si>
    <r>
      <t>EC (mS cm</t>
    </r>
    <r>
      <rPr>
        <b/>
        <vertAlign val="superscript"/>
        <sz val="11"/>
        <color rgb="FF000000"/>
        <rFont val="Avenir Book"/>
        <family val="2"/>
      </rPr>
      <t>-1</t>
    </r>
    <r>
      <rPr>
        <b/>
        <sz val="11"/>
        <color rgb="FF000000"/>
        <rFont val="Avenir Book"/>
        <family val="2"/>
      </rPr>
      <t>)</t>
    </r>
  </si>
  <si>
    <r>
      <t>NH</t>
    </r>
    <r>
      <rPr>
        <b/>
        <vertAlign val="subscript"/>
        <sz val="11"/>
        <color rgb="FF000000"/>
        <rFont val="Avenir Book"/>
        <family val="2"/>
      </rPr>
      <t>4</t>
    </r>
    <r>
      <rPr>
        <b/>
        <vertAlign val="superscript"/>
        <sz val="11"/>
        <color rgb="FF000000"/>
        <rFont val="Avenir Book"/>
        <family val="2"/>
      </rPr>
      <t>+</t>
    </r>
    <r>
      <rPr>
        <b/>
        <sz val="11"/>
        <color rgb="FF000000"/>
        <rFont val="Avenir Book"/>
        <family val="2"/>
      </rPr>
      <t xml:space="preserve"> (mg/L)</t>
    </r>
  </si>
  <si>
    <r>
      <t>NO</t>
    </r>
    <r>
      <rPr>
        <b/>
        <vertAlign val="subscript"/>
        <sz val="11"/>
        <color rgb="FF000000"/>
        <rFont val="Avenir Book"/>
        <family val="2"/>
      </rPr>
      <t>3</t>
    </r>
    <r>
      <rPr>
        <b/>
        <vertAlign val="superscript"/>
        <sz val="11"/>
        <color rgb="FF000000"/>
        <rFont val="Avenir Book"/>
        <family val="2"/>
      </rPr>
      <t>-</t>
    </r>
    <r>
      <rPr>
        <b/>
        <sz val="11"/>
        <color rgb="FF000000"/>
        <rFont val="Avenir Book"/>
        <family val="2"/>
      </rPr>
      <t xml:space="preserve"> (mg/L)</t>
    </r>
  </si>
  <si>
    <r>
      <t>Read instructions on page 28/29 of lab manual to calculate available soil P (in mg kg</t>
    </r>
    <r>
      <rPr>
        <vertAlign val="superscript"/>
        <sz val="11"/>
        <color rgb="FF000000"/>
        <rFont val="Avenir Book"/>
        <family val="2"/>
      </rPr>
      <t>-1</t>
    </r>
    <r>
      <rPr>
        <sz val="11"/>
        <color rgb="FF000000"/>
        <rFont val="Avenir Book"/>
        <family val="2"/>
      </rPr>
      <t>).</t>
    </r>
  </si>
  <si>
    <t>Averages</t>
  </si>
  <si>
    <t xml:space="preserve">St dev. </t>
  </si>
  <si>
    <t>Average dissolved P (in mg L-1)</t>
  </si>
  <si>
    <t>n</t>
  </si>
  <si>
    <t>Std error</t>
  </si>
  <si>
    <t>Towns</t>
  </si>
  <si>
    <t>Average Biochemical Oxygen Demand (DO - BOD) in mg/L</t>
  </si>
  <si>
    <t>BOD sample average dissolved oxygen (mg L-1)</t>
  </si>
  <si>
    <t>DO sample average dissolved oxygen (mg L-1)</t>
  </si>
  <si>
    <t>Average dissolved organic carbon (mg L-1)</t>
  </si>
  <si>
    <t>Average total nitrogen (mg L-1)</t>
  </si>
  <si>
    <t>Average water pH</t>
  </si>
  <si>
    <t>Average EC (uS cm-1) (Table 4.1)</t>
  </si>
  <si>
    <t>Average water alkalinity (mmol L-1)</t>
  </si>
  <si>
    <t>Row Labels</t>
  </si>
  <si>
    <t>Grand Total</t>
  </si>
  <si>
    <t>EC (mS cm-1)</t>
  </si>
  <si>
    <t>Soil depth cm &lt;</t>
  </si>
  <si>
    <t>Agriculture 1</t>
  </si>
  <si>
    <t>average</t>
  </si>
  <si>
    <t>0-10cm</t>
  </si>
  <si>
    <t>10-20cm</t>
  </si>
  <si>
    <t>20-30cm</t>
  </si>
  <si>
    <t>Agriculture average pH</t>
  </si>
  <si>
    <t>Indigenous average pH</t>
  </si>
  <si>
    <t>Indigenous</t>
  </si>
  <si>
    <t>Indigenous EC (mS cm-1)</t>
  </si>
  <si>
    <t>Agriculture EC (mS cm-1)</t>
  </si>
  <si>
    <t xml:space="preserve">Average of Total soil C (%) </t>
  </si>
  <si>
    <t>Average of Soil organic matter</t>
  </si>
  <si>
    <t>Indigenous average soil organic matter</t>
  </si>
  <si>
    <t xml:space="preserve">Indigenous average soil C (%) </t>
  </si>
  <si>
    <t>Agriculture average soil organic matter</t>
  </si>
  <si>
    <t xml:space="preserve">Agriculture average soil C (%) </t>
  </si>
  <si>
    <t>Average of Soil moisture (%)</t>
  </si>
  <si>
    <t>Average agriculture soil moisture (%)</t>
  </si>
  <si>
    <t>Average indigenous soil moisture (%)</t>
  </si>
  <si>
    <t>Sum of NH4+ (mg/L)</t>
  </si>
  <si>
    <t>Sum of NO3- (mg/L)</t>
  </si>
  <si>
    <t>Average of Soil N availability</t>
  </si>
  <si>
    <t>Average of agriculture soil N availability</t>
  </si>
  <si>
    <t>Average of Indigenous soil N availability</t>
  </si>
  <si>
    <t>Average of Soil P (mg g-1)</t>
  </si>
  <si>
    <t>Average of agriculture soil P (mg g-1)</t>
  </si>
  <si>
    <t>Average of Indigenous soil P (mg g-1)</t>
  </si>
  <si>
    <t>Average of Sand fraction (%)</t>
  </si>
  <si>
    <t>Average of Clay fraction) %)</t>
  </si>
  <si>
    <t>Average of Silt fraction (%)</t>
  </si>
  <si>
    <t>Agriculture sand %</t>
  </si>
  <si>
    <t>Agriculture silt %</t>
  </si>
  <si>
    <t>Agriculture clay %</t>
  </si>
  <si>
    <t>Indigenous sand %</t>
  </si>
  <si>
    <t>Indigenous clay %</t>
  </si>
  <si>
    <t>Indigenous silt %</t>
  </si>
  <si>
    <t>Average of eCEC (cmolc kg-1) 
= exch cat + exch acidity</t>
  </si>
  <si>
    <t>Average of 
exch acidity (cmolc kg-1) = NaOH/(Wmoist soil acidity/(SM/100+1)) × 10</t>
  </si>
  <si>
    <t>Average of exch cat (cmolc kg-1)</t>
  </si>
  <si>
    <t>Average agriculture eCEC (cmolc kg-1)</t>
  </si>
  <si>
    <t>Average indigenous eCEC (cmolc kg-1)</t>
  </si>
  <si>
    <t>Average Indigenous
exch acidity</t>
  </si>
  <si>
    <t>Average agriculture exch cat (cmolc kg-1)</t>
  </si>
  <si>
    <t>Average indigenous exch cat (cmolc kg-1)</t>
  </si>
  <si>
    <t>Average agriculture exch acidity</t>
  </si>
  <si>
    <t xml:space="preserve">exch cat (cmolc kg-1)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</si>
</sst>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000"/>
    <numFmt numFmtId="168" formatCode="0.00000"/>
    <numFmt numFmtId="169" formatCode="0.00000000000"/>
  </numFmts>
  <fonts count="33" x14ac:knownFonts="1">
    <font>
      <sz val="11"/>
      <color theme="1"/>
      <name val="Calibri"/>
      <family val="2"/>
      <scheme val="minor"/>
    </font>
    <font>
      <b/>
      <sz val="11"/>
      <color theme="1"/>
      <name val="Calibri"/>
      <family val="2"/>
      <scheme val="minor"/>
    </font>
    <font>
      <u/>
      <sz val="11"/>
      <color theme="1"/>
      <name val="Calibri"/>
      <family val="2"/>
      <scheme val="minor"/>
    </font>
    <font>
      <vertAlign val="superscript"/>
      <sz val="11"/>
      <color theme="1"/>
      <name val="Calibri"/>
      <family val="2"/>
      <scheme val="minor"/>
    </font>
    <font>
      <sz val="11"/>
      <color theme="1"/>
      <name val="Calibri"/>
      <family val="2"/>
    </font>
    <font>
      <sz val="10"/>
      <color rgb="FF000000"/>
      <name val="Helvetica Neue"/>
      <family val="2"/>
    </font>
    <font>
      <b/>
      <sz val="10"/>
      <color rgb="FF000000"/>
      <name val="Helvetica Neue"/>
      <family val="2"/>
    </font>
    <font>
      <b/>
      <sz val="11"/>
      <color rgb="FF000000"/>
      <name val="Calibri"/>
      <family val="2"/>
      <scheme val="minor"/>
    </font>
    <font>
      <sz val="11"/>
      <color rgb="FF000000"/>
      <name val="Calibri"/>
      <family val="2"/>
      <scheme val="minor"/>
    </font>
    <font>
      <vertAlign val="superscript"/>
      <sz val="11"/>
      <color rgb="FF000000"/>
      <name val="Calibri"/>
      <family val="2"/>
      <scheme val="minor"/>
    </font>
    <font>
      <sz val="11"/>
      <color theme="2" tint="-0.499984740745262"/>
      <name val="Calibri"/>
      <family val="2"/>
      <scheme val="minor"/>
    </font>
    <font>
      <b/>
      <sz val="11"/>
      <color theme="2" tint="-0.499984740745262"/>
      <name val="Calibri"/>
      <family val="2"/>
      <scheme val="minor"/>
    </font>
    <font>
      <u/>
      <sz val="11"/>
      <color theme="2" tint="-0.499984740745262"/>
      <name val="Calibri"/>
      <family val="2"/>
      <scheme val="minor"/>
    </font>
    <font>
      <b/>
      <sz val="11"/>
      <color rgb="FF000000"/>
      <name val="Avenir Book"/>
      <family val="2"/>
    </font>
    <font>
      <sz val="11"/>
      <color rgb="FF000000"/>
      <name val="Avenir Book"/>
      <family val="2"/>
    </font>
    <font>
      <vertAlign val="superscript"/>
      <sz val="11"/>
      <color rgb="FF000000"/>
      <name val="Avenir Book"/>
      <family val="2"/>
    </font>
    <font>
      <sz val="11"/>
      <color theme="1"/>
      <name val="Avenir Book"/>
      <family val="2"/>
    </font>
    <font>
      <b/>
      <sz val="11"/>
      <color theme="1"/>
      <name val="Avenir Book"/>
      <family val="2"/>
    </font>
    <font>
      <b/>
      <sz val="12"/>
      <color theme="1"/>
      <name val="Avenir Book"/>
      <family val="2"/>
    </font>
    <font>
      <sz val="12"/>
      <color theme="1"/>
      <name val="Avenir Book"/>
      <family val="2"/>
    </font>
    <font>
      <sz val="10"/>
      <color rgb="FF000000"/>
      <name val="Avenir Book"/>
      <family val="2"/>
    </font>
    <font>
      <b/>
      <sz val="10"/>
      <color rgb="FF000000"/>
      <name val="Avenir Book"/>
      <family val="2"/>
    </font>
    <font>
      <b/>
      <sz val="10"/>
      <color theme="1"/>
      <name val="Avenir Book"/>
      <family val="2"/>
    </font>
    <font>
      <sz val="10"/>
      <color theme="1"/>
      <name val="Avenir Book"/>
      <family val="2"/>
    </font>
    <font>
      <u/>
      <sz val="10"/>
      <color theme="1"/>
      <name val="Avenir Book"/>
      <family val="2"/>
    </font>
    <font>
      <vertAlign val="superscript"/>
      <sz val="11"/>
      <color theme="1"/>
      <name val="Avenir Book"/>
      <family val="2"/>
    </font>
    <font>
      <b/>
      <vertAlign val="superscript"/>
      <sz val="11"/>
      <color theme="1"/>
      <name val="Avenir Book"/>
      <family val="2"/>
    </font>
    <font>
      <b/>
      <vertAlign val="subscript"/>
      <sz val="11"/>
      <color theme="1"/>
      <name val="Avenir Book"/>
      <family val="2"/>
    </font>
    <font>
      <sz val="9"/>
      <color rgb="FF595959"/>
      <name val="Avenir Book"/>
      <family val="2"/>
    </font>
    <font>
      <b/>
      <vertAlign val="superscript"/>
      <sz val="11"/>
      <color rgb="FF000000"/>
      <name val="Avenir Book"/>
      <family val="2"/>
    </font>
    <font>
      <b/>
      <vertAlign val="subscript"/>
      <sz val="11"/>
      <color rgb="FF000000"/>
      <name val="Avenir Book"/>
      <family val="2"/>
    </font>
    <font>
      <sz val="11"/>
      <color rgb="FFC00000"/>
      <name val="Avenir Book"/>
      <family val="2"/>
    </font>
    <font>
      <sz val="10"/>
      <color rgb="FF000000"/>
      <name val="Calibri"/>
      <family val="2"/>
      <scheme val="minor"/>
    </font>
  </fonts>
  <fills count="2">
    <fill>
      <patternFill patternType="none"/>
    </fill>
    <fill>
      <patternFill patternType="gray125"/>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1">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2" xfId="0" applyBorder="1"/>
    <xf numFmtId="2" fontId="0" fillId="0" borderId="0" xfId="0" applyNumberFormat="1"/>
    <xf numFmtId="0" fontId="0" fillId="0" borderId="3" xfId="0" applyBorder="1"/>
    <xf numFmtId="0" fontId="0" fillId="0" borderId="4" xfId="0" applyBorder="1"/>
    <xf numFmtId="0" fontId="0" fillId="0" borderId="5" xfId="0" applyBorder="1"/>
    <xf numFmtId="165" fontId="0" fillId="0" borderId="0" xfId="0" applyNumberFormat="1"/>
    <xf numFmtId="165" fontId="0" fillId="0" borderId="2" xfId="0" applyNumberFormat="1" applyBorder="1"/>
    <xf numFmtId="165" fontId="0" fillId="0" borderId="4" xfId="0" applyNumberFormat="1" applyBorder="1"/>
    <xf numFmtId="0" fontId="0" fillId="0" borderId="6" xfId="0" applyBorder="1"/>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10" xfId="0" applyFont="1" applyBorder="1" applyAlignment="1">
      <alignment wrapText="1"/>
    </xf>
    <xf numFmtId="2" fontId="0" fillId="0" borderId="4" xfId="0" applyNumberFormat="1" applyBorder="1"/>
    <xf numFmtId="2" fontId="0" fillId="0" borderId="5" xfId="0" applyNumberFormat="1" applyBorder="1"/>
    <xf numFmtId="165" fontId="0" fillId="0" borderId="4" xfId="0" applyNumberFormat="1" applyBorder="1" applyAlignment="1">
      <alignment horizontal="right"/>
    </xf>
    <xf numFmtId="165" fontId="0" fillId="0" borderId="5" xfId="0" applyNumberFormat="1" applyBorder="1" applyAlignment="1">
      <alignment horizontal="right"/>
    </xf>
    <xf numFmtId="165" fontId="0" fillId="0" borderId="2" xfId="0" applyNumberFormat="1" applyBorder="1" applyAlignment="1">
      <alignment horizontal="right"/>
    </xf>
    <xf numFmtId="2" fontId="0" fillId="0" borderId="4" xfId="0" applyNumberFormat="1" applyBorder="1" applyAlignment="1">
      <alignment horizontal="right"/>
    </xf>
    <xf numFmtId="2" fontId="0" fillId="0" borderId="5" xfId="0" applyNumberFormat="1" applyBorder="1" applyAlignment="1">
      <alignment horizontal="right"/>
    </xf>
    <xf numFmtId="0" fontId="1" fillId="0" borderId="0" xfId="0" applyFont="1" applyAlignment="1">
      <alignment wrapText="1"/>
    </xf>
    <xf numFmtId="1" fontId="0" fillId="0" borderId="0" xfId="0" applyNumberFormat="1"/>
    <xf numFmtId="165" fontId="0" fillId="0" borderId="0" xfId="0" applyNumberFormat="1" applyAlignment="1">
      <alignment horizontal="right"/>
    </xf>
    <xf numFmtId="2" fontId="0" fillId="0" borderId="0" xfId="0" applyNumberFormat="1" applyAlignment="1">
      <alignment horizontal="right"/>
    </xf>
    <xf numFmtId="0" fontId="0" fillId="0" borderId="13" xfId="0" applyBorder="1"/>
    <xf numFmtId="0" fontId="1" fillId="0" borderId="14" xfId="0" applyFont="1" applyBorder="1" applyAlignment="1">
      <alignment wrapText="1"/>
    </xf>
    <xf numFmtId="165" fontId="0" fillId="0" borderId="14" xfId="0" applyNumberFormat="1" applyBorder="1" applyAlignment="1">
      <alignment horizontal="right"/>
    </xf>
    <xf numFmtId="165" fontId="0" fillId="0" borderId="10" xfId="0" applyNumberFormat="1" applyBorder="1" applyAlignment="1">
      <alignment horizontal="right"/>
    </xf>
    <xf numFmtId="2" fontId="0" fillId="0" borderId="14" xfId="0" applyNumberFormat="1" applyBorder="1" applyAlignment="1">
      <alignment horizontal="right"/>
    </xf>
    <xf numFmtId="2" fontId="0" fillId="0" borderId="10" xfId="0" applyNumberFormat="1" applyBorder="1" applyAlignment="1">
      <alignment horizontal="right"/>
    </xf>
    <xf numFmtId="165" fontId="0" fillId="0" borderId="14" xfId="0" applyNumberFormat="1" applyBorder="1"/>
    <xf numFmtId="165" fontId="0" fillId="0" borderId="10" xfId="0" applyNumberFormat="1" applyBorder="1"/>
    <xf numFmtId="2" fontId="0" fillId="0" borderId="2" xfId="0" applyNumberFormat="1" applyBorder="1" applyAlignment="1">
      <alignment horizontal="right"/>
    </xf>
    <xf numFmtId="0" fontId="2" fillId="0" borderId="1" xfId="0" applyFont="1" applyBorder="1"/>
    <xf numFmtId="0" fontId="1" fillId="0" borderId="1" xfId="0" applyFont="1" applyBorder="1" applyAlignment="1">
      <alignment wrapText="1"/>
    </xf>
    <xf numFmtId="0" fontId="1" fillId="0" borderId="2" xfId="0" applyFont="1" applyBorder="1" applyAlignment="1">
      <alignment wrapText="1"/>
    </xf>
    <xf numFmtId="0" fontId="0" fillId="0" borderId="13" xfId="0" applyBorder="1" applyAlignment="1">
      <alignment wrapText="1"/>
    </xf>
    <xf numFmtId="1" fontId="0" fillId="0" borderId="14" xfId="0" applyNumberFormat="1" applyBorder="1" applyAlignment="1">
      <alignment horizontal="right"/>
    </xf>
    <xf numFmtId="1" fontId="0" fillId="0" borderId="10" xfId="0" applyNumberFormat="1" applyBorder="1" applyAlignment="1">
      <alignment horizontal="right"/>
    </xf>
    <xf numFmtId="1" fontId="0" fillId="0" borderId="0" xfId="0" applyNumberFormat="1" applyAlignment="1">
      <alignment horizontal="right"/>
    </xf>
    <xf numFmtId="1" fontId="0" fillId="0" borderId="2" xfId="0" applyNumberFormat="1" applyBorder="1" applyAlignment="1">
      <alignment horizontal="right"/>
    </xf>
    <xf numFmtId="1" fontId="0" fillId="0" borderId="4" xfId="0" applyNumberFormat="1" applyBorder="1" applyAlignment="1">
      <alignment horizontal="right"/>
    </xf>
    <xf numFmtId="1" fontId="0" fillId="0" borderId="5" xfId="0" applyNumberFormat="1" applyBorder="1" applyAlignment="1">
      <alignment horizontal="right"/>
    </xf>
    <xf numFmtId="2" fontId="0" fillId="0" borderId="9" xfId="0" applyNumberFormat="1" applyBorder="1"/>
    <xf numFmtId="2" fontId="0" fillId="0" borderId="3" xfId="0" applyNumberFormat="1" applyBorder="1"/>
    <xf numFmtId="2" fontId="0" fillId="0" borderId="10" xfId="0" applyNumberFormat="1" applyBorder="1"/>
    <xf numFmtId="165" fontId="0" fillId="0" borderId="5" xfId="0" applyNumberFormat="1" applyBorder="1"/>
    <xf numFmtId="165" fontId="0" fillId="0" borderId="9" xfId="0" applyNumberFormat="1" applyBorder="1"/>
    <xf numFmtId="165" fontId="0" fillId="0" borderId="1" xfId="0" applyNumberFormat="1" applyBorder="1"/>
    <xf numFmtId="2" fontId="0" fillId="0" borderId="1" xfId="0" applyNumberFormat="1" applyBorder="1"/>
    <xf numFmtId="165" fontId="0" fillId="0" borderId="3" xfId="0" applyNumberFormat="1" applyBorder="1"/>
    <xf numFmtId="2" fontId="0" fillId="0" borderId="2" xfId="0" applyNumberFormat="1" applyBorder="1"/>
    <xf numFmtId="0" fontId="1" fillId="0" borderId="9" xfId="0" applyFont="1" applyBorder="1"/>
    <xf numFmtId="0" fontId="1" fillId="0" borderId="10" xfId="0" applyFont="1" applyBorder="1"/>
    <xf numFmtId="0" fontId="1" fillId="0" borderId="9" xfId="0" applyFont="1" applyBorder="1" applyAlignment="1">
      <alignment wrapText="1"/>
    </xf>
    <xf numFmtId="0" fontId="0" fillId="0" borderId="7" xfId="0" applyBorder="1" applyAlignment="1">
      <alignment wrapText="1"/>
    </xf>
    <xf numFmtId="0" fontId="6" fillId="0" borderId="1" xfId="0" applyFont="1" applyBorder="1"/>
    <xf numFmtId="0" fontId="6" fillId="0" borderId="3" xfId="0" applyFont="1" applyBorder="1"/>
    <xf numFmtId="0" fontId="6" fillId="0" borderId="15" xfId="0" applyFont="1" applyBorder="1"/>
    <xf numFmtId="0" fontId="6" fillId="0" borderId="8" xfId="0" applyFont="1" applyBorder="1"/>
    <xf numFmtId="0" fontId="8" fillId="0" borderId="1" xfId="0" applyFont="1" applyBorder="1"/>
    <xf numFmtId="0" fontId="8" fillId="0" borderId="3" xfId="0" applyFont="1" applyBorder="1"/>
    <xf numFmtId="0" fontId="7" fillId="0" borderId="0" xfId="0" applyFont="1" applyAlignment="1">
      <alignment wrapText="1"/>
    </xf>
    <xf numFmtId="0" fontId="8" fillId="0" borderId="0" xfId="0" applyFont="1"/>
    <xf numFmtId="165" fontId="8" fillId="0" borderId="0" xfId="0" applyNumberFormat="1" applyFont="1" applyAlignment="1">
      <alignment horizontal="right"/>
    </xf>
    <xf numFmtId="0" fontId="10" fillId="0" borderId="0" xfId="0" applyFont="1"/>
    <xf numFmtId="0" fontId="11" fillId="0" borderId="0" xfId="0" applyFont="1" applyAlignment="1">
      <alignment wrapText="1"/>
    </xf>
    <xf numFmtId="0" fontId="12" fillId="0" borderId="0" xfId="0" applyFont="1"/>
    <xf numFmtId="165" fontId="10" fillId="0" borderId="0" xfId="0" applyNumberFormat="1" applyFont="1"/>
    <xf numFmtId="165" fontId="10" fillId="0" borderId="0" xfId="0" applyNumberFormat="1" applyFont="1" applyAlignment="1">
      <alignment horizontal="right"/>
    </xf>
    <xf numFmtId="0" fontId="11" fillId="0" borderId="0" xfId="0" applyFont="1"/>
    <xf numFmtId="0" fontId="8" fillId="0" borderId="0" xfId="0" applyFont="1" applyAlignment="1">
      <alignment horizontal="left" vertical="top"/>
    </xf>
    <xf numFmtId="0" fontId="8" fillId="0" borderId="0" xfId="0" applyFont="1" applyAlignment="1">
      <alignment vertical="center"/>
    </xf>
    <xf numFmtId="0" fontId="10" fillId="0" borderId="0" xfId="0" applyFont="1" applyAlignment="1">
      <alignment vertical="center"/>
    </xf>
    <xf numFmtId="0" fontId="10" fillId="0" borderId="1" xfId="0" applyFont="1" applyBorder="1" applyAlignment="1">
      <alignment vertical="center"/>
    </xf>
    <xf numFmtId="0" fontId="10" fillId="0" borderId="3" xfId="0" applyFont="1" applyBorder="1" applyAlignment="1">
      <alignment vertical="center"/>
    </xf>
    <xf numFmtId="0" fontId="1" fillId="0" borderId="8"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2" fontId="0" fillId="0" borderId="0" xfId="0" applyNumberFormat="1" applyAlignment="1">
      <alignment vertical="center"/>
    </xf>
    <xf numFmtId="2" fontId="0" fillId="0" borderId="2"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2" fontId="5" fillId="0" borderId="0" xfId="0" applyNumberFormat="1" applyFont="1"/>
    <xf numFmtId="2" fontId="5" fillId="0" borderId="4" xfId="0" applyNumberFormat="1" applyFont="1" applyBorder="1"/>
    <xf numFmtId="0" fontId="6" fillId="0" borderId="6" xfId="0" applyFont="1" applyBorder="1"/>
    <xf numFmtId="166" fontId="0" fillId="0" borderId="0" xfId="0" quotePrefix="1" applyNumberFormat="1"/>
    <xf numFmtId="0" fontId="0" fillId="0" borderId="0" xfId="0" applyAlignment="1">
      <alignment horizontal="left" wrapText="1"/>
    </xf>
    <xf numFmtId="0" fontId="1" fillId="0" borderId="0" xfId="0" applyFont="1" applyAlignment="1">
      <alignment horizontal="left" wrapText="1"/>
    </xf>
    <xf numFmtId="168" fontId="0" fillId="0" borderId="0" xfId="0" applyNumberFormat="1"/>
    <xf numFmtId="0" fontId="4" fillId="0" borderId="8" xfId="0" applyFont="1" applyBorder="1" applyAlignment="1">
      <alignment wrapText="1"/>
    </xf>
    <xf numFmtId="0" fontId="4" fillId="0" borderId="0" xfId="0" applyFont="1" applyAlignment="1">
      <alignment wrapText="1"/>
    </xf>
    <xf numFmtId="0" fontId="0" fillId="0" borderId="15" xfId="0" applyBorder="1"/>
    <xf numFmtId="0" fontId="0" fillId="0" borderId="8" xfId="0" applyBorder="1"/>
    <xf numFmtId="0" fontId="0" fillId="0" borderId="8" xfId="0" applyBorder="1" applyAlignment="1">
      <alignment horizontal="left" wrapText="1"/>
    </xf>
    <xf numFmtId="0" fontId="0" fillId="0" borderId="8" xfId="0" applyBorder="1" applyAlignment="1">
      <alignment wrapText="1"/>
    </xf>
    <xf numFmtId="0" fontId="0" fillId="0" borderId="6" xfId="0" applyBorder="1" applyAlignment="1">
      <alignment wrapText="1"/>
    </xf>
    <xf numFmtId="0" fontId="4" fillId="0" borderId="7" xfId="0" applyFont="1" applyBorder="1" applyAlignment="1">
      <alignment wrapText="1"/>
    </xf>
    <xf numFmtId="0" fontId="13" fillId="0" borderId="0" xfId="0" applyFont="1"/>
    <xf numFmtId="0" fontId="14" fillId="0" borderId="0" xfId="0" applyFont="1"/>
    <xf numFmtId="0" fontId="16" fillId="0" borderId="0" xfId="0" applyFont="1"/>
    <xf numFmtId="0" fontId="20" fillId="0" borderId="6" xfId="0" applyFont="1" applyBorder="1" applyAlignment="1">
      <alignment horizontal="left" vertical="top" wrapText="1"/>
    </xf>
    <xf numFmtId="0" fontId="21" fillId="0" borderId="6" xfId="0" applyFont="1" applyBorder="1" applyAlignment="1">
      <alignment horizontal="left" vertical="top" wrapText="1"/>
    </xf>
    <xf numFmtId="0" fontId="21" fillId="0" borderId="7" xfId="0" applyFont="1" applyBorder="1" applyAlignment="1">
      <alignment horizontal="left" vertical="top" wrapText="1"/>
    </xf>
    <xf numFmtId="0" fontId="21" fillId="0" borderId="8" xfId="0" applyFont="1" applyBorder="1" applyAlignment="1">
      <alignment horizontal="left" vertical="top" wrapText="1"/>
    </xf>
    <xf numFmtId="0" fontId="21" fillId="0" borderId="15" xfId="0" applyFont="1" applyBorder="1" applyAlignment="1">
      <alignment horizontal="left" vertical="top" wrapText="1"/>
    </xf>
    <xf numFmtId="0" fontId="20" fillId="0" borderId="1" xfId="0" applyFont="1" applyBorder="1" applyAlignment="1">
      <alignment horizontal="left" vertical="top"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166" fontId="20" fillId="0" borderId="1" xfId="0" applyNumberFormat="1" applyFont="1" applyBorder="1" applyAlignment="1">
      <alignment horizontal="right" vertical="top"/>
    </xf>
    <xf numFmtId="166" fontId="23" fillId="0" borderId="2" xfId="0" applyNumberFormat="1" applyFont="1" applyBorder="1" applyAlignment="1">
      <alignment horizontal="right" vertical="top"/>
    </xf>
    <xf numFmtId="166" fontId="20" fillId="0" borderId="0" xfId="0" applyNumberFormat="1" applyFont="1" applyAlignment="1">
      <alignment horizontal="right" vertical="top"/>
    </xf>
    <xf numFmtId="166" fontId="23" fillId="0" borderId="0" xfId="0" applyNumberFormat="1" applyFont="1" applyAlignment="1">
      <alignment horizontal="right" vertical="top"/>
    </xf>
    <xf numFmtId="166" fontId="20" fillId="0" borderId="3" xfId="0" applyNumberFormat="1" applyFont="1" applyBorder="1" applyAlignment="1">
      <alignment horizontal="right" vertical="top"/>
    </xf>
    <xf numFmtId="166" fontId="23" fillId="0" borderId="5" xfId="0" applyNumberFormat="1" applyFont="1" applyBorder="1" applyAlignment="1">
      <alignment horizontal="right" vertical="top"/>
    </xf>
    <xf numFmtId="0" fontId="20" fillId="0" borderId="15" xfId="0" applyFont="1" applyBorder="1" applyAlignment="1">
      <alignment horizontal="left" vertical="top" wrapText="1"/>
    </xf>
    <xf numFmtId="0" fontId="20" fillId="0" borderId="11" xfId="0" applyFont="1" applyBorder="1" applyAlignment="1">
      <alignment horizontal="left" vertical="top" wrapText="1"/>
    </xf>
    <xf numFmtId="0" fontId="1" fillId="0" borderId="6" xfId="0" applyFont="1" applyBorder="1" applyAlignment="1">
      <alignment vertical="center" wrapText="1"/>
    </xf>
    <xf numFmtId="2" fontId="0" fillId="0" borderId="1" xfId="0" applyNumberFormat="1" applyBorder="1" applyAlignment="1">
      <alignment vertical="center"/>
    </xf>
    <xf numFmtId="2" fontId="0" fillId="0" borderId="3" xfId="0" applyNumberFormat="1" applyBorder="1" applyAlignment="1">
      <alignment vertical="center"/>
    </xf>
    <xf numFmtId="2" fontId="5" fillId="0" borderId="11" xfId="0" applyNumberFormat="1" applyFont="1" applyBorder="1"/>
    <xf numFmtId="2" fontId="5" fillId="0" borderId="12" xfId="0" applyNumberFormat="1" applyFont="1" applyBorder="1"/>
    <xf numFmtId="0" fontId="16" fillId="0" borderId="15" xfId="0" applyFont="1" applyBorder="1"/>
    <xf numFmtId="0" fontId="17" fillId="0" borderId="6" xfId="0" applyFont="1" applyBorder="1" applyAlignment="1">
      <alignment wrapText="1"/>
    </xf>
    <xf numFmtId="0" fontId="17" fillId="0" borderId="7" xfId="0" applyFont="1" applyBorder="1" applyAlignment="1">
      <alignment wrapText="1"/>
    </xf>
    <xf numFmtId="0" fontId="17" fillId="0" borderId="8" xfId="0" applyFont="1" applyBorder="1" applyAlignment="1">
      <alignment wrapText="1"/>
    </xf>
    <xf numFmtId="0" fontId="16" fillId="0" borderId="11" xfId="0" applyFont="1" applyBorder="1"/>
    <xf numFmtId="0" fontId="16" fillId="0" borderId="2" xfId="0" applyFont="1" applyBorder="1"/>
    <xf numFmtId="0" fontId="16" fillId="0" borderId="12" xfId="0" applyFont="1" applyBorder="1"/>
    <xf numFmtId="0" fontId="16" fillId="0" borderId="5" xfId="0" applyFont="1" applyBorder="1"/>
    <xf numFmtId="0" fontId="23" fillId="0" borderId="15" xfId="0" applyFont="1" applyBorder="1"/>
    <xf numFmtId="0" fontId="22" fillId="0" borderId="6" xfId="0" applyFont="1" applyBorder="1" applyAlignment="1">
      <alignment wrapText="1"/>
    </xf>
    <xf numFmtId="0" fontId="22" fillId="0" borderId="7" xfId="0" applyFont="1" applyBorder="1" applyAlignment="1">
      <alignment wrapText="1"/>
    </xf>
    <xf numFmtId="0" fontId="22" fillId="0" borderId="8" xfId="0" applyFont="1" applyBorder="1" applyAlignment="1">
      <alignment horizontal="left" wrapText="1"/>
    </xf>
    <xf numFmtId="0" fontId="23" fillId="0" borderId="8" xfId="0" applyFont="1" applyBorder="1" applyAlignment="1">
      <alignment horizontal="left" wrapText="1"/>
    </xf>
    <xf numFmtId="0" fontId="22" fillId="0" borderId="6" xfId="0" applyFont="1" applyBorder="1" applyAlignment="1">
      <alignment horizontal="left" wrapText="1"/>
    </xf>
    <xf numFmtId="0" fontId="22" fillId="0" borderId="7" xfId="0" applyFont="1" applyBorder="1" applyAlignment="1">
      <alignment horizontal="left" wrapText="1"/>
    </xf>
    <xf numFmtId="0" fontId="23" fillId="0" borderId="7" xfId="0" applyFont="1" applyBorder="1" applyAlignment="1">
      <alignment horizontal="left" wrapText="1"/>
    </xf>
    <xf numFmtId="0" fontId="24" fillId="0" borderId="15" xfId="0" applyFont="1" applyBorder="1"/>
    <xf numFmtId="0" fontId="22" fillId="0" borderId="8" xfId="0" applyFont="1" applyBorder="1" applyAlignment="1">
      <alignment wrapText="1"/>
    </xf>
    <xf numFmtId="0" fontId="23" fillId="0" borderId="11" xfId="0" applyFont="1" applyBorder="1"/>
    <xf numFmtId="165" fontId="23" fillId="0" borderId="1" xfId="0" applyNumberFormat="1" applyFont="1" applyBorder="1"/>
    <xf numFmtId="0" fontId="23" fillId="0" borderId="2" xfId="0" applyFont="1" applyBorder="1"/>
    <xf numFmtId="0" fontId="23" fillId="0" borderId="12" xfId="0" applyFont="1" applyBorder="1"/>
    <xf numFmtId="165" fontId="23" fillId="0" borderId="3" xfId="0" applyNumberFormat="1" applyFont="1" applyBorder="1"/>
    <xf numFmtId="0" fontId="23" fillId="0" borderId="5" xfId="0" applyFont="1" applyBorder="1"/>
    <xf numFmtId="0" fontId="17" fillId="0" borderId="0" xfId="0" applyFont="1"/>
    <xf numFmtId="0" fontId="16" fillId="0" borderId="0" xfId="0" applyFont="1" applyAlignment="1">
      <alignment wrapText="1"/>
    </xf>
    <xf numFmtId="0" fontId="17" fillId="0" borderId="15" xfId="0" applyFont="1" applyBorder="1"/>
    <xf numFmtId="0" fontId="17" fillId="0" borderId="8" xfId="0" applyFont="1" applyBorder="1"/>
    <xf numFmtId="164" fontId="17" fillId="0" borderId="8" xfId="0" applyNumberFormat="1" applyFont="1" applyBorder="1" applyAlignment="1">
      <alignment wrapText="1"/>
    </xf>
    <xf numFmtId="0" fontId="17" fillId="0" borderId="7" xfId="0" applyFont="1" applyBorder="1"/>
    <xf numFmtId="0" fontId="17" fillId="0" borderId="0" xfId="0" applyFont="1" applyAlignment="1">
      <alignment wrapText="1"/>
    </xf>
    <xf numFmtId="164" fontId="16" fillId="0" borderId="0" xfId="0" applyNumberFormat="1" applyFont="1"/>
    <xf numFmtId="2" fontId="16" fillId="0" borderId="0" xfId="0" applyNumberFormat="1" applyFont="1"/>
    <xf numFmtId="165" fontId="16" fillId="0" borderId="0" xfId="0" applyNumberFormat="1" applyFont="1"/>
    <xf numFmtId="0" fontId="16" fillId="0" borderId="0" xfId="0" quotePrefix="1" applyFont="1"/>
    <xf numFmtId="164" fontId="16" fillId="0" borderId="0" xfId="0" quotePrefix="1" applyNumberFormat="1" applyFont="1"/>
    <xf numFmtId="0" fontId="16" fillId="0" borderId="4" xfId="0" applyFont="1" applyBorder="1"/>
    <xf numFmtId="0" fontId="16" fillId="0" borderId="4" xfId="0" quotePrefix="1" applyFont="1" applyBorder="1"/>
    <xf numFmtId="164" fontId="16" fillId="0" borderId="4" xfId="0" applyNumberFormat="1" applyFont="1" applyBorder="1"/>
    <xf numFmtId="0" fontId="17" fillId="0" borderId="14" xfId="0" applyFont="1" applyBorder="1" applyAlignment="1">
      <alignment wrapText="1"/>
    </xf>
    <xf numFmtId="0" fontId="17" fillId="0" borderId="10" xfId="0" applyFont="1" applyBorder="1" applyAlignment="1">
      <alignment wrapText="1"/>
    </xf>
    <xf numFmtId="0" fontId="16" fillId="0" borderId="13" xfId="0" applyFont="1" applyBorder="1"/>
    <xf numFmtId="0" fontId="16" fillId="0" borderId="14" xfId="0" applyFont="1" applyBorder="1"/>
    <xf numFmtId="2" fontId="16" fillId="0" borderId="0" xfId="0" quotePrefix="1" applyNumberFormat="1" applyFont="1"/>
    <xf numFmtId="0" fontId="16" fillId="0" borderId="1" xfId="0" applyFont="1" applyBorder="1"/>
    <xf numFmtId="0" fontId="16" fillId="0" borderId="3" xfId="0" applyFont="1" applyBorder="1"/>
    <xf numFmtId="0" fontId="17" fillId="0" borderId="13" xfId="0" applyFont="1" applyBorder="1" applyAlignment="1">
      <alignment wrapText="1"/>
    </xf>
    <xf numFmtId="0" fontId="16" fillId="0" borderId="6" xfId="0" applyFont="1" applyBorder="1"/>
    <xf numFmtId="2" fontId="16" fillId="0" borderId="13" xfId="0" applyNumberFormat="1" applyFont="1" applyBorder="1"/>
    <xf numFmtId="165" fontId="16" fillId="0" borderId="10" xfId="0" applyNumberFormat="1" applyFont="1" applyBorder="1"/>
    <xf numFmtId="1" fontId="16" fillId="0" borderId="0" xfId="0" applyNumberFormat="1" applyFont="1"/>
    <xf numFmtId="2" fontId="16" fillId="0" borderId="11" xfId="0" applyNumberFormat="1" applyFont="1" applyBorder="1"/>
    <xf numFmtId="165" fontId="16" fillId="0" borderId="2" xfId="0" applyNumberFormat="1" applyFont="1" applyBorder="1"/>
    <xf numFmtId="2" fontId="16" fillId="0" borderId="12" xfId="0" applyNumberFormat="1" applyFont="1" applyBorder="1"/>
    <xf numFmtId="165" fontId="16" fillId="0" borderId="5" xfId="0" applyNumberFormat="1" applyFont="1" applyBorder="1"/>
    <xf numFmtId="2" fontId="16" fillId="0" borderId="1" xfId="0" applyNumberFormat="1" applyFont="1" applyBorder="1"/>
    <xf numFmtId="2" fontId="16" fillId="0" borderId="3" xfId="0" applyNumberFormat="1" applyFont="1" applyBorder="1"/>
    <xf numFmtId="0" fontId="17" fillId="0" borderId="15" xfId="0" applyFont="1" applyBorder="1" applyAlignment="1">
      <alignment wrapText="1"/>
    </xf>
    <xf numFmtId="0" fontId="18" fillId="0" borderId="8" xfId="0" applyFont="1" applyBorder="1" applyAlignment="1">
      <alignment wrapText="1"/>
    </xf>
    <xf numFmtId="164" fontId="16" fillId="0" borderId="11" xfId="0" applyNumberFormat="1" applyFont="1" applyBorder="1"/>
    <xf numFmtId="164" fontId="16" fillId="0" borderId="2" xfId="0" applyNumberFormat="1" applyFont="1" applyBorder="1"/>
    <xf numFmtId="0" fontId="28" fillId="0" borderId="0" xfId="0" applyFont="1" applyAlignment="1">
      <alignment horizontal="center" vertical="center" readingOrder="1"/>
    </xf>
    <xf numFmtId="164" fontId="16" fillId="0" borderId="12" xfId="0" applyNumberFormat="1" applyFont="1" applyBorder="1"/>
    <xf numFmtId="164" fontId="16" fillId="0" borderId="5" xfId="0" applyNumberFormat="1" applyFont="1" applyBorder="1"/>
    <xf numFmtId="0" fontId="17" fillId="0" borderId="9" xfId="0" applyFont="1" applyBorder="1" applyAlignment="1">
      <alignment wrapText="1"/>
    </xf>
    <xf numFmtId="2" fontId="16" fillId="0" borderId="9" xfId="0" applyNumberFormat="1" applyFont="1" applyBorder="1"/>
    <xf numFmtId="164" fontId="16" fillId="0" borderId="14" xfId="0" applyNumberFormat="1" applyFont="1" applyBorder="1"/>
    <xf numFmtId="164" fontId="16" fillId="0" borderId="10" xfId="0" applyNumberFormat="1" applyFont="1" applyBorder="1"/>
    <xf numFmtId="0" fontId="17" fillId="0" borderId="6" xfId="0" applyFont="1" applyBorder="1"/>
    <xf numFmtId="167" fontId="16" fillId="0" borderId="0" xfId="0" applyNumberFormat="1" applyFont="1"/>
    <xf numFmtId="168" fontId="16" fillId="0" borderId="0" xfId="0" applyNumberFormat="1" applyFont="1"/>
    <xf numFmtId="0" fontId="16" fillId="0" borderId="1" xfId="0" quotePrefix="1" applyFont="1" applyBorder="1"/>
    <xf numFmtId="165" fontId="16" fillId="0" borderId="4" xfId="0" applyNumberFormat="1" applyFont="1" applyBorder="1"/>
    <xf numFmtId="167" fontId="16" fillId="0" borderId="4" xfId="0" applyNumberFormat="1" applyFont="1" applyBorder="1"/>
    <xf numFmtId="168" fontId="16" fillId="0" borderId="4" xfId="0" applyNumberFormat="1" applyFont="1" applyBorder="1"/>
    <xf numFmtId="0" fontId="16" fillId="0" borderId="11" xfId="0" applyFont="1" applyBorder="1" applyAlignment="1">
      <alignment wrapText="1"/>
    </xf>
    <xf numFmtId="0" fontId="16" fillId="0" borderId="1" xfId="0" applyFont="1" applyBorder="1" applyAlignment="1">
      <alignment wrapText="1"/>
    </xf>
    <xf numFmtId="0" fontId="16" fillId="0" borderId="12" xfId="0" applyFont="1" applyBorder="1" applyAlignment="1">
      <alignment wrapText="1"/>
    </xf>
    <xf numFmtId="0" fontId="16" fillId="0" borderId="3" xfId="0" applyFont="1" applyBorder="1" applyAlignment="1">
      <alignment wrapText="1"/>
    </xf>
    <xf numFmtId="0" fontId="16" fillId="0" borderId="4" xfId="0" applyFont="1" applyBorder="1" applyAlignment="1">
      <alignment wrapText="1"/>
    </xf>
    <xf numFmtId="0" fontId="16" fillId="0" borderId="2" xfId="0" quotePrefix="1" applyFont="1" applyBorder="1"/>
    <xf numFmtId="0" fontId="16" fillId="0" borderId="5" xfId="0" quotePrefix="1" applyFont="1" applyBorder="1"/>
    <xf numFmtId="0" fontId="16" fillId="0" borderId="0" xfId="0" applyFont="1" applyAlignment="1">
      <alignment vertical="top" wrapText="1"/>
    </xf>
    <xf numFmtId="0" fontId="19" fillId="0" borderId="0" xfId="0" applyFont="1" applyAlignment="1">
      <alignment wrapText="1"/>
    </xf>
    <xf numFmtId="0" fontId="17" fillId="0" borderId="10" xfId="0" applyFont="1" applyBorder="1" applyAlignment="1">
      <alignment horizontal="left" wrapText="1"/>
    </xf>
    <xf numFmtId="0" fontId="16" fillId="0" borderId="13" xfId="0" applyFont="1" applyBorder="1" applyAlignment="1">
      <alignment wrapText="1"/>
    </xf>
    <xf numFmtId="0" fontId="16" fillId="0" borderId="14" xfId="0" applyFont="1" applyBorder="1" applyAlignment="1">
      <alignment wrapText="1"/>
    </xf>
    <xf numFmtId="0" fontId="16" fillId="0" borderId="0" xfId="0" quotePrefix="1" applyFont="1" applyAlignment="1">
      <alignment wrapText="1"/>
    </xf>
    <xf numFmtId="0" fontId="16" fillId="0" borderId="4" xfId="0" quotePrefix="1" applyFont="1" applyBorder="1" applyAlignment="1">
      <alignment wrapText="1"/>
    </xf>
    <xf numFmtId="0" fontId="16" fillId="0" borderId="2" xfId="0" applyFont="1" applyBorder="1" applyAlignment="1">
      <alignment wrapText="1"/>
    </xf>
    <xf numFmtId="0" fontId="16" fillId="0" borderId="2" xfId="0" quotePrefix="1" applyFont="1" applyBorder="1" applyAlignment="1">
      <alignment wrapText="1"/>
    </xf>
    <xf numFmtId="0" fontId="16" fillId="0" borderId="5" xfId="0" quotePrefix="1" applyFont="1" applyBorder="1" applyAlignment="1">
      <alignment wrapText="1"/>
    </xf>
    <xf numFmtId="164" fontId="17" fillId="0" borderId="15" xfId="0" applyNumberFormat="1" applyFont="1" applyBorder="1" applyAlignment="1">
      <alignment wrapText="1"/>
    </xf>
    <xf numFmtId="164" fontId="17" fillId="0" borderId="7" xfId="0" applyNumberFormat="1" applyFont="1" applyBorder="1" applyAlignment="1">
      <alignment wrapText="1"/>
    </xf>
    <xf numFmtId="164" fontId="18" fillId="0" borderId="8" xfId="0" applyNumberFormat="1" applyFont="1" applyBorder="1" applyAlignment="1">
      <alignment wrapText="1"/>
    </xf>
    <xf numFmtId="164" fontId="17" fillId="0" borderId="8" xfId="0" applyNumberFormat="1" applyFont="1" applyBorder="1"/>
    <xf numFmtId="164" fontId="16" fillId="0" borderId="1" xfId="0" applyNumberFormat="1" applyFont="1" applyBorder="1"/>
    <xf numFmtId="164" fontId="16" fillId="0" borderId="3" xfId="0" applyNumberFormat="1" applyFont="1" applyBorder="1"/>
    <xf numFmtId="164" fontId="16" fillId="0" borderId="1" xfId="0" applyNumberFormat="1" applyFont="1" applyBorder="1" applyAlignment="1">
      <alignment wrapText="1"/>
    </xf>
    <xf numFmtId="164" fontId="16" fillId="0" borderId="0" xfId="0" applyNumberFormat="1" applyFont="1" applyAlignment="1">
      <alignment wrapText="1"/>
    </xf>
    <xf numFmtId="164" fontId="16" fillId="0" borderId="2" xfId="0" applyNumberFormat="1" applyFont="1" applyBorder="1" applyAlignment="1">
      <alignment wrapText="1"/>
    </xf>
    <xf numFmtId="164" fontId="16" fillId="0" borderId="3" xfId="0" applyNumberFormat="1" applyFont="1" applyBorder="1" applyAlignment="1">
      <alignment wrapText="1"/>
    </xf>
    <xf numFmtId="164" fontId="16" fillId="0" borderId="4" xfId="0" applyNumberFormat="1" applyFont="1" applyBorder="1" applyAlignment="1">
      <alignment wrapText="1"/>
    </xf>
    <xf numFmtId="164" fontId="16" fillId="0" borderId="5" xfId="0" applyNumberFormat="1" applyFont="1" applyBorder="1" applyAlignment="1">
      <alignment wrapText="1"/>
    </xf>
    <xf numFmtId="164" fontId="16" fillId="0" borderId="13" xfId="0" applyNumberFormat="1" applyFont="1" applyBorder="1" applyAlignment="1">
      <alignment wrapText="1"/>
    </xf>
    <xf numFmtId="164" fontId="16" fillId="0" borderId="10" xfId="0" applyNumberFormat="1" applyFont="1" applyBorder="1" applyAlignment="1">
      <alignment wrapText="1"/>
    </xf>
    <xf numFmtId="164" fontId="16" fillId="0" borderId="11" xfId="0" applyNumberFormat="1" applyFont="1" applyBorder="1" applyAlignment="1">
      <alignment wrapText="1"/>
    </xf>
    <xf numFmtId="164" fontId="16" fillId="0" borderId="12" xfId="0" applyNumberFormat="1" applyFont="1" applyBorder="1" applyAlignment="1">
      <alignment wrapText="1"/>
    </xf>
    <xf numFmtId="0" fontId="13" fillId="0" borderId="0" xfId="0" applyFont="1" applyAlignment="1">
      <alignment wrapText="1"/>
    </xf>
    <xf numFmtId="0" fontId="14" fillId="0" borderId="0" xfId="0" applyFont="1" applyAlignment="1">
      <alignment wrapText="1"/>
    </xf>
    <xf numFmtId="0" fontId="13" fillId="0" borderId="15" xfId="0" applyFont="1" applyBorder="1" applyAlignment="1">
      <alignment wrapText="1"/>
    </xf>
    <xf numFmtId="0" fontId="13" fillId="0" borderId="8" xfId="0" applyFont="1" applyBorder="1" applyAlignment="1">
      <alignment wrapText="1"/>
    </xf>
    <xf numFmtId="0" fontId="13" fillId="0" borderId="13" xfId="0" applyFont="1" applyBorder="1" applyAlignment="1">
      <alignment wrapText="1"/>
    </xf>
    <xf numFmtId="0" fontId="13" fillId="0" borderId="10" xfId="0" applyFont="1" applyBorder="1" applyAlignment="1">
      <alignment horizontal="left" wrapText="1"/>
    </xf>
    <xf numFmtId="0" fontId="14" fillId="0" borderId="11" xfId="0" applyFont="1" applyBorder="1" applyAlignment="1">
      <alignment wrapText="1"/>
    </xf>
    <xf numFmtId="164" fontId="14" fillId="0" borderId="13" xfId="0" applyNumberFormat="1" applyFont="1" applyBorder="1" applyAlignment="1">
      <alignment wrapText="1"/>
    </xf>
    <xf numFmtId="164" fontId="14" fillId="0" borderId="10" xfId="0" applyNumberFormat="1" applyFont="1" applyBorder="1" applyAlignment="1">
      <alignment wrapText="1"/>
    </xf>
    <xf numFmtId="2" fontId="14" fillId="0" borderId="0" xfId="0" applyNumberFormat="1" applyFont="1"/>
    <xf numFmtId="165" fontId="14" fillId="0" borderId="0" xfId="0" applyNumberFormat="1" applyFont="1"/>
    <xf numFmtId="164" fontId="14" fillId="0" borderId="11" xfId="0" applyNumberFormat="1" applyFont="1" applyBorder="1" applyAlignment="1">
      <alignment wrapText="1"/>
    </xf>
    <xf numFmtId="164" fontId="14" fillId="0" borderId="2" xfId="0" applyNumberFormat="1" applyFont="1" applyBorder="1" applyAlignment="1">
      <alignment wrapText="1"/>
    </xf>
    <xf numFmtId="0" fontId="14" fillId="0" borderId="12" xfId="0" applyFont="1" applyBorder="1" applyAlignment="1">
      <alignment wrapText="1"/>
    </xf>
    <xf numFmtId="0" fontId="14" fillId="0" borderId="4" xfId="0" applyFont="1" applyBorder="1" applyAlignment="1">
      <alignment wrapText="1"/>
    </xf>
    <xf numFmtId="164" fontId="14" fillId="0" borderId="12" xfId="0" applyNumberFormat="1" applyFont="1" applyBorder="1" applyAlignment="1">
      <alignment wrapText="1"/>
    </xf>
    <xf numFmtId="164" fontId="14" fillId="0" borderId="5" xfId="0" applyNumberFormat="1" applyFont="1" applyBorder="1" applyAlignment="1">
      <alignment wrapText="1"/>
    </xf>
    <xf numFmtId="0" fontId="13" fillId="0" borderId="7" xfId="0" applyFont="1" applyBorder="1" applyAlignment="1">
      <alignment wrapText="1"/>
    </xf>
    <xf numFmtId="0" fontId="13" fillId="0" borderId="8" xfId="0" applyFont="1" applyBorder="1"/>
    <xf numFmtId="164" fontId="14" fillId="0" borderId="0" xfId="0" applyNumberFormat="1" applyFont="1" applyAlignment="1">
      <alignment wrapText="1"/>
    </xf>
    <xf numFmtId="164" fontId="14" fillId="0" borderId="4" xfId="0" applyNumberFormat="1" applyFont="1" applyBorder="1" applyAlignment="1">
      <alignment wrapText="1"/>
    </xf>
    <xf numFmtId="0" fontId="20" fillId="0" borderId="13" xfId="0" applyFont="1" applyBorder="1" applyAlignment="1">
      <alignment horizontal="left" vertical="top" wrapText="1"/>
    </xf>
    <xf numFmtId="0" fontId="20" fillId="0" borderId="11" xfId="0" applyFont="1" applyBorder="1" applyAlignment="1">
      <alignment horizontal="right" vertical="top"/>
    </xf>
    <xf numFmtId="0" fontId="14" fillId="0" borderId="13" xfId="0" applyFont="1" applyBorder="1"/>
    <xf numFmtId="0" fontId="14" fillId="0" borderId="12" xfId="0" applyFont="1" applyBorder="1"/>
    <xf numFmtId="164" fontId="31" fillId="0" borderId="14" xfId="0" applyNumberFormat="1" applyFont="1" applyBorder="1"/>
    <xf numFmtId="164" fontId="31" fillId="0" borderId="9" xfId="0" applyNumberFormat="1" applyFont="1" applyBorder="1"/>
    <xf numFmtId="164" fontId="31" fillId="0" borderId="10" xfId="0" applyNumberFormat="1" applyFont="1" applyBorder="1"/>
    <xf numFmtId="164" fontId="31" fillId="0" borderId="0" xfId="0" applyNumberFormat="1" applyFont="1"/>
    <xf numFmtId="164" fontId="31" fillId="0" borderId="2" xfId="0" applyNumberFormat="1" applyFont="1" applyBorder="1"/>
    <xf numFmtId="0" fontId="14" fillId="0" borderId="11" xfId="0" applyFont="1" applyBorder="1"/>
    <xf numFmtId="164" fontId="31" fillId="0" borderId="1" xfId="0" applyNumberFormat="1" applyFont="1" applyBorder="1"/>
    <xf numFmtId="166" fontId="20" fillId="0" borderId="9" xfId="0" applyNumberFormat="1" applyFont="1" applyBorder="1" applyAlignment="1">
      <alignment horizontal="right" vertical="top"/>
    </xf>
    <xf numFmtId="166" fontId="23" fillId="0" borderId="10" xfId="0" applyNumberFormat="1" applyFont="1" applyBorder="1" applyAlignment="1">
      <alignment horizontal="right" vertical="top"/>
    </xf>
    <xf numFmtId="164" fontId="31" fillId="0" borderId="13" xfId="0" applyNumberFormat="1" applyFont="1" applyBorder="1"/>
    <xf numFmtId="0" fontId="16" fillId="0" borderId="16" xfId="0" applyFont="1" applyBorder="1"/>
    <xf numFmtId="0" fontId="21" fillId="0" borderId="16" xfId="0" applyFont="1" applyBorder="1" applyAlignment="1">
      <alignment horizontal="left" vertical="top" wrapText="1"/>
    </xf>
    <xf numFmtId="0" fontId="14" fillId="0" borderId="16" xfId="0" applyFont="1" applyBorder="1"/>
    <xf numFmtId="0" fontId="13" fillId="0" borderId="16" xfId="0" applyFont="1" applyBorder="1"/>
    <xf numFmtId="2" fontId="0" fillId="0" borderId="10" xfId="0" applyNumberFormat="1" applyBorder="1" applyAlignment="1">
      <alignment vertical="center"/>
    </xf>
    <xf numFmtId="2" fontId="0" fillId="0" borderId="9" xfId="0" applyNumberFormat="1" applyBorder="1" applyAlignment="1">
      <alignment vertical="center"/>
    </xf>
    <xf numFmtId="164" fontId="31" fillId="0" borderId="16" xfId="0" applyNumberFormat="1" applyFont="1" applyBorder="1"/>
    <xf numFmtId="164" fontId="16" fillId="0" borderId="16" xfId="0" applyNumberFormat="1" applyFont="1" applyBorder="1"/>
    <xf numFmtId="164" fontId="0" fillId="0" borderId="16" xfId="0" applyNumberFormat="1" applyBorder="1"/>
    <xf numFmtId="1" fontId="31" fillId="0" borderId="0" xfId="0" applyNumberFormat="1" applyFont="1"/>
    <xf numFmtId="0" fontId="16" fillId="0" borderId="0" xfId="0" applyFont="1" applyAlignment="1">
      <alignment horizontal="center" wrapText="1"/>
    </xf>
    <xf numFmtId="2" fontId="1" fillId="0" borderId="0" xfId="0" applyNumberFormat="1"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49" fontId="14" fillId="0" borderId="0" xfId="0" applyNumberFormat="1" applyFont="1" applyAlignment="1">
      <alignment wrapText="1"/>
    </xf>
    <xf numFmtId="49" fontId="14" fillId="0" borderId="4" xfId="0" applyNumberFormat="1" applyFont="1" applyBorder="1" applyAlignment="1">
      <alignment wrapText="1"/>
    </xf>
    <xf numFmtId="0" fontId="13" fillId="0" borderId="0" xfId="0" applyFont="1" applyAlignment="1">
      <alignment horizontal="left" wrapText="1"/>
    </xf>
    <xf numFmtId="0" fontId="13" fillId="0" borderId="18" xfId="0" applyFont="1" applyBorder="1" applyAlignment="1">
      <alignment wrapText="1"/>
    </xf>
    <xf numFmtId="0" fontId="13" fillId="0" borderId="19" xfId="0" applyFont="1" applyBorder="1" applyAlignment="1">
      <alignment wrapText="1"/>
    </xf>
    <xf numFmtId="0" fontId="13" fillId="0" borderId="20" xfId="0" applyFont="1" applyBorder="1" applyAlignment="1">
      <alignment horizontal="left" wrapText="1"/>
    </xf>
    <xf numFmtId="0" fontId="14" fillId="0" borderId="21" xfId="0" applyFont="1" applyBorder="1" applyAlignment="1">
      <alignment wrapText="1"/>
    </xf>
    <xf numFmtId="164" fontId="14" fillId="0" borderId="22" xfId="0" applyNumberFormat="1" applyFont="1" applyBorder="1" applyAlignment="1">
      <alignment wrapText="1"/>
    </xf>
    <xf numFmtId="0" fontId="14" fillId="0" borderId="21" xfId="0" applyFont="1" applyBorder="1"/>
    <xf numFmtId="164" fontId="31" fillId="0" borderId="22" xfId="0" applyNumberFormat="1" applyFont="1" applyBorder="1"/>
    <xf numFmtId="0" fontId="14" fillId="0" borderId="23" xfId="0" applyFont="1" applyBorder="1"/>
    <xf numFmtId="0" fontId="16" fillId="0" borderId="17" xfId="0" applyFont="1" applyBorder="1"/>
    <xf numFmtId="0" fontId="16" fillId="0" borderId="17" xfId="0" quotePrefix="1" applyFont="1" applyBorder="1"/>
    <xf numFmtId="164" fontId="16" fillId="0" borderId="17" xfId="0" applyNumberFormat="1" applyFont="1" applyBorder="1"/>
    <xf numFmtId="164" fontId="16" fillId="0" borderId="24" xfId="0" applyNumberFormat="1" applyFont="1" applyBorder="1"/>
    <xf numFmtId="2" fontId="17" fillId="0" borderId="0" xfId="0" applyNumberFormat="1" applyFont="1"/>
    <xf numFmtId="0" fontId="32" fillId="0" borderId="0" xfId="0" applyFont="1" applyAlignment="1">
      <alignment horizontal="center" vertical="center" readingOrder="1"/>
    </xf>
    <xf numFmtId="164" fontId="0" fillId="0" borderId="0" xfId="0" applyNumberFormat="1" applyAlignment="1">
      <alignment horizontal="right"/>
    </xf>
    <xf numFmtId="0" fontId="13" fillId="0" borderId="25" xfId="0" applyFont="1" applyBorder="1"/>
    <xf numFmtId="0" fontId="14" fillId="0" borderId="25" xfId="0" applyFont="1" applyBorder="1"/>
    <xf numFmtId="0" fontId="21" fillId="0" borderId="26" xfId="0" applyFont="1" applyBorder="1" applyAlignment="1">
      <alignment horizontal="left" vertical="top" wrapText="1"/>
    </xf>
    <xf numFmtId="164" fontId="8" fillId="0" borderId="24" xfId="0" applyNumberFormat="1" applyFont="1" applyBorder="1"/>
    <xf numFmtId="164" fontId="31" fillId="0" borderId="24" xfId="0" applyNumberFormat="1" applyFont="1" applyBorder="1"/>
    <xf numFmtId="164" fontId="14" fillId="0" borderId="24" xfId="0" applyNumberFormat="1" applyFont="1" applyBorder="1"/>
    <xf numFmtId="0" fontId="16" fillId="0" borderId="9" xfId="0" applyFont="1" applyBorder="1"/>
    <xf numFmtId="0" fontId="16" fillId="0" borderId="10" xfId="0" applyFont="1" applyBorder="1"/>
    <xf numFmtId="2" fontId="14" fillId="0" borderId="0" xfId="0" applyNumberFormat="1" applyFont="1" applyAlignment="1">
      <alignment wrapText="1"/>
    </xf>
    <xf numFmtId="2" fontId="4" fillId="0" borderId="11" xfId="0" applyNumberFormat="1" applyFont="1" applyBorder="1"/>
    <xf numFmtId="2" fontId="4" fillId="0" borderId="2" xfId="0" applyNumberFormat="1" applyFont="1" applyBorder="1"/>
    <xf numFmtId="2" fontId="14" fillId="0" borderId="4" xfId="0" applyNumberFormat="1" applyFont="1" applyBorder="1" applyAlignment="1">
      <alignment wrapText="1"/>
    </xf>
    <xf numFmtId="2" fontId="4" fillId="0" borderId="12" xfId="0" applyNumberFormat="1" applyFont="1" applyBorder="1"/>
    <xf numFmtId="2" fontId="4" fillId="0" borderId="5" xfId="0" applyNumberFormat="1" applyFont="1" applyBorder="1"/>
    <xf numFmtId="0" fontId="21" fillId="0" borderId="6" xfId="0" applyFont="1" applyBorder="1" applyAlignment="1">
      <alignment horizontal="left" vertical="top" wrapText="1"/>
    </xf>
    <xf numFmtId="0" fontId="21" fillId="0" borderId="7" xfId="0" applyFont="1" applyBorder="1" applyAlignment="1">
      <alignment horizontal="left" vertical="top" wrapText="1"/>
    </xf>
    <xf numFmtId="0" fontId="21" fillId="0" borderId="8" xfId="0" applyFont="1" applyBorder="1" applyAlignment="1">
      <alignment horizontal="left" vertical="top" wrapText="1"/>
    </xf>
    <xf numFmtId="0" fontId="1" fillId="0" borderId="6" xfId="0" applyFont="1" applyBorder="1" applyAlignment="1">
      <alignment wrapText="1"/>
    </xf>
    <xf numFmtId="0" fontId="0" fillId="0" borderId="7" xfId="0" applyBorder="1" applyAlignment="1">
      <alignment wrapText="1"/>
    </xf>
    <xf numFmtId="0" fontId="8" fillId="0" borderId="0" xfId="0" applyFont="1" applyAlignment="1">
      <alignment horizontal="left" vertical="top" wrapText="1"/>
    </xf>
    <xf numFmtId="0" fontId="11" fillId="0" borderId="0" xfId="0" applyFont="1" applyAlignment="1">
      <alignment wrapText="1"/>
    </xf>
    <xf numFmtId="0" fontId="0" fillId="0" borderId="0" xfId="0" applyAlignment="1">
      <alignment horizontal="left" vertical="top" wrapText="1"/>
    </xf>
    <xf numFmtId="0" fontId="16" fillId="0" borderId="0" xfId="0" applyFont="1" applyAlignment="1">
      <alignment horizontal="center" wrapText="1"/>
    </xf>
    <xf numFmtId="0" fontId="14" fillId="0" borderId="0" xfId="0" applyFont="1" applyAlignment="1">
      <alignment horizontal="center" wrapText="1"/>
    </xf>
    <xf numFmtId="0" fontId="0" fillId="0" borderId="0" xfId="0" applyAlignment="1">
      <alignment horizontal="left" vertical="center" wrapText="1"/>
    </xf>
    <xf numFmtId="0" fontId="1" fillId="0" borderId="7" xfId="0" applyFont="1" applyBorder="1" applyAlignment="1">
      <alignment wrapText="1"/>
    </xf>
    <xf numFmtId="0" fontId="14" fillId="0" borderId="0" xfId="0" applyFont="1" applyBorder="1"/>
    <xf numFmtId="164" fontId="16" fillId="0" borderId="0" xfId="0" applyNumberFormat="1" applyFont="1" applyBorder="1"/>
    <xf numFmtId="0" fontId="16" fillId="0" borderId="0" xfId="0" applyFont="1" applyBorder="1"/>
    <xf numFmtId="164" fontId="16" fillId="0" borderId="0" xfId="0" quotePrefix="1" applyNumberFormat="1" applyFont="1" applyBorder="1"/>
    <xf numFmtId="0" fontId="16" fillId="0" borderId="0" xfId="0" quotePrefix="1" applyFont="1" applyBorder="1"/>
    <xf numFmtId="164" fontId="31" fillId="0" borderId="11" xfId="0" applyNumberFormat="1" applyFont="1" applyBorder="1"/>
    <xf numFmtId="0" fontId="14" fillId="0" borderId="0" xfId="0" applyFont="1" applyBorder="1" applyAlignment="1">
      <alignment wrapText="1"/>
    </xf>
    <xf numFmtId="49" fontId="14" fillId="0" borderId="0"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 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 water data'!$O$8</c:f>
              <c:strCache>
                <c:ptCount val="1"/>
                <c:pt idx="0">
                  <c:v>Absorbance (x)</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2700" cap="rnd">
                <a:solidFill>
                  <a:srgbClr val="FF0000"/>
                </a:solidFill>
                <a:prstDash val="solid"/>
              </a:ln>
              <a:effectLst/>
            </c:spPr>
            <c:trendlineType val="linear"/>
            <c:intercept val="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'Lab water data'!$N$9:$N$13</c:f>
              <c:numCache>
                <c:formatCode>General</c:formatCode>
                <c:ptCount val="5"/>
                <c:pt idx="0">
                  <c:v>0</c:v>
                </c:pt>
                <c:pt idx="1">
                  <c:v>0.2</c:v>
                </c:pt>
                <c:pt idx="2">
                  <c:v>0.5</c:v>
                </c:pt>
                <c:pt idx="3">
                  <c:v>1</c:v>
                </c:pt>
                <c:pt idx="4">
                  <c:v>2</c:v>
                </c:pt>
              </c:numCache>
            </c:numRef>
          </c:xVal>
          <c:yVal>
            <c:numRef>
              <c:f>'Lab water data'!$O$9:$O$13</c:f>
              <c:numCache>
                <c:formatCode>General</c:formatCode>
                <c:ptCount val="5"/>
                <c:pt idx="0">
                  <c:v>0</c:v>
                </c:pt>
                <c:pt idx="1">
                  <c:v>2.8000000000000001E-2</c:v>
                </c:pt>
                <c:pt idx="2">
                  <c:v>4.2999999999999997E-2</c:v>
                </c:pt>
                <c:pt idx="3">
                  <c:v>0.104</c:v>
                </c:pt>
                <c:pt idx="4">
                  <c:v>0.20799999999999999</c:v>
                </c:pt>
              </c:numCache>
            </c:numRef>
          </c:yVal>
          <c:smooth val="0"/>
          <c:extLst>
            <c:ext xmlns:c16="http://schemas.microsoft.com/office/drawing/2014/chart" uri="{C3380CC4-5D6E-409C-BE32-E72D297353CC}">
              <c16:uniqueId val="{00000000-D3A1-D348-BDFB-6AF909CCD3BA}"/>
            </c:ext>
          </c:extLst>
        </c:ser>
        <c:dLbls>
          <c:showLegendKey val="0"/>
          <c:showVal val="0"/>
          <c:showCatName val="0"/>
          <c:showSerName val="0"/>
          <c:showPercent val="0"/>
          <c:showBubbleSize val="0"/>
        </c:dLbls>
        <c:axId val="554035456"/>
        <c:axId val="554444912"/>
      </c:scatterChart>
      <c:valAx>
        <c:axId val="554035456"/>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Absorbance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44912"/>
        <c:crosses val="autoZero"/>
        <c:crossBetween val="midCat"/>
      </c:valAx>
      <c:valAx>
        <c:axId val="5544449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 conc. (ppm)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35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 organic carbon vs nitrogen (mg L-1)</a:t>
            </a:r>
          </a:p>
        </c:rich>
      </c:tx>
      <c:overlay val="0"/>
      <c:spPr>
        <a:noFill/>
        <a:ln>
          <a:noFill/>
        </a:ln>
        <a:effectLst/>
      </c:spPr>
    </c:title>
    <c:autoTitleDeleted val="0"/>
    <c:plotArea>
      <c:layout/>
      <c:barChart>
        <c:barDir val="col"/>
        <c:grouping val="clustered"/>
        <c:varyColors val="0"/>
        <c:ser>
          <c:idx val="1"/>
          <c:order val="0"/>
          <c:tx>
            <c:strRef>
              <c:f>'water C + N'!$J$4</c:f>
              <c:strCache>
                <c:ptCount val="1"/>
                <c:pt idx="0">
                  <c:v>Average dissolved organic carbon (mg L-1)</c:v>
                </c:pt>
              </c:strCache>
            </c:strRef>
          </c:tx>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errBars>
          <c:cat>
            <c:strRef>
              <c:f>'water C + N'!$I$5:$I$9</c:f>
              <c:strCache>
                <c:ptCount val="5"/>
                <c:pt idx="0">
                  <c:v>Coolac</c:v>
                </c:pt>
                <c:pt idx="1">
                  <c:v>Cootamundry</c:v>
                </c:pt>
                <c:pt idx="2">
                  <c:v>Brawlins Rd</c:v>
                </c:pt>
                <c:pt idx="3">
                  <c:v>Cootamundra</c:v>
                </c:pt>
                <c:pt idx="4">
                  <c:v>Bongongalong</c:v>
                </c:pt>
              </c:strCache>
            </c:strRef>
          </c:cat>
          <c:val>
            <c:numRef>
              <c:f>'water C + N'!$J$5:$J$9</c:f>
              <c:numCache>
                <c:formatCode>0</c:formatCode>
                <c:ptCount val="5"/>
                <c:pt idx="0">
                  <c:v>23.934000000000005</c:v>
                </c:pt>
                <c:pt idx="1">
                  <c:v>21.505000000000003</c:v>
                </c:pt>
                <c:pt idx="2">
                  <c:v>16.270000000000003</c:v>
                </c:pt>
                <c:pt idx="3">
                  <c:v>15.405000000000001</c:v>
                </c:pt>
                <c:pt idx="4">
                  <c:v>12.757249999999999</c:v>
                </c:pt>
              </c:numCache>
            </c:numRef>
          </c:val>
          <c:extLst>
            <c:ext xmlns:c16="http://schemas.microsoft.com/office/drawing/2014/chart" uri="{C3380CC4-5D6E-409C-BE32-E72D297353CC}">
              <c16:uniqueId val="{00000003-3961-824E-A61D-5644921BF1E4}"/>
            </c:ext>
          </c:extLst>
        </c:ser>
        <c:ser>
          <c:idx val="0"/>
          <c:order val="1"/>
          <c:tx>
            <c:strRef>
              <c:f>'water C + N'!$J$17</c:f>
              <c:strCache>
                <c:ptCount val="1"/>
                <c:pt idx="0">
                  <c:v>Average total nitrogen (mg L-1)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C + N'!$I$18:$I$22</c:f>
              <c:strCache>
                <c:ptCount val="5"/>
                <c:pt idx="0">
                  <c:v>Cootamundry</c:v>
                </c:pt>
                <c:pt idx="1">
                  <c:v>Cootamundra</c:v>
                </c:pt>
                <c:pt idx="2">
                  <c:v>Coolac</c:v>
                </c:pt>
                <c:pt idx="3">
                  <c:v>Brawlins Rd</c:v>
                </c:pt>
                <c:pt idx="4">
                  <c:v>Bongongalong</c:v>
                </c:pt>
              </c:strCache>
            </c:strRef>
          </c:cat>
          <c:val>
            <c:numRef>
              <c:f>'water C + N'!$J$18:$J$22</c:f>
              <c:numCache>
                <c:formatCode>0.000</c:formatCode>
                <c:ptCount val="5"/>
                <c:pt idx="0">
                  <c:v>0.80425000000000002</c:v>
                </c:pt>
                <c:pt idx="1">
                  <c:v>0.76279999999999992</c:v>
                </c:pt>
                <c:pt idx="2">
                  <c:v>0.69797999999999993</c:v>
                </c:pt>
                <c:pt idx="3">
                  <c:v>0.54800000000000004</c:v>
                </c:pt>
                <c:pt idx="4">
                  <c:v>0.38224999999999998</c:v>
                </c:pt>
              </c:numCache>
            </c:numRef>
          </c:val>
          <c:extLst>
            <c:ext xmlns:c16="http://schemas.microsoft.com/office/drawing/2014/chart" uri="{C3380CC4-5D6E-409C-BE32-E72D297353CC}">
              <c16:uniqueId val="{00000002-3961-824E-A61D-5644921BF1E4}"/>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water alkalinity (mmol L-1)</a:t>
            </a:r>
            <a:r>
              <a:rPr lang="en-AU" sz="1400" b="0" i="0" u="none" strike="noStrike" baseline="0"/>
              <a:t> </a:t>
            </a:r>
            <a:endParaRPr lang="en-US"/>
          </a:p>
        </c:rich>
      </c:tx>
      <c:overlay val="0"/>
      <c:spPr>
        <a:noFill/>
        <a:ln>
          <a:noFill/>
        </a:ln>
        <a:effectLst/>
      </c:spPr>
    </c:title>
    <c:autoTitleDeleted val="0"/>
    <c:plotArea>
      <c:layout/>
      <c:barChart>
        <c:barDir val="col"/>
        <c:grouping val="clustered"/>
        <c:varyColors val="0"/>
        <c:ser>
          <c:idx val="0"/>
          <c:order val="0"/>
          <c:tx>
            <c:strRef>
              <c:f>'Water - alkalinity'!$O$25</c:f>
              <c:strCache>
                <c:ptCount val="1"/>
                <c:pt idx="0">
                  <c:v>Average water alkalinity (mmol L-1)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 alkalinity'!$N$26:$N$30</c:f>
              <c:strCache>
                <c:ptCount val="5"/>
                <c:pt idx="0">
                  <c:v>Cootamundry</c:v>
                </c:pt>
                <c:pt idx="1">
                  <c:v>Cootamundra</c:v>
                </c:pt>
                <c:pt idx="2">
                  <c:v>Bongongalong</c:v>
                </c:pt>
                <c:pt idx="3">
                  <c:v>Brawlins</c:v>
                </c:pt>
                <c:pt idx="4">
                  <c:v>Coolac</c:v>
                </c:pt>
              </c:strCache>
            </c:strRef>
          </c:cat>
          <c:val>
            <c:numRef>
              <c:f>'Water - alkalinity'!$O$26:$O$30</c:f>
              <c:numCache>
                <c:formatCode>0.000</c:formatCode>
                <c:ptCount val="5"/>
                <c:pt idx="0">
                  <c:v>7.7366666666666655</c:v>
                </c:pt>
                <c:pt idx="1">
                  <c:v>5.3599999999999994</c:v>
                </c:pt>
                <c:pt idx="2">
                  <c:v>4.9933333333333332</c:v>
                </c:pt>
                <c:pt idx="3">
                  <c:v>3.3966666666666669</c:v>
                </c:pt>
                <c:pt idx="4">
                  <c:v>0.89999999999999991</c:v>
                </c:pt>
              </c:numCache>
            </c:numRef>
          </c:val>
          <c:extLst>
            <c:ext xmlns:c16="http://schemas.microsoft.com/office/drawing/2014/chart" uri="{C3380CC4-5D6E-409C-BE32-E72D297353CC}">
              <c16:uniqueId val="{00000000-EB91-404D-9DB2-D4F61C5E3EF5}"/>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 pH</a:t>
            </a:r>
          </a:p>
        </c:rich>
      </c:tx>
      <c:overlay val="0"/>
      <c:spPr>
        <a:noFill/>
        <a:ln>
          <a:noFill/>
        </a:ln>
        <a:effectLst/>
      </c:spPr>
    </c:title>
    <c:autoTitleDeleted val="0"/>
    <c:plotArea>
      <c:layout/>
      <c:barChart>
        <c:barDir val="col"/>
        <c:grouping val="clustered"/>
        <c:varyColors val="0"/>
        <c:ser>
          <c:idx val="0"/>
          <c:order val="0"/>
          <c:tx>
            <c:strRef>
              <c:f>'water pH + EC'!$K$4</c:f>
              <c:strCache>
                <c:ptCount val="1"/>
                <c:pt idx="0">
                  <c:v>Average water pH</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EC'!$J$5:$J$9</c:f>
              <c:strCache>
                <c:ptCount val="5"/>
                <c:pt idx="0">
                  <c:v>Coolac</c:v>
                </c:pt>
                <c:pt idx="1">
                  <c:v>Cootamundra</c:v>
                </c:pt>
                <c:pt idx="2">
                  <c:v>Bongongalong</c:v>
                </c:pt>
                <c:pt idx="3">
                  <c:v>Brawlins</c:v>
                </c:pt>
                <c:pt idx="4">
                  <c:v>Cootamundry</c:v>
                </c:pt>
              </c:strCache>
            </c:strRef>
          </c:cat>
          <c:val>
            <c:numRef>
              <c:f>'water pH + EC'!$K$5:$K$9</c:f>
              <c:numCache>
                <c:formatCode>0</c:formatCode>
                <c:ptCount val="5"/>
                <c:pt idx="0">
                  <c:v>8.1750000000000007</c:v>
                </c:pt>
                <c:pt idx="1">
                  <c:v>7.95</c:v>
                </c:pt>
                <c:pt idx="2">
                  <c:v>7.8987500000000015</c:v>
                </c:pt>
                <c:pt idx="3">
                  <c:v>7.7620000000000005</c:v>
                </c:pt>
                <c:pt idx="4">
                  <c:v>6.9050000000000002</c:v>
                </c:pt>
              </c:numCache>
            </c:numRef>
          </c:val>
          <c:extLst>
            <c:ext xmlns:c16="http://schemas.microsoft.com/office/drawing/2014/chart" uri="{C3380CC4-5D6E-409C-BE32-E72D297353CC}">
              <c16:uniqueId val="{00000000-0260-0141-8DD2-13F22E87E19A}"/>
            </c:ext>
          </c:extLst>
        </c:ser>
        <c:dLbls>
          <c:showLegendKey val="0"/>
          <c:showVal val="0"/>
          <c:showCatName val="0"/>
          <c:showSerName val="0"/>
          <c:showPercent val="0"/>
          <c:showBubbleSize val="0"/>
        </c:dLbls>
        <c:gapWidth val="200"/>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EC (uS cm-1)</a:t>
            </a:r>
            <a:endParaRPr lang="en-US"/>
          </a:p>
        </c:rich>
      </c:tx>
      <c:overlay val="0"/>
      <c:spPr>
        <a:noFill/>
        <a:ln>
          <a:noFill/>
        </a:ln>
        <a:effectLst/>
      </c:spPr>
    </c:title>
    <c:autoTitleDeleted val="0"/>
    <c:plotArea>
      <c:layout/>
      <c:barChart>
        <c:barDir val="col"/>
        <c:grouping val="clustered"/>
        <c:varyColors val="0"/>
        <c:ser>
          <c:idx val="0"/>
          <c:order val="0"/>
          <c:tx>
            <c:strRef>
              <c:f>'water pH + EC'!$K$24</c:f>
              <c:strCache>
                <c:ptCount val="1"/>
                <c:pt idx="0">
                  <c:v>Average EC (uS cm-1) (Table 4.1)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EC'!$J$25:$J$29</c:f>
              <c:strCache>
                <c:ptCount val="5"/>
                <c:pt idx="0">
                  <c:v>Cootamundry</c:v>
                </c:pt>
                <c:pt idx="1">
                  <c:v>Cootamundra</c:v>
                </c:pt>
                <c:pt idx="2">
                  <c:v>Brawlins</c:v>
                </c:pt>
                <c:pt idx="3">
                  <c:v>Coolac</c:v>
                </c:pt>
                <c:pt idx="4">
                  <c:v>Bongongalong</c:v>
                </c:pt>
              </c:strCache>
            </c:strRef>
          </c:cat>
          <c:val>
            <c:numRef>
              <c:f>'water pH + EC'!$K$25:$K$29</c:f>
              <c:numCache>
                <c:formatCode>0</c:formatCode>
                <c:ptCount val="5"/>
                <c:pt idx="0">
                  <c:v>2319.5500000000002</c:v>
                </c:pt>
                <c:pt idx="1">
                  <c:v>1897.125</c:v>
                </c:pt>
                <c:pt idx="2">
                  <c:v>1721.8</c:v>
                </c:pt>
                <c:pt idx="3">
                  <c:v>1482.375</c:v>
                </c:pt>
                <c:pt idx="4">
                  <c:v>1045.375</c:v>
                </c:pt>
              </c:numCache>
            </c:numRef>
          </c:val>
          <c:extLst>
            <c:ext xmlns:c16="http://schemas.microsoft.com/office/drawing/2014/chart" uri="{C3380CC4-5D6E-409C-BE32-E72D297353CC}">
              <c16:uniqueId val="{00000000-4382-3845-9775-C9B29F2467A4}"/>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water pH vs average EC (uS cm-1)</a:t>
            </a:r>
            <a:endParaRPr lang="en-US"/>
          </a:p>
        </c:rich>
      </c:tx>
      <c:overlay val="0"/>
      <c:spPr>
        <a:noFill/>
        <a:ln>
          <a:noFill/>
        </a:ln>
        <a:effectLst/>
      </c:spPr>
    </c:title>
    <c:autoTitleDeleted val="0"/>
    <c:plotArea>
      <c:layout/>
      <c:barChart>
        <c:barDir val="col"/>
        <c:grouping val="clustered"/>
        <c:varyColors val="0"/>
        <c:ser>
          <c:idx val="0"/>
          <c:order val="1"/>
          <c:tx>
            <c:strRef>
              <c:f>'water pH + EC'!$K$24</c:f>
              <c:strCache>
                <c:ptCount val="1"/>
                <c:pt idx="0">
                  <c:v>Average EC (uS cm-1) (Table 4.1)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EC'!$J$25:$J$29</c:f>
              <c:strCache>
                <c:ptCount val="5"/>
                <c:pt idx="0">
                  <c:v>Cootamundry</c:v>
                </c:pt>
                <c:pt idx="1">
                  <c:v>Cootamundra</c:v>
                </c:pt>
                <c:pt idx="2">
                  <c:v>Brawlins</c:v>
                </c:pt>
                <c:pt idx="3">
                  <c:v>Coolac</c:v>
                </c:pt>
                <c:pt idx="4">
                  <c:v>Bongongalong</c:v>
                </c:pt>
              </c:strCache>
            </c:strRef>
          </c:cat>
          <c:val>
            <c:numRef>
              <c:f>'water pH + EC'!$K$25:$K$29</c:f>
              <c:numCache>
                <c:formatCode>0</c:formatCode>
                <c:ptCount val="5"/>
                <c:pt idx="0">
                  <c:v>2319.5500000000002</c:v>
                </c:pt>
                <c:pt idx="1">
                  <c:v>1897.125</c:v>
                </c:pt>
                <c:pt idx="2">
                  <c:v>1721.8</c:v>
                </c:pt>
                <c:pt idx="3">
                  <c:v>1482.375</c:v>
                </c:pt>
                <c:pt idx="4">
                  <c:v>1045.375</c:v>
                </c:pt>
              </c:numCache>
            </c:numRef>
          </c:val>
          <c:extLst>
            <c:ext xmlns:c16="http://schemas.microsoft.com/office/drawing/2014/chart" uri="{C3380CC4-5D6E-409C-BE32-E72D297353CC}">
              <c16:uniqueId val="{00000002-8134-9547-AC05-D818886AC566}"/>
            </c:ext>
          </c:extLst>
        </c:ser>
        <c:dLbls>
          <c:showLegendKey val="0"/>
          <c:showVal val="0"/>
          <c:showCatName val="0"/>
          <c:showSerName val="0"/>
          <c:showPercent val="0"/>
          <c:showBubbleSize val="0"/>
        </c:dLbls>
        <c:gapWidth val="200"/>
        <c:axId val="1649649775"/>
        <c:axId val="1644356223"/>
      </c:barChart>
      <c:lineChart>
        <c:grouping val="standard"/>
        <c:varyColors val="0"/>
        <c:ser>
          <c:idx val="1"/>
          <c:order val="0"/>
          <c:tx>
            <c:strRef>
              <c:f>'water pH + EC'!$K$4</c:f>
              <c:strCache>
                <c:ptCount val="1"/>
                <c:pt idx="0">
                  <c:v>Average water pH</c:v>
                </c:pt>
              </c:strCache>
            </c:strRef>
          </c:tx>
          <c:marker>
            <c:symbol val="none"/>
          </c:marker>
          <c:errBars>
            <c:errDir val="y"/>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EC'!$J$5:$J$9</c:f>
              <c:strCache>
                <c:ptCount val="5"/>
                <c:pt idx="0">
                  <c:v>Coolac</c:v>
                </c:pt>
                <c:pt idx="1">
                  <c:v>Cootamundra</c:v>
                </c:pt>
                <c:pt idx="2">
                  <c:v>Bongongalong</c:v>
                </c:pt>
                <c:pt idx="3">
                  <c:v>Brawlins</c:v>
                </c:pt>
                <c:pt idx="4">
                  <c:v>Cootamundry</c:v>
                </c:pt>
              </c:strCache>
            </c:strRef>
          </c:cat>
          <c:val>
            <c:numRef>
              <c:f>'water pH + EC'!$K$5:$K$9</c:f>
              <c:numCache>
                <c:formatCode>0</c:formatCode>
                <c:ptCount val="5"/>
                <c:pt idx="0">
                  <c:v>8.1750000000000007</c:v>
                </c:pt>
                <c:pt idx="1">
                  <c:v>7.95</c:v>
                </c:pt>
                <c:pt idx="2">
                  <c:v>7.8987500000000015</c:v>
                </c:pt>
                <c:pt idx="3">
                  <c:v>7.7620000000000005</c:v>
                </c:pt>
                <c:pt idx="4">
                  <c:v>6.9050000000000002</c:v>
                </c:pt>
              </c:numCache>
            </c:numRef>
          </c:val>
          <c:smooth val="0"/>
          <c:extLst>
            <c:ext xmlns:c16="http://schemas.microsoft.com/office/drawing/2014/chart" uri="{C3380CC4-5D6E-409C-BE32-E72D297353CC}">
              <c16:uniqueId val="{00000003-8134-9547-AC05-D818886AC566}"/>
            </c:ext>
          </c:extLst>
        </c:ser>
        <c:dLbls>
          <c:showLegendKey val="0"/>
          <c:showVal val="0"/>
          <c:showCatName val="0"/>
          <c:showSerName val="0"/>
          <c:showPercent val="0"/>
          <c:showBubbleSize val="0"/>
        </c:dLbls>
        <c:marker val="1"/>
        <c:smooth val="0"/>
        <c:axId val="587645088"/>
        <c:axId val="588177568"/>
      </c:line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valAx>
        <c:axId val="1644356223"/>
        <c:scaling>
          <c:orientation val="minMax"/>
        </c:scaling>
        <c:delete val="0"/>
        <c:axPos val="r"/>
        <c:numFmt formatCode="0" sourceLinked="1"/>
        <c:majorTickMark val="out"/>
        <c:minorTickMark val="none"/>
        <c:tickLblPos val="nextTo"/>
        <c:crossAx val="1649649775"/>
        <c:crosses val="max"/>
        <c:crossBetween val="between"/>
      </c:valAx>
      <c:catAx>
        <c:axId val="1649649775"/>
        <c:scaling>
          <c:orientation val="minMax"/>
        </c:scaling>
        <c:delete val="1"/>
        <c:axPos val="b"/>
        <c:numFmt formatCode="General" sourceLinked="1"/>
        <c:majorTickMark val="out"/>
        <c:minorTickMark val="none"/>
        <c:tickLblPos val="nextTo"/>
        <c:crossAx val="1644356223"/>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 oxygen</a:t>
            </a:r>
            <a:r>
              <a:rPr lang="en-US" baseline="0"/>
              <a:t> and </a:t>
            </a:r>
            <a:r>
              <a:rPr lang="en-US"/>
              <a:t>biochemical oxygen demand vs average dissolved P (in mg L-1)</a:t>
            </a:r>
            <a:r>
              <a:rPr lang="en-US" baseline="0"/>
              <a:t> </a:t>
            </a:r>
            <a:r>
              <a:rPr lang="en-US"/>
              <a:t>(</a:t>
            </a:r>
            <a:r>
              <a:rPr lang="en-AU" sz="1400" b="0" i="0" u="none" strike="noStrike" baseline="0">
                <a:effectLst/>
              </a:rPr>
              <a:t>Error bars represent ±1 SD)</a:t>
            </a:r>
            <a:endParaRPr lang="en-US"/>
          </a:p>
        </c:rich>
      </c:tx>
      <c:overlay val="0"/>
      <c:spPr>
        <a:noFill/>
        <a:ln>
          <a:noFill/>
        </a:ln>
        <a:effectLst/>
      </c:spPr>
    </c:title>
    <c:autoTitleDeleted val="0"/>
    <c:plotArea>
      <c:layout/>
      <c:barChart>
        <c:barDir val="col"/>
        <c:grouping val="clustered"/>
        <c:varyColors val="0"/>
        <c:ser>
          <c:idx val="0"/>
          <c:order val="0"/>
          <c:tx>
            <c:strRef>
              <c:f>'Water - DO'!$AF$7</c:f>
              <c:strCache>
                <c:ptCount val="1"/>
                <c:pt idx="0">
                  <c:v>DO sample average dissolved oxygen (mg L-1)</c:v>
                </c:pt>
              </c:strCache>
            </c:strRef>
          </c:tx>
          <c:spPr>
            <a:solidFill>
              <a:schemeClr val="accent1"/>
            </a:solidFill>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errBars>
          <c:cat>
            <c:strRef>
              <c:f>'Water - DO'!$AE$8:$AE$12</c:f>
              <c:strCache>
                <c:ptCount val="5"/>
                <c:pt idx="0">
                  <c:v>Brawlins Rd</c:v>
                </c:pt>
                <c:pt idx="1">
                  <c:v>Cootamundry</c:v>
                </c:pt>
                <c:pt idx="2">
                  <c:v>Cootamundra</c:v>
                </c:pt>
                <c:pt idx="3">
                  <c:v>Bongongalong</c:v>
                </c:pt>
                <c:pt idx="4">
                  <c:v>Coolac</c:v>
                </c:pt>
              </c:strCache>
            </c:strRef>
          </c:cat>
          <c:val>
            <c:numRef>
              <c:f>'Water - DO'!$AF$8:$AF$12</c:f>
              <c:numCache>
                <c:formatCode>0.000</c:formatCode>
                <c:ptCount val="5"/>
                <c:pt idx="0">
                  <c:v>7.3</c:v>
                </c:pt>
                <c:pt idx="1">
                  <c:v>5.35</c:v>
                </c:pt>
                <c:pt idx="2">
                  <c:v>4.8499999999999996</c:v>
                </c:pt>
                <c:pt idx="3">
                  <c:v>2.5</c:v>
                </c:pt>
                <c:pt idx="4">
                  <c:v>2.34</c:v>
                </c:pt>
              </c:numCache>
            </c:numRef>
          </c:val>
          <c:extLst>
            <c:ext xmlns:c16="http://schemas.microsoft.com/office/drawing/2014/chart" uri="{C3380CC4-5D6E-409C-BE32-E72D297353CC}">
              <c16:uniqueId val="{0000000F-D5EB-3E47-B84D-8520DD7A8424}"/>
            </c:ext>
          </c:extLst>
        </c:ser>
        <c:ser>
          <c:idx val="2"/>
          <c:order val="1"/>
          <c:tx>
            <c:strRef>
              <c:f>'Water - DO'!$AF$21</c:f>
              <c:strCache>
                <c:ptCount val="1"/>
                <c:pt idx="0">
                  <c:v>BOD sample average dissolved oxygen (mg L-1)</c:v>
                </c:pt>
              </c:strCache>
            </c:strRef>
          </c:tx>
          <c:spPr>
            <a:solidFill>
              <a:schemeClr val="accent2"/>
            </a:solidFill>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DO'!$AE$22:$AE$26</c:f>
              <c:strCache>
                <c:ptCount val="5"/>
                <c:pt idx="0">
                  <c:v>Cootamundry</c:v>
                </c:pt>
                <c:pt idx="1">
                  <c:v>Cootamundra</c:v>
                </c:pt>
                <c:pt idx="2">
                  <c:v>Bongongalong</c:v>
                </c:pt>
                <c:pt idx="3">
                  <c:v>Coolac</c:v>
                </c:pt>
                <c:pt idx="4">
                  <c:v>Brawlins Rd</c:v>
                </c:pt>
              </c:strCache>
            </c:strRef>
          </c:cat>
          <c:val>
            <c:numRef>
              <c:f>'Water - DO'!$AF$22:$AF$26</c:f>
              <c:numCache>
                <c:formatCode>0.000</c:formatCode>
                <c:ptCount val="5"/>
                <c:pt idx="0">
                  <c:v>3.5000000000000009</c:v>
                </c:pt>
                <c:pt idx="1">
                  <c:v>2.96</c:v>
                </c:pt>
                <c:pt idx="2">
                  <c:v>1.1499999999999995</c:v>
                </c:pt>
                <c:pt idx="3">
                  <c:v>0.45999999999999908</c:v>
                </c:pt>
                <c:pt idx="4">
                  <c:v>0.38000000000000045</c:v>
                </c:pt>
              </c:numCache>
            </c:numRef>
          </c:val>
          <c:extLst>
            <c:ext xmlns:c16="http://schemas.microsoft.com/office/drawing/2014/chart" uri="{C3380CC4-5D6E-409C-BE32-E72D297353CC}">
              <c16:uniqueId val="{00000010-D5EB-3E47-B84D-8520DD7A8424}"/>
            </c:ext>
          </c:extLst>
        </c:ser>
        <c:ser>
          <c:idx val="3"/>
          <c:order val="2"/>
          <c:tx>
            <c:strRef>
              <c:f>'Water - DO'!$AF$36</c:f>
              <c:strCache>
                <c:ptCount val="1"/>
                <c:pt idx="0">
                  <c:v>Average Biochemical Oxygen Demand (DO - BOD) in mg/L</c:v>
                </c:pt>
              </c:strCache>
            </c:strRef>
          </c:tx>
          <c:spPr>
            <a:solidFill>
              <a:schemeClr val="accent6"/>
            </a:solidFill>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DO'!$AE$37:$AE$41</c:f>
              <c:strCache>
                <c:ptCount val="5"/>
                <c:pt idx="0">
                  <c:v>Brawlins Rd</c:v>
                </c:pt>
                <c:pt idx="1">
                  <c:v>Cootamundry</c:v>
                </c:pt>
                <c:pt idx="2">
                  <c:v>Coolac</c:v>
                </c:pt>
                <c:pt idx="3">
                  <c:v>Bongongalong</c:v>
                </c:pt>
                <c:pt idx="4">
                  <c:v>Cootamundra</c:v>
                </c:pt>
              </c:strCache>
            </c:strRef>
          </c:cat>
          <c:val>
            <c:numRef>
              <c:f>'Water - DO'!$AF$37:$AF$41</c:f>
              <c:numCache>
                <c:formatCode>General</c:formatCode>
                <c:ptCount val="5"/>
                <c:pt idx="0">
                  <c:v>2.34</c:v>
                </c:pt>
                <c:pt idx="1">
                  <c:v>2.34</c:v>
                </c:pt>
                <c:pt idx="2">
                  <c:v>1.9599999999999995</c:v>
                </c:pt>
                <c:pt idx="3">
                  <c:v>1.9599999999999995</c:v>
                </c:pt>
                <c:pt idx="4">
                  <c:v>1.3199999999999996</c:v>
                </c:pt>
              </c:numCache>
            </c:numRef>
          </c:val>
          <c:extLst>
            <c:ext xmlns:c16="http://schemas.microsoft.com/office/drawing/2014/chart" uri="{C3380CC4-5D6E-409C-BE32-E72D297353CC}">
              <c16:uniqueId val="{00000011-D5EB-3E47-B84D-8520DD7A8424}"/>
            </c:ext>
          </c:extLst>
        </c:ser>
        <c:dLbls>
          <c:showLegendKey val="0"/>
          <c:showVal val="0"/>
          <c:showCatName val="0"/>
          <c:showSerName val="0"/>
          <c:showPercent val="0"/>
          <c:showBubbleSize val="0"/>
        </c:dLbls>
        <c:gapWidth val="219"/>
        <c:axId val="587645088"/>
        <c:axId val="588177568"/>
      </c:barChart>
      <c:lineChart>
        <c:grouping val="standard"/>
        <c:varyColors val="0"/>
        <c:ser>
          <c:idx val="1"/>
          <c:order val="3"/>
          <c:tx>
            <c:strRef>
              <c:f>'Lab water data'!$Y$4</c:f>
              <c:strCache>
                <c:ptCount val="1"/>
                <c:pt idx="0">
                  <c:v>Average dissolved P (in mg L-1)</c:v>
                </c:pt>
              </c:strCache>
            </c:strRef>
          </c:tx>
          <c:spPr>
            <a:effectLst/>
          </c:spPr>
          <c:marker>
            <c:symbol val="none"/>
          </c:marker>
          <c:dPt>
            <c:idx val="0"/>
            <c:bubble3D val="0"/>
            <c:extLst>
              <c:ext xmlns:c16="http://schemas.microsoft.com/office/drawing/2014/chart" uri="{C3380CC4-5D6E-409C-BE32-E72D297353CC}">
                <c16:uniqueId val="{00000005-D5EB-3E47-B84D-8520DD7A8424}"/>
              </c:ext>
            </c:extLst>
          </c:dPt>
          <c:dPt>
            <c:idx val="1"/>
            <c:bubble3D val="0"/>
            <c:extLst>
              <c:ext xmlns:c16="http://schemas.microsoft.com/office/drawing/2014/chart" uri="{C3380CC4-5D6E-409C-BE32-E72D297353CC}">
                <c16:uniqueId val="{00000007-D5EB-3E47-B84D-8520DD7A8424}"/>
              </c:ext>
            </c:extLst>
          </c:dPt>
          <c:dPt>
            <c:idx val="2"/>
            <c:bubble3D val="0"/>
            <c:extLst>
              <c:ext xmlns:c16="http://schemas.microsoft.com/office/drawing/2014/chart" uri="{C3380CC4-5D6E-409C-BE32-E72D297353CC}">
                <c16:uniqueId val="{00000009-D5EB-3E47-B84D-8520DD7A8424}"/>
              </c:ext>
            </c:extLst>
          </c:dPt>
          <c:dPt>
            <c:idx val="3"/>
            <c:bubble3D val="0"/>
            <c:extLst>
              <c:ext xmlns:c16="http://schemas.microsoft.com/office/drawing/2014/chart" uri="{C3380CC4-5D6E-409C-BE32-E72D297353CC}">
                <c16:uniqueId val="{0000000B-D5EB-3E47-B84D-8520DD7A8424}"/>
              </c:ext>
            </c:extLst>
          </c:dPt>
          <c:dPt>
            <c:idx val="4"/>
            <c:bubble3D val="0"/>
            <c:extLst>
              <c:ext xmlns:c16="http://schemas.microsoft.com/office/drawing/2014/chart" uri="{C3380CC4-5D6E-409C-BE32-E72D297353CC}">
                <c16:uniqueId val="{0000000D-D5EB-3E47-B84D-8520DD7A8424}"/>
              </c:ext>
            </c:extLst>
          </c:dPt>
          <c:errBars>
            <c:errDir val="y"/>
            <c:errBarType val="both"/>
            <c:errValType val="cust"/>
            <c:noEndCap val="0"/>
            <c:plus>
              <c:numLit>
                <c:formatCode>General</c:formatCode>
                <c:ptCount val="1"/>
                <c:pt idx="0">
                  <c:v>1</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'Lab water data'!$X$5:$X$9</c:f>
              <c:strCache>
                <c:ptCount val="5"/>
                <c:pt idx="0">
                  <c:v>Coolac</c:v>
                </c:pt>
                <c:pt idx="1">
                  <c:v>Brawlins Rd</c:v>
                </c:pt>
                <c:pt idx="2">
                  <c:v>Cootamundry</c:v>
                </c:pt>
                <c:pt idx="3">
                  <c:v>Cootamundra</c:v>
                </c:pt>
                <c:pt idx="4">
                  <c:v>Bongongalong</c:v>
                </c:pt>
              </c:strCache>
            </c:strRef>
          </c:cat>
          <c:val>
            <c:numRef>
              <c:f>'Lab water data'!$Y$5:$Y$9</c:f>
              <c:numCache>
                <c:formatCode>General</c:formatCode>
                <c:ptCount val="5"/>
                <c:pt idx="0">
                  <c:v>1.4023210831800001</c:v>
                </c:pt>
                <c:pt idx="1">
                  <c:v>1.266924564804</c:v>
                </c:pt>
                <c:pt idx="2">
                  <c:v>0.61895551257600001</c:v>
                </c:pt>
                <c:pt idx="3">
                  <c:v>0.47872340425799997</c:v>
                </c:pt>
                <c:pt idx="4">
                  <c:v>0.35976789168480006</c:v>
                </c:pt>
              </c:numCache>
            </c:numRef>
          </c:val>
          <c:smooth val="0"/>
          <c:extLst>
            <c:ext xmlns:c16="http://schemas.microsoft.com/office/drawing/2014/chart" uri="{C3380CC4-5D6E-409C-BE32-E72D297353CC}">
              <c16:uniqueId val="{0000000E-D5EB-3E47-B84D-8520DD7A8424}"/>
            </c:ext>
          </c:extLst>
        </c:ser>
        <c:dLbls>
          <c:showLegendKey val="0"/>
          <c:showVal val="0"/>
          <c:showCatName val="0"/>
          <c:showSerName val="0"/>
          <c:showPercent val="0"/>
          <c:showBubbleSize val="0"/>
        </c:dLbls>
        <c:marker val="1"/>
        <c:smooth val="0"/>
        <c:axId val="968444575"/>
        <c:axId val="968856479"/>
      </c:line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valAx>
        <c:axId val="968856479"/>
        <c:scaling>
          <c:orientation val="minMax"/>
        </c:scaling>
        <c:delete val="0"/>
        <c:axPos val="r"/>
        <c:numFmt formatCode="General" sourceLinked="1"/>
        <c:majorTickMark val="out"/>
        <c:minorTickMark val="none"/>
        <c:tickLblPos val="nextTo"/>
        <c:crossAx val="968444575"/>
        <c:crosses val="max"/>
        <c:crossBetween val="between"/>
      </c:valAx>
      <c:catAx>
        <c:axId val="968444575"/>
        <c:scaling>
          <c:orientation val="minMax"/>
        </c:scaling>
        <c:delete val="1"/>
        <c:axPos val="b"/>
        <c:numFmt formatCode="General" sourceLinked="1"/>
        <c:majorTickMark val="out"/>
        <c:minorTickMark val="none"/>
        <c:tickLblPos val="nextTo"/>
        <c:crossAx val="968856479"/>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dissolved P (in mg L-1)</a:t>
            </a:r>
          </a:p>
          <a:p>
            <a:pPr>
              <a:defRPr/>
            </a:pPr>
            <a:r>
              <a:rPr lang="en-US"/>
              <a:t>(</a:t>
            </a:r>
            <a:r>
              <a:rPr lang="en-AU" sz="1400" b="0" i="0" u="none" strike="noStrike" baseline="0">
                <a:effectLst/>
              </a:rPr>
              <a:t>Error bars represent ±1 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'Lab water data'!$Y$4</c:f>
              <c:strCache>
                <c:ptCount val="1"/>
                <c:pt idx="0">
                  <c:v>Average dissolved P (in mg L-1)</c:v>
                </c:pt>
              </c:strCache>
            </c:strRef>
          </c:tx>
          <c:spPr>
            <a:solidFill>
              <a:schemeClr val="accent1">
                <a:lumMod val="60000"/>
                <a:lumOff val="40000"/>
              </a:schemeClr>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84C9-A249-A02A-195149C7A6FF}"/>
              </c:ext>
            </c:extLst>
          </c:dPt>
          <c:dPt>
            <c:idx val="1"/>
            <c:invertIfNegative val="0"/>
            <c:bubble3D val="0"/>
            <c:spPr>
              <a:solidFill>
                <a:srgbClr val="0070C0"/>
              </a:solidFill>
              <a:ln>
                <a:noFill/>
              </a:ln>
              <a:effectLst/>
            </c:spPr>
            <c:extLst>
              <c:ext xmlns:c16="http://schemas.microsoft.com/office/drawing/2014/chart" uri="{C3380CC4-5D6E-409C-BE32-E72D297353CC}">
                <c16:uniqueId val="{00000003-84C9-A249-A02A-195149C7A6FF}"/>
              </c:ext>
            </c:extLst>
          </c:dPt>
          <c:dPt>
            <c:idx val="2"/>
            <c:invertIfNegative val="0"/>
            <c:bubble3D val="0"/>
            <c:spPr>
              <a:solidFill>
                <a:srgbClr val="00B050"/>
              </a:solidFill>
              <a:ln>
                <a:noFill/>
              </a:ln>
              <a:effectLst/>
            </c:spPr>
            <c:extLst>
              <c:ext xmlns:c16="http://schemas.microsoft.com/office/drawing/2014/chart" uri="{C3380CC4-5D6E-409C-BE32-E72D297353CC}">
                <c16:uniqueId val="{00000005-84C9-A249-A02A-195149C7A6FF}"/>
              </c:ext>
            </c:extLst>
          </c:dPt>
          <c:dPt>
            <c:idx val="3"/>
            <c:invertIfNegative val="0"/>
            <c:bubble3D val="0"/>
            <c:spPr>
              <a:solidFill>
                <a:srgbClr val="FFC000"/>
              </a:solidFill>
              <a:ln>
                <a:noFill/>
              </a:ln>
              <a:effectLst/>
            </c:spPr>
            <c:extLst>
              <c:ext xmlns:c16="http://schemas.microsoft.com/office/drawing/2014/chart" uri="{C3380CC4-5D6E-409C-BE32-E72D297353CC}">
                <c16:uniqueId val="{00000007-84C9-A249-A02A-195149C7A6FF}"/>
              </c:ext>
            </c:extLst>
          </c:dPt>
          <c:dPt>
            <c:idx val="4"/>
            <c:invertIfNegative val="0"/>
            <c:bubble3D val="0"/>
            <c:spPr>
              <a:solidFill>
                <a:srgbClr val="FF0000"/>
              </a:solidFill>
              <a:ln>
                <a:noFill/>
              </a:ln>
              <a:effectLst/>
            </c:spPr>
            <c:extLst>
              <c:ext xmlns:c16="http://schemas.microsoft.com/office/drawing/2014/chart" uri="{C3380CC4-5D6E-409C-BE32-E72D297353CC}">
                <c16:uniqueId val="{00000009-84C9-A249-A02A-195149C7A6FF}"/>
              </c:ext>
            </c:extLst>
          </c:dPt>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'Lab water data'!$X$5:$X$9</c:f>
              <c:strCache>
                <c:ptCount val="5"/>
                <c:pt idx="0">
                  <c:v>Coolac</c:v>
                </c:pt>
                <c:pt idx="1">
                  <c:v>Brawlins Rd</c:v>
                </c:pt>
                <c:pt idx="2">
                  <c:v>Cootamundry</c:v>
                </c:pt>
                <c:pt idx="3">
                  <c:v>Cootamundra</c:v>
                </c:pt>
                <c:pt idx="4">
                  <c:v>Bongongalong</c:v>
                </c:pt>
              </c:strCache>
            </c:strRef>
          </c:cat>
          <c:val>
            <c:numRef>
              <c:f>'Lab water data'!$Y$5:$Y$9</c:f>
              <c:numCache>
                <c:formatCode>General</c:formatCode>
                <c:ptCount val="5"/>
                <c:pt idx="0">
                  <c:v>1.4023210831800001</c:v>
                </c:pt>
                <c:pt idx="1">
                  <c:v>1.266924564804</c:v>
                </c:pt>
                <c:pt idx="2">
                  <c:v>0.61895551257600001</c:v>
                </c:pt>
                <c:pt idx="3">
                  <c:v>0.47872340425799997</c:v>
                </c:pt>
                <c:pt idx="4">
                  <c:v>0.35976789168480006</c:v>
                </c:pt>
              </c:numCache>
            </c:numRef>
          </c:val>
          <c:extLst>
            <c:ext xmlns:c16="http://schemas.microsoft.com/office/drawing/2014/chart" uri="{C3380CC4-5D6E-409C-BE32-E72D297353CC}">
              <c16:uniqueId val="{0000000A-84C9-A249-A02A-195149C7A6FF}"/>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water pH vs average EC (uS cm-1)</a:t>
            </a:r>
            <a:endParaRPr lang="en-US"/>
          </a:p>
        </c:rich>
      </c:tx>
      <c:overlay val="0"/>
      <c:spPr>
        <a:noFill/>
        <a:ln>
          <a:noFill/>
        </a:ln>
        <a:effectLst/>
      </c:spPr>
    </c:title>
    <c:autoTitleDeleted val="0"/>
    <c:plotArea>
      <c:layout/>
      <c:barChart>
        <c:barDir val="col"/>
        <c:grouping val="clustered"/>
        <c:varyColors val="0"/>
        <c:ser>
          <c:idx val="0"/>
          <c:order val="1"/>
          <c:tx>
            <c:strRef>
              <c:f>'water pH + EC'!$K$24</c:f>
              <c:strCache>
                <c:ptCount val="1"/>
                <c:pt idx="0">
                  <c:v>Average EC (uS cm-1) (Table 4.1)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EC'!$J$25:$J$29</c:f>
              <c:strCache>
                <c:ptCount val="5"/>
                <c:pt idx="0">
                  <c:v>Cootamundry</c:v>
                </c:pt>
                <c:pt idx="1">
                  <c:v>Cootamundra</c:v>
                </c:pt>
                <c:pt idx="2">
                  <c:v>Brawlins</c:v>
                </c:pt>
                <c:pt idx="3">
                  <c:v>Coolac</c:v>
                </c:pt>
                <c:pt idx="4">
                  <c:v>Bongongalong</c:v>
                </c:pt>
              </c:strCache>
            </c:strRef>
          </c:cat>
          <c:val>
            <c:numRef>
              <c:f>'water pH + EC'!$K$25:$K$29</c:f>
              <c:numCache>
                <c:formatCode>0</c:formatCode>
                <c:ptCount val="5"/>
                <c:pt idx="0">
                  <c:v>2319.5500000000002</c:v>
                </c:pt>
                <c:pt idx="1">
                  <c:v>1897.125</c:v>
                </c:pt>
                <c:pt idx="2">
                  <c:v>1721.8</c:v>
                </c:pt>
                <c:pt idx="3">
                  <c:v>1482.375</c:v>
                </c:pt>
                <c:pt idx="4">
                  <c:v>1045.375</c:v>
                </c:pt>
              </c:numCache>
            </c:numRef>
          </c:val>
          <c:extLst>
            <c:ext xmlns:c16="http://schemas.microsoft.com/office/drawing/2014/chart" uri="{C3380CC4-5D6E-409C-BE32-E72D297353CC}">
              <c16:uniqueId val="{00000000-8CA0-7447-A224-F0A0D7A34160}"/>
            </c:ext>
          </c:extLst>
        </c:ser>
        <c:dLbls>
          <c:showLegendKey val="0"/>
          <c:showVal val="0"/>
          <c:showCatName val="0"/>
          <c:showSerName val="0"/>
          <c:showPercent val="0"/>
          <c:showBubbleSize val="0"/>
        </c:dLbls>
        <c:gapWidth val="200"/>
        <c:axId val="1649649775"/>
        <c:axId val="1644356223"/>
      </c:barChart>
      <c:lineChart>
        <c:grouping val="standard"/>
        <c:varyColors val="0"/>
        <c:ser>
          <c:idx val="1"/>
          <c:order val="0"/>
          <c:tx>
            <c:strRef>
              <c:f>'water pH + EC'!$K$4</c:f>
              <c:strCache>
                <c:ptCount val="1"/>
                <c:pt idx="0">
                  <c:v>Average water pH</c:v>
                </c:pt>
              </c:strCache>
            </c:strRef>
          </c:tx>
          <c:marker>
            <c:symbol val="none"/>
          </c:marker>
          <c:errBars>
            <c:errDir val="y"/>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pH + EC'!$J$5:$J$9</c:f>
              <c:strCache>
                <c:ptCount val="5"/>
                <c:pt idx="0">
                  <c:v>Coolac</c:v>
                </c:pt>
                <c:pt idx="1">
                  <c:v>Cootamundra</c:v>
                </c:pt>
                <c:pt idx="2">
                  <c:v>Bongongalong</c:v>
                </c:pt>
                <c:pt idx="3">
                  <c:v>Brawlins</c:v>
                </c:pt>
                <c:pt idx="4">
                  <c:v>Cootamundry</c:v>
                </c:pt>
              </c:strCache>
            </c:strRef>
          </c:cat>
          <c:val>
            <c:numRef>
              <c:f>'water pH + EC'!$K$5:$K$9</c:f>
              <c:numCache>
                <c:formatCode>0</c:formatCode>
                <c:ptCount val="5"/>
                <c:pt idx="0">
                  <c:v>8.1750000000000007</c:v>
                </c:pt>
                <c:pt idx="1">
                  <c:v>7.95</c:v>
                </c:pt>
                <c:pt idx="2">
                  <c:v>7.8987500000000015</c:v>
                </c:pt>
                <c:pt idx="3">
                  <c:v>7.7620000000000005</c:v>
                </c:pt>
                <c:pt idx="4">
                  <c:v>6.9050000000000002</c:v>
                </c:pt>
              </c:numCache>
            </c:numRef>
          </c:val>
          <c:smooth val="0"/>
          <c:extLst>
            <c:ext xmlns:c16="http://schemas.microsoft.com/office/drawing/2014/chart" uri="{C3380CC4-5D6E-409C-BE32-E72D297353CC}">
              <c16:uniqueId val="{00000001-8CA0-7447-A224-F0A0D7A34160}"/>
            </c:ext>
          </c:extLst>
        </c:ser>
        <c:dLbls>
          <c:showLegendKey val="0"/>
          <c:showVal val="0"/>
          <c:showCatName val="0"/>
          <c:showSerName val="0"/>
          <c:showPercent val="0"/>
          <c:showBubbleSize val="0"/>
        </c:dLbls>
        <c:marker val="1"/>
        <c:smooth val="0"/>
        <c:axId val="587645088"/>
        <c:axId val="588177568"/>
      </c:line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valAx>
        <c:axId val="1644356223"/>
        <c:scaling>
          <c:orientation val="minMax"/>
        </c:scaling>
        <c:delete val="0"/>
        <c:axPos val="r"/>
        <c:numFmt formatCode="0" sourceLinked="1"/>
        <c:majorTickMark val="out"/>
        <c:minorTickMark val="none"/>
        <c:tickLblPos val="nextTo"/>
        <c:crossAx val="1649649775"/>
        <c:crosses val="max"/>
        <c:crossBetween val="between"/>
      </c:valAx>
      <c:catAx>
        <c:axId val="1649649775"/>
        <c:scaling>
          <c:orientation val="minMax"/>
        </c:scaling>
        <c:delete val="1"/>
        <c:axPos val="b"/>
        <c:numFmt formatCode="General" sourceLinked="1"/>
        <c:majorTickMark val="out"/>
        <c:minorTickMark val="none"/>
        <c:tickLblPos val="nextTo"/>
        <c:crossAx val="1644356223"/>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water alkalinity (mmol L-1)</a:t>
            </a:r>
            <a:r>
              <a:rPr lang="en-AU" sz="1400" b="0" i="0" u="none" strike="noStrike" baseline="0"/>
              <a:t> </a:t>
            </a:r>
            <a:endParaRPr lang="en-US"/>
          </a:p>
        </c:rich>
      </c:tx>
      <c:overlay val="0"/>
      <c:spPr>
        <a:noFill/>
        <a:ln>
          <a:noFill/>
        </a:ln>
        <a:effectLst/>
      </c:spPr>
    </c:title>
    <c:autoTitleDeleted val="0"/>
    <c:plotArea>
      <c:layout/>
      <c:barChart>
        <c:barDir val="col"/>
        <c:grouping val="clustered"/>
        <c:varyColors val="0"/>
        <c:ser>
          <c:idx val="0"/>
          <c:order val="0"/>
          <c:tx>
            <c:strRef>
              <c:f>'Water - alkalinity'!$O$25</c:f>
              <c:strCache>
                <c:ptCount val="1"/>
                <c:pt idx="0">
                  <c:v>Average water alkalinity (mmol L-1)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 alkalinity'!$N$26:$N$30</c:f>
              <c:strCache>
                <c:ptCount val="5"/>
                <c:pt idx="0">
                  <c:v>Cootamundry</c:v>
                </c:pt>
                <c:pt idx="1">
                  <c:v>Cootamundra</c:v>
                </c:pt>
                <c:pt idx="2">
                  <c:v>Bongongalong</c:v>
                </c:pt>
                <c:pt idx="3">
                  <c:v>Brawlins</c:v>
                </c:pt>
                <c:pt idx="4">
                  <c:v>Coolac</c:v>
                </c:pt>
              </c:strCache>
            </c:strRef>
          </c:cat>
          <c:val>
            <c:numRef>
              <c:f>'Water - alkalinity'!$O$26:$O$30</c:f>
              <c:numCache>
                <c:formatCode>0.000</c:formatCode>
                <c:ptCount val="5"/>
                <c:pt idx="0">
                  <c:v>7.7366666666666655</c:v>
                </c:pt>
                <c:pt idx="1">
                  <c:v>5.3599999999999994</c:v>
                </c:pt>
                <c:pt idx="2">
                  <c:v>4.9933333333333332</c:v>
                </c:pt>
                <c:pt idx="3">
                  <c:v>3.3966666666666669</c:v>
                </c:pt>
                <c:pt idx="4">
                  <c:v>0.89999999999999991</c:v>
                </c:pt>
              </c:numCache>
            </c:numRef>
          </c:val>
          <c:extLst>
            <c:ext xmlns:c16="http://schemas.microsoft.com/office/drawing/2014/chart" uri="{C3380CC4-5D6E-409C-BE32-E72D297353CC}">
              <c16:uniqueId val="{00000000-402A-9A43-844D-80E29EF0B5FA}"/>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P absorbance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'Lab soil data'!$K$40:$K$42</c:f>
              <c:numCache>
                <c:formatCode>General</c:formatCode>
                <c:ptCount val="3"/>
                <c:pt idx="0">
                  <c:v>0.04</c:v>
                </c:pt>
                <c:pt idx="1">
                  <c:v>0.12</c:v>
                </c:pt>
                <c:pt idx="2">
                  <c:v>0.21</c:v>
                </c:pt>
              </c:numCache>
            </c:numRef>
          </c:xVal>
          <c:yVal>
            <c:numRef>
              <c:f>'Lab soil data'!$J$40:$J$42</c:f>
              <c:numCache>
                <c:formatCode>General</c:formatCode>
                <c:ptCount val="3"/>
                <c:pt idx="0">
                  <c:v>1</c:v>
                </c:pt>
                <c:pt idx="1">
                  <c:v>2</c:v>
                </c:pt>
                <c:pt idx="2">
                  <c:v>4</c:v>
                </c:pt>
              </c:numCache>
            </c:numRef>
          </c:yVal>
          <c:smooth val="0"/>
          <c:extLst>
            <c:ext xmlns:c16="http://schemas.microsoft.com/office/drawing/2014/chart" uri="{C3380CC4-5D6E-409C-BE32-E72D297353CC}">
              <c16:uniqueId val="{00000000-2EDC-934A-A67E-B42C30E20E53}"/>
            </c:ext>
          </c:extLst>
        </c:ser>
        <c:dLbls>
          <c:showLegendKey val="0"/>
          <c:showVal val="0"/>
          <c:showCatName val="0"/>
          <c:showSerName val="0"/>
          <c:showPercent val="0"/>
          <c:showBubbleSize val="0"/>
        </c:dLbls>
        <c:axId val="583453856"/>
        <c:axId val="588519184"/>
      </c:scatterChart>
      <c:valAx>
        <c:axId val="58345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Absorbance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19184"/>
        <c:crosses val="autoZero"/>
        <c:crossBetween val="midCat"/>
      </c:valAx>
      <c:valAx>
        <c:axId val="58851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 Standard (mg L-1)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5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dissolved P (in mg L-1)</a:t>
            </a:r>
          </a:p>
          <a:p>
            <a:pPr>
              <a:defRPr/>
            </a:pPr>
            <a:r>
              <a:rPr lang="en-US"/>
              <a:t>(</a:t>
            </a:r>
            <a:r>
              <a:rPr lang="en-AU" sz="1400" b="0" i="0" u="none" strike="noStrike" baseline="0">
                <a:effectLst/>
              </a:rPr>
              <a:t>Error bars represent ±1 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'Lab water data'!$Y$4</c:f>
              <c:strCache>
                <c:ptCount val="1"/>
                <c:pt idx="0">
                  <c:v>Average dissolved P (in mg L-1)</c:v>
                </c:pt>
              </c:strCache>
            </c:strRef>
          </c:tx>
          <c:spPr>
            <a:solidFill>
              <a:schemeClr val="accent1">
                <a:lumMod val="60000"/>
                <a:lumOff val="40000"/>
              </a:schemeClr>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19D1-DE43-B267-E73785AD5640}"/>
              </c:ext>
            </c:extLst>
          </c:dPt>
          <c:dPt>
            <c:idx val="1"/>
            <c:invertIfNegative val="0"/>
            <c:bubble3D val="0"/>
            <c:spPr>
              <a:solidFill>
                <a:srgbClr val="0070C0"/>
              </a:solidFill>
              <a:ln>
                <a:noFill/>
              </a:ln>
              <a:effectLst/>
            </c:spPr>
            <c:extLst>
              <c:ext xmlns:c16="http://schemas.microsoft.com/office/drawing/2014/chart" uri="{C3380CC4-5D6E-409C-BE32-E72D297353CC}">
                <c16:uniqueId val="{00000003-19D1-DE43-B267-E73785AD5640}"/>
              </c:ext>
            </c:extLst>
          </c:dPt>
          <c:dPt>
            <c:idx val="2"/>
            <c:invertIfNegative val="0"/>
            <c:bubble3D val="0"/>
            <c:spPr>
              <a:solidFill>
                <a:srgbClr val="00B050"/>
              </a:solidFill>
              <a:ln>
                <a:noFill/>
              </a:ln>
              <a:effectLst/>
            </c:spPr>
            <c:extLst>
              <c:ext xmlns:c16="http://schemas.microsoft.com/office/drawing/2014/chart" uri="{C3380CC4-5D6E-409C-BE32-E72D297353CC}">
                <c16:uniqueId val="{00000005-19D1-DE43-B267-E73785AD5640}"/>
              </c:ext>
            </c:extLst>
          </c:dPt>
          <c:dPt>
            <c:idx val="3"/>
            <c:invertIfNegative val="0"/>
            <c:bubble3D val="0"/>
            <c:spPr>
              <a:solidFill>
                <a:srgbClr val="FFC000"/>
              </a:solidFill>
              <a:ln>
                <a:noFill/>
              </a:ln>
              <a:effectLst/>
            </c:spPr>
            <c:extLst>
              <c:ext xmlns:c16="http://schemas.microsoft.com/office/drawing/2014/chart" uri="{C3380CC4-5D6E-409C-BE32-E72D297353CC}">
                <c16:uniqueId val="{00000007-19D1-DE43-B267-E73785AD5640}"/>
              </c:ext>
            </c:extLst>
          </c:dPt>
          <c:dPt>
            <c:idx val="4"/>
            <c:invertIfNegative val="0"/>
            <c:bubble3D val="0"/>
            <c:spPr>
              <a:solidFill>
                <a:srgbClr val="FF0000"/>
              </a:solidFill>
              <a:ln>
                <a:noFill/>
              </a:ln>
              <a:effectLst/>
            </c:spPr>
            <c:extLst>
              <c:ext xmlns:c16="http://schemas.microsoft.com/office/drawing/2014/chart" uri="{C3380CC4-5D6E-409C-BE32-E72D297353CC}">
                <c16:uniqueId val="{00000009-19D1-DE43-B267-E73785AD5640}"/>
              </c:ext>
            </c:extLst>
          </c:dPt>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'Lab water data'!$X$5:$X$9</c:f>
              <c:strCache>
                <c:ptCount val="5"/>
                <c:pt idx="0">
                  <c:v>Coolac</c:v>
                </c:pt>
                <c:pt idx="1">
                  <c:v>Brawlins Rd</c:v>
                </c:pt>
                <c:pt idx="2">
                  <c:v>Cootamundry</c:v>
                </c:pt>
                <c:pt idx="3">
                  <c:v>Cootamundra</c:v>
                </c:pt>
                <c:pt idx="4">
                  <c:v>Bongongalong</c:v>
                </c:pt>
              </c:strCache>
            </c:strRef>
          </c:cat>
          <c:val>
            <c:numRef>
              <c:f>'Lab water data'!$Y$5:$Y$9</c:f>
              <c:numCache>
                <c:formatCode>General</c:formatCode>
                <c:ptCount val="5"/>
                <c:pt idx="0">
                  <c:v>1.4023210831800001</c:v>
                </c:pt>
                <c:pt idx="1">
                  <c:v>1.266924564804</c:v>
                </c:pt>
                <c:pt idx="2">
                  <c:v>0.61895551257600001</c:v>
                </c:pt>
                <c:pt idx="3">
                  <c:v>0.47872340425799997</c:v>
                </c:pt>
                <c:pt idx="4">
                  <c:v>0.35976789168480006</c:v>
                </c:pt>
              </c:numCache>
            </c:numRef>
          </c:val>
          <c:extLst>
            <c:ext xmlns:c16="http://schemas.microsoft.com/office/drawing/2014/chart" uri="{C3380CC4-5D6E-409C-BE32-E72D297353CC}">
              <c16:uniqueId val="{0000000A-19D1-DE43-B267-E73785AD5640}"/>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P standard curve (Table 5.6)</a:t>
            </a:r>
            <a:r>
              <a:rPr lang="en-AU"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'Lab soil data'!$N$91:$N$94</c:f>
              <c:numCache>
                <c:formatCode>General</c:formatCode>
                <c:ptCount val="4"/>
                <c:pt idx="0">
                  <c:v>1.2E-2</c:v>
                </c:pt>
                <c:pt idx="1">
                  <c:v>3.6999999999999998E-2</c:v>
                </c:pt>
                <c:pt idx="2">
                  <c:v>7.8E-2</c:v>
                </c:pt>
                <c:pt idx="3">
                  <c:v>0.14499999999999999</c:v>
                </c:pt>
              </c:numCache>
            </c:numRef>
          </c:xVal>
          <c:yVal>
            <c:numRef>
              <c:f>'Lab soil data'!$M$91:$M$94</c:f>
              <c:numCache>
                <c:formatCode>General</c:formatCode>
                <c:ptCount val="4"/>
                <c:pt idx="0">
                  <c:v>0.2</c:v>
                </c:pt>
                <c:pt idx="1">
                  <c:v>0.5</c:v>
                </c:pt>
                <c:pt idx="2">
                  <c:v>1</c:v>
                </c:pt>
                <c:pt idx="3">
                  <c:v>2</c:v>
                </c:pt>
              </c:numCache>
            </c:numRef>
          </c:yVal>
          <c:smooth val="0"/>
          <c:extLst>
            <c:ext xmlns:c16="http://schemas.microsoft.com/office/drawing/2014/chart" uri="{C3380CC4-5D6E-409C-BE32-E72D297353CC}">
              <c16:uniqueId val="{00000001-DF27-3541-A7DC-2D6A31B9B3A5}"/>
            </c:ext>
          </c:extLst>
        </c:ser>
        <c:dLbls>
          <c:showLegendKey val="0"/>
          <c:showVal val="0"/>
          <c:showCatName val="0"/>
          <c:showSerName val="0"/>
          <c:showPercent val="0"/>
          <c:showBubbleSize val="0"/>
        </c:dLbls>
        <c:axId val="583453856"/>
        <c:axId val="588519184"/>
      </c:scatterChart>
      <c:valAx>
        <c:axId val="58345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Absorbance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19184"/>
        <c:crosses val="autoZero"/>
        <c:crossBetween val="midCat"/>
      </c:valAx>
      <c:valAx>
        <c:axId val="588519184"/>
        <c:scaling>
          <c:orientation val="minMax"/>
          <c:max val="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 standard (mg L-1)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53856"/>
        <c:crosses val="autoZero"/>
        <c:crossBetween val="midCat"/>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Agriculture sites average pH</a:t>
            </a:r>
            <a:r>
              <a:rPr lang="en-AU" sz="1400" b="0" i="0" u="none" strike="noStrike" baseline="0"/>
              <a:t> vs EC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'Soil - H2O, C, pH + Ec'!$X$45</c:f>
              <c:strCache>
                <c:ptCount val="1"/>
                <c:pt idx="0">
                  <c:v>Agriculture EC (mS cm-1)</c:v>
                </c:pt>
              </c:strCache>
            </c:strRef>
          </c:tx>
          <c:spPr>
            <a:solidFill>
              <a:schemeClr val="accent2"/>
            </a:solidFill>
            <a:ln>
              <a:noFill/>
            </a:ln>
            <a:effectLst/>
          </c:spPr>
          <c:invertIfNegative val="0"/>
          <c:cat>
            <c:strRef>
              <c:f>'Soil - H2O, C, pH + Ec'!$V$46:$V$48</c:f>
              <c:strCache>
                <c:ptCount val="3"/>
                <c:pt idx="0">
                  <c:v>0-10cm</c:v>
                </c:pt>
                <c:pt idx="1">
                  <c:v>10-20cm</c:v>
                </c:pt>
                <c:pt idx="2">
                  <c:v>20-30cm</c:v>
                </c:pt>
              </c:strCache>
            </c:strRef>
          </c:cat>
          <c:val>
            <c:numRef>
              <c:f>'Soil - H2O, C, pH + Ec'!$X$46:$X$48</c:f>
              <c:numCache>
                <c:formatCode>General</c:formatCode>
                <c:ptCount val="3"/>
                <c:pt idx="0">
                  <c:v>112.04249999999999</c:v>
                </c:pt>
                <c:pt idx="1">
                  <c:v>85.074999999999989</c:v>
                </c:pt>
                <c:pt idx="2">
                  <c:v>113.85</c:v>
                </c:pt>
              </c:numCache>
            </c:numRef>
          </c:val>
          <c:extLst>
            <c:ext xmlns:c16="http://schemas.microsoft.com/office/drawing/2014/chart" uri="{C3380CC4-5D6E-409C-BE32-E72D297353CC}">
              <c16:uniqueId val="{00000004-CE27-F24D-813B-F1A4327627A4}"/>
            </c:ext>
          </c:extLst>
        </c:ser>
        <c:dLbls>
          <c:showLegendKey val="0"/>
          <c:showVal val="0"/>
          <c:showCatName val="0"/>
          <c:showSerName val="0"/>
          <c:showPercent val="0"/>
          <c:showBubbleSize val="0"/>
        </c:dLbls>
        <c:gapWidth val="219"/>
        <c:overlap val="-27"/>
        <c:axId val="252988991"/>
        <c:axId val="410023327"/>
      </c:barChart>
      <c:lineChart>
        <c:grouping val="standard"/>
        <c:varyColors val="0"/>
        <c:ser>
          <c:idx val="0"/>
          <c:order val="0"/>
          <c:tx>
            <c:strRef>
              <c:f>'Soil - H2O, C, pH + Ec'!$W$45</c:f>
              <c:strCache>
                <c:ptCount val="1"/>
                <c:pt idx="0">
                  <c:v>Agriculture average pH</c:v>
                </c:pt>
              </c:strCache>
            </c:strRef>
          </c:tx>
          <c:spPr>
            <a:ln w="28575" cap="rnd">
              <a:solidFill>
                <a:schemeClr val="accent1"/>
              </a:solidFill>
              <a:round/>
            </a:ln>
            <a:effectLst/>
          </c:spPr>
          <c:marker>
            <c:symbol val="none"/>
          </c:marker>
          <c:cat>
            <c:strRef>
              <c:f>'Soil - H2O, C, pH + Ec'!$V$46:$V$48</c:f>
              <c:strCache>
                <c:ptCount val="3"/>
                <c:pt idx="0">
                  <c:v>0-10cm</c:v>
                </c:pt>
                <c:pt idx="1">
                  <c:v>10-20cm</c:v>
                </c:pt>
                <c:pt idx="2">
                  <c:v>20-30cm</c:v>
                </c:pt>
              </c:strCache>
            </c:strRef>
          </c:cat>
          <c:val>
            <c:numRef>
              <c:f>'Soil - H2O, C, pH + Ec'!$W$46:$W$48</c:f>
              <c:numCache>
                <c:formatCode>General</c:formatCode>
                <c:ptCount val="3"/>
                <c:pt idx="0">
                  <c:v>5.3414999999999999</c:v>
                </c:pt>
                <c:pt idx="1">
                  <c:v>6.2919999999999998</c:v>
                </c:pt>
                <c:pt idx="2">
                  <c:v>6.2509999999999994</c:v>
                </c:pt>
              </c:numCache>
            </c:numRef>
          </c:val>
          <c:smooth val="0"/>
          <c:extLst>
            <c:ext xmlns:c16="http://schemas.microsoft.com/office/drawing/2014/chart" uri="{C3380CC4-5D6E-409C-BE32-E72D297353CC}">
              <c16:uniqueId val="{00000000-CE27-F24D-813B-F1A4327627A4}"/>
            </c:ext>
          </c:extLst>
        </c:ser>
        <c:dLbls>
          <c:showLegendKey val="0"/>
          <c:showVal val="0"/>
          <c:showCatName val="0"/>
          <c:showSerName val="0"/>
          <c:showPercent val="0"/>
          <c:showBubbleSize val="0"/>
        </c:dLbls>
        <c:marker val="1"/>
        <c:smooth val="0"/>
        <c:axId val="248117007"/>
        <c:axId val="247608447"/>
      </c:lineChart>
      <c:catAx>
        <c:axId val="248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08447"/>
        <c:crosses val="autoZero"/>
        <c:auto val="1"/>
        <c:lblAlgn val="ctr"/>
        <c:lblOffset val="100"/>
        <c:noMultiLvlLbl val="0"/>
      </c:catAx>
      <c:valAx>
        <c:axId val="2476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7007"/>
        <c:crosses val="autoZero"/>
        <c:crossBetween val="between"/>
      </c:valAx>
      <c:valAx>
        <c:axId val="410023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88991"/>
        <c:crosses val="max"/>
        <c:crossBetween val="between"/>
      </c:valAx>
      <c:catAx>
        <c:axId val="252988991"/>
        <c:scaling>
          <c:orientation val="minMax"/>
        </c:scaling>
        <c:delete val="1"/>
        <c:axPos val="b"/>
        <c:numFmt formatCode="General" sourceLinked="1"/>
        <c:majorTickMark val="out"/>
        <c:minorTickMark val="none"/>
        <c:tickLblPos val="nextTo"/>
        <c:crossAx val="4100233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Indigenous average pH</a:t>
            </a:r>
            <a:r>
              <a:rPr lang="en-AU" sz="1400" b="0" i="0" u="none" strike="noStrike" baseline="0"/>
              <a:t>  vs EC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'Soil - H2O, C, pH + Ec'!$X$55</c:f>
              <c:strCache>
                <c:ptCount val="1"/>
                <c:pt idx="0">
                  <c:v>Indigenous EC (mS cm-1)</c:v>
                </c:pt>
              </c:strCache>
            </c:strRef>
          </c:tx>
          <c:spPr>
            <a:solidFill>
              <a:schemeClr val="accent2"/>
            </a:solidFill>
            <a:ln>
              <a:noFill/>
            </a:ln>
            <a:effectLst/>
          </c:spPr>
          <c:invertIfNegative val="0"/>
          <c:cat>
            <c:strRef>
              <c:f>'Soil - H2O, C, pH + Ec'!$V$56:$V$58</c:f>
              <c:strCache>
                <c:ptCount val="3"/>
                <c:pt idx="0">
                  <c:v>0-10cm</c:v>
                </c:pt>
                <c:pt idx="1">
                  <c:v>10-20cm</c:v>
                </c:pt>
                <c:pt idx="2">
                  <c:v>20-30cm</c:v>
                </c:pt>
              </c:strCache>
            </c:strRef>
          </c:cat>
          <c:val>
            <c:numRef>
              <c:f>'Soil - H2O, C, pH + Ec'!$X$56:$X$58</c:f>
              <c:numCache>
                <c:formatCode>General</c:formatCode>
                <c:ptCount val="3"/>
                <c:pt idx="0">
                  <c:v>80.55</c:v>
                </c:pt>
                <c:pt idx="1">
                  <c:v>153.32499999999999</c:v>
                </c:pt>
                <c:pt idx="2">
                  <c:v>237.67500000000001</c:v>
                </c:pt>
              </c:numCache>
            </c:numRef>
          </c:val>
          <c:extLst>
            <c:ext xmlns:c16="http://schemas.microsoft.com/office/drawing/2014/chart" uri="{C3380CC4-5D6E-409C-BE32-E72D297353CC}">
              <c16:uniqueId val="{00000001-3DE4-5646-A13F-60E1426A5872}"/>
            </c:ext>
          </c:extLst>
        </c:ser>
        <c:dLbls>
          <c:showLegendKey val="0"/>
          <c:showVal val="0"/>
          <c:showCatName val="0"/>
          <c:showSerName val="0"/>
          <c:showPercent val="0"/>
          <c:showBubbleSize val="0"/>
        </c:dLbls>
        <c:gapWidth val="219"/>
        <c:overlap val="-27"/>
        <c:axId val="248117007"/>
        <c:axId val="247608447"/>
      </c:barChart>
      <c:lineChart>
        <c:grouping val="standard"/>
        <c:varyColors val="0"/>
        <c:ser>
          <c:idx val="0"/>
          <c:order val="0"/>
          <c:tx>
            <c:strRef>
              <c:f>'Soil - H2O, C, pH + Ec'!$W$55</c:f>
              <c:strCache>
                <c:ptCount val="1"/>
                <c:pt idx="0">
                  <c:v>Indigenous average pH</c:v>
                </c:pt>
              </c:strCache>
            </c:strRef>
          </c:tx>
          <c:spPr>
            <a:ln w="28575" cap="rnd">
              <a:solidFill>
                <a:schemeClr val="accent1"/>
              </a:solidFill>
              <a:round/>
            </a:ln>
            <a:effectLst/>
          </c:spPr>
          <c:marker>
            <c:symbol val="none"/>
          </c:marker>
          <c:cat>
            <c:strRef>
              <c:f>'Soil - H2O, C, pH + Ec'!$V$56:$V$58</c:f>
              <c:strCache>
                <c:ptCount val="3"/>
                <c:pt idx="0">
                  <c:v>0-10cm</c:v>
                </c:pt>
                <c:pt idx="1">
                  <c:v>10-20cm</c:v>
                </c:pt>
                <c:pt idx="2">
                  <c:v>20-30cm</c:v>
                </c:pt>
              </c:strCache>
            </c:strRef>
          </c:cat>
          <c:val>
            <c:numRef>
              <c:f>'Soil - H2O, C, pH + Ec'!$W$56:$W$58</c:f>
              <c:numCache>
                <c:formatCode>General</c:formatCode>
                <c:ptCount val="3"/>
                <c:pt idx="0">
                  <c:v>6.2115</c:v>
                </c:pt>
                <c:pt idx="1">
                  <c:v>6.1989999999999998</c:v>
                </c:pt>
                <c:pt idx="2">
                  <c:v>5.6974999999999998</c:v>
                </c:pt>
              </c:numCache>
            </c:numRef>
          </c:val>
          <c:smooth val="0"/>
          <c:extLst>
            <c:ext xmlns:c16="http://schemas.microsoft.com/office/drawing/2014/chart" uri="{C3380CC4-5D6E-409C-BE32-E72D297353CC}">
              <c16:uniqueId val="{00000000-3DE4-5646-A13F-60E1426A5872}"/>
            </c:ext>
          </c:extLst>
        </c:ser>
        <c:dLbls>
          <c:showLegendKey val="0"/>
          <c:showVal val="0"/>
          <c:showCatName val="0"/>
          <c:showSerName val="0"/>
          <c:showPercent val="0"/>
          <c:showBubbleSize val="0"/>
        </c:dLbls>
        <c:marker val="1"/>
        <c:smooth val="0"/>
        <c:axId val="245302383"/>
        <c:axId val="250928879"/>
      </c:lineChart>
      <c:catAx>
        <c:axId val="248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08447"/>
        <c:crosses val="autoZero"/>
        <c:auto val="1"/>
        <c:lblAlgn val="ctr"/>
        <c:lblOffset val="100"/>
        <c:noMultiLvlLbl val="0"/>
      </c:catAx>
      <c:valAx>
        <c:axId val="2476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7007"/>
        <c:crosses val="autoZero"/>
        <c:crossBetween val="between"/>
      </c:valAx>
      <c:valAx>
        <c:axId val="250928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02383"/>
        <c:crosses val="max"/>
        <c:crossBetween val="between"/>
      </c:valAx>
      <c:catAx>
        <c:axId val="245302383"/>
        <c:scaling>
          <c:orientation val="minMax"/>
        </c:scaling>
        <c:delete val="1"/>
        <c:axPos val="b"/>
        <c:numFmt formatCode="General" sourceLinked="1"/>
        <c:majorTickMark val="out"/>
        <c:minorTickMark val="none"/>
        <c:tickLblPos val="nextTo"/>
        <c:crossAx val="2509288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Soil pH vs EC</a:t>
            </a:r>
            <a:endParaRPr lang="en-GB"/>
          </a:p>
        </c:rich>
      </c:tx>
      <c:overlay val="0"/>
      <c:spPr>
        <a:noFill/>
        <a:ln>
          <a:noFill/>
        </a:ln>
        <a:effectLst/>
      </c:spPr>
    </c:title>
    <c:autoTitleDeleted val="0"/>
    <c:plotArea>
      <c:layout/>
      <c:barChart>
        <c:barDir val="col"/>
        <c:grouping val="clustered"/>
        <c:varyColors val="0"/>
        <c:ser>
          <c:idx val="2"/>
          <c:order val="0"/>
          <c:tx>
            <c:strRef>
              <c:f>'Soil - H2O, C, pH + Ec'!$X$45</c:f>
              <c:strCache>
                <c:ptCount val="1"/>
                <c:pt idx="0">
                  <c:v>Agriculture EC (mS cm-1)</c:v>
                </c:pt>
              </c:strCache>
            </c:strRef>
          </c:tx>
          <c:spPr>
            <a:solidFill>
              <a:schemeClr val="accent2">
                <a:lumMod val="60000"/>
                <a:lumOff val="40000"/>
              </a:schemeClr>
            </a:solidFill>
            <a:ln>
              <a:noFill/>
            </a:ln>
          </c:spPr>
          <c:invertIfNegative val="0"/>
          <c:cat>
            <c:strRef>
              <c:f>'Soil - H2O, C, pH + Ec'!$V$46:$V$48</c:f>
              <c:strCache>
                <c:ptCount val="3"/>
                <c:pt idx="0">
                  <c:v>0-10cm</c:v>
                </c:pt>
                <c:pt idx="1">
                  <c:v>10-20cm</c:v>
                </c:pt>
                <c:pt idx="2">
                  <c:v>20-30cm</c:v>
                </c:pt>
              </c:strCache>
            </c:strRef>
          </c:cat>
          <c:val>
            <c:numRef>
              <c:f>'Soil - H2O, C, pH + Ec'!$X$46:$X$48</c:f>
              <c:numCache>
                <c:formatCode>General</c:formatCode>
                <c:ptCount val="3"/>
                <c:pt idx="0">
                  <c:v>112.04249999999999</c:v>
                </c:pt>
                <c:pt idx="1">
                  <c:v>85.074999999999989</c:v>
                </c:pt>
                <c:pt idx="2">
                  <c:v>113.85</c:v>
                </c:pt>
              </c:numCache>
            </c:numRef>
          </c:val>
          <c:extLst>
            <c:ext xmlns:c16="http://schemas.microsoft.com/office/drawing/2014/chart" uri="{C3380CC4-5D6E-409C-BE32-E72D297353CC}">
              <c16:uniqueId val="{00000006-D176-C34A-8B16-99F7FE3B0CE0}"/>
            </c:ext>
          </c:extLst>
        </c:ser>
        <c:ser>
          <c:idx val="1"/>
          <c:order val="3"/>
          <c:tx>
            <c:strRef>
              <c:f>'Soil - H2O, C, pH + Ec'!$X$55</c:f>
              <c:strCache>
                <c:ptCount val="1"/>
                <c:pt idx="0">
                  <c:v>Indigenous EC (mS cm-1)</c:v>
                </c:pt>
              </c:strCache>
            </c:strRef>
          </c:tx>
          <c:spPr>
            <a:solidFill>
              <a:schemeClr val="accent6">
                <a:lumMod val="60000"/>
                <a:lumOff val="40000"/>
              </a:schemeClr>
            </a:solidFill>
            <a:ln>
              <a:noFill/>
            </a:ln>
            <a:effectLst/>
          </c:spPr>
          <c:invertIfNegative val="0"/>
          <c:cat>
            <c:strRef>
              <c:f>'Soil - H2O, C, pH + Ec'!$V$56:$V$58</c:f>
              <c:strCache>
                <c:ptCount val="3"/>
                <c:pt idx="0">
                  <c:v>0-10cm</c:v>
                </c:pt>
                <c:pt idx="1">
                  <c:v>10-20cm</c:v>
                </c:pt>
                <c:pt idx="2">
                  <c:v>20-30cm</c:v>
                </c:pt>
              </c:strCache>
            </c:strRef>
          </c:cat>
          <c:val>
            <c:numRef>
              <c:f>'Soil - H2O, C, pH + Ec'!$X$56:$X$58</c:f>
              <c:numCache>
                <c:formatCode>General</c:formatCode>
                <c:ptCount val="3"/>
                <c:pt idx="0">
                  <c:v>80.55</c:v>
                </c:pt>
                <c:pt idx="1">
                  <c:v>153.32499999999999</c:v>
                </c:pt>
                <c:pt idx="2">
                  <c:v>237.67500000000001</c:v>
                </c:pt>
              </c:numCache>
            </c:numRef>
          </c:val>
          <c:extLst>
            <c:ext xmlns:c16="http://schemas.microsoft.com/office/drawing/2014/chart" uri="{C3380CC4-5D6E-409C-BE32-E72D297353CC}">
              <c16:uniqueId val="{00000003-D176-C34A-8B16-99F7FE3B0CE0}"/>
            </c:ext>
          </c:extLst>
        </c:ser>
        <c:dLbls>
          <c:showLegendKey val="0"/>
          <c:showVal val="0"/>
          <c:showCatName val="0"/>
          <c:showSerName val="0"/>
          <c:showPercent val="0"/>
          <c:showBubbleSize val="0"/>
        </c:dLbls>
        <c:gapWidth val="219"/>
        <c:overlap val="-27"/>
        <c:axId val="248117007"/>
        <c:axId val="247608447"/>
      </c:barChart>
      <c:lineChart>
        <c:grouping val="standard"/>
        <c:varyColors val="0"/>
        <c:ser>
          <c:idx val="3"/>
          <c:order val="1"/>
          <c:tx>
            <c:strRef>
              <c:f>'Soil - H2O, C, pH + Ec'!$W$45</c:f>
              <c:strCache>
                <c:ptCount val="1"/>
                <c:pt idx="0">
                  <c:v>Agriculture average pH</c:v>
                </c:pt>
              </c:strCache>
            </c:strRef>
          </c:tx>
          <c:spPr>
            <a:ln>
              <a:solidFill>
                <a:schemeClr val="accent2"/>
              </a:solidFill>
            </a:ln>
          </c:spPr>
          <c:marker>
            <c:symbol val="none"/>
          </c:marker>
          <c:cat>
            <c:strRef>
              <c:f>'Soil - H2O, C, pH + Ec'!$V$46:$V$48</c:f>
              <c:strCache>
                <c:ptCount val="3"/>
                <c:pt idx="0">
                  <c:v>0-10cm</c:v>
                </c:pt>
                <c:pt idx="1">
                  <c:v>10-20cm</c:v>
                </c:pt>
                <c:pt idx="2">
                  <c:v>20-30cm</c:v>
                </c:pt>
              </c:strCache>
            </c:strRef>
          </c:cat>
          <c:val>
            <c:numRef>
              <c:f>'Soil - H2O, C, pH + Ec'!$W$46:$W$48</c:f>
              <c:numCache>
                <c:formatCode>General</c:formatCode>
                <c:ptCount val="3"/>
                <c:pt idx="0">
                  <c:v>5.3414999999999999</c:v>
                </c:pt>
                <c:pt idx="1">
                  <c:v>6.2919999999999998</c:v>
                </c:pt>
                <c:pt idx="2">
                  <c:v>6.2509999999999994</c:v>
                </c:pt>
              </c:numCache>
            </c:numRef>
          </c:val>
          <c:smooth val="0"/>
          <c:extLst>
            <c:ext xmlns:c16="http://schemas.microsoft.com/office/drawing/2014/chart" uri="{C3380CC4-5D6E-409C-BE32-E72D297353CC}">
              <c16:uniqueId val="{00000007-D176-C34A-8B16-99F7FE3B0CE0}"/>
            </c:ext>
          </c:extLst>
        </c:ser>
        <c:ser>
          <c:idx val="0"/>
          <c:order val="2"/>
          <c:tx>
            <c:strRef>
              <c:f>'Soil - H2O, C, pH + Ec'!$W$55</c:f>
              <c:strCache>
                <c:ptCount val="1"/>
                <c:pt idx="0">
                  <c:v>Indigenous average pH</c:v>
                </c:pt>
              </c:strCache>
            </c:strRef>
          </c:tx>
          <c:spPr>
            <a:ln w="28575" cap="rnd">
              <a:solidFill>
                <a:schemeClr val="accent6"/>
              </a:solidFill>
              <a:round/>
            </a:ln>
            <a:effectLst/>
          </c:spPr>
          <c:marker>
            <c:symbol val="none"/>
          </c:marker>
          <c:cat>
            <c:strRef>
              <c:f>'Soil - H2O, C, pH + Ec'!$V$56:$V$58</c:f>
              <c:strCache>
                <c:ptCount val="3"/>
                <c:pt idx="0">
                  <c:v>0-10cm</c:v>
                </c:pt>
                <c:pt idx="1">
                  <c:v>10-20cm</c:v>
                </c:pt>
                <c:pt idx="2">
                  <c:v>20-30cm</c:v>
                </c:pt>
              </c:strCache>
            </c:strRef>
          </c:cat>
          <c:val>
            <c:numRef>
              <c:f>'Soil - H2O, C, pH + Ec'!$W$56:$W$58</c:f>
              <c:numCache>
                <c:formatCode>General</c:formatCode>
                <c:ptCount val="3"/>
                <c:pt idx="0">
                  <c:v>6.2115</c:v>
                </c:pt>
                <c:pt idx="1">
                  <c:v>6.1989999999999998</c:v>
                </c:pt>
                <c:pt idx="2">
                  <c:v>5.6974999999999998</c:v>
                </c:pt>
              </c:numCache>
            </c:numRef>
          </c:val>
          <c:smooth val="0"/>
          <c:extLst>
            <c:ext xmlns:c16="http://schemas.microsoft.com/office/drawing/2014/chart" uri="{C3380CC4-5D6E-409C-BE32-E72D297353CC}">
              <c16:uniqueId val="{00000005-D176-C34A-8B16-99F7FE3B0CE0}"/>
            </c:ext>
          </c:extLst>
        </c:ser>
        <c:dLbls>
          <c:showLegendKey val="0"/>
          <c:showVal val="0"/>
          <c:showCatName val="0"/>
          <c:showSerName val="0"/>
          <c:showPercent val="0"/>
          <c:showBubbleSize val="0"/>
        </c:dLbls>
        <c:marker val="1"/>
        <c:smooth val="0"/>
        <c:axId val="245302383"/>
        <c:axId val="250928879"/>
      </c:lineChart>
      <c:catAx>
        <c:axId val="248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08447"/>
        <c:crosses val="autoZero"/>
        <c:auto val="1"/>
        <c:lblAlgn val="ctr"/>
        <c:lblOffset val="100"/>
        <c:noMultiLvlLbl val="0"/>
      </c:catAx>
      <c:valAx>
        <c:axId val="2476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7007"/>
        <c:crosses val="autoZero"/>
        <c:crossBetween val="between"/>
      </c:valAx>
      <c:valAx>
        <c:axId val="250928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02383"/>
        <c:crosses val="max"/>
        <c:crossBetween val="between"/>
      </c:valAx>
      <c:catAx>
        <c:axId val="245302383"/>
        <c:scaling>
          <c:orientation val="minMax"/>
        </c:scaling>
        <c:delete val="1"/>
        <c:axPos val="b"/>
        <c:numFmt formatCode="General" sourceLinked="1"/>
        <c:majorTickMark val="out"/>
        <c:minorTickMark val="none"/>
        <c:tickLblPos val="nextTo"/>
        <c:crossAx val="250928879"/>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Carbon (%) vs organic matter</a:t>
            </a:r>
            <a:endParaRPr lang="en-GB"/>
          </a:p>
        </c:rich>
      </c:tx>
      <c:overlay val="0"/>
      <c:spPr>
        <a:noFill/>
        <a:ln>
          <a:noFill/>
        </a:ln>
        <a:effectLst/>
      </c:spPr>
    </c:title>
    <c:autoTitleDeleted val="0"/>
    <c:plotArea>
      <c:layout/>
      <c:barChart>
        <c:barDir val="col"/>
        <c:grouping val="clustered"/>
        <c:varyColors val="0"/>
        <c:ser>
          <c:idx val="0"/>
          <c:order val="2"/>
          <c:tx>
            <c:strRef>
              <c:f>'Soil - H2O, C, pH + Ec'!$Q$31</c:f>
              <c:strCache>
                <c:ptCount val="1"/>
                <c:pt idx="0">
                  <c:v>Indigenous average soil organic matter</c:v>
                </c:pt>
              </c:strCache>
            </c:strRef>
          </c:tx>
          <c:spPr>
            <a:solidFill>
              <a:schemeClr val="accent2">
                <a:lumMod val="60000"/>
                <a:lumOff val="40000"/>
              </a:schemeClr>
            </a:solidFill>
            <a:ln w="28575" cap="rnd">
              <a:noFill/>
              <a:round/>
            </a:ln>
            <a:effectLst/>
          </c:spPr>
          <c:invertIfNegative val="0"/>
          <c:cat>
            <c:strRef>
              <c:f>'Soil - H2O, C, pH + Ec'!$P$32:$P$34</c:f>
              <c:strCache>
                <c:ptCount val="3"/>
                <c:pt idx="0">
                  <c:v>0-10cm</c:v>
                </c:pt>
                <c:pt idx="1">
                  <c:v>10-20cm</c:v>
                </c:pt>
                <c:pt idx="2">
                  <c:v>20-30cm</c:v>
                </c:pt>
              </c:strCache>
            </c:strRef>
          </c:cat>
          <c:val>
            <c:numRef>
              <c:f>'Soil - H2O, C, pH + Ec'!$Q$32:$Q$34</c:f>
              <c:numCache>
                <c:formatCode>General</c:formatCode>
                <c:ptCount val="3"/>
                <c:pt idx="0">
                  <c:v>0.12519099034997838</c:v>
                </c:pt>
                <c:pt idx="1">
                  <c:v>0.11442614229920897</c:v>
                </c:pt>
                <c:pt idx="2">
                  <c:v>6.493184336046777E-2</c:v>
                </c:pt>
              </c:numCache>
            </c:numRef>
          </c:val>
          <c:extLst>
            <c:ext xmlns:c16="http://schemas.microsoft.com/office/drawing/2014/chart" uri="{C3380CC4-5D6E-409C-BE32-E72D297353CC}">
              <c16:uniqueId val="{00000005-8077-304A-A5F4-CC0A98AC2FA9}"/>
            </c:ext>
          </c:extLst>
        </c:ser>
        <c:dLbls>
          <c:showLegendKey val="0"/>
          <c:showVal val="0"/>
          <c:showCatName val="0"/>
          <c:showSerName val="0"/>
          <c:showPercent val="0"/>
          <c:showBubbleSize val="0"/>
        </c:dLbls>
        <c:gapWidth val="150"/>
        <c:axId val="248117007"/>
        <c:axId val="247608447"/>
      </c:barChart>
      <c:barChart>
        <c:barDir val="col"/>
        <c:grouping val="clustered"/>
        <c:varyColors val="0"/>
        <c:ser>
          <c:idx val="3"/>
          <c:order val="1"/>
          <c:tx>
            <c:strRef>
              <c:f>'Soil - H2O, C, pH + Ec'!$Q$26</c:f>
              <c:strCache>
                <c:ptCount val="1"/>
                <c:pt idx="0">
                  <c:v>Agriculture average soil organic matter</c:v>
                </c:pt>
              </c:strCache>
            </c:strRef>
          </c:tx>
          <c:spPr>
            <a:solidFill>
              <a:schemeClr val="accent6">
                <a:lumMod val="60000"/>
                <a:lumOff val="40000"/>
              </a:schemeClr>
            </a:solidFill>
          </c:spPr>
          <c:invertIfNegative val="0"/>
          <c:cat>
            <c:strRef>
              <c:f>'Soil - H2O, C, pH + Ec'!$P$27:$P$29</c:f>
              <c:strCache>
                <c:ptCount val="3"/>
                <c:pt idx="0">
                  <c:v>0-10cm</c:v>
                </c:pt>
                <c:pt idx="1">
                  <c:v>10-20cm</c:v>
                </c:pt>
                <c:pt idx="2">
                  <c:v>20-30cm</c:v>
                </c:pt>
              </c:strCache>
            </c:strRef>
          </c:cat>
          <c:val>
            <c:numRef>
              <c:f>'Soil - H2O, C, pH + Ec'!$Q$27:$Q$29</c:f>
              <c:numCache>
                <c:formatCode>General</c:formatCode>
                <c:ptCount val="3"/>
                <c:pt idx="0">
                  <c:v>6.5415760447597421E-2</c:v>
                </c:pt>
                <c:pt idx="1">
                  <c:v>4.478104084773285E-2</c:v>
                </c:pt>
                <c:pt idx="2">
                  <c:v>5.2521558256761865E-2</c:v>
                </c:pt>
              </c:numCache>
            </c:numRef>
          </c:val>
          <c:extLst>
            <c:ext xmlns:c16="http://schemas.microsoft.com/office/drawing/2014/chart" uri="{C3380CC4-5D6E-409C-BE32-E72D297353CC}">
              <c16:uniqueId val="{00000007-8077-304A-A5F4-CC0A98AC2FA9}"/>
            </c:ext>
          </c:extLst>
        </c:ser>
        <c:dLbls>
          <c:showLegendKey val="0"/>
          <c:showVal val="0"/>
          <c:showCatName val="0"/>
          <c:showSerName val="0"/>
          <c:showPercent val="0"/>
          <c:showBubbleSize val="0"/>
        </c:dLbls>
        <c:gapWidth val="219"/>
        <c:overlap val="-27"/>
        <c:axId val="252988991"/>
        <c:axId val="410023327"/>
      </c:barChart>
      <c:lineChart>
        <c:grouping val="standard"/>
        <c:varyColors val="0"/>
        <c:ser>
          <c:idx val="2"/>
          <c:order val="0"/>
          <c:tx>
            <c:strRef>
              <c:f>'Soil - H2O, C, pH + Ec'!$R$26</c:f>
              <c:strCache>
                <c:ptCount val="1"/>
                <c:pt idx="0">
                  <c:v>Agriculture average soil C (%) </c:v>
                </c:pt>
              </c:strCache>
            </c:strRef>
          </c:tx>
          <c:marker>
            <c:symbol val="none"/>
          </c:marker>
          <c:val>
            <c:numRef>
              <c:f>'Soil - H2O, C, pH + Ec'!$R$27:$R$29</c:f>
              <c:numCache>
                <c:formatCode>General</c:formatCode>
                <c:ptCount val="3"/>
                <c:pt idx="0">
                  <c:v>2.943709220141884</c:v>
                </c:pt>
                <c:pt idx="1">
                  <c:v>2.0151468381479782</c:v>
                </c:pt>
                <c:pt idx="2">
                  <c:v>2.3634701215542844</c:v>
                </c:pt>
              </c:numCache>
            </c:numRef>
          </c:val>
          <c:smooth val="0"/>
          <c:extLst>
            <c:ext xmlns:c16="http://schemas.microsoft.com/office/drawing/2014/chart" uri="{C3380CC4-5D6E-409C-BE32-E72D297353CC}">
              <c16:uniqueId val="{00000006-8077-304A-A5F4-CC0A98AC2FA9}"/>
            </c:ext>
          </c:extLst>
        </c:ser>
        <c:ser>
          <c:idx val="1"/>
          <c:order val="3"/>
          <c:tx>
            <c:strRef>
              <c:f>'Soil - H2O, C, pH + Ec'!$R$31</c:f>
              <c:strCache>
                <c:ptCount val="1"/>
                <c:pt idx="0">
                  <c:v>Indigenous average soil C (%) </c:v>
                </c:pt>
              </c:strCache>
            </c:strRef>
          </c:tx>
          <c:spPr>
            <a:effectLst/>
          </c:spPr>
          <c:marker>
            <c:symbol val="none"/>
          </c:marker>
          <c:val>
            <c:numRef>
              <c:f>'Soil - H2O, C, pH + Ec'!$R$32:$R$34</c:f>
              <c:numCache>
                <c:formatCode>General</c:formatCode>
                <c:ptCount val="3"/>
                <c:pt idx="0">
                  <c:v>5.6335945657490276</c:v>
                </c:pt>
                <c:pt idx="1">
                  <c:v>5.1491764034644039</c:v>
                </c:pt>
                <c:pt idx="2">
                  <c:v>2.9219329512210495</c:v>
                </c:pt>
              </c:numCache>
            </c:numRef>
          </c:val>
          <c:smooth val="0"/>
          <c:extLst>
            <c:ext xmlns:c16="http://schemas.microsoft.com/office/drawing/2014/chart" uri="{C3380CC4-5D6E-409C-BE32-E72D297353CC}">
              <c16:uniqueId val="{00000003-8077-304A-A5F4-CC0A98AC2FA9}"/>
            </c:ext>
          </c:extLst>
        </c:ser>
        <c:dLbls>
          <c:showLegendKey val="0"/>
          <c:showVal val="0"/>
          <c:showCatName val="0"/>
          <c:showSerName val="0"/>
          <c:showPercent val="0"/>
          <c:showBubbleSize val="0"/>
        </c:dLbls>
        <c:marker val="1"/>
        <c:smooth val="0"/>
        <c:axId val="252988991"/>
        <c:axId val="410023327"/>
      </c:lineChart>
      <c:catAx>
        <c:axId val="248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08447"/>
        <c:crosses val="autoZero"/>
        <c:auto val="1"/>
        <c:lblAlgn val="ctr"/>
        <c:lblOffset val="100"/>
        <c:noMultiLvlLbl val="0"/>
      </c:catAx>
      <c:valAx>
        <c:axId val="2476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7007"/>
        <c:crosses val="autoZero"/>
        <c:crossBetween val="between"/>
      </c:valAx>
      <c:valAx>
        <c:axId val="410023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88991"/>
        <c:crosses val="max"/>
        <c:crossBetween val="between"/>
      </c:valAx>
      <c:catAx>
        <c:axId val="252988991"/>
        <c:scaling>
          <c:orientation val="minMax"/>
        </c:scaling>
        <c:delete val="1"/>
        <c:axPos val="b"/>
        <c:numFmt formatCode="General" sourceLinked="1"/>
        <c:majorTickMark val="out"/>
        <c:minorTickMark val="none"/>
        <c:tickLblPos val="nextTo"/>
        <c:crossAx val="410023327"/>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Agriculture sites average pH</a:t>
            </a:r>
            <a:r>
              <a:rPr lang="en-AU" sz="1400" b="0" i="0" u="none" strike="noStrike" baseline="0"/>
              <a:t> vs EC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'Soil - H2O, C, pH + Ec'!$R$31</c:f>
              <c:strCache>
                <c:ptCount val="1"/>
                <c:pt idx="0">
                  <c:v>Indigenous average soil C (%) </c:v>
                </c:pt>
              </c:strCache>
            </c:strRef>
          </c:tx>
          <c:spPr>
            <a:solidFill>
              <a:schemeClr val="accent2"/>
            </a:solidFill>
            <a:ln>
              <a:noFill/>
            </a:ln>
            <a:effectLst/>
          </c:spPr>
          <c:invertIfNegative val="0"/>
          <c:val>
            <c:numRef>
              <c:f>'Soil - H2O, C, pH + Ec'!$R$32:$R$34</c:f>
              <c:numCache>
                <c:formatCode>General</c:formatCode>
                <c:ptCount val="3"/>
                <c:pt idx="0">
                  <c:v>5.6335945657490276</c:v>
                </c:pt>
                <c:pt idx="1">
                  <c:v>5.1491764034644039</c:v>
                </c:pt>
                <c:pt idx="2">
                  <c:v>2.9219329512210495</c:v>
                </c:pt>
              </c:numCache>
            </c:numRef>
          </c:val>
          <c:extLst>
            <c:ext xmlns:c16="http://schemas.microsoft.com/office/drawing/2014/chart" uri="{C3380CC4-5D6E-409C-BE32-E72D297353CC}">
              <c16:uniqueId val="{00000000-FE62-DE4D-8474-7B415CDDC958}"/>
            </c:ext>
          </c:extLst>
        </c:ser>
        <c:dLbls>
          <c:showLegendKey val="0"/>
          <c:showVal val="0"/>
          <c:showCatName val="0"/>
          <c:showSerName val="0"/>
          <c:showPercent val="0"/>
          <c:showBubbleSize val="0"/>
        </c:dLbls>
        <c:gapWidth val="219"/>
        <c:overlap val="-27"/>
        <c:axId val="252988991"/>
        <c:axId val="410023327"/>
      </c:barChart>
      <c:lineChart>
        <c:grouping val="standard"/>
        <c:varyColors val="0"/>
        <c:ser>
          <c:idx val="0"/>
          <c:order val="0"/>
          <c:tx>
            <c:strRef>
              <c:f>'Soil - H2O, C, pH + Ec'!$Q$31</c:f>
              <c:strCache>
                <c:ptCount val="1"/>
                <c:pt idx="0">
                  <c:v>Indigenous average soil organic matter</c:v>
                </c:pt>
              </c:strCache>
            </c:strRef>
          </c:tx>
          <c:spPr>
            <a:ln w="28575" cap="rnd">
              <a:solidFill>
                <a:schemeClr val="accent1"/>
              </a:solidFill>
              <a:round/>
            </a:ln>
            <a:effectLst/>
          </c:spPr>
          <c:marker>
            <c:symbol val="none"/>
          </c:marker>
          <c:cat>
            <c:strRef>
              <c:f>'Soil - H2O, C, pH + Ec'!$P$32:$P$34</c:f>
              <c:strCache>
                <c:ptCount val="3"/>
                <c:pt idx="0">
                  <c:v>0-10cm</c:v>
                </c:pt>
                <c:pt idx="1">
                  <c:v>10-20cm</c:v>
                </c:pt>
                <c:pt idx="2">
                  <c:v>20-30cm</c:v>
                </c:pt>
              </c:strCache>
            </c:strRef>
          </c:cat>
          <c:val>
            <c:numRef>
              <c:f>'Soil - H2O, C, pH + Ec'!$Q$32:$Q$34</c:f>
              <c:numCache>
                <c:formatCode>General</c:formatCode>
                <c:ptCount val="3"/>
                <c:pt idx="0">
                  <c:v>0.12519099034997838</c:v>
                </c:pt>
                <c:pt idx="1">
                  <c:v>0.11442614229920897</c:v>
                </c:pt>
                <c:pt idx="2">
                  <c:v>6.493184336046777E-2</c:v>
                </c:pt>
              </c:numCache>
            </c:numRef>
          </c:val>
          <c:smooth val="0"/>
          <c:extLst>
            <c:ext xmlns:c16="http://schemas.microsoft.com/office/drawing/2014/chart" uri="{C3380CC4-5D6E-409C-BE32-E72D297353CC}">
              <c16:uniqueId val="{00000001-FE62-DE4D-8474-7B415CDDC958}"/>
            </c:ext>
          </c:extLst>
        </c:ser>
        <c:dLbls>
          <c:showLegendKey val="0"/>
          <c:showVal val="0"/>
          <c:showCatName val="0"/>
          <c:showSerName val="0"/>
          <c:showPercent val="0"/>
          <c:showBubbleSize val="0"/>
        </c:dLbls>
        <c:marker val="1"/>
        <c:smooth val="0"/>
        <c:axId val="248117007"/>
        <c:axId val="247608447"/>
      </c:lineChart>
      <c:catAx>
        <c:axId val="248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08447"/>
        <c:crosses val="autoZero"/>
        <c:auto val="1"/>
        <c:lblAlgn val="ctr"/>
        <c:lblOffset val="100"/>
        <c:noMultiLvlLbl val="0"/>
      </c:catAx>
      <c:valAx>
        <c:axId val="2476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7007"/>
        <c:crosses val="autoZero"/>
        <c:crossBetween val="between"/>
      </c:valAx>
      <c:valAx>
        <c:axId val="410023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88991"/>
        <c:crosses val="max"/>
        <c:crossBetween val="between"/>
      </c:valAx>
      <c:catAx>
        <c:axId val="252988991"/>
        <c:scaling>
          <c:orientation val="minMax"/>
        </c:scaling>
        <c:delete val="1"/>
        <c:axPos val="b"/>
        <c:numFmt formatCode="General" sourceLinked="1"/>
        <c:majorTickMark val="out"/>
        <c:minorTickMark val="none"/>
        <c:tickLblPos val="nextTo"/>
        <c:crossAx val="4100233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soil moisture (%)</a:t>
            </a:r>
            <a:r>
              <a:rPr lang="en-AU" sz="1400" b="0" i="0" u="none" strike="noStrike" baseline="0"/>
              <a:t> </a:t>
            </a:r>
            <a:endParaRPr lang="en-GB"/>
          </a:p>
        </c:rich>
      </c:tx>
      <c:overlay val="0"/>
      <c:spPr>
        <a:noFill/>
        <a:ln>
          <a:noFill/>
        </a:ln>
        <a:effectLst/>
      </c:spPr>
    </c:title>
    <c:autoTitleDeleted val="0"/>
    <c:plotArea>
      <c:layout/>
      <c:barChart>
        <c:barDir val="col"/>
        <c:grouping val="clustered"/>
        <c:varyColors val="0"/>
        <c:ser>
          <c:idx val="1"/>
          <c:order val="0"/>
          <c:tx>
            <c:strRef>
              <c:f>'Soil - H2O, C, pH + Ec'!$O$4</c:f>
              <c:strCache>
                <c:ptCount val="1"/>
                <c:pt idx="0">
                  <c:v>Average agriculture soil moisture (%)</c:v>
                </c:pt>
              </c:strCache>
            </c:strRef>
          </c:tx>
          <c:spPr>
            <a:solidFill>
              <a:schemeClr val="accent2">
                <a:lumMod val="60000"/>
                <a:lumOff val="40000"/>
              </a:schemeClr>
            </a:solidFill>
          </c:spPr>
          <c:invertIfNegative val="0"/>
          <c:cat>
            <c:strRef>
              <c:f>'Soil - H2O, C, pH + Ec'!$N$5:$N$7</c:f>
              <c:strCache>
                <c:ptCount val="3"/>
                <c:pt idx="0">
                  <c:v>0-10cm</c:v>
                </c:pt>
                <c:pt idx="1">
                  <c:v>10-20cm</c:v>
                </c:pt>
                <c:pt idx="2">
                  <c:v>20-30cm</c:v>
                </c:pt>
              </c:strCache>
            </c:strRef>
          </c:cat>
          <c:val>
            <c:numRef>
              <c:f>'Soil - H2O, C, pH + Ec'!$O$5:$O$7</c:f>
              <c:numCache>
                <c:formatCode>0.00</c:formatCode>
                <c:ptCount val="3"/>
                <c:pt idx="0">
                  <c:v>4.9540302477302305</c:v>
                </c:pt>
                <c:pt idx="1">
                  <c:v>6.9808541229206895</c:v>
                </c:pt>
                <c:pt idx="2">
                  <c:v>9.3288273537401558</c:v>
                </c:pt>
              </c:numCache>
            </c:numRef>
          </c:val>
          <c:extLst>
            <c:ext xmlns:c16="http://schemas.microsoft.com/office/drawing/2014/chart" uri="{C3380CC4-5D6E-409C-BE32-E72D297353CC}">
              <c16:uniqueId val="{00000003-8B0A-6744-9480-7F7966743BBF}"/>
            </c:ext>
          </c:extLst>
        </c:ser>
        <c:ser>
          <c:idx val="0"/>
          <c:order val="1"/>
          <c:tx>
            <c:strRef>
              <c:f>'Soil - H2O, C, pH + Ec'!$O$9</c:f>
              <c:strCache>
                <c:ptCount val="1"/>
                <c:pt idx="0">
                  <c:v>Average indigenous soil moisture (%)</c:v>
                </c:pt>
              </c:strCache>
            </c:strRef>
          </c:tx>
          <c:spPr>
            <a:solidFill>
              <a:schemeClr val="accent6">
                <a:lumMod val="60000"/>
                <a:lumOff val="40000"/>
              </a:schemeClr>
            </a:solidFill>
            <a:ln>
              <a:noFill/>
            </a:ln>
            <a:effectLst/>
          </c:spPr>
          <c:invertIfNegative val="0"/>
          <c:cat>
            <c:strRef>
              <c:f>'Soil - H2O, C, pH + Ec'!$N$10:$N$12</c:f>
              <c:strCache>
                <c:ptCount val="3"/>
                <c:pt idx="0">
                  <c:v>0-10cm</c:v>
                </c:pt>
                <c:pt idx="1">
                  <c:v>10-20cm</c:v>
                </c:pt>
                <c:pt idx="2">
                  <c:v>20-30cm</c:v>
                </c:pt>
              </c:strCache>
            </c:strRef>
          </c:cat>
          <c:val>
            <c:numRef>
              <c:f>'Soil - H2O, C, pH + Ec'!$O$10:$O$12</c:f>
              <c:numCache>
                <c:formatCode>0.00</c:formatCode>
                <c:ptCount val="3"/>
                <c:pt idx="0">
                  <c:v>6.7840078736779903</c:v>
                </c:pt>
                <c:pt idx="1">
                  <c:v>8.2136512977645335</c:v>
                </c:pt>
                <c:pt idx="2">
                  <c:v>8.3505286594257768</c:v>
                </c:pt>
              </c:numCache>
            </c:numRef>
          </c:val>
          <c:extLst>
            <c:ext xmlns:c16="http://schemas.microsoft.com/office/drawing/2014/chart" uri="{C3380CC4-5D6E-409C-BE32-E72D297353CC}">
              <c16:uniqueId val="{00000002-8B0A-6744-9480-7F7966743BBF}"/>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8862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'Soil - H2O, C, pH + Ec'!$O$9</c:f>
              <c:strCache>
                <c:ptCount val="1"/>
                <c:pt idx="0">
                  <c:v>Average indigenous soil moisture (%)</c:v>
                </c:pt>
              </c:strCache>
            </c:strRef>
          </c:tx>
          <c:spPr>
            <a:solidFill>
              <a:schemeClr val="accent1"/>
            </a:solidFill>
            <a:ln>
              <a:noFill/>
            </a:ln>
            <a:effectLst/>
          </c:spPr>
          <c:invertIfNegative val="0"/>
          <c:cat>
            <c:strRef>
              <c:f>'Soil - H2O, C, pH + Ec'!$N$10:$N$12</c:f>
              <c:strCache>
                <c:ptCount val="3"/>
                <c:pt idx="0">
                  <c:v>0-10cm</c:v>
                </c:pt>
                <c:pt idx="1">
                  <c:v>10-20cm</c:v>
                </c:pt>
                <c:pt idx="2">
                  <c:v>20-30cm</c:v>
                </c:pt>
              </c:strCache>
            </c:strRef>
          </c:cat>
          <c:val>
            <c:numRef>
              <c:f>'Soil - H2O, C, pH + Ec'!$O$10:$O$12</c:f>
              <c:numCache>
                <c:formatCode>0.00</c:formatCode>
                <c:ptCount val="3"/>
                <c:pt idx="0">
                  <c:v>6.7840078736779903</c:v>
                </c:pt>
                <c:pt idx="1">
                  <c:v>8.2136512977645335</c:v>
                </c:pt>
                <c:pt idx="2">
                  <c:v>8.3505286594257768</c:v>
                </c:pt>
              </c:numCache>
            </c:numRef>
          </c:val>
          <c:extLst>
            <c:ext xmlns:c16="http://schemas.microsoft.com/office/drawing/2014/chart" uri="{C3380CC4-5D6E-409C-BE32-E72D297353CC}">
              <c16:uniqueId val="{00000000-B4AA-9A46-8B8C-99E86313268A}"/>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88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Soil N availability</a:t>
            </a:r>
          </a:p>
        </c:rich>
      </c:tx>
      <c:overlay val="0"/>
      <c:spPr>
        <a:noFill/>
        <a:ln>
          <a:noFill/>
        </a:ln>
        <a:effectLst/>
      </c:spPr>
    </c:title>
    <c:autoTitleDeleted val="0"/>
    <c:plotArea>
      <c:layout/>
      <c:barChart>
        <c:barDir val="col"/>
        <c:grouping val="clustered"/>
        <c:varyColors val="0"/>
        <c:ser>
          <c:idx val="1"/>
          <c:order val="0"/>
          <c:tx>
            <c:strRef>
              <c:f>'Soil N'!$I$17</c:f>
              <c:strCache>
                <c:ptCount val="1"/>
                <c:pt idx="0">
                  <c:v>Average of agriculture soil N availability</c:v>
                </c:pt>
              </c:strCache>
            </c:strRef>
          </c:tx>
          <c:invertIfNegative val="0"/>
          <c:cat>
            <c:strRef>
              <c:f>'Soil N'!$H$18:$H$20</c:f>
              <c:strCache>
                <c:ptCount val="3"/>
                <c:pt idx="0">
                  <c:v>0-10cm</c:v>
                </c:pt>
                <c:pt idx="1">
                  <c:v>10-20cm</c:v>
                </c:pt>
                <c:pt idx="2">
                  <c:v>20-30cm</c:v>
                </c:pt>
              </c:strCache>
            </c:strRef>
          </c:cat>
          <c:val>
            <c:numRef>
              <c:f>'Soil N'!$I$18:$I$20</c:f>
              <c:numCache>
                <c:formatCode>General</c:formatCode>
                <c:ptCount val="3"/>
                <c:pt idx="0">
                  <c:v>37.797499999999999</c:v>
                </c:pt>
                <c:pt idx="1">
                  <c:v>29.743499999999997</c:v>
                </c:pt>
                <c:pt idx="2">
                  <c:v>22.5715</c:v>
                </c:pt>
              </c:numCache>
            </c:numRef>
          </c:val>
          <c:extLst>
            <c:ext xmlns:c16="http://schemas.microsoft.com/office/drawing/2014/chart" uri="{C3380CC4-5D6E-409C-BE32-E72D297353CC}">
              <c16:uniqueId val="{00000003-3304-F04E-977B-61F0B3F8BE83}"/>
            </c:ext>
          </c:extLst>
        </c:ser>
        <c:ser>
          <c:idx val="0"/>
          <c:order val="1"/>
          <c:tx>
            <c:strRef>
              <c:f>'Soil N'!$I$22</c:f>
              <c:strCache>
                <c:ptCount val="1"/>
                <c:pt idx="0">
                  <c:v>Average of Indigenous soil N availability</c:v>
                </c:pt>
              </c:strCache>
            </c:strRef>
          </c:tx>
          <c:spPr>
            <a:solidFill>
              <a:schemeClr val="accent1"/>
            </a:solidFill>
            <a:ln>
              <a:noFill/>
            </a:ln>
            <a:effectLst/>
          </c:spPr>
          <c:invertIfNegative val="0"/>
          <c:cat>
            <c:strRef>
              <c:f>'Soil N'!$H$23:$H$25</c:f>
              <c:strCache>
                <c:ptCount val="3"/>
                <c:pt idx="0">
                  <c:v>0-10cm</c:v>
                </c:pt>
                <c:pt idx="1">
                  <c:v>10-20cm</c:v>
                </c:pt>
                <c:pt idx="2">
                  <c:v>20-30cm</c:v>
                </c:pt>
              </c:strCache>
            </c:strRef>
          </c:cat>
          <c:val>
            <c:numRef>
              <c:f>'Soil N'!$I$23:$I$25</c:f>
              <c:numCache>
                <c:formatCode>General</c:formatCode>
                <c:ptCount val="3"/>
                <c:pt idx="0">
                  <c:v>18.320500000000003</c:v>
                </c:pt>
                <c:pt idx="1">
                  <c:v>7.2155000000000005</c:v>
                </c:pt>
                <c:pt idx="2">
                  <c:v>9.0090000000000003</c:v>
                </c:pt>
              </c:numCache>
            </c:numRef>
          </c:val>
          <c:extLst>
            <c:ext xmlns:c16="http://schemas.microsoft.com/office/drawing/2014/chart" uri="{C3380CC4-5D6E-409C-BE32-E72D297353CC}">
              <c16:uniqueId val="{00000002-3304-F04E-977B-61F0B3F8BE83}"/>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8862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'Soil N'!$I$22</c:f>
              <c:strCache>
                <c:ptCount val="1"/>
                <c:pt idx="0">
                  <c:v>Average of Indigenous soil N availability</c:v>
                </c:pt>
              </c:strCache>
            </c:strRef>
          </c:tx>
          <c:spPr>
            <a:solidFill>
              <a:schemeClr val="accent1"/>
            </a:solidFill>
            <a:ln>
              <a:noFill/>
            </a:ln>
            <a:effectLst/>
          </c:spPr>
          <c:invertIfNegative val="0"/>
          <c:cat>
            <c:strRef>
              <c:f>'Soil N'!$H$23:$H$25</c:f>
              <c:strCache>
                <c:ptCount val="3"/>
                <c:pt idx="0">
                  <c:v>0-10cm</c:v>
                </c:pt>
                <c:pt idx="1">
                  <c:v>10-20cm</c:v>
                </c:pt>
                <c:pt idx="2">
                  <c:v>20-30cm</c:v>
                </c:pt>
              </c:strCache>
            </c:strRef>
          </c:cat>
          <c:val>
            <c:numRef>
              <c:f>'Soil N'!$I$23:$I$25</c:f>
              <c:numCache>
                <c:formatCode>General</c:formatCode>
                <c:ptCount val="3"/>
                <c:pt idx="0">
                  <c:v>18.320500000000003</c:v>
                </c:pt>
                <c:pt idx="1">
                  <c:v>7.2155000000000005</c:v>
                </c:pt>
                <c:pt idx="2">
                  <c:v>9.0090000000000003</c:v>
                </c:pt>
              </c:numCache>
            </c:numRef>
          </c:val>
          <c:extLst>
            <c:ext xmlns:c16="http://schemas.microsoft.com/office/drawing/2014/chart" uri="{C3380CC4-5D6E-409C-BE32-E72D297353CC}">
              <c16:uniqueId val="{00000000-E745-2A4A-B485-000AD9654C86}"/>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0288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sample average dissolved oxygen (mg L-1)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'Water - DO'!$AF$7</c:f>
              <c:strCache>
                <c:ptCount val="1"/>
                <c:pt idx="0">
                  <c:v>DO sample average dissolved oxygen (mg L-1)</c:v>
                </c:pt>
              </c:strCache>
            </c:strRef>
          </c:tx>
          <c:spPr>
            <a:solidFill>
              <a:schemeClr val="accent2"/>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DO'!$AE$8:$AE$12</c:f>
              <c:strCache>
                <c:ptCount val="5"/>
                <c:pt idx="0">
                  <c:v>Brawlins Rd</c:v>
                </c:pt>
                <c:pt idx="1">
                  <c:v>Cootamundry</c:v>
                </c:pt>
                <c:pt idx="2">
                  <c:v>Cootamundra</c:v>
                </c:pt>
                <c:pt idx="3">
                  <c:v>Bongongalong</c:v>
                </c:pt>
                <c:pt idx="4">
                  <c:v>Coolac</c:v>
                </c:pt>
              </c:strCache>
            </c:strRef>
          </c:cat>
          <c:val>
            <c:numRef>
              <c:f>'Water - DO'!$AF$8:$AF$12</c:f>
              <c:numCache>
                <c:formatCode>0.000</c:formatCode>
                <c:ptCount val="5"/>
                <c:pt idx="0">
                  <c:v>7.3</c:v>
                </c:pt>
                <c:pt idx="1">
                  <c:v>5.35</c:v>
                </c:pt>
                <c:pt idx="2">
                  <c:v>4.8499999999999996</c:v>
                </c:pt>
                <c:pt idx="3">
                  <c:v>2.5</c:v>
                </c:pt>
                <c:pt idx="4">
                  <c:v>2.34</c:v>
                </c:pt>
              </c:numCache>
            </c:numRef>
          </c:val>
          <c:extLst>
            <c:ext xmlns:c16="http://schemas.microsoft.com/office/drawing/2014/chart" uri="{C3380CC4-5D6E-409C-BE32-E72D297353CC}">
              <c16:uniqueId val="{0000000A-6583-9043-9989-B8610F39E754}"/>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'Lab soil data'!$K$40:$K$42</c:f>
              <c:numCache>
                <c:formatCode>General</c:formatCode>
                <c:ptCount val="3"/>
                <c:pt idx="0">
                  <c:v>0.04</c:v>
                </c:pt>
                <c:pt idx="1">
                  <c:v>0.12</c:v>
                </c:pt>
                <c:pt idx="2">
                  <c:v>0.21</c:v>
                </c:pt>
              </c:numCache>
            </c:numRef>
          </c:xVal>
          <c:yVal>
            <c:numRef>
              <c:f>'Lab soil data'!$J$40:$J$42</c:f>
              <c:numCache>
                <c:formatCode>General</c:formatCode>
                <c:ptCount val="3"/>
                <c:pt idx="0">
                  <c:v>1</c:v>
                </c:pt>
                <c:pt idx="1">
                  <c:v>2</c:v>
                </c:pt>
                <c:pt idx="2">
                  <c:v>4</c:v>
                </c:pt>
              </c:numCache>
            </c:numRef>
          </c:yVal>
          <c:smooth val="0"/>
          <c:extLst>
            <c:ext xmlns:c16="http://schemas.microsoft.com/office/drawing/2014/chart" uri="{C3380CC4-5D6E-409C-BE32-E72D297353CC}">
              <c16:uniqueId val="{00000001-EE3C-2E47-BC42-F900C10DCE63}"/>
            </c:ext>
          </c:extLst>
        </c:ser>
        <c:dLbls>
          <c:showLegendKey val="0"/>
          <c:showVal val="0"/>
          <c:showCatName val="0"/>
          <c:showSerName val="0"/>
          <c:showPercent val="0"/>
          <c:showBubbleSize val="0"/>
        </c:dLbls>
        <c:axId val="583453856"/>
        <c:axId val="588519184"/>
      </c:scatterChart>
      <c:valAx>
        <c:axId val="58345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19184"/>
        <c:crosses val="autoZero"/>
        <c:crossBetween val="midCat"/>
      </c:valAx>
      <c:valAx>
        <c:axId val="58851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5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Average of soil P (mg g-1) </a:t>
            </a:r>
            <a:endParaRPr lang="en-GB"/>
          </a:p>
        </c:rich>
      </c:tx>
      <c:overlay val="0"/>
      <c:spPr>
        <a:noFill/>
        <a:ln>
          <a:noFill/>
        </a:ln>
        <a:effectLst/>
      </c:spPr>
    </c:title>
    <c:autoTitleDeleted val="0"/>
    <c:plotArea>
      <c:layout/>
      <c:barChart>
        <c:barDir val="col"/>
        <c:grouping val="clustered"/>
        <c:varyColors val="0"/>
        <c:ser>
          <c:idx val="1"/>
          <c:order val="0"/>
          <c:tx>
            <c:strRef>
              <c:f>'Soil N'!$I$17</c:f>
              <c:strCache>
                <c:ptCount val="1"/>
                <c:pt idx="0">
                  <c:v>Average of agriculture soil N availability</c:v>
                </c:pt>
              </c:strCache>
            </c:strRef>
          </c:tx>
          <c:invertIfNegative val="0"/>
          <c:cat>
            <c:strRef>
              <c:f>'Soil P'!$K$21:$K$23</c:f>
              <c:strCache>
                <c:ptCount val="3"/>
                <c:pt idx="0">
                  <c:v>0-10cm</c:v>
                </c:pt>
                <c:pt idx="1">
                  <c:v>10-20cm</c:v>
                </c:pt>
                <c:pt idx="2">
                  <c:v>20-30cm</c:v>
                </c:pt>
              </c:strCache>
            </c:strRef>
          </c:cat>
          <c:val>
            <c:numRef>
              <c:f>'Soil P'!$L$21:$L$23</c:f>
              <c:numCache>
                <c:formatCode>General</c:formatCode>
                <c:ptCount val="3"/>
                <c:pt idx="0">
                  <c:v>0.39853830653088551</c:v>
                </c:pt>
                <c:pt idx="1">
                  <c:v>0.22338531362790037</c:v>
                </c:pt>
                <c:pt idx="2">
                  <c:v>0.15704735596101871</c:v>
                </c:pt>
              </c:numCache>
            </c:numRef>
          </c:val>
          <c:extLst>
            <c:ext xmlns:c16="http://schemas.microsoft.com/office/drawing/2014/chart" uri="{C3380CC4-5D6E-409C-BE32-E72D297353CC}">
              <c16:uniqueId val="{00000000-5532-CD48-AF76-B0F17E9369D9}"/>
            </c:ext>
          </c:extLst>
        </c:ser>
        <c:ser>
          <c:idx val="0"/>
          <c:order val="1"/>
          <c:tx>
            <c:strRef>
              <c:f>'Soil N'!$I$22</c:f>
              <c:strCache>
                <c:ptCount val="1"/>
                <c:pt idx="0">
                  <c:v>Average of Indigenous soil N availability</c:v>
                </c:pt>
              </c:strCache>
            </c:strRef>
          </c:tx>
          <c:invertIfNegative val="0"/>
          <c:cat>
            <c:strRef>
              <c:f>'Soil P'!$K$21:$K$23</c:f>
              <c:strCache>
                <c:ptCount val="3"/>
                <c:pt idx="0">
                  <c:v>0-10cm</c:v>
                </c:pt>
                <c:pt idx="1">
                  <c:v>10-20cm</c:v>
                </c:pt>
                <c:pt idx="2">
                  <c:v>20-30cm</c:v>
                </c:pt>
              </c:strCache>
            </c:strRef>
          </c:cat>
          <c:val>
            <c:numRef>
              <c:f>'Soil P'!$L$26:$L$28</c:f>
              <c:numCache>
                <c:formatCode>General</c:formatCode>
                <c:ptCount val="3"/>
                <c:pt idx="0">
                  <c:v>0.21050786826026657</c:v>
                </c:pt>
                <c:pt idx="1">
                  <c:v>0.16225244189678667</c:v>
                </c:pt>
                <c:pt idx="2">
                  <c:v>5.8417447636509905E-2</c:v>
                </c:pt>
              </c:numCache>
            </c:numRef>
          </c:val>
          <c:extLst>
            <c:ext xmlns:c16="http://schemas.microsoft.com/office/drawing/2014/chart" uri="{C3380CC4-5D6E-409C-BE32-E72D297353CC}">
              <c16:uniqueId val="{00000001-5532-CD48-AF76-B0F17E9369D9}"/>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1"/>
          <c:order val="0"/>
          <c:tx>
            <c:strRef>
              <c:f>'Soil texture'!$J$35</c:f>
              <c:strCache>
                <c:ptCount val="1"/>
                <c:pt idx="0">
                  <c:v>Agriculture sand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texture'!$J$36:$J$38</c:f>
              <c:numCache>
                <c:formatCode>General</c:formatCode>
                <c:ptCount val="3"/>
                <c:pt idx="0">
                  <c:v>58.007575745387356</c:v>
                </c:pt>
                <c:pt idx="1">
                  <c:v>55.101124409429211</c:v>
                </c:pt>
                <c:pt idx="2">
                  <c:v>54.403860093599327</c:v>
                </c:pt>
              </c:numCache>
            </c:numRef>
          </c:val>
          <c:extLst>
            <c:ext xmlns:c16="http://schemas.microsoft.com/office/drawing/2014/chart" uri="{C3380CC4-5D6E-409C-BE32-E72D297353CC}">
              <c16:uniqueId val="{00000000-CF74-5244-8330-A763AC8E4753}"/>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solidFill>
      <a:schemeClr val="bg1"/>
    </a:solidFill>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Indigenous soil fractions (%)</a:t>
            </a:r>
            <a:endParaRPr lang="en-GB"/>
          </a:p>
        </c:rich>
      </c:tx>
      <c:overlay val="0"/>
    </c:title>
    <c:autoTitleDeleted val="0"/>
    <c:plotArea>
      <c:layout/>
      <c:barChart>
        <c:barDir val="col"/>
        <c:grouping val="clustered"/>
        <c:varyColors val="0"/>
        <c:ser>
          <c:idx val="1"/>
          <c:order val="0"/>
          <c:tx>
            <c:strRef>
              <c:f>'Soil texture'!$J$40</c:f>
              <c:strCache>
                <c:ptCount val="1"/>
                <c:pt idx="0">
                  <c:v>Indigenous sand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texture'!$J$41:$J$43</c:f>
              <c:numCache>
                <c:formatCode>General</c:formatCode>
                <c:ptCount val="3"/>
                <c:pt idx="0">
                  <c:v>57.987458670286834</c:v>
                </c:pt>
                <c:pt idx="1">
                  <c:v>48.280566950200061</c:v>
                </c:pt>
                <c:pt idx="2">
                  <c:v>39.352711412711976</c:v>
                </c:pt>
              </c:numCache>
            </c:numRef>
          </c:val>
          <c:extLst>
            <c:ext xmlns:c16="http://schemas.microsoft.com/office/drawing/2014/chart" uri="{C3380CC4-5D6E-409C-BE32-E72D297353CC}">
              <c16:uniqueId val="{00000000-0B6F-774D-ADB5-C20F7B898CE2}"/>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0"/>
          <c:order val="0"/>
          <c:tx>
            <c:strRef>
              <c:f>'Soil texture'!$K$35</c:f>
              <c:strCache>
                <c:ptCount val="1"/>
                <c:pt idx="0">
                  <c:v>Agriculture silt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texture'!$K$36:$K$38</c:f>
              <c:numCache>
                <c:formatCode>General</c:formatCode>
                <c:ptCount val="3"/>
                <c:pt idx="0">
                  <c:v>28.80127849075113</c:v>
                </c:pt>
                <c:pt idx="1">
                  <c:v>27.176018674124769</c:v>
                </c:pt>
                <c:pt idx="2">
                  <c:v>26.601198693663331</c:v>
                </c:pt>
              </c:numCache>
            </c:numRef>
          </c:val>
          <c:extLst>
            <c:ext xmlns:c16="http://schemas.microsoft.com/office/drawing/2014/chart" uri="{C3380CC4-5D6E-409C-BE32-E72D297353CC}">
              <c16:uniqueId val="{00000001-343C-3945-ABB8-B8FEA645AE8E}"/>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solidFill>
      <a:schemeClr val="bg1"/>
    </a:solidFill>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2"/>
          <c:order val="0"/>
          <c:tx>
            <c:strRef>
              <c:f>'Soil texture'!$L$35</c:f>
              <c:strCache>
                <c:ptCount val="1"/>
                <c:pt idx="0">
                  <c:v>Agriculture clay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texture'!$L$36:$L$38</c:f>
              <c:numCache>
                <c:formatCode>General</c:formatCode>
                <c:ptCount val="3"/>
                <c:pt idx="0">
                  <c:v>13.191145763861513</c:v>
                </c:pt>
                <c:pt idx="1">
                  <c:v>17.72285691644602</c:v>
                </c:pt>
                <c:pt idx="2">
                  <c:v>18.994941212737341</c:v>
                </c:pt>
              </c:numCache>
            </c:numRef>
          </c:val>
          <c:extLst>
            <c:ext xmlns:c16="http://schemas.microsoft.com/office/drawing/2014/chart" uri="{C3380CC4-5D6E-409C-BE32-E72D297353CC}">
              <c16:uniqueId val="{00000002-672D-9942-8F4C-AD736C7EB125}"/>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Indigenous soil fractions (%)</a:t>
            </a:r>
            <a:endParaRPr lang="en-GB"/>
          </a:p>
        </c:rich>
      </c:tx>
      <c:overlay val="0"/>
    </c:title>
    <c:autoTitleDeleted val="0"/>
    <c:plotArea>
      <c:layout/>
      <c:barChart>
        <c:barDir val="col"/>
        <c:grouping val="clustered"/>
        <c:varyColors val="0"/>
        <c:ser>
          <c:idx val="0"/>
          <c:order val="0"/>
          <c:tx>
            <c:strRef>
              <c:f>'Soil texture'!$K$40</c:f>
              <c:strCache>
                <c:ptCount val="1"/>
                <c:pt idx="0">
                  <c:v>Indigenous silt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texture'!$K$41:$K$43</c:f>
              <c:numCache>
                <c:formatCode>General</c:formatCode>
                <c:ptCount val="3"/>
                <c:pt idx="0">
                  <c:v>26.87704475168379</c:v>
                </c:pt>
                <c:pt idx="1">
                  <c:v>29.807806330187361</c:v>
                </c:pt>
                <c:pt idx="2">
                  <c:v>25.412281832772223</c:v>
                </c:pt>
              </c:numCache>
            </c:numRef>
          </c:val>
          <c:extLst>
            <c:ext xmlns:c16="http://schemas.microsoft.com/office/drawing/2014/chart" uri="{C3380CC4-5D6E-409C-BE32-E72D297353CC}">
              <c16:uniqueId val="{00000001-D8BD-AC44-BBA2-47BECBB8A8C5}"/>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Indigenous soil fractions (%)</a:t>
            </a:r>
            <a:endParaRPr lang="en-GB"/>
          </a:p>
        </c:rich>
      </c:tx>
      <c:overlay val="0"/>
    </c:title>
    <c:autoTitleDeleted val="0"/>
    <c:plotArea>
      <c:layout/>
      <c:barChart>
        <c:barDir val="col"/>
        <c:grouping val="clustered"/>
        <c:varyColors val="0"/>
        <c:ser>
          <c:idx val="2"/>
          <c:order val="0"/>
          <c:tx>
            <c:strRef>
              <c:f>'Soil texture'!$L$40</c:f>
              <c:strCache>
                <c:ptCount val="1"/>
                <c:pt idx="0">
                  <c:v>Indigenous clay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texture'!$L$41:$L$43</c:f>
              <c:numCache>
                <c:formatCode>General</c:formatCode>
                <c:ptCount val="3"/>
                <c:pt idx="0">
                  <c:v>15.135496578029377</c:v>
                </c:pt>
                <c:pt idx="1">
                  <c:v>21.911626719612578</c:v>
                </c:pt>
                <c:pt idx="2">
                  <c:v>35.235006754515801</c:v>
                </c:pt>
              </c:numCache>
            </c:numRef>
          </c:val>
          <c:extLst>
            <c:ext xmlns:c16="http://schemas.microsoft.com/office/drawing/2014/chart" uri="{C3380CC4-5D6E-409C-BE32-E72D297353CC}">
              <c16:uniqueId val="{00000002-D3E6-D148-B620-98D9C7C5E25B}"/>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0"/>
          <c:order val="0"/>
          <c:tx>
            <c:strRef>
              <c:f>'Soil texture'!$J$40</c:f>
              <c:strCache>
                <c:ptCount val="1"/>
                <c:pt idx="0">
                  <c:v>Indigenous sand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texture'!$J$41:$J$43</c:f>
              <c:numCache>
                <c:formatCode>General</c:formatCode>
                <c:ptCount val="3"/>
                <c:pt idx="0">
                  <c:v>57.987458670286834</c:v>
                </c:pt>
                <c:pt idx="1">
                  <c:v>48.280566950200061</c:v>
                </c:pt>
                <c:pt idx="2">
                  <c:v>39.352711412711976</c:v>
                </c:pt>
              </c:numCache>
            </c:numRef>
          </c:val>
          <c:extLst>
            <c:ext xmlns:c16="http://schemas.microsoft.com/office/drawing/2014/chart" uri="{C3380CC4-5D6E-409C-BE32-E72D297353CC}">
              <c16:uniqueId val="{00000003-5DD0-C54B-81CF-62F645339E38}"/>
            </c:ext>
          </c:extLst>
        </c:ser>
        <c:ser>
          <c:idx val="1"/>
          <c:order val="1"/>
          <c:tx>
            <c:strRef>
              <c:f>'Soil texture'!$J$35</c:f>
              <c:strCache>
                <c:ptCount val="1"/>
                <c:pt idx="0">
                  <c:v>Agriculture sand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texture'!$J$36:$J$38</c:f>
              <c:numCache>
                <c:formatCode>General</c:formatCode>
                <c:ptCount val="3"/>
                <c:pt idx="0">
                  <c:v>58.007575745387356</c:v>
                </c:pt>
                <c:pt idx="1">
                  <c:v>55.101124409429211</c:v>
                </c:pt>
                <c:pt idx="2">
                  <c:v>54.403860093599327</c:v>
                </c:pt>
              </c:numCache>
            </c:numRef>
          </c:val>
          <c:extLst>
            <c:ext xmlns:c16="http://schemas.microsoft.com/office/drawing/2014/chart" uri="{C3380CC4-5D6E-409C-BE32-E72D297353CC}">
              <c16:uniqueId val="{00000002-5DD0-C54B-81CF-62F645339E38}"/>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1"/>
          <c:order val="0"/>
          <c:tx>
            <c:strRef>
              <c:f>'Soil texture'!$K$40</c:f>
              <c:strCache>
                <c:ptCount val="1"/>
                <c:pt idx="0">
                  <c:v>Indigenous silt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texture'!$K$41:$K$43</c:f>
              <c:numCache>
                <c:formatCode>General</c:formatCode>
                <c:ptCount val="3"/>
                <c:pt idx="0">
                  <c:v>26.87704475168379</c:v>
                </c:pt>
                <c:pt idx="1">
                  <c:v>29.807806330187361</c:v>
                </c:pt>
                <c:pt idx="2">
                  <c:v>25.412281832772223</c:v>
                </c:pt>
              </c:numCache>
            </c:numRef>
          </c:val>
          <c:extLst>
            <c:ext xmlns:c16="http://schemas.microsoft.com/office/drawing/2014/chart" uri="{C3380CC4-5D6E-409C-BE32-E72D297353CC}">
              <c16:uniqueId val="{00000003-81BE-6C45-9959-984439B8CB07}"/>
            </c:ext>
          </c:extLst>
        </c:ser>
        <c:ser>
          <c:idx val="0"/>
          <c:order val="1"/>
          <c:tx>
            <c:strRef>
              <c:f>'Soil texture'!$K$35</c:f>
              <c:strCache>
                <c:ptCount val="1"/>
                <c:pt idx="0">
                  <c:v>Agriculture silt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texture'!$K$36:$K$38</c:f>
              <c:numCache>
                <c:formatCode>General</c:formatCode>
                <c:ptCount val="3"/>
                <c:pt idx="0">
                  <c:v>28.80127849075113</c:v>
                </c:pt>
                <c:pt idx="1">
                  <c:v>27.176018674124769</c:v>
                </c:pt>
                <c:pt idx="2">
                  <c:v>26.601198693663331</c:v>
                </c:pt>
              </c:numCache>
            </c:numRef>
          </c:val>
          <c:extLst>
            <c:ext xmlns:c16="http://schemas.microsoft.com/office/drawing/2014/chart" uri="{C3380CC4-5D6E-409C-BE32-E72D297353CC}">
              <c16:uniqueId val="{00000002-81BE-6C45-9959-984439B8CB07}"/>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 sample average dissolved oxygen (mg L-1)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'Water - DO'!$AF$21</c:f>
              <c:strCache>
                <c:ptCount val="1"/>
                <c:pt idx="0">
                  <c:v>BOD sample average dissolved oxygen (mg L-1)</c:v>
                </c:pt>
              </c:strCache>
            </c:strRef>
          </c:tx>
          <c:spPr>
            <a:solidFill>
              <a:schemeClr val="accent2"/>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DO'!$AE$22:$AE$26</c:f>
              <c:strCache>
                <c:ptCount val="5"/>
                <c:pt idx="0">
                  <c:v>Cootamundry</c:v>
                </c:pt>
                <c:pt idx="1">
                  <c:v>Cootamundra</c:v>
                </c:pt>
                <c:pt idx="2">
                  <c:v>Bongongalong</c:v>
                </c:pt>
                <c:pt idx="3">
                  <c:v>Coolac</c:v>
                </c:pt>
                <c:pt idx="4">
                  <c:v>Brawlins Rd</c:v>
                </c:pt>
              </c:strCache>
            </c:strRef>
          </c:cat>
          <c:val>
            <c:numRef>
              <c:f>'Water - DO'!$AF$22:$AF$26</c:f>
              <c:numCache>
                <c:formatCode>0.000</c:formatCode>
                <c:ptCount val="5"/>
                <c:pt idx="0">
                  <c:v>3.5000000000000009</c:v>
                </c:pt>
                <c:pt idx="1">
                  <c:v>2.96</c:v>
                </c:pt>
                <c:pt idx="2">
                  <c:v>1.1499999999999995</c:v>
                </c:pt>
                <c:pt idx="3">
                  <c:v>0.45999999999999908</c:v>
                </c:pt>
                <c:pt idx="4">
                  <c:v>0.38000000000000045</c:v>
                </c:pt>
              </c:numCache>
            </c:numRef>
          </c:val>
          <c:extLst>
            <c:ext xmlns:c16="http://schemas.microsoft.com/office/drawing/2014/chart" uri="{C3380CC4-5D6E-409C-BE32-E72D297353CC}">
              <c16:uniqueId val="{00000000-D297-F249-9F4C-A06AE6BF96AF}"/>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Agriculture soil fractions (%)</a:t>
            </a:r>
          </a:p>
        </c:rich>
      </c:tx>
      <c:overlay val="0"/>
    </c:title>
    <c:autoTitleDeleted val="0"/>
    <c:plotArea>
      <c:layout/>
      <c:barChart>
        <c:barDir val="col"/>
        <c:grouping val="clustered"/>
        <c:varyColors val="0"/>
        <c:ser>
          <c:idx val="0"/>
          <c:order val="0"/>
          <c:tx>
            <c:strRef>
              <c:f>'Soil texture'!$L$40</c:f>
              <c:strCache>
                <c:ptCount val="1"/>
                <c:pt idx="0">
                  <c:v>Indigenous clay %</c:v>
                </c:pt>
              </c:strCache>
            </c:strRef>
          </c:tx>
          <c:invertIfNegative val="0"/>
          <c:errBars>
            <c:errBarType val="both"/>
            <c:errValType val="percentage"/>
            <c:noEndCap val="0"/>
            <c:val val="5"/>
          </c:errBars>
          <c:cat>
            <c:strRef>
              <c:f>'Soil texture'!$I$41:$I$43</c:f>
              <c:strCache>
                <c:ptCount val="3"/>
                <c:pt idx="0">
                  <c:v>0-10cm</c:v>
                </c:pt>
                <c:pt idx="1">
                  <c:v>10-20cm</c:v>
                </c:pt>
                <c:pt idx="2">
                  <c:v>20-30cm</c:v>
                </c:pt>
              </c:strCache>
            </c:strRef>
          </c:cat>
          <c:val>
            <c:numRef>
              <c:f>'Soil texture'!$L$41:$L$43</c:f>
              <c:numCache>
                <c:formatCode>General</c:formatCode>
                <c:ptCount val="3"/>
                <c:pt idx="0">
                  <c:v>15.135496578029377</c:v>
                </c:pt>
                <c:pt idx="1">
                  <c:v>21.911626719612578</c:v>
                </c:pt>
                <c:pt idx="2">
                  <c:v>35.235006754515801</c:v>
                </c:pt>
              </c:numCache>
            </c:numRef>
          </c:val>
          <c:extLst>
            <c:ext xmlns:c16="http://schemas.microsoft.com/office/drawing/2014/chart" uri="{C3380CC4-5D6E-409C-BE32-E72D297353CC}">
              <c16:uniqueId val="{00000003-FC82-7D42-AC51-E43CEFC905CF}"/>
            </c:ext>
          </c:extLst>
        </c:ser>
        <c:ser>
          <c:idx val="2"/>
          <c:order val="1"/>
          <c:tx>
            <c:strRef>
              <c:f>'Soil texture'!$L$35</c:f>
              <c:strCache>
                <c:ptCount val="1"/>
                <c:pt idx="0">
                  <c:v>Agriculture clay %</c:v>
                </c:pt>
              </c:strCache>
            </c:strRef>
          </c:tx>
          <c:invertIfNegative val="0"/>
          <c:errBars>
            <c:errBarType val="both"/>
            <c:errValType val="percentage"/>
            <c:noEndCap val="0"/>
            <c:val val="5"/>
          </c:errBars>
          <c:cat>
            <c:strRef>
              <c:f>'Soil texture'!$I$36:$I$38</c:f>
              <c:strCache>
                <c:ptCount val="3"/>
                <c:pt idx="0">
                  <c:v>0-10cm</c:v>
                </c:pt>
                <c:pt idx="1">
                  <c:v>10-20cm</c:v>
                </c:pt>
                <c:pt idx="2">
                  <c:v>20-30cm</c:v>
                </c:pt>
              </c:strCache>
            </c:strRef>
          </c:cat>
          <c:val>
            <c:numRef>
              <c:f>'Soil texture'!$L$36:$L$38</c:f>
              <c:numCache>
                <c:formatCode>General</c:formatCode>
                <c:ptCount val="3"/>
                <c:pt idx="0">
                  <c:v>13.191145763861513</c:v>
                </c:pt>
                <c:pt idx="1">
                  <c:v>17.72285691644602</c:v>
                </c:pt>
                <c:pt idx="2">
                  <c:v>18.994941212737341</c:v>
                </c:pt>
              </c:numCache>
            </c:numRef>
          </c:val>
          <c:extLst>
            <c:ext xmlns:c16="http://schemas.microsoft.com/office/drawing/2014/chart" uri="{C3380CC4-5D6E-409C-BE32-E72D297353CC}">
              <c16:uniqueId val="{00000002-FC82-7D42-AC51-E43CEFC905CF}"/>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'Soil N'!$I$17</c:f>
              <c:strCache>
                <c:ptCount val="1"/>
                <c:pt idx="0">
                  <c:v>Average of agriculture soil N availability</c:v>
                </c:pt>
              </c:strCache>
            </c:strRef>
          </c:tx>
          <c:invertIfNegative val="0"/>
          <c:cat>
            <c:strRef>
              <c:f>'Soil N'!$H$18:$H$20</c:f>
              <c:strCache>
                <c:ptCount val="3"/>
                <c:pt idx="0">
                  <c:v>0-10cm</c:v>
                </c:pt>
                <c:pt idx="1">
                  <c:v>10-20cm</c:v>
                </c:pt>
                <c:pt idx="2">
                  <c:v>20-30cm</c:v>
                </c:pt>
              </c:strCache>
            </c:strRef>
          </c:cat>
          <c:val>
            <c:numRef>
              <c:f>'Soil N'!$I$18:$I$20</c:f>
              <c:numCache>
                <c:formatCode>General</c:formatCode>
                <c:ptCount val="3"/>
                <c:pt idx="0">
                  <c:v>37.797499999999999</c:v>
                </c:pt>
                <c:pt idx="1">
                  <c:v>29.743499999999997</c:v>
                </c:pt>
                <c:pt idx="2">
                  <c:v>22.5715</c:v>
                </c:pt>
              </c:numCache>
            </c:numRef>
          </c:val>
          <c:extLst>
            <c:ext xmlns:c16="http://schemas.microsoft.com/office/drawing/2014/chart" uri="{C3380CC4-5D6E-409C-BE32-E72D297353CC}">
              <c16:uniqueId val="{00000000-CBE0-8548-95D1-D61245AAB844}"/>
            </c:ext>
          </c:extLst>
        </c:ser>
        <c:ser>
          <c:idx val="0"/>
          <c:order val="1"/>
          <c:tx>
            <c:strRef>
              <c:f>'Soil N'!$I$22</c:f>
              <c:strCache>
                <c:ptCount val="1"/>
                <c:pt idx="0">
                  <c:v>Average of Indigenous soil N availability</c:v>
                </c:pt>
              </c:strCache>
            </c:strRef>
          </c:tx>
          <c:spPr>
            <a:solidFill>
              <a:schemeClr val="accent1"/>
            </a:solidFill>
            <a:ln>
              <a:noFill/>
            </a:ln>
            <a:effectLst/>
          </c:spPr>
          <c:invertIfNegative val="0"/>
          <c:cat>
            <c:strRef>
              <c:f>'Soil N'!$H$23:$H$25</c:f>
              <c:strCache>
                <c:ptCount val="3"/>
                <c:pt idx="0">
                  <c:v>0-10cm</c:v>
                </c:pt>
                <c:pt idx="1">
                  <c:v>10-20cm</c:v>
                </c:pt>
                <c:pt idx="2">
                  <c:v>20-30cm</c:v>
                </c:pt>
              </c:strCache>
            </c:strRef>
          </c:cat>
          <c:val>
            <c:numRef>
              <c:f>'Soil N'!$I$23:$I$25</c:f>
              <c:numCache>
                <c:formatCode>General</c:formatCode>
                <c:ptCount val="3"/>
                <c:pt idx="0">
                  <c:v>18.320500000000003</c:v>
                </c:pt>
                <c:pt idx="1">
                  <c:v>7.2155000000000005</c:v>
                </c:pt>
                <c:pt idx="2">
                  <c:v>9.0090000000000003</c:v>
                </c:pt>
              </c:numCache>
            </c:numRef>
          </c:val>
          <c:extLst>
            <c:ext xmlns:c16="http://schemas.microsoft.com/office/drawing/2014/chart" uri="{C3380CC4-5D6E-409C-BE32-E72D297353CC}">
              <c16:uniqueId val="{00000001-CBE0-8548-95D1-D61245AAB844}"/>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8862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 exch cat (cmolc kg-1) </a:t>
            </a:r>
            <a:endParaRPr lang="en-GB"/>
          </a:p>
        </c:rich>
      </c:tx>
      <c:overlay val="0"/>
    </c:title>
    <c:autoTitleDeleted val="0"/>
    <c:plotArea>
      <c:layout/>
      <c:barChart>
        <c:barDir val="col"/>
        <c:grouping val="clustered"/>
        <c:varyColors val="0"/>
        <c:ser>
          <c:idx val="1"/>
          <c:order val="0"/>
          <c:tx>
            <c:strRef>
              <c:f>'Cat ion exchange'!$I$24</c:f>
              <c:strCache>
                <c:ptCount val="1"/>
                <c:pt idx="0">
                  <c:v>Average agriculture exch cat (cmolc kg-1)</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exchange'!$I$25:$I$27</c:f>
              <c:numCache>
                <c:formatCode>General</c:formatCode>
                <c:ptCount val="3"/>
                <c:pt idx="0">
                  <c:v>380.0226594112637</c:v>
                </c:pt>
                <c:pt idx="1">
                  <c:v>444.91022494259755</c:v>
                </c:pt>
                <c:pt idx="2">
                  <c:v>279.46622619955144</c:v>
                </c:pt>
              </c:numCache>
            </c:numRef>
          </c:val>
          <c:extLst>
            <c:ext xmlns:c16="http://schemas.microsoft.com/office/drawing/2014/chart" uri="{C3380CC4-5D6E-409C-BE32-E72D297353CC}">
              <c16:uniqueId val="{00000000-8933-5446-A9BD-2798FC24F9C2}"/>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cat (cmolc kg-1)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a:t>
            </a:r>
          </a:p>
          <a:p>
            <a:pPr>
              <a:defRPr/>
            </a:pPr>
            <a:r>
              <a:rPr lang="en-AU"/>
              <a:t>exch acidity</a:t>
            </a:r>
            <a:endParaRPr lang="en-GB"/>
          </a:p>
        </c:rich>
      </c:tx>
      <c:overlay val="0"/>
    </c:title>
    <c:autoTitleDeleted val="0"/>
    <c:plotArea>
      <c:layout/>
      <c:barChart>
        <c:barDir val="col"/>
        <c:grouping val="clustered"/>
        <c:varyColors val="0"/>
        <c:ser>
          <c:idx val="1"/>
          <c:order val="0"/>
          <c:tx>
            <c:strRef>
              <c:f>'Cat ion exchange'!$J$24</c:f>
              <c:strCache>
                <c:ptCount val="1"/>
                <c:pt idx="0">
                  <c:v>Average agriculture exch acidity</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exchange'!$J$25:$J$27</c:f>
              <c:numCache>
                <c:formatCode>General</c:formatCode>
                <c:ptCount val="3"/>
                <c:pt idx="0">
                  <c:v>1.9217430698191755</c:v>
                </c:pt>
                <c:pt idx="1">
                  <c:v>2.5212125621211761</c:v>
                </c:pt>
                <c:pt idx="2">
                  <c:v>1.4085934635444208</c:v>
                </c:pt>
              </c:numCache>
            </c:numRef>
          </c:val>
          <c:extLst>
            <c:ext xmlns:c16="http://schemas.microsoft.com/office/drawing/2014/chart" uri="{C3380CC4-5D6E-409C-BE32-E72D297353CC}">
              <c16:uniqueId val="{00000000-766B-1D48-9C4A-E271691FD6A2}"/>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acidity (cmolc kg-1)</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 eCEC (cmolc kg-1) </a:t>
            </a:r>
            <a:endParaRPr lang="en-GB"/>
          </a:p>
        </c:rich>
      </c:tx>
      <c:overlay val="0"/>
    </c:title>
    <c:autoTitleDeleted val="0"/>
    <c:plotArea>
      <c:layout/>
      <c:barChart>
        <c:barDir val="col"/>
        <c:grouping val="clustered"/>
        <c:varyColors val="0"/>
        <c:ser>
          <c:idx val="1"/>
          <c:order val="0"/>
          <c:tx>
            <c:strRef>
              <c:f>'Cat ion exchange'!$K$24</c:f>
              <c:strCache>
                <c:ptCount val="1"/>
                <c:pt idx="0">
                  <c:v>Average agriculture eCEC (cmolc kg-1)</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exchange'!$K$25:$K$27</c:f>
              <c:numCache>
                <c:formatCode>General</c:formatCode>
                <c:ptCount val="3"/>
                <c:pt idx="0">
                  <c:v>381.94440248108288</c:v>
                </c:pt>
                <c:pt idx="1">
                  <c:v>447.43143750471876</c:v>
                </c:pt>
                <c:pt idx="2">
                  <c:v>280.87481966309588</c:v>
                </c:pt>
              </c:numCache>
            </c:numRef>
          </c:val>
          <c:extLst>
            <c:ext xmlns:c16="http://schemas.microsoft.com/office/drawing/2014/chart" uri="{C3380CC4-5D6E-409C-BE32-E72D297353CC}">
              <c16:uniqueId val="{00000000-4A8D-D344-8276-D018024EF3AB}"/>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indigenous exch cat (cmolc kg-1) </a:t>
            </a:r>
            <a:endParaRPr lang="en-GB"/>
          </a:p>
        </c:rich>
      </c:tx>
      <c:overlay val="0"/>
    </c:title>
    <c:autoTitleDeleted val="0"/>
    <c:plotArea>
      <c:layout/>
      <c:barChart>
        <c:barDir val="col"/>
        <c:grouping val="clustered"/>
        <c:varyColors val="0"/>
        <c:ser>
          <c:idx val="1"/>
          <c:order val="0"/>
          <c:tx>
            <c:strRef>
              <c:f>'Cat ion exchange'!$I$29</c:f>
              <c:strCache>
                <c:ptCount val="1"/>
                <c:pt idx="0">
                  <c:v>Average indigenous exch cat (cmolc kg-1)</c:v>
                </c:pt>
              </c:strCache>
            </c:strRef>
          </c:tx>
          <c:invertIfNegative val="0"/>
          <c:errBars>
            <c:errBarType val="both"/>
            <c:errValType val="percentage"/>
            <c:noEndCap val="0"/>
            <c:val val="5"/>
          </c:errBars>
          <c:cat>
            <c:strRef>
              <c:f>'Cat ion exchange'!$H$30:$H$32</c:f>
              <c:strCache>
                <c:ptCount val="3"/>
                <c:pt idx="0">
                  <c:v>0-10cm</c:v>
                </c:pt>
                <c:pt idx="1">
                  <c:v>10-20cm</c:v>
                </c:pt>
                <c:pt idx="2">
                  <c:v>20-30cm</c:v>
                </c:pt>
              </c:strCache>
            </c:strRef>
          </c:cat>
          <c:val>
            <c:numRef>
              <c:f>'Cat ion exchange'!$I$30:$I$32</c:f>
              <c:numCache>
                <c:formatCode>General</c:formatCode>
                <c:ptCount val="3"/>
                <c:pt idx="0">
                  <c:v>591.56399891396188</c:v>
                </c:pt>
                <c:pt idx="1">
                  <c:v>1010.7566930929871</c:v>
                </c:pt>
                <c:pt idx="2">
                  <c:v>526.03184127257271</c:v>
                </c:pt>
              </c:numCache>
            </c:numRef>
          </c:val>
          <c:extLst>
            <c:ext xmlns:c16="http://schemas.microsoft.com/office/drawing/2014/chart" uri="{C3380CC4-5D6E-409C-BE32-E72D297353CC}">
              <c16:uniqueId val="{00000000-9A13-3E40-8317-A412482195B3}"/>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cat (cmolc kg-1)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Indigenous</a:t>
            </a:r>
            <a:br>
              <a:rPr lang="en-AU"/>
            </a:br>
            <a:r>
              <a:rPr lang="en-AU"/>
              <a:t>exch acidity </a:t>
            </a:r>
            <a:endParaRPr lang="en-GB"/>
          </a:p>
        </c:rich>
      </c:tx>
      <c:overlay val="0"/>
    </c:title>
    <c:autoTitleDeleted val="0"/>
    <c:plotArea>
      <c:layout/>
      <c:barChart>
        <c:barDir val="col"/>
        <c:grouping val="clustered"/>
        <c:varyColors val="0"/>
        <c:ser>
          <c:idx val="1"/>
          <c:order val="0"/>
          <c:tx>
            <c:strRef>
              <c:f>'Cat ion exchange'!$J$29</c:f>
              <c:strCache>
                <c:ptCount val="1"/>
                <c:pt idx="0">
                  <c:v>Average Indigenous
exch acidity</c:v>
                </c:pt>
              </c:strCache>
            </c:strRef>
          </c:tx>
          <c:invertIfNegative val="0"/>
          <c:errBars>
            <c:errBarType val="both"/>
            <c:errValType val="percentage"/>
            <c:noEndCap val="0"/>
            <c:val val="5"/>
          </c:errBars>
          <c:cat>
            <c:strRef>
              <c:f>'Cat ion exchange'!$H$30:$H$32</c:f>
              <c:strCache>
                <c:ptCount val="3"/>
                <c:pt idx="0">
                  <c:v>0-10cm</c:v>
                </c:pt>
                <c:pt idx="1">
                  <c:v>10-20cm</c:v>
                </c:pt>
                <c:pt idx="2">
                  <c:v>20-30cm</c:v>
                </c:pt>
              </c:strCache>
            </c:strRef>
          </c:cat>
          <c:val>
            <c:numRef>
              <c:f>'Cat ion exchange'!$J$30:$J$32</c:f>
              <c:numCache>
                <c:formatCode>General</c:formatCode>
                <c:ptCount val="3"/>
                <c:pt idx="0">
                  <c:v>3.5550140347026042</c:v>
                </c:pt>
                <c:pt idx="1">
                  <c:v>3.2197921804983514</c:v>
                </c:pt>
                <c:pt idx="2">
                  <c:v>2.3513151145603226</c:v>
                </c:pt>
              </c:numCache>
            </c:numRef>
          </c:val>
          <c:extLst>
            <c:ext xmlns:c16="http://schemas.microsoft.com/office/drawing/2014/chart" uri="{C3380CC4-5D6E-409C-BE32-E72D297353CC}">
              <c16:uniqueId val="{00000000-BA42-744F-9B05-1896B03637C7}"/>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acidity (cmolc kg-1)</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indigenous eCEC (cmolc kg-1) </a:t>
            </a:r>
            <a:endParaRPr lang="en-GB"/>
          </a:p>
        </c:rich>
      </c:tx>
      <c:overlay val="0"/>
    </c:title>
    <c:autoTitleDeleted val="0"/>
    <c:plotArea>
      <c:layout/>
      <c:barChart>
        <c:barDir val="col"/>
        <c:grouping val="clustered"/>
        <c:varyColors val="0"/>
        <c:ser>
          <c:idx val="1"/>
          <c:order val="0"/>
          <c:tx>
            <c:strRef>
              <c:f>'Cat ion exchange'!$K$29</c:f>
              <c:strCache>
                <c:ptCount val="1"/>
                <c:pt idx="0">
                  <c:v>Average indigenous eCEC (cmolc kg-1)</c:v>
                </c:pt>
              </c:strCache>
            </c:strRef>
          </c:tx>
          <c:invertIfNegative val="0"/>
          <c:dPt>
            <c:idx val="1"/>
            <c:invertIfNegative val="0"/>
            <c:bubble3D val="0"/>
            <c:extLst>
              <c:ext xmlns:c16="http://schemas.microsoft.com/office/drawing/2014/chart" uri="{C3380CC4-5D6E-409C-BE32-E72D297353CC}">
                <c16:uniqueId val="{00000000-D5CE-6E45-9108-7AA208FD2E99}"/>
              </c:ext>
            </c:extLst>
          </c:dPt>
          <c:dPt>
            <c:idx val="2"/>
            <c:invertIfNegative val="0"/>
            <c:bubble3D val="0"/>
            <c:extLst>
              <c:ext xmlns:c16="http://schemas.microsoft.com/office/drawing/2014/chart" uri="{C3380CC4-5D6E-409C-BE32-E72D297353CC}">
                <c16:uniqueId val="{00000001-D5CE-6E45-9108-7AA208FD2E99}"/>
              </c:ext>
            </c:extLst>
          </c:dPt>
          <c:errBars>
            <c:errBarType val="both"/>
            <c:errValType val="percentage"/>
            <c:noEndCap val="0"/>
            <c:val val="5"/>
          </c:errBars>
          <c:cat>
            <c:strRef>
              <c:f>'Cat ion exchange'!$H$30:$H$32</c:f>
              <c:strCache>
                <c:ptCount val="3"/>
                <c:pt idx="0">
                  <c:v>0-10cm</c:v>
                </c:pt>
                <c:pt idx="1">
                  <c:v>10-20cm</c:v>
                </c:pt>
                <c:pt idx="2">
                  <c:v>20-30cm</c:v>
                </c:pt>
              </c:strCache>
            </c:strRef>
          </c:cat>
          <c:val>
            <c:numRef>
              <c:f>'Cat ion exchange'!$K$30:$K$32</c:f>
              <c:numCache>
                <c:formatCode>General</c:formatCode>
                <c:ptCount val="3"/>
                <c:pt idx="0">
                  <c:v>595.11901294866448</c:v>
                </c:pt>
                <c:pt idx="1">
                  <c:v>1013.9764852734854</c:v>
                </c:pt>
                <c:pt idx="2">
                  <c:v>528.38315638713289</c:v>
                </c:pt>
              </c:numCache>
            </c:numRef>
          </c:val>
          <c:extLst>
            <c:ext xmlns:c16="http://schemas.microsoft.com/office/drawing/2014/chart" uri="{C3380CC4-5D6E-409C-BE32-E72D297353CC}">
              <c16:uniqueId val="{00000000-8815-AF48-A9B1-B750E87E82DC}"/>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AU"/>
                  <a:t>eCEC (cmolc kg-1)  </a:t>
                </a:r>
                <a:endParaRPr lang="en-GB"/>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 exch cat (cmolc kg-1) </a:t>
            </a:r>
            <a:endParaRPr lang="en-GB"/>
          </a:p>
        </c:rich>
      </c:tx>
      <c:overlay val="0"/>
    </c:title>
    <c:autoTitleDeleted val="0"/>
    <c:plotArea>
      <c:layout/>
      <c:barChart>
        <c:barDir val="col"/>
        <c:grouping val="clustered"/>
        <c:varyColors val="0"/>
        <c:ser>
          <c:idx val="0"/>
          <c:order val="0"/>
          <c:tx>
            <c:strRef>
              <c:f>'Cat ion exchange'!$I$29</c:f>
              <c:strCache>
                <c:ptCount val="1"/>
                <c:pt idx="0">
                  <c:v>Average indigenous exch cat (cmolc kg-1)</c:v>
                </c:pt>
              </c:strCache>
            </c:strRef>
          </c:tx>
          <c:invertIfNegative val="0"/>
          <c:errBars>
            <c:errBarType val="both"/>
            <c:errValType val="percentage"/>
            <c:noEndCap val="0"/>
            <c:val val="5"/>
          </c:errBars>
          <c:cat>
            <c:strRef>
              <c:f>'Cat ion exchange'!$H$30:$H$32</c:f>
              <c:strCache>
                <c:ptCount val="3"/>
                <c:pt idx="0">
                  <c:v>0-10cm</c:v>
                </c:pt>
                <c:pt idx="1">
                  <c:v>10-20cm</c:v>
                </c:pt>
                <c:pt idx="2">
                  <c:v>20-30cm</c:v>
                </c:pt>
              </c:strCache>
            </c:strRef>
          </c:cat>
          <c:val>
            <c:numRef>
              <c:f>'Cat ion exchange'!$I$30:$I$32</c:f>
              <c:numCache>
                <c:formatCode>General</c:formatCode>
                <c:ptCount val="3"/>
                <c:pt idx="0">
                  <c:v>591.56399891396188</c:v>
                </c:pt>
                <c:pt idx="1">
                  <c:v>1010.7566930929871</c:v>
                </c:pt>
                <c:pt idx="2">
                  <c:v>526.03184127257271</c:v>
                </c:pt>
              </c:numCache>
            </c:numRef>
          </c:val>
          <c:extLst>
            <c:ext xmlns:c16="http://schemas.microsoft.com/office/drawing/2014/chart" uri="{C3380CC4-5D6E-409C-BE32-E72D297353CC}">
              <c16:uniqueId val="{00000003-2CAD-0740-8BAF-22CFDEE8CAC9}"/>
            </c:ext>
          </c:extLst>
        </c:ser>
        <c:ser>
          <c:idx val="1"/>
          <c:order val="1"/>
          <c:tx>
            <c:strRef>
              <c:f>'Cat ion exchange'!$I$24</c:f>
              <c:strCache>
                <c:ptCount val="1"/>
                <c:pt idx="0">
                  <c:v>Average agriculture exch cat (cmolc kg-1)</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exchange'!$I$25:$I$27</c:f>
              <c:numCache>
                <c:formatCode>General</c:formatCode>
                <c:ptCount val="3"/>
                <c:pt idx="0">
                  <c:v>380.0226594112637</c:v>
                </c:pt>
                <c:pt idx="1">
                  <c:v>444.91022494259755</c:v>
                </c:pt>
                <c:pt idx="2">
                  <c:v>279.46622619955144</c:v>
                </c:pt>
              </c:numCache>
            </c:numRef>
          </c:val>
          <c:extLst>
            <c:ext xmlns:c16="http://schemas.microsoft.com/office/drawing/2014/chart" uri="{C3380CC4-5D6E-409C-BE32-E72D297353CC}">
              <c16:uniqueId val="{00000002-2CAD-0740-8BAF-22CFDEE8CAC9}"/>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cat (cmolc kg-1)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a:t>
            </a:r>
          </a:p>
          <a:p>
            <a:pPr>
              <a:defRPr/>
            </a:pPr>
            <a:r>
              <a:rPr lang="en-AU"/>
              <a:t>exch acidity</a:t>
            </a:r>
            <a:endParaRPr lang="en-GB"/>
          </a:p>
        </c:rich>
      </c:tx>
      <c:overlay val="0"/>
    </c:title>
    <c:autoTitleDeleted val="0"/>
    <c:plotArea>
      <c:layout/>
      <c:barChart>
        <c:barDir val="col"/>
        <c:grouping val="clustered"/>
        <c:varyColors val="0"/>
        <c:ser>
          <c:idx val="0"/>
          <c:order val="0"/>
          <c:tx>
            <c:strRef>
              <c:f>'Cat ion exchange'!$J$29</c:f>
              <c:strCache>
                <c:ptCount val="1"/>
                <c:pt idx="0">
                  <c:v>Average Indigenous
exch acidity</c:v>
                </c:pt>
              </c:strCache>
            </c:strRef>
          </c:tx>
          <c:invertIfNegative val="0"/>
          <c:errBars>
            <c:errBarType val="both"/>
            <c:errValType val="percentage"/>
            <c:noEndCap val="0"/>
            <c:val val="5"/>
          </c:errBars>
          <c:cat>
            <c:strRef>
              <c:f>'Cat ion exchange'!$H$30:$H$32</c:f>
              <c:strCache>
                <c:ptCount val="3"/>
                <c:pt idx="0">
                  <c:v>0-10cm</c:v>
                </c:pt>
                <c:pt idx="1">
                  <c:v>10-20cm</c:v>
                </c:pt>
                <c:pt idx="2">
                  <c:v>20-30cm</c:v>
                </c:pt>
              </c:strCache>
            </c:strRef>
          </c:cat>
          <c:val>
            <c:numRef>
              <c:f>'Cat ion exchange'!$J$30:$J$32</c:f>
              <c:numCache>
                <c:formatCode>General</c:formatCode>
                <c:ptCount val="3"/>
                <c:pt idx="0">
                  <c:v>3.5550140347026042</c:v>
                </c:pt>
                <c:pt idx="1">
                  <c:v>3.2197921804983514</c:v>
                </c:pt>
                <c:pt idx="2">
                  <c:v>2.3513151145603226</c:v>
                </c:pt>
              </c:numCache>
            </c:numRef>
          </c:val>
          <c:extLst>
            <c:ext xmlns:c16="http://schemas.microsoft.com/office/drawing/2014/chart" uri="{C3380CC4-5D6E-409C-BE32-E72D297353CC}">
              <c16:uniqueId val="{00000003-ABA4-E04F-9114-074AA4FD0327}"/>
            </c:ext>
          </c:extLst>
        </c:ser>
        <c:ser>
          <c:idx val="1"/>
          <c:order val="1"/>
          <c:tx>
            <c:strRef>
              <c:f>'Cat ion exchange'!$J$24</c:f>
              <c:strCache>
                <c:ptCount val="1"/>
                <c:pt idx="0">
                  <c:v>Average agriculture exch acidity</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exchange'!$J$25:$J$27</c:f>
              <c:numCache>
                <c:formatCode>General</c:formatCode>
                <c:ptCount val="3"/>
                <c:pt idx="0">
                  <c:v>1.9217430698191755</c:v>
                </c:pt>
                <c:pt idx="1">
                  <c:v>2.5212125621211761</c:v>
                </c:pt>
                <c:pt idx="2">
                  <c:v>1.4085934635444208</c:v>
                </c:pt>
              </c:numCache>
            </c:numRef>
          </c:val>
          <c:extLst>
            <c:ext xmlns:c16="http://schemas.microsoft.com/office/drawing/2014/chart" uri="{C3380CC4-5D6E-409C-BE32-E72D297353CC}">
              <c16:uniqueId val="{00000002-ABA4-E04F-9114-074AA4FD0327}"/>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exch acidity (cmolc kg-1)</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Biochemical Oxygen Demand (DO - BOD) in mg/L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'Water - DO'!$AF$36</c:f>
              <c:strCache>
                <c:ptCount val="1"/>
                <c:pt idx="0">
                  <c:v>Average Biochemical Oxygen Demand (DO - BOD) in mg/L</c:v>
                </c:pt>
              </c:strCache>
            </c:strRef>
          </c:tx>
          <c:spPr>
            <a:solidFill>
              <a:schemeClr val="accent2"/>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DO'!$AE$37:$AE$41</c:f>
              <c:strCache>
                <c:ptCount val="5"/>
                <c:pt idx="0">
                  <c:v>Brawlins Rd</c:v>
                </c:pt>
                <c:pt idx="1">
                  <c:v>Cootamundry</c:v>
                </c:pt>
                <c:pt idx="2">
                  <c:v>Coolac</c:v>
                </c:pt>
                <c:pt idx="3">
                  <c:v>Bongongalong</c:v>
                </c:pt>
                <c:pt idx="4">
                  <c:v>Cootamundra</c:v>
                </c:pt>
              </c:strCache>
            </c:strRef>
          </c:cat>
          <c:val>
            <c:numRef>
              <c:f>'Water - DO'!$AF$37:$AF$41</c:f>
              <c:numCache>
                <c:formatCode>General</c:formatCode>
                <c:ptCount val="5"/>
                <c:pt idx="0">
                  <c:v>2.34</c:v>
                </c:pt>
                <c:pt idx="1">
                  <c:v>2.34</c:v>
                </c:pt>
                <c:pt idx="2">
                  <c:v>1.9599999999999995</c:v>
                </c:pt>
                <c:pt idx="3">
                  <c:v>1.9599999999999995</c:v>
                </c:pt>
                <c:pt idx="4">
                  <c:v>1.3199999999999996</c:v>
                </c:pt>
              </c:numCache>
            </c:numRef>
          </c:val>
          <c:extLst>
            <c:ext xmlns:c16="http://schemas.microsoft.com/office/drawing/2014/chart" uri="{C3380CC4-5D6E-409C-BE32-E72D297353CC}">
              <c16:uniqueId val="{00000000-3B3D-5541-97E4-2726AE58550E}"/>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Average agriculture eCEC (cmolc kg-1) </a:t>
            </a:r>
            <a:endParaRPr lang="en-GB"/>
          </a:p>
        </c:rich>
      </c:tx>
      <c:overlay val="0"/>
    </c:title>
    <c:autoTitleDeleted val="0"/>
    <c:plotArea>
      <c:layout/>
      <c:barChart>
        <c:barDir val="col"/>
        <c:grouping val="clustered"/>
        <c:varyColors val="0"/>
        <c:ser>
          <c:idx val="0"/>
          <c:order val="0"/>
          <c:invertIfNegative val="0"/>
          <c:errBars>
            <c:errBarType val="both"/>
            <c:errValType val="percentage"/>
            <c:noEndCap val="0"/>
            <c:val val="5"/>
          </c:errBars>
          <c:cat>
            <c:strRef>
              <c:f>'Cat ion exchange'!$H$30:$H$32</c:f>
              <c:strCache>
                <c:ptCount val="3"/>
                <c:pt idx="0">
                  <c:v>0-10cm</c:v>
                </c:pt>
                <c:pt idx="1">
                  <c:v>10-20cm</c:v>
                </c:pt>
                <c:pt idx="2">
                  <c:v>20-30cm</c:v>
                </c:pt>
              </c:strCache>
            </c:strRef>
          </c:cat>
          <c:val>
            <c:numRef>
              <c:f>'Cat ion exchange'!$K$30:$K$32</c:f>
              <c:numCache>
                <c:formatCode>General</c:formatCode>
                <c:ptCount val="3"/>
                <c:pt idx="0">
                  <c:v>595.11901294866448</c:v>
                </c:pt>
                <c:pt idx="1">
                  <c:v>1013.9764852734854</c:v>
                </c:pt>
                <c:pt idx="2">
                  <c:v>528.38315638713289</c:v>
                </c:pt>
              </c:numCache>
            </c:numRef>
          </c:val>
          <c:extLst>
            <c:ext xmlns:c16="http://schemas.microsoft.com/office/drawing/2014/chart" uri="{C3380CC4-5D6E-409C-BE32-E72D297353CC}">
              <c16:uniqueId val="{00000005-F8DE-7F43-86BE-496D2C59ABD9}"/>
            </c:ext>
          </c:extLst>
        </c:ser>
        <c:ser>
          <c:idx val="1"/>
          <c:order val="1"/>
          <c:tx>
            <c:strRef>
              <c:f>'Cat ion exchange'!$K$24</c:f>
              <c:strCache>
                <c:ptCount val="1"/>
                <c:pt idx="0">
                  <c:v>Average agriculture eCEC (cmolc kg-1)</c:v>
                </c:pt>
              </c:strCache>
            </c:strRef>
          </c:tx>
          <c:invertIfNegative val="0"/>
          <c:errBars>
            <c:errBarType val="both"/>
            <c:errValType val="percentage"/>
            <c:noEndCap val="0"/>
            <c:val val="5"/>
          </c:errBars>
          <c:cat>
            <c:strRef>
              <c:f>'Cat ion exchange'!$H$25:$H$27</c:f>
              <c:strCache>
                <c:ptCount val="3"/>
                <c:pt idx="0">
                  <c:v>0-10cm</c:v>
                </c:pt>
                <c:pt idx="1">
                  <c:v>10-20cm</c:v>
                </c:pt>
                <c:pt idx="2">
                  <c:v>20-30cm</c:v>
                </c:pt>
              </c:strCache>
            </c:strRef>
          </c:cat>
          <c:val>
            <c:numRef>
              <c:f>'Cat ion exchange'!$K$25:$K$27</c:f>
              <c:numCache>
                <c:formatCode>General</c:formatCode>
                <c:ptCount val="3"/>
                <c:pt idx="0">
                  <c:v>381.94440248108288</c:v>
                </c:pt>
                <c:pt idx="1">
                  <c:v>447.43143750471876</c:v>
                </c:pt>
                <c:pt idx="2">
                  <c:v>280.87481966309588</c:v>
                </c:pt>
              </c:numCache>
            </c:numRef>
          </c:val>
          <c:extLst>
            <c:ext xmlns:c16="http://schemas.microsoft.com/office/drawing/2014/chart" uri="{C3380CC4-5D6E-409C-BE32-E72D297353CC}">
              <c16:uniqueId val="{00000004-F8DE-7F43-86BE-496D2C59ABD9}"/>
            </c:ext>
          </c:extLst>
        </c:ser>
        <c:dLbls>
          <c:showLegendKey val="0"/>
          <c:showVal val="0"/>
          <c:showCatName val="0"/>
          <c:showSerName val="0"/>
          <c:showPercent val="0"/>
          <c:showBubbleSize val="0"/>
        </c:dLbls>
        <c:gapWidth val="219"/>
        <c:overlap val="-27"/>
        <c:axId val="460288623"/>
        <c:axId val="459483135"/>
      </c:barChart>
      <c:catAx>
        <c:axId val="46028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9483135"/>
        <c:crosses val="autoZero"/>
        <c:auto val="1"/>
        <c:lblAlgn val="ctr"/>
        <c:lblOffset val="100"/>
        <c:noMultiLvlLbl val="0"/>
      </c:catAx>
      <c:valAx>
        <c:axId val="45948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Fraction of soil (%)</a:t>
                </a:r>
              </a:p>
            </c:rich>
          </c:tx>
          <c:overlay val="0"/>
        </c:title>
        <c:numFmt formatCode="General" sourceLinked="1"/>
        <c:majorTickMark val="none"/>
        <c:minorTickMark val="none"/>
        <c:tickLblPos val="nextTo"/>
        <c:spPr>
          <a:noFill/>
          <a:ln>
            <a:noFill/>
          </a:ln>
          <a:effectLst/>
        </c:spPr>
        <c:txPr>
          <a:bodyPr rot="-60000000" vert="horz"/>
          <a:lstStyle/>
          <a:p>
            <a:pPr>
              <a:defRPr/>
            </a:pPr>
            <a:endParaRPr lang="en-US"/>
          </a:p>
        </c:txPr>
        <c:crossAx val="460288623"/>
        <c:crosses val="autoZero"/>
        <c:crossBetween val="between"/>
      </c:valAx>
    </c:plotArea>
    <c:legend>
      <c:legendPos val="b"/>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b="0">
          <a:solidFill>
            <a:schemeClr val="tx1">
              <a:lumMod val="50000"/>
              <a:lumOff val="50000"/>
            </a:schemeClr>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a:t>
            </a:r>
            <a:r>
              <a:rPr lang="en-US" baseline="0"/>
              <a:t> </a:t>
            </a:r>
            <a:r>
              <a:rPr lang="en-US"/>
              <a:t>oxygen vs biochemcical oyxgen</a:t>
            </a:r>
            <a:r>
              <a:rPr lang="en-US" baseline="0"/>
              <a:t> </a:t>
            </a:r>
            <a:r>
              <a:rPr lang="en-US"/>
              <a:t>demand</a:t>
            </a:r>
          </a:p>
        </c:rich>
      </c:tx>
      <c:overlay val="0"/>
      <c:spPr>
        <a:noFill/>
        <a:ln>
          <a:noFill/>
        </a:ln>
        <a:effectLst/>
      </c:spPr>
    </c:title>
    <c:autoTitleDeleted val="0"/>
    <c:plotArea>
      <c:layout/>
      <c:barChart>
        <c:barDir val="col"/>
        <c:grouping val="clustered"/>
        <c:varyColors val="0"/>
        <c:ser>
          <c:idx val="0"/>
          <c:order val="0"/>
          <c:tx>
            <c:strRef>
              <c:f>'Water - DO'!$AF$7</c:f>
              <c:strCache>
                <c:ptCount val="1"/>
                <c:pt idx="0">
                  <c:v>DO sample average dissolved oxygen (mg L-1)</c:v>
                </c:pt>
              </c:strCache>
            </c:strRef>
          </c:tx>
          <c:spPr>
            <a:solidFill>
              <a:schemeClr val="accent1"/>
            </a:solidFill>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errBars>
          <c:cat>
            <c:strRef>
              <c:f>'Water - DO'!$AE$8:$AE$12</c:f>
              <c:strCache>
                <c:ptCount val="5"/>
                <c:pt idx="0">
                  <c:v>Brawlins Rd</c:v>
                </c:pt>
                <c:pt idx="1">
                  <c:v>Cootamundry</c:v>
                </c:pt>
                <c:pt idx="2">
                  <c:v>Cootamundra</c:v>
                </c:pt>
                <c:pt idx="3">
                  <c:v>Bongongalong</c:v>
                </c:pt>
                <c:pt idx="4">
                  <c:v>Coolac</c:v>
                </c:pt>
              </c:strCache>
            </c:strRef>
          </c:cat>
          <c:val>
            <c:numRef>
              <c:f>'Water - DO'!$AF$8:$AF$12</c:f>
              <c:numCache>
                <c:formatCode>0.000</c:formatCode>
                <c:ptCount val="5"/>
                <c:pt idx="0">
                  <c:v>7.3</c:v>
                </c:pt>
                <c:pt idx="1">
                  <c:v>5.35</c:v>
                </c:pt>
                <c:pt idx="2">
                  <c:v>4.8499999999999996</c:v>
                </c:pt>
                <c:pt idx="3">
                  <c:v>2.5</c:v>
                </c:pt>
                <c:pt idx="4">
                  <c:v>2.34</c:v>
                </c:pt>
              </c:numCache>
            </c:numRef>
          </c:val>
          <c:extLst>
            <c:ext xmlns:c16="http://schemas.microsoft.com/office/drawing/2014/chart" uri="{C3380CC4-5D6E-409C-BE32-E72D297353CC}">
              <c16:uniqueId val="{00000006-EA02-1941-B5C6-4D5E94A9DA5C}"/>
            </c:ext>
          </c:extLst>
        </c:ser>
        <c:ser>
          <c:idx val="2"/>
          <c:order val="1"/>
          <c:tx>
            <c:strRef>
              <c:f>'Water - DO'!$AF$21</c:f>
              <c:strCache>
                <c:ptCount val="1"/>
                <c:pt idx="0">
                  <c:v>BOD sample average dissolved oxygen (mg L-1)</c:v>
                </c:pt>
              </c:strCache>
            </c:strRef>
          </c:tx>
          <c:spPr>
            <a:solidFill>
              <a:schemeClr val="accent2"/>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DO'!$AE$22:$AE$26</c:f>
              <c:strCache>
                <c:ptCount val="5"/>
                <c:pt idx="0">
                  <c:v>Cootamundry</c:v>
                </c:pt>
                <c:pt idx="1">
                  <c:v>Cootamundra</c:v>
                </c:pt>
                <c:pt idx="2">
                  <c:v>Bongongalong</c:v>
                </c:pt>
                <c:pt idx="3">
                  <c:v>Coolac</c:v>
                </c:pt>
                <c:pt idx="4">
                  <c:v>Brawlins Rd</c:v>
                </c:pt>
              </c:strCache>
            </c:strRef>
          </c:cat>
          <c:val>
            <c:numRef>
              <c:f>'Water - DO'!$AF$22:$AF$26</c:f>
              <c:numCache>
                <c:formatCode>0.000</c:formatCode>
                <c:ptCount val="5"/>
                <c:pt idx="0">
                  <c:v>3.5000000000000009</c:v>
                </c:pt>
                <c:pt idx="1">
                  <c:v>2.96</c:v>
                </c:pt>
                <c:pt idx="2">
                  <c:v>1.1499999999999995</c:v>
                </c:pt>
                <c:pt idx="3">
                  <c:v>0.45999999999999908</c:v>
                </c:pt>
                <c:pt idx="4">
                  <c:v>0.38000000000000045</c:v>
                </c:pt>
              </c:numCache>
            </c:numRef>
          </c:val>
          <c:extLst>
            <c:ext xmlns:c16="http://schemas.microsoft.com/office/drawing/2014/chart" uri="{C3380CC4-5D6E-409C-BE32-E72D297353CC}">
              <c16:uniqueId val="{00000007-EA02-1941-B5C6-4D5E94A9DA5C}"/>
            </c:ext>
          </c:extLst>
        </c:ser>
        <c:ser>
          <c:idx val="1"/>
          <c:order val="2"/>
          <c:tx>
            <c:strRef>
              <c:f>'Water - DO'!$AF$36</c:f>
              <c:strCache>
                <c:ptCount val="1"/>
                <c:pt idx="0">
                  <c:v>Average Biochemical Oxygen Demand (DO - BOD) in mg/L</c:v>
                </c:pt>
              </c:strCache>
            </c:strRef>
          </c:tx>
          <c:spPr>
            <a:solidFill>
              <a:schemeClr val="accent6"/>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DO'!$AE$37:$AE$41</c:f>
              <c:strCache>
                <c:ptCount val="5"/>
                <c:pt idx="0">
                  <c:v>Brawlins Rd</c:v>
                </c:pt>
                <c:pt idx="1">
                  <c:v>Cootamundry</c:v>
                </c:pt>
                <c:pt idx="2">
                  <c:v>Coolac</c:v>
                </c:pt>
                <c:pt idx="3">
                  <c:v>Bongongalong</c:v>
                </c:pt>
                <c:pt idx="4">
                  <c:v>Cootamundra</c:v>
                </c:pt>
              </c:strCache>
            </c:strRef>
          </c:cat>
          <c:val>
            <c:numRef>
              <c:f>'Water - DO'!$AF$37:$AF$41</c:f>
              <c:numCache>
                <c:formatCode>General</c:formatCode>
                <c:ptCount val="5"/>
                <c:pt idx="0">
                  <c:v>2.34</c:v>
                </c:pt>
                <c:pt idx="1">
                  <c:v>2.34</c:v>
                </c:pt>
                <c:pt idx="2">
                  <c:v>1.9599999999999995</c:v>
                </c:pt>
                <c:pt idx="3">
                  <c:v>1.9599999999999995</c:v>
                </c:pt>
                <c:pt idx="4">
                  <c:v>1.3199999999999996</c:v>
                </c:pt>
              </c:numCache>
            </c:numRef>
          </c:val>
          <c:extLst>
            <c:ext xmlns:c16="http://schemas.microsoft.com/office/drawing/2014/chart" uri="{C3380CC4-5D6E-409C-BE32-E72D297353CC}">
              <c16:uniqueId val="{00000005-EA02-1941-B5C6-4D5E94A9DA5C}"/>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a:t>
            </a:r>
            <a:r>
              <a:rPr lang="en-US" baseline="0"/>
              <a:t> </a:t>
            </a:r>
            <a:r>
              <a:rPr lang="en-US"/>
              <a:t>oxygen vs biochemcical oyxgen</a:t>
            </a:r>
            <a:r>
              <a:rPr lang="en-US" baseline="0"/>
              <a:t> </a:t>
            </a:r>
            <a:r>
              <a:rPr lang="en-US"/>
              <a:t>demand</a:t>
            </a:r>
          </a:p>
        </c:rich>
      </c:tx>
      <c:overlay val="0"/>
      <c:spPr>
        <a:noFill/>
        <a:ln>
          <a:noFill/>
        </a:ln>
        <a:effectLst/>
      </c:spPr>
    </c:title>
    <c:autoTitleDeleted val="0"/>
    <c:plotArea>
      <c:layout/>
      <c:barChart>
        <c:barDir val="col"/>
        <c:grouping val="clustered"/>
        <c:varyColors val="0"/>
        <c:ser>
          <c:idx val="0"/>
          <c:order val="0"/>
          <c:tx>
            <c:strRef>
              <c:f>'Water - DO'!$AF$7</c:f>
              <c:strCache>
                <c:ptCount val="1"/>
                <c:pt idx="0">
                  <c:v>DO sample average dissolved oxygen (mg L-1)</c:v>
                </c:pt>
              </c:strCache>
            </c:strRef>
          </c:tx>
          <c:spPr>
            <a:solidFill>
              <a:schemeClr val="accent1"/>
            </a:solidFill>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errBars>
          <c:cat>
            <c:strRef>
              <c:f>'Water - DO'!$AE$8:$AE$12</c:f>
              <c:strCache>
                <c:ptCount val="5"/>
                <c:pt idx="0">
                  <c:v>Brawlins Rd</c:v>
                </c:pt>
                <c:pt idx="1">
                  <c:v>Cootamundry</c:v>
                </c:pt>
                <c:pt idx="2">
                  <c:v>Cootamundra</c:v>
                </c:pt>
                <c:pt idx="3">
                  <c:v>Bongongalong</c:v>
                </c:pt>
                <c:pt idx="4">
                  <c:v>Coolac</c:v>
                </c:pt>
              </c:strCache>
            </c:strRef>
          </c:cat>
          <c:val>
            <c:numRef>
              <c:f>'Water - DO'!$AF$8:$AF$12</c:f>
              <c:numCache>
                <c:formatCode>0.000</c:formatCode>
                <c:ptCount val="5"/>
                <c:pt idx="0">
                  <c:v>7.3</c:v>
                </c:pt>
                <c:pt idx="1">
                  <c:v>5.35</c:v>
                </c:pt>
                <c:pt idx="2">
                  <c:v>4.8499999999999996</c:v>
                </c:pt>
                <c:pt idx="3">
                  <c:v>2.5</c:v>
                </c:pt>
                <c:pt idx="4">
                  <c:v>2.34</c:v>
                </c:pt>
              </c:numCache>
            </c:numRef>
          </c:val>
          <c:extLst>
            <c:ext xmlns:c16="http://schemas.microsoft.com/office/drawing/2014/chart" uri="{C3380CC4-5D6E-409C-BE32-E72D297353CC}">
              <c16:uniqueId val="{00000000-217C-2D45-A9F6-9094355E276A}"/>
            </c:ext>
          </c:extLst>
        </c:ser>
        <c:ser>
          <c:idx val="2"/>
          <c:order val="1"/>
          <c:tx>
            <c:strRef>
              <c:f>'Water - DO'!$AF$21</c:f>
              <c:strCache>
                <c:ptCount val="1"/>
                <c:pt idx="0">
                  <c:v>BOD sample average dissolved oxygen (mg L-1)</c:v>
                </c:pt>
              </c:strCache>
            </c:strRef>
          </c:tx>
          <c:spPr>
            <a:solidFill>
              <a:schemeClr val="accent2"/>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DO'!$AE$22:$AE$26</c:f>
              <c:strCache>
                <c:ptCount val="5"/>
                <c:pt idx="0">
                  <c:v>Cootamundry</c:v>
                </c:pt>
                <c:pt idx="1">
                  <c:v>Cootamundra</c:v>
                </c:pt>
                <c:pt idx="2">
                  <c:v>Bongongalong</c:v>
                </c:pt>
                <c:pt idx="3">
                  <c:v>Coolac</c:v>
                </c:pt>
                <c:pt idx="4">
                  <c:v>Brawlins Rd</c:v>
                </c:pt>
              </c:strCache>
            </c:strRef>
          </c:cat>
          <c:val>
            <c:numRef>
              <c:f>'Water - DO'!$AF$22:$AF$26</c:f>
              <c:numCache>
                <c:formatCode>0.000</c:formatCode>
                <c:ptCount val="5"/>
                <c:pt idx="0">
                  <c:v>3.5000000000000009</c:v>
                </c:pt>
                <c:pt idx="1">
                  <c:v>2.96</c:v>
                </c:pt>
                <c:pt idx="2">
                  <c:v>1.1499999999999995</c:v>
                </c:pt>
                <c:pt idx="3">
                  <c:v>0.45999999999999908</c:v>
                </c:pt>
                <c:pt idx="4">
                  <c:v>0.38000000000000045</c:v>
                </c:pt>
              </c:numCache>
            </c:numRef>
          </c:val>
          <c:extLst>
            <c:ext xmlns:c16="http://schemas.microsoft.com/office/drawing/2014/chart" uri="{C3380CC4-5D6E-409C-BE32-E72D297353CC}">
              <c16:uniqueId val="{00000001-217C-2D45-A9F6-9094355E276A}"/>
            </c:ext>
          </c:extLst>
        </c:ser>
        <c:ser>
          <c:idx val="1"/>
          <c:order val="2"/>
          <c:tx>
            <c:strRef>
              <c:f>'Water - DO'!$AF$36</c:f>
              <c:strCache>
                <c:ptCount val="1"/>
                <c:pt idx="0">
                  <c:v>Average Biochemical Oxygen Demand (DO - BOD) in mg/L</c:v>
                </c:pt>
              </c:strCache>
            </c:strRef>
          </c:tx>
          <c:spPr>
            <a:solidFill>
              <a:schemeClr val="accent6"/>
            </a:solidFill>
            <a:ln>
              <a:noFill/>
            </a:ln>
            <a:effectLst/>
          </c:spPr>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'Water - DO'!$AE$37:$AE$41</c:f>
              <c:strCache>
                <c:ptCount val="5"/>
                <c:pt idx="0">
                  <c:v>Brawlins Rd</c:v>
                </c:pt>
                <c:pt idx="1">
                  <c:v>Cootamundry</c:v>
                </c:pt>
                <c:pt idx="2">
                  <c:v>Coolac</c:v>
                </c:pt>
                <c:pt idx="3">
                  <c:v>Bongongalong</c:v>
                </c:pt>
                <c:pt idx="4">
                  <c:v>Cootamundra</c:v>
                </c:pt>
              </c:strCache>
            </c:strRef>
          </c:cat>
          <c:val>
            <c:numRef>
              <c:f>'Water - DO'!$AF$37:$AF$41</c:f>
              <c:numCache>
                <c:formatCode>General</c:formatCode>
                <c:ptCount val="5"/>
                <c:pt idx="0">
                  <c:v>2.34</c:v>
                </c:pt>
                <c:pt idx="1">
                  <c:v>2.34</c:v>
                </c:pt>
                <c:pt idx="2">
                  <c:v>1.9599999999999995</c:v>
                </c:pt>
                <c:pt idx="3">
                  <c:v>1.9599999999999995</c:v>
                </c:pt>
                <c:pt idx="4">
                  <c:v>1.3199999999999996</c:v>
                </c:pt>
              </c:numCache>
            </c:numRef>
          </c:val>
          <c:extLst>
            <c:ext xmlns:c16="http://schemas.microsoft.com/office/drawing/2014/chart" uri="{C3380CC4-5D6E-409C-BE32-E72D297353CC}">
              <c16:uniqueId val="{00000002-217C-2D45-A9F6-9094355E276A}"/>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 organic carbon (mg L-1)</a:t>
            </a:r>
          </a:p>
        </c:rich>
      </c:tx>
      <c:overlay val="0"/>
      <c:spPr>
        <a:noFill/>
        <a:ln>
          <a:noFill/>
        </a:ln>
        <a:effectLst/>
      </c:spPr>
    </c:title>
    <c:autoTitleDeleted val="0"/>
    <c:plotArea>
      <c:layout/>
      <c:barChart>
        <c:barDir val="col"/>
        <c:grouping val="clustered"/>
        <c:varyColors val="0"/>
        <c:ser>
          <c:idx val="0"/>
          <c:order val="0"/>
          <c:tx>
            <c:strRef>
              <c:f>'water C + N'!$J$4</c:f>
              <c:strCache>
                <c:ptCount val="1"/>
                <c:pt idx="0">
                  <c:v>Average dissolved organic carbon (mg L-1)</c:v>
                </c:pt>
              </c:strCache>
            </c:strRef>
          </c:tx>
          <c:invertIfNegative val="0"/>
          <c:errBars>
            <c:errBarType val="both"/>
            <c:errValType val="cust"/>
            <c:noEndCap val="0"/>
            <c:plus>
              <c:numRef>
                <c:f>'Lab water data'!$AB$5:$AB$9</c:f>
                <c:numCache>
                  <c:formatCode>General</c:formatCode>
                  <c:ptCount val="5"/>
                  <c:pt idx="0">
                    <c:v>0.12715197971713696</c:v>
                  </c:pt>
                  <c:pt idx="1">
                    <c:v>0.1872815931445411</c:v>
                  </c:pt>
                  <c:pt idx="2">
                    <c:v>0.19342359768</c:v>
                  </c:pt>
                  <c:pt idx="3">
                    <c:v>3.7352128389172887E-2</c:v>
                  </c:pt>
                  <c:pt idx="4">
                    <c:v>8.6198375068789024E-2</c:v>
                  </c:pt>
                </c:numCache>
              </c:numRef>
            </c:plus>
            <c:minus>
              <c:numLit>
                <c:formatCode>General</c:formatCode>
                <c:ptCount val="1"/>
                <c:pt idx="0">
                  <c:v>1</c:v>
                </c:pt>
              </c:numLit>
            </c:minus>
          </c:errBars>
          <c:cat>
            <c:strRef>
              <c:f>'water C + N'!$I$5:$I$9</c:f>
              <c:strCache>
                <c:ptCount val="5"/>
                <c:pt idx="0">
                  <c:v>Coolac</c:v>
                </c:pt>
                <c:pt idx="1">
                  <c:v>Cootamundry</c:v>
                </c:pt>
                <c:pt idx="2">
                  <c:v>Brawlins Rd</c:v>
                </c:pt>
                <c:pt idx="3">
                  <c:v>Cootamundra</c:v>
                </c:pt>
                <c:pt idx="4">
                  <c:v>Bongongalong</c:v>
                </c:pt>
              </c:strCache>
            </c:strRef>
          </c:cat>
          <c:val>
            <c:numRef>
              <c:f>'water C + N'!$J$5:$J$9</c:f>
              <c:numCache>
                <c:formatCode>0</c:formatCode>
                <c:ptCount val="5"/>
                <c:pt idx="0">
                  <c:v>23.934000000000005</c:v>
                </c:pt>
                <c:pt idx="1">
                  <c:v>21.505000000000003</c:v>
                </c:pt>
                <c:pt idx="2">
                  <c:v>16.270000000000003</c:v>
                </c:pt>
                <c:pt idx="3">
                  <c:v>15.405000000000001</c:v>
                </c:pt>
                <c:pt idx="4">
                  <c:v>12.757249999999999</c:v>
                </c:pt>
              </c:numCache>
            </c:numRef>
          </c:val>
          <c:extLst>
            <c:ext xmlns:c16="http://schemas.microsoft.com/office/drawing/2014/chart" uri="{C3380CC4-5D6E-409C-BE32-E72D297353CC}">
              <c16:uniqueId val="{00000000-CBD8-8646-BECC-6F0EF436DEA3}"/>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Dissolved total nitrogen (mg L-1)</a:t>
            </a:r>
          </a:p>
        </c:rich>
      </c:tx>
      <c:overlay val="0"/>
      <c:spPr>
        <a:noFill/>
        <a:ln>
          <a:noFill/>
        </a:ln>
        <a:effectLst/>
      </c:spPr>
    </c:title>
    <c:autoTitleDeleted val="0"/>
    <c:plotArea>
      <c:layout/>
      <c:barChart>
        <c:barDir val="col"/>
        <c:grouping val="clustered"/>
        <c:varyColors val="0"/>
        <c:ser>
          <c:idx val="0"/>
          <c:order val="0"/>
          <c:tx>
            <c:strRef>
              <c:f>'water C + N'!$J$17</c:f>
              <c:strCache>
                <c:ptCount val="1"/>
                <c:pt idx="0">
                  <c:v>Average total nitrogen (mg L-1)</c:v>
                </c:pt>
              </c:strCache>
            </c:strRef>
          </c:tx>
          <c:invertIfNegative val="0"/>
          <c:errBars>
            <c:errBarType val="both"/>
            <c:errValType val="cust"/>
            <c:noEndCap val="0"/>
            <c:plus>
              <c:numRef>
                <c:f>'water C + N'!$M$18:$M$22</c:f>
                <c:numCache>
                  <c:formatCode>General</c:formatCode>
                  <c:ptCount val="5"/>
                  <c:pt idx="0">
                    <c:v>3.9150000000000018E-2</c:v>
                  </c:pt>
                  <c:pt idx="1">
                    <c:v>1.183110307621398E-2</c:v>
                  </c:pt>
                  <c:pt idx="2">
                    <c:v>7.2160234201393877E-2</c:v>
                  </c:pt>
                  <c:pt idx="3">
                    <c:v>1.0901452502610215E-2</c:v>
                  </c:pt>
                  <c:pt idx="4">
                    <c:v>1.2216211906042444E-2</c:v>
                  </c:pt>
                </c:numCache>
              </c:numRef>
            </c:plus>
            <c:minus>
              <c:numLit>
                <c:formatCode>General</c:formatCode>
                <c:ptCount val="1"/>
                <c:pt idx="0">
                  <c:v>1</c:v>
                </c:pt>
              </c:numLit>
            </c:minus>
          </c:errBars>
          <c:cat>
            <c:strRef>
              <c:f>'water C + N'!$I$18:$I$22</c:f>
              <c:strCache>
                <c:ptCount val="5"/>
                <c:pt idx="0">
                  <c:v>Cootamundry</c:v>
                </c:pt>
                <c:pt idx="1">
                  <c:v>Cootamundra</c:v>
                </c:pt>
                <c:pt idx="2">
                  <c:v>Coolac</c:v>
                </c:pt>
                <c:pt idx="3">
                  <c:v>Brawlins Rd</c:v>
                </c:pt>
                <c:pt idx="4">
                  <c:v>Bongongalong</c:v>
                </c:pt>
              </c:strCache>
            </c:strRef>
          </c:cat>
          <c:val>
            <c:numRef>
              <c:f>'water C + N'!$J$18:$J$22</c:f>
              <c:numCache>
                <c:formatCode>0.000</c:formatCode>
                <c:ptCount val="5"/>
                <c:pt idx="0">
                  <c:v>0.80425000000000002</c:v>
                </c:pt>
                <c:pt idx="1">
                  <c:v>0.76279999999999992</c:v>
                </c:pt>
                <c:pt idx="2">
                  <c:v>0.69797999999999993</c:v>
                </c:pt>
                <c:pt idx="3">
                  <c:v>0.54800000000000004</c:v>
                </c:pt>
                <c:pt idx="4">
                  <c:v>0.38224999999999998</c:v>
                </c:pt>
              </c:numCache>
            </c:numRef>
          </c:val>
          <c:extLst>
            <c:ext xmlns:c16="http://schemas.microsoft.com/office/drawing/2014/chart" uri="{C3380CC4-5D6E-409C-BE32-E72D297353CC}">
              <c16:uniqueId val="{00000000-71A2-804F-92E6-B49B3DA515B5}"/>
            </c:ext>
          </c:extLst>
        </c:ser>
        <c:dLbls>
          <c:showLegendKey val="0"/>
          <c:showVal val="0"/>
          <c:showCatName val="0"/>
          <c:showSerName val="0"/>
          <c:showPercent val="0"/>
          <c:showBubbleSize val="0"/>
        </c:dLbls>
        <c:gapWidth val="219"/>
        <c:overlap val="-27"/>
        <c:axId val="587645088"/>
        <c:axId val="588177568"/>
      </c:barChart>
      <c:catAx>
        <c:axId val="58764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77568"/>
        <c:crosses val="autoZero"/>
        <c:auto val="1"/>
        <c:lblAlgn val="ctr"/>
        <c:lblOffset val="100"/>
        <c:noMultiLvlLbl val="0"/>
      </c:catAx>
      <c:valAx>
        <c:axId val="588177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508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 Id="rId9"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image" Target="../media/image2.png"/><Relationship Id="rId6" Type="http://schemas.openxmlformats.org/officeDocument/2006/relationships/chart" Target="../charts/chart45.xml"/><Relationship Id="rId11" Type="http://schemas.openxmlformats.org/officeDocument/2006/relationships/chart" Target="../charts/chart50.xml"/><Relationship Id="rId5" Type="http://schemas.openxmlformats.org/officeDocument/2006/relationships/chart" Target="../charts/chart44.xml"/><Relationship Id="rId10" Type="http://schemas.openxmlformats.org/officeDocument/2006/relationships/chart" Target="../charts/chart49.xml"/><Relationship Id="rId4" Type="http://schemas.openxmlformats.org/officeDocument/2006/relationships/chart" Target="../charts/chart43.xml"/><Relationship Id="rId9" Type="http://schemas.openxmlformats.org/officeDocument/2006/relationships/chart" Target="../charts/chart4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16</xdr:col>
      <xdr:colOff>98137</xdr:colOff>
      <xdr:row>4</xdr:row>
      <xdr:rowOff>175493</xdr:rowOff>
    </xdr:from>
    <xdr:to>
      <xdr:col>22</xdr:col>
      <xdr:colOff>28864</xdr:colOff>
      <xdr:row>21</xdr:row>
      <xdr:rowOff>184728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484909</xdr:colOff>
      <xdr:row>18</xdr:row>
      <xdr:rowOff>174494</xdr:rowOff>
    </xdr:from>
    <xdr:to>
      <xdr:col>15</xdr:col>
      <xdr:colOff>688109</xdr:colOff>
      <xdr:row>22</xdr:row>
      <xdr:rowOff>196271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725727" y="4919676"/>
          <a:ext cx="2835564" cy="806868"/>
        </a:xfrm>
        <a:prstGeom prst="rect">
          <a:avLst/>
        </a:prstGeom>
      </xdr:spPr>
    </xdr:pic>
    <xdr:clientData/>
  </xdr:twoCellAnchor>
  <xdr:twoCellAnchor>
    <xdr:from>
      <xdr:col>23</xdr:col>
      <xdr:colOff>265545</xdr:colOff>
      <xdr:row>10</xdr:row>
      <xdr:rowOff>92364</xdr:rowOff>
    </xdr:from>
    <xdr:to>
      <xdr:col>30</xdr:col>
      <xdr:colOff>556490</xdr:colOff>
      <xdr:row>27</xdr:row>
      <xdr:rowOff>427183</xdr:rowOff>
    </xdr:to>
    <xdr:graphicFrame macro="">
      <xdr:nvGraphicFramePr>
        <xdr:cNvPr id="2" name="Chart 1">
          <a:extLst>
            <a:ext uri="{FF2B5EF4-FFF2-40B4-BE49-F238E27FC236}">
              <a16:creationId xmlns:a16="http://schemas.microsoft.com/office/drawing/2014/main" id="{C1259080-066C-B144-81CB-29B6084C2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16</xdr:row>
      <xdr:rowOff>0</xdr:rowOff>
    </xdr:from>
    <xdr:to>
      <xdr:col>6</xdr:col>
      <xdr:colOff>444500</xdr:colOff>
      <xdr:row>43</xdr:row>
      <xdr:rowOff>127000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127000</xdr:colOff>
      <xdr:row>18</xdr:row>
      <xdr:rowOff>12700</xdr:rowOff>
    </xdr:from>
    <xdr:to>
      <xdr:col>18</xdr:col>
      <xdr:colOff>615950</xdr:colOff>
      <xdr:row>36</xdr:row>
      <xdr:rowOff>82550</xdr:rowOff>
    </xdr:to>
    <xdr:graphicFrame macro="">
      <xdr:nvGraphicFramePr>
        <xdr:cNvPr id="3" name="Chart 2">
          <a:extLst>
            <a:ext uri="{FF2B5EF4-FFF2-40B4-BE49-F238E27FC236}">
              <a16:creationId xmlns:a16="http://schemas.microsoft.com/office/drawing/2014/main" id="{F3F76E36-4304-9846-BBD4-77B30A840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38100</xdr:colOff>
      <xdr:row>17</xdr:row>
      <xdr:rowOff>63500</xdr:rowOff>
    </xdr:from>
    <xdr:to>
      <xdr:col>17</xdr:col>
      <xdr:colOff>527050</xdr:colOff>
      <xdr:row>27</xdr:row>
      <xdr:rowOff>107950</xdr:rowOff>
    </xdr:to>
    <xdr:graphicFrame macro="">
      <xdr:nvGraphicFramePr>
        <xdr:cNvPr id="2" name="Chart 1">
          <a:extLst>
            <a:ext uri="{FF2B5EF4-FFF2-40B4-BE49-F238E27FC236}">
              <a16:creationId xmlns:a16="http://schemas.microsoft.com/office/drawing/2014/main" id="{54170775-6F1E-8642-B18C-0F183E0EF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29</xdr:row>
      <xdr:rowOff>69850</xdr:rowOff>
    </xdr:from>
    <xdr:to>
      <xdr:col>17</xdr:col>
      <xdr:colOff>527050</xdr:colOff>
      <xdr:row>47</xdr:row>
      <xdr:rowOff>38100</xdr:rowOff>
    </xdr:to>
    <xdr:graphicFrame macro="">
      <xdr:nvGraphicFramePr>
        <xdr:cNvPr id="3" name="Chart 2">
          <a:extLst>
            <a:ext uri="{FF2B5EF4-FFF2-40B4-BE49-F238E27FC236}">
              <a16:creationId xmlns:a16="http://schemas.microsoft.com/office/drawing/2014/main" id="{5DB6D585-B270-2C42-9CEA-4686E8F24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774700</xdr:colOff>
      <xdr:row>17</xdr:row>
      <xdr:rowOff>63500</xdr:rowOff>
    </xdr:from>
    <xdr:to>
      <xdr:col>22</xdr:col>
      <xdr:colOff>438150</xdr:colOff>
      <xdr:row>27</xdr:row>
      <xdr:rowOff>107950</xdr:rowOff>
    </xdr:to>
    <xdr:graphicFrame macro="">
      <xdr:nvGraphicFramePr>
        <xdr:cNvPr id="5" name="Chart 4">
          <a:extLst>
            <a:ext uri="{FF2B5EF4-FFF2-40B4-BE49-F238E27FC236}">
              <a16:creationId xmlns:a16="http://schemas.microsoft.com/office/drawing/2014/main" id="{02845B2A-A492-5F47-B5F0-14F64DD7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685800</xdr:colOff>
      <xdr:row>17</xdr:row>
      <xdr:rowOff>63500</xdr:rowOff>
    </xdr:from>
    <xdr:to>
      <xdr:col>27</xdr:col>
      <xdr:colOff>349250</xdr:colOff>
      <xdr:row>27</xdr:row>
      <xdr:rowOff>107950</xdr:rowOff>
    </xdr:to>
    <xdr:graphicFrame macro="">
      <xdr:nvGraphicFramePr>
        <xdr:cNvPr id="6" name="Chart 5">
          <a:extLst>
            <a:ext uri="{FF2B5EF4-FFF2-40B4-BE49-F238E27FC236}">
              <a16:creationId xmlns:a16="http://schemas.microsoft.com/office/drawing/2014/main" id="{208F485D-F8D1-6B4C-8D94-8FBF92B8C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774700</xdr:colOff>
      <xdr:row>29</xdr:row>
      <xdr:rowOff>50800</xdr:rowOff>
    </xdr:from>
    <xdr:to>
      <xdr:col>22</xdr:col>
      <xdr:colOff>438150</xdr:colOff>
      <xdr:row>47</xdr:row>
      <xdr:rowOff>19050</xdr:rowOff>
    </xdr:to>
    <xdr:graphicFrame macro="">
      <xdr:nvGraphicFramePr>
        <xdr:cNvPr id="7" name="Chart 6">
          <a:extLst>
            <a:ext uri="{FF2B5EF4-FFF2-40B4-BE49-F238E27FC236}">
              <a16:creationId xmlns:a16="http://schemas.microsoft.com/office/drawing/2014/main" id="{750E8719-4E19-5A4B-9A91-B2EC60BD5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685800</xdr:colOff>
      <xdr:row>29</xdr:row>
      <xdr:rowOff>12700</xdr:rowOff>
    </xdr:from>
    <xdr:to>
      <xdr:col>27</xdr:col>
      <xdr:colOff>349250</xdr:colOff>
      <xdr:row>46</xdr:row>
      <xdr:rowOff>171450</xdr:rowOff>
    </xdr:to>
    <xdr:graphicFrame macro="">
      <xdr:nvGraphicFramePr>
        <xdr:cNvPr id="8" name="Chart 7">
          <a:extLst>
            <a:ext uri="{FF2B5EF4-FFF2-40B4-BE49-F238E27FC236}">
              <a16:creationId xmlns:a16="http://schemas.microsoft.com/office/drawing/2014/main" id="{677AB23B-7CE1-AF48-BE82-6264C4CCD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49</xdr:row>
      <xdr:rowOff>50800</xdr:rowOff>
    </xdr:from>
    <xdr:to>
      <xdr:col>17</xdr:col>
      <xdr:colOff>527050</xdr:colOff>
      <xdr:row>67</xdr:row>
      <xdr:rowOff>133350</xdr:rowOff>
    </xdr:to>
    <xdr:graphicFrame macro="">
      <xdr:nvGraphicFramePr>
        <xdr:cNvPr id="9" name="Chart 8">
          <a:extLst>
            <a:ext uri="{FF2B5EF4-FFF2-40B4-BE49-F238E27FC236}">
              <a16:creationId xmlns:a16="http://schemas.microsoft.com/office/drawing/2014/main" id="{CBB70A6C-7ADC-C647-BA0C-810784FCC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774700</xdr:colOff>
      <xdr:row>49</xdr:row>
      <xdr:rowOff>38100</xdr:rowOff>
    </xdr:from>
    <xdr:to>
      <xdr:col>22</xdr:col>
      <xdr:colOff>438150</xdr:colOff>
      <xdr:row>67</xdr:row>
      <xdr:rowOff>120650</xdr:rowOff>
    </xdr:to>
    <xdr:graphicFrame macro="">
      <xdr:nvGraphicFramePr>
        <xdr:cNvPr id="10" name="Chart 9">
          <a:extLst>
            <a:ext uri="{FF2B5EF4-FFF2-40B4-BE49-F238E27FC236}">
              <a16:creationId xmlns:a16="http://schemas.microsoft.com/office/drawing/2014/main" id="{79A6B3E8-AA88-BA43-8642-2FB90C0F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685800</xdr:colOff>
      <xdr:row>49</xdr:row>
      <xdr:rowOff>0</xdr:rowOff>
    </xdr:from>
    <xdr:to>
      <xdr:col>27</xdr:col>
      <xdr:colOff>349250</xdr:colOff>
      <xdr:row>67</xdr:row>
      <xdr:rowOff>82550</xdr:rowOff>
    </xdr:to>
    <xdr:graphicFrame macro="">
      <xdr:nvGraphicFramePr>
        <xdr:cNvPr id="11" name="Chart 10">
          <a:extLst>
            <a:ext uri="{FF2B5EF4-FFF2-40B4-BE49-F238E27FC236}">
              <a16:creationId xmlns:a16="http://schemas.microsoft.com/office/drawing/2014/main" id="{F5192B3D-E1E1-9646-B300-B42E417D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10583</xdr:colOff>
      <xdr:row>21</xdr:row>
      <xdr:rowOff>95250</xdr:rowOff>
    </xdr:from>
    <xdr:to>
      <xdr:col>19</xdr:col>
      <xdr:colOff>148166</xdr:colOff>
      <xdr:row>21</xdr:row>
      <xdr:rowOff>1123950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435166" y="10964333"/>
          <a:ext cx="6731000" cy="1028700"/>
        </a:xfrm>
        <a:prstGeom prst="rect">
          <a:avLst/>
        </a:prstGeom>
      </xdr:spPr>
    </xdr:pic>
    <xdr:clientData/>
  </xdr:twoCellAnchor>
  <xdr:twoCellAnchor>
    <xdr:from>
      <xdr:col>22</xdr:col>
      <xdr:colOff>296334</xdr:colOff>
      <xdr:row>4</xdr:row>
      <xdr:rowOff>1005417</xdr:rowOff>
    </xdr:from>
    <xdr:to>
      <xdr:col>26</xdr:col>
      <xdr:colOff>785284</xdr:colOff>
      <xdr:row>14</xdr:row>
      <xdr:rowOff>143933</xdr:rowOff>
    </xdr:to>
    <xdr:graphicFrame macro="">
      <xdr:nvGraphicFramePr>
        <xdr:cNvPr id="3" name="Chart 2">
          <a:extLst>
            <a:ext uri="{FF2B5EF4-FFF2-40B4-BE49-F238E27FC236}">
              <a16:creationId xmlns:a16="http://schemas.microsoft.com/office/drawing/2014/main" id="{88203D8F-8E1B-624D-8A21-4C575A8FC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10584</xdr:colOff>
      <xdr:row>33</xdr:row>
      <xdr:rowOff>0</xdr:rowOff>
    </xdr:from>
    <xdr:to>
      <xdr:col>9</xdr:col>
      <xdr:colOff>842434</xdr:colOff>
      <xdr:row>52</xdr:row>
      <xdr:rowOff>38100</xdr:rowOff>
    </xdr:to>
    <xdr:graphicFrame macro="">
      <xdr:nvGraphicFramePr>
        <xdr:cNvPr id="4" name="Chart 3">
          <a:extLst>
            <a:ext uri="{FF2B5EF4-FFF2-40B4-BE49-F238E27FC236}">
              <a16:creationId xmlns:a16="http://schemas.microsoft.com/office/drawing/2014/main" id="{C4C151E1-AB07-364C-8D7E-928DA961F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5292</xdr:colOff>
      <xdr:row>33</xdr:row>
      <xdr:rowOff>0</xdr:rowOff>
    </xdr:from>
    <xdr:to>
      <xdr:col>13</xdr:col>
      <xdr:colOff>837142</xdr:colOff>
      <xdr:row>52</xdr:row>
      <xdr:rowOff>38100</xdr:rowOff>
    </xdr:to>
    <xdr:graphicFrame macro="">
      <xdr:nvGraphicFramePr>
        <xdr:cNvPr id="5" name="Chart 4">
          <a:extLst>
            <a:ext uri="{FF2B5EF4-FFF2-40B4-BE49-F238E27FC236}">
              <a16:creationId xmlns:a16="http://schemas.microsoft.com/office/drawing/2014/main" id="{D0CB58D6-93CB-DE44-AD63-60891CAAB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33</xdr:row>
      <xdr:rowOff>0</xdr:rowOff>
    </xdr:from>
    <xdr:to>
      <xdr:col>17</xdr:col>
      <xdr:colOff>831850</xdr:colOff>
      <xdr:row>52</xdr:row>
      <xdr:rowOff>38100</xdr:rowOff>
    </xdr:to>
    <xdr:graphicFrame macro="">
      <xdr:nvGraphicFramePr>
        <xdr:cNvPr id="6" name="Chart 5">
          <a:extLst>
            <a:ext uri="{FF2B5EF4-FFF2-40B4-BE49-F238E27FC236}">
              <a16:creationId xmlns:a16="http://schemas.microsoft.com/office/drawing/2014/main" id="{A9796B7D-61C6-954D-9CAA-27FEDFC4E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10584</xdr:colOff>
      <xdr:row>52</xdr:row>
      <xdr:rowOff>164042</xdr:rowOff>
    </xdr:from>
    <xdr:to>
      <xdr:col>9</xdr:col>
      <xdr:colOff>842434</xdr:colOff>
      <xdr:row>72</xdr:row>
      <xdr:rowOff>11642</xdr:rowOff>
    </xdr:to>
    <xdr:graphicFrame macro="">
      <xdr:nvGraphicFramePr>
        <xdr:cNvPr id="7" name="Chart 6">
          <a:extLst>
            <a:ext uri="{FF2B5EF4-FFF2-40B4-BE49-F238E27FC236}">
              <a16:creationId xmlns:a16="http://schemas.microsoft.com/office/drawing/2014/main" id="{857E299A-F27D-E74C-99EE-BE006AF96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5292</xdr:colOff>
      <xdr:row>52</xdr:row>
      <xdr:rowOff>164042</xdr:rowOff>
    </xdr:from>
    <xdr:to>
      <xdr:col>13</xdr:col>
      <xdr:colOff>837142</xdr:colOff>
      <xdr:row>72</xdr:row>
      <xdr:rowOff>11642</xdr:rowOff>
    </xdr:to>
    <xdr:graphicFrame macro="">
      <xdr:nvGraphicFramePr>
        <xdr:cNvPr id="8" name="Chart 7">
          <a:extLst>
            <a:ext uri="{FF2B5EF4-FFF2-40B4-BE49-F238E27FC236}">
              <a16:creationId xmlns:a16="http://schemas.microsoft.com/office/drawing/2014/main" id="{AB208942-2FF9-3F45-A74E-C73FFD71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52</xdr:row>
      <xdr:rowOff>164042</xdr:rowOff>
    </xdr:from>
    <xdr:to>
      <xdr:col>17</xdr:col>
      <xdr:colOff>831850</xdr:colOff>
      <xdr:row>72</xdr:row>
      <xdr:rowOff>11642</xdr:rowOff>
    </xdr:to>
    <xdr:graphicFrame macro="">
      <xdr:nvGraphicFramePr>
        <xdr:cNvPr id="9" name="Chart 8">
          <a:extLst>
            <a:ext uri="{FF2B5EF4-FFF2-40B4-BE49-F238E27FC236}">
              <a16:creationId xmlns:a16="http://schemas.microsoft.com/office/drawing/2014/main" id="{9AB7BE8D-08B6-1746-918E-D25706FE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10584</xdr:colOff>
      <xdr:row>72</xdr:row>
      <xdr:rowOff>137583</xdr:rowOff>
    </xdr:from>
    <xdr:to>
      <xdr:col>9</xdr:col>
      <xdr:colOff>842434</xdr:colOff>
      <xdr:row>91</xdr:row>
      <xdr:rowOff>175683</xdr:rowOff>
    </xdr:to>
    <xdr:graphicFrame macro="">
      <xdr:nvGraphicFramePr>
        <xdr:cNvPr id="10" name="Chart 9">
          <a:extLst>
            <a:ext uri="{FF2B5EF4-FFF2-40B4-BE49-F238E27FC236}">
              <a16:creationId xmlns:a16="http://schemas.microsoft.com/office/drawing/2014/main" id="{4F2CD6B7-C724-CF4E-9951-E3BC7D6C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5292</xdr:colOff>
      <xdr:row>72</xdr:row>
      <xdr:rowOff>137583</xdr:rowOff>
    </xdr:from>
    <xdr:to>
      <xdr:col>13</xdr:col>
      <xdr:colOff>837142</xdr:colOff>
      <xdr:row>91</xdr:row>
      <xdr:rowOff>175683</xdr:rowOff>
    </xdr:to>
    <xdr:graphicFrame macro="">
      <xdr:nvGraphicFramePr>
        <xdr:cNvPr id="11" name="Chart 10">
          <a:extLst>
            <a:ext uri="{FF2B5EF4-FFF2-40B4-BE49-F238E27FC236}">
              <a16:creationId xmlns:a16="http://schemas.microsoft.com/office/drawing/2014/main" id="{67E045CF-A79B-A946-979B-D0DE4D39C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72</xdr:row>
      <xdr:rowOff>137583</xdr:rowOff>
    </xdr:from>
    <xdr:to>
      <xdr:col>17</xdr:col>
      <xdr:colOff>831850</xdr:colOff>
      <xdr:row>91</xdr:row>
      <xdr:rowOff>175683</xdr:rowOff>
    </xdr:to>
    <xdr:graphicFrame macro="">
      <xdr:nvGraphicFramePr>
        <xdr:cNvPr id="12" name="Chart 11">
          <a:extLst>
            <a:ext uri="{FF2B5EF4-FFF2-40B4-BE49-F238E27FC236}">
              <a16:creationId xmlns:a16="http://schemas.microsoft.com/office/drawing/2014/main" id="{8699DB1C-0037-5649-83BF-44DFC480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35</xdr:col>
      <xdr:colOff>207817</xdr:colOff>
      <xdr:row>4</xdr:row>
      <xdr:rowOff>92364</xdr:rowOff>
    </xdr:from>
    <xdr:to>
      <xdr:col>40</xdr:col>
      <xdr:colOff>290946</xdr:colOff>
      <xdr:row>18</xdr:row>
      <xdr:rowOff>2308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288636</xdr:colOff>
      <xdr:row>19</xdr:row>
      <xdr:rowOff>69274</xdr:rowOff>
    </xdr:from>
    <xdr:to>
      <xdr:col>40</xdr:col>
      <xdr:colOff>371765</xdr:colOff>
      <xdr:row>32</xdr:row>
      <xdr:rowOff>140855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196273</xdr:colOff>
      <xdr:row>35</xdr:row>
      <xdr:rowOff>46182</xdr:rowOff>
    </xdr:from>
    <xdr:to>
      <xdr:col>40</xdr:col>
      <xdr:colOff>279402</xdr:colOff>
      <xdr:row>52</xdr:row>
      <xdr:rowOff>60036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5</xdr:row>
      <xdr:rowOff>0</xdr:rowOff>
    </xdr:from>
    <xdr:to>
      <xdr:col>46</xdr:col>
      <xdr:colOff>83128</xdr:colOff>
      <xdr:row>18</xdr:row>
      <xdr:rowOff>106217</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28</xdr:col>
      <xdr:colOff>241300</xdr:colOff>
      <xdr:row>3</xdr:row>
      <xdr:rowOff>50801</xdr:rowOff>
    </xdr:from>
    <xdr:to>
      <xdr:col>33</xdr:col>
      <xdr:colOff>757383</xdr:colOff>
      <xdr:row>17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787400</xdr:colOff>
      <xdr:row>2</xdr:row>
      <xdr:rowOff>12701</xdr:rowOff>
    </xdr:from>
    <xdr:to>
      <xdr:col>19</xdr:col>
      <xdr:colOff>477983</xdr:colOff>
      <xdr:row>15</xdr:row>
      <xdr:rowOff>12701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16</xdr:row>
      <xdr:rowOff>0</xdr:rowOff>
    </xdr:from>
    <xdr:to>
      <xdr:col>19</xdr:col>
      <xdr:colOff>516083</xdr:colOff>
      <xdr:row>29</xdr:row>
      <xdr:rowOff>38100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6</xdr:row>
      <xdr:rowOff>0</xdr:rowOff>
    </xdr:from>
    <xdr:to>
      <xdr:col>26</xdr:col>
      <xdr:colOff>516083</xdr:colOff>
      <xdr:row>18</xdr:row>
      <xdr:rowOff>215900</xdr:rowOff>
    </xdr:to>
    <xdr:graphicFrame macro="">
      <xdr:nvGraphicFramePr>
        <xdr:cNvPr id="5" name="Chart 4">
          <a:extLst>
            <a:ext uri="{FF2B5EF4-FFF2-40B4-BE49-F238E27FC236}">
              <a16:creationId xmlns:a16="http://schemas.microsoft.com/office/drawing/2014/main" id="{86DA4838-2256-AA44-8C83-AAB931BD5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673100</xdr:colOff>
      <xdr:row>24</xdr:row>
      <xdr:rowOff>114300</xdr:rowOff>
    </xdr:from>
    <xdr:to>
      <xdr:col>22</xdr:col>
      <xdr:colOff>871683</xdr:colOff>
      <xdr:row>44</xdr:row>
      <xdr:rowOff>127000</xdr:rowOff>
    </xdr:to>
    <xdr:graphicFrame macro="">
      <xdr:nvGraphicFramePr>
        <xdr:cNvPr id="2" name="Chart 1">
          <a:extLst>
            <a:ext uri="{FF2B5EF4-FFF2-40B4-BE49-F238E27FC236}">
              <a16:creationId xmlns:a16="http://schemas.microsoft.com/office/drawing/2014/main" id="{182D76A8-6879-9345-AE77-A46D091A1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152400</xdr:colOff>
      <xdr:row>2</xdr:row>
      <xdr:rowOff>63500</xdr:rowOff>
    </xdr:from>
    <xdr:to>
      <xdr:col>18</xdr:col>
      <xdr:colOff>668483</xdr:colOff>
      <xdr:row>21</xdr:row>
      <xdr:rowOff>38100</xdr:rowOff>
    </xdr:to>
    <xdr:graphicFrame macro="">
      <xdr:nvGraphicFramePr>
        <xdr:cNvPr id="2" name="Chart 1">
          <a:extLst>
            <a:ext uri="{FF2B5EF4-FFF2-40B4-BE49-F238E27FC236}">
              <a16:creationId xmlns:a16="http://schemas.microsoft.com/office/drawing/2014/main" id="{E492F4FE-307B-4649-BA06-74901960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23</xdr:row>
      <xdr:rowOff>0</xdr:rowOff>
    </xdr:from>
    <xdr:to>
      <xdr:col>18</xdr:col>
      <xdr:colOff>516083</xdr:colOff>
      <xdr:row>41</xdr:row>
      <xdr:rowOff>177800</xdr:rowOff>
    </xdr:to>
    <xdr:graphicFrame macro="">
      <xdr:nvGraphicFramePr>
        <xdr:cNvPr id="3" name="Chart 2">
          <a:extLst>
            <a:ext uri="{FF2B5EF4-FFF2-40B4-BE49-F238E27FC236}">
              <a16:creationId xmlns:a16="http://schemas.microsoft.com/office/drawing/2014/main" id="{79EB5C1A-C163-BB48-9416-86E5B2F45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10</xdr:row>
      <xdr:rowOff>0</xdr:rowOff>
    </xdr:from>
    <xdr:to>
      <xdr:col>25</xdr:col>
      <xdr:colOff>516083</xdr:colOff>
      <xdr:row>28</xdr:row>
      <xdr:rowOff>355600</xdr:rowOff>
    </xdr:to>
    <xdr:graphicFrame macro="">
      <xdr:nvGraphicFramePr>
        <xdr:cNvPr id="4" name="Chart 3">
          <a:extLst>
            <a:ext uri="{FF2B5EF4-FFF2-40B4-BE49-F238E27FC236}">
              <a16:creationId xmlns:a16="http://schemas.microsoft.com/office/drawing/2014/main" id="{B70D3A17-EFF3-B642-9B41-1EB2EC730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3</xdr:row>
      <xdr:rowOff>114300</xdr:rowOff>
    </xdr:from>
    <xdr:to>
      <xdr:col>14</xdr:col>
      <xdr:colOff>241300</xdr:colOff>
      <xdr:row>32</xdr:row>
      <xdr:rowOff>76200</xdr:rowOff>
    </xdr:to>
    <xdr:graphicFrame macro="">
      <xdr:nvGraphicFramePr>
        <xdr:cNvPr id="2" name="Chart 1">
          <a:extLst>
            <a:ext uri="{FF2B5EF4-FFF2-40B4-BE49-F238E27FC236}">
              <a16:creationId xmlns:a16="http://schemas.microsoft.com/office/drawing/2014/main" id="{B0CFF5EF-C68A-0140-A9D6-6CB401A5B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4</xdr:row>
      <xdr:rowOff>63500</xdr:rowOff>
    </xdr:from>
    <xdr:to>
      <xdr:col>7</xdr:col>
      <xdr:colOff>431800</xdr:colOff>
      <xdr:row>33</xdr:row>
      <xdr:rowOff>25400</xdr:rowOff>
    </xdr:to>
    <xdr:graphicFrame macro="">
      <xdr:nvGraphicFramePr>
        <xdr:cNvPr id="3" name="Chart 2">
          <a:extLst>
            <a:ext uri="{FF2B5EF4-FFF2-40B4-BE49-F238E27FC236}">
              <a16:creationId xmlns:a16="http://schemas.microsoft.com/office/drawing/2014/main" id="{401B348B-50B9-484E-B34A-996E6A79E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406399</xdr:colOff>
      <xdr:row>3</xdr:row>
      <xdr:rowOff>76199</xdr:rowOff>
    </xdr:from>
    <xdr:to>
      <xdr:col>21</xdr:col>
      <xdr:colOff>114299</xdr:colOff>
      <xdr:row>32</xdr:row>
      <xdr:rowOff>38099</xdr:rowOff>
    </xdr:to>
    <xdr:graphicFrame macro="">
      <xdr:nvGraphicFramePr>
        <xdr:cNvPr id="4" name="Chart 3">
          <a:extLst>
            <a:ext uri="{FF2B5EF4-FFF2-40B4-BE49-F238E27FC236}">
              <a16:creationId xmlns:a16="http://schemas.microsoft.com/office/drawing/2014/main" id="{D516679C-2853-8848-B5C0-24FA86471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825499</xdr:colOff>
      <xdr:row>3</xdr:row>
      <xdr:rowOff>0</xdr:rowOff>
    </xdr:from>
    <xdr:to>
      <xdr:col>28</xdr:col>
      <xdr:colOff>533399</xdr:colOff>
      <xdr:row>31</xdr:row>
      <xdr:rowOff>152400</xdr:rowOff>
    </xdr:to>
    <xdr:graphicFrame macro="">
      <xdr:nvGraphicFramePr>
        <xdr:cNvPr id="5" name="Chart 4">
          <a:extLst>
            <a:ext uri="{FF2B5EF4-FFF2-40B4-BE49-F238E27FC236}">
              <a16:creationId xmlns:a16="http://schemas.microsoft.com/office/drawing/2014/main" id="{FF4F5EC5-0E37-1948-BD55-274300F0D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292100</xdr:colOff>
      <xdr:row>38</xdr:row>
      <xdr:rowOff>635000</xdr:rowOff>
    </xdr:from>
    <xdr:to>
      <xdr:col>14</xdr:col>
      <xdr:colOff>57150</xdr:colOff>
      <xdr:row>42</xdr:row>
      <xdr:rowOff>88900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88</xdr:row>
      <xdr:rowOff>457200</xdr:rowOff>
    </xdr:from>
    <xdr:to>
      <xdr:col>22</xdr:col>
      <xdr:colOff>0</xdr:colOff>
      <xdr:row>106</xdr:row>
      <xdr:rowOff>139700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171450</xdr:colOff>
      <xdr:row>43</xdr:row>
      <xdr:rowOff>0</xdr:rowOff>
    </xdr:from>
    <xdr:to>
      <xdr:col>30</xdr:col>
      <xdr:colOff>615950</xdr:colOff>
      <xdr:row>52</xdr:row>
      <xdr:rowOff>196850</xdr:rowOff>
    </xdr:to>
    <xdr:graphicFrame macro="">
      <xdr:nvGraphicFramePr>
        <xdr:cNvPr id="3" name="Chart 2">
          <a:extLst>
            <a:ext uri="{FF2B5EF4-FFF2-40B4-BE49-F238E27FC236}">
              <a16:creationId xmlns:a16="http://schemas.microsoft.com/office/drawing/2014/main" id="{751EC77C-ED84-CF6F-5B25-D43C59FE0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76200</xdr:colOff>
      <xdr:row>75</xdr:row>
      <xdr:rowOff>101600</xdr:rowOff>
    </xdr:from>
    <xdr:to>
      <xdr:col>30</xdr:col>
      <xdr:colOff>520700</xdr:colOff>
      <xdr:row>92</xdr:row>
      <xdr:rowOff>101600</xdr:rowOff>
    </xdr:to>
    <xdr:graphicFrame macro="">
      <xdr:nvGraphicFramePr>
        <xdr:cNvPr id="4" name="Chart 3">
          <a:extLst>
            <a:ext uri="{FF2B5EF4-FFF2-40B4-BE49-F238E27FC236}">
              <a16:creationId xmlns:a16="http://schemas.microsoft.com/office/drawing/2014/main" id="{805C53FF-3E24-1E42-A5FA-DE6C97F7C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190500</xdr:colOff>
      <xdr:row>53</xdr:row>
      <xdr:rowOff>0</xdr:rowOff>
    </xdr:from>
    <xdr:to>
      <xdr:col>30</xdr:col>
      <xdr:colOff>635000</xdr:colOff>
      <xdr:row>71</xdr:row>
      <xdr:rowOff>12700</xdr:rowOff>
    </xdr:to>
    <xdr:graphicFrame macro="">
      <xdr:nvGraphicFramePr>
        <xdr:cNvPr id="7" name="Chart 6">
          <a:extLst>
            <a:ext uri="{FF2B5EF4-FFF2-40B4-BE49-F238E27FC236}">
              <a16:creationId xmlns:a16="http://schemas.microsoft.com/office/drawing/2014/main" id="{095DE207-DFD4-C84E-A5E5-7FFAF7BA0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571500</xdr:colOff>
      <xdr:row>25</xdr:row>
      <xdr:rowOff>38100</xdr:rowOff>
    </xdr:from>
    <xdr:to>
      <xdr:col>24</xdr:col>
      <xdr:colOff>76200</xdr:colOff>
      <xdr:row>43</xdr:row>
      <xdr:rowOff>38100</xdr:rowOff>
    </xdr:to>
    <xdr:graphicFrame macro="">
      <xdr:nvGraphicFramePr>
        <xdr:cNvPr id="11" name="Chart 10">
          <a:extLst>
            <a:ext uri="{FF2B5EF4-FFF2-40B4-BE49-F238E27FC236}">
              <a16:creationId xmlns:a16="http://schemas.microsoft.com/office/drawing/2014/main" id="{FC87B58D-F1E1-7541-B46F-EA0A1D84E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266700</xdr:colOff>
      <xdr:row>25</xdr:row>
      <xdr:rowOff>139700</xdr:rowOff>
    </xdr:from>
    <xdr:to>
      <xdr:col>30</xdr:col>
      <xdr:colOff>25400</xdr:colOff>
      <xdr:row>41</xdr:row>
      <xdr:rowOff>139700</xdr:rowOff>
    </xdr:to>
    <xdr:graphicFrame macro="">
      <xdr:nvGraphicFramePr>
        <xdr:cNvPr id="12" name="Chart 11">
          <a:extLst>
            <a:ext uri="{FF2B5EF4-FFF2-40B4-BE49-F238E27FC236}">
              <a16:creationId xmlns:a16="http://schemas.microsoft.com/office/drawing/2014/main" id="{495095AF-3CD3-9C47-AC35-27ADAEBBB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412750</xdr:colOff>
      <xdr:row>2</xdr:row>
      <xdr:rowOff>285750</xdr:rowOff>
    </xdr:from>
    <xdr:to>
      <xdr:col>19</xdr:col>
      <xdr:colOff>596900</xdr:colOff>
      <xdr:row>18</xdr:row>
      <xdr:rowOff>63500</xdr:rowOff>
    </xdr:to>
    <xdr:graphicFrame macro="">
      <xdr:nvGraphicFramePr>
        <xdr:cNvPr id="15" name="Chart 14">
          <a:extLst>
            <a:ext uri="{FF2B5EF4-FFF2-40B4-BE49-F238E27FC236}">
              <a16:creationId xmlns:a16="http://schemas.microsoft.com/office/drawing/2014/main" id="{8707FA16-25BB-6940-5390-B4B0FE42A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38100</xdr:colOff>
      <xdr:row>2</xdr:row>
      <xdr:rowOff>241300</xdr:rowOff>
    </xdr:from>
    <xdr:to>
      <xdr:col>24</xdr:col>
      <xdr:colOff>120650</xdr:colOff>
      <xdr:row>18</xdr:row>
      <xdr:rowOff>19050</xdr:rowOff>
    </xdr:to>
    <xdr:graphicFrame macro="">
      <xdr:nvGraphicFramePr>
        <xdr:cNvPr id="17" name="Chart 16">
          <a:extLst>
            <a:ext uri="{FF2B5EF4-FFF2-40B4-BE49-F238E27FC236}">
              <a16:creationId xmlns:a16="http://schemas.microsoft.com/office/drawing/2014/main" id="{B8325D13-735C-FB44-AF10-95221A2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749300</xdr:colOff>
      <xdr:row>17</xdr:row>
      <xdr:rowOff>127000</xdr:rowOff>
    </xdr:from>
    <xdr:to>
      <xdr:col>16</xdr:col>
      <xdr:colOff>412750</xdr:colOff>
      <xdr:row>35</xdr:row>
      <xdr:rowOff>146050</xdr:rowOff>
    </xdr:to>
    <xdr:graphicFrame macro="">
      <xdr:nvGraphicFramePr>
        <xdr:cNvPr id="2" name="Chart 1">
          <a:extLst>
            <a:ext uri="{FF2B5EF4-FFF2-40B4-BE49-F238E27FC236}">
              <a16:creationId xmlns:a16="http://schemas.microsoft.com/office/drawing/2014/main" id="{435C5805-D052-CC4B-8AC6-404C4FC08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18</xdr:row>
      <xdr:rowOff>0</xdr:rowOff>
    </xdr:from>
    <xdr:to>
      <xdr:col>21</xdr:col>
      <xdr:colOff>488950</xdr:colOff>
      <xdr:row>36</xdr:row>
      <xdr:rowOff>19050</xdr:rowOff>
    </xdr:to>
    <xdr:graphicFrame macro="">
      <xdr:nvGraphicFramePr>
        <xdr:cNvPr id="3" name="Chart 2">
          <a:extLst>
            <a:ext uri="{FF2B5EF4-FFF2-40B4-BE49-F238E27FC236}">
              <a16:creationId xmlns:a16="http://schemas.microsoft.com/office/drawing/2014/main" id="{255485B7-44FC-A34E-9F4B-FC0F5D12A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58446412036" createdVersion="8" refreshedVersion="8" minRefreshableVersion="3" recordCount="12" xr:uid="{EC48F5B2-C2AF-8F4E-8E64-F156CD82DF0B}">
  <cacheSource type="worksheet">
    <worksheetSource ref="B26:I38" sheet="Soil - H2O, C, pH + Ec"/>
  </cacheSource>
  <cacheFields count="8">
    <cacheField name="Site" numFmtId="0">
      <sharedItems containsSemiMixedTypes="0" containsString="0" containsNumber="1" containsInteger="1" minValue="1" maxValue="2"/>
    </cacheField>
    <cacheField name="Land use" numFmtId="0">
      <sharedItems count="3">
        <s v="Agriculture"/>
        <s v="Indigenous"/>
        <s v="Native" u="1"/>
      </sharedItems>
    </cacheField>
    <cacheField name="Soil depth" numFmtId="0">
      <sharedItems count="3">
        <s v="0-10"/>
        <s v="10-20"/>
        <s v="20-30"/>
      </sharedItems>
    </cacheField>
    <cacheField name="Empty weight crucible (g)" numFmtId="164">
      <sharedItems containsSemiMixedTypes="0" containsString="0" containsNumber="1" minValue="25.973199999999999" maxValue="30.43"/>
    </cacheField>
    <cacheField name="Ground soil weight into crucible (g)" numFmtId="164">
      <sharedItems containsSemiMixedTypes="0" containsString="0" containsNumber="1" minValue="4.5089666666666668" maxValue="5.4211"/>
    </cacheField>
    <cacheField name="Ashed soil + crucible weight (g)" numFmtId="164">
      <sharedItems containsSemiMixedTypes="0" containsString="0" containsNumber="1" minValue="30.26005" maxValue="35.019999999999996"/>
    </cacheField>
    <cacheField name="Soil organic matter" numFmtId="164">
      <sharedItems containsSemiMixedTypes="0" containsString="0" containsNumber="1" minValue="2.9734589457168455E-2" maxValue="0.1697533710870506"/>
    </cacheField>
    <cacheField name="Total soil C (%) " numFmtId="164">
      <sharedItems containsSemiMixedTypes="0" containsString="0" containsNumber="1" minValue="1.3380565255725805" maxValue="7.63890169891727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66852430554" createdVersion="8" refreshedVersion="8" minRefreshableVersion="3" recordCount="12" xr:uid="{B338BBAC-864D-3C4D-8746-B5F251A57D57}">
  <cacheSource type="worksheet">
    <worksheetSource ref="C3:H15" sheet="Soil - H2O, C, pH + Ec"/>
  </cacheSource>
  <cacheFields count="6">
    <cacheField name="Land use" numFmtId="0">
      <sharedItems count="2">
        <s v="Agriculture"/>
        <s v="Indigenous"/>
      </sharedItems>
    </cacheField>
    <cacheField name="Soil depth" numFmtId="0">
      <sharedItems count="3">
        <s v="0-10"/>
        <s v="10-20"/>
        <s v="20-30"/>
      </sharedItems>
    </cacheField>
    <cacheField name="Weight empty tin (g)" numFmtId="164">
      <sharedItems containsSemiMixedTypes="0" containsString="0" containsNumber="1" minValue="30.655000000000001" maxValue="47.924999999999997"/>
    </cacheField>
    <cacheField name="Weight tin + moist soil (g)" numFmtId="164">
      <sharedItems containsSemiMixedTypes="0" containsString="0" containsNumber="1" minValue="40.910000000000004" maxValue="58.629999999999995"/>
    </cacheField>
    <cacheField name="Weight tin + dry soil (g)" numFmtId="164">
      <sharedItems containsSemiMixedTypes="0" containsString="0" containsNumber="1" minValue="40.375500000000002" maxValue="57.75"/>
    </cacheField>
    <cacheField name="Soil moisture (%)" numFmtId="164">
      <sharedItems containsSemiMixedTypes="0" containsString="0" containsNumber="1" minValue="4.093807858465369" maxValue="13.81004366812227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71323726853" createdVersion="8" refreshedVersion="8" minRefreshableVersion="3" recordCount="12" xr:uid="{D2A53A4F-9045-6C45-8AB9-838826CC0047}">
  <cacheSource type="worksheet">
    <worksheetSource ref="C3:J15" sheet="Soil N"/>
  </cacheSource>
  <cacheFields count="8">
    <cacheField name="Land use" numFmtId="0">
      <sharedItems count="2">
        <s v="Agriculture"/>
        <s v="Native"/>
      </sharedItems>
    </cacheField>
    <cacheField name="Soil depth" numFmtId="0">
      <sharedItems count="3">
        <s v="0-10cm"/>
        <s v="10-20cm"/>
        <s v="20-30cm"/>
      </sharedItems>
    </cacheField>
    <cacheField name="Moist soil weight (g)" numFmtId="164">
      <sharedItems containsSemiMixedTypes="0" containsString="0" containsNumber="1" minValue="14.803000000000001" maxValue="15.37"/>
    </cacheField>
    <cacheField name="NH4+ (mg/L)" numFmtId="164">
      <sharedItems containsSemiMixedTypes="0" containsString="0" containsNumber="1" minValue="0.997" maxValue="8.1189999999999998"/>
    </cacheField>
    <cacheField name="NO3- (mg/L)" numFmtId="164">
      <sharedItems containsSemiMixedTypes="0" containsString="0" containsNumber="1" minValue="0.28599999999999998" maxValue="11.438000000000001"/>
    </cacheField>
    <cacheField name="Soil moisture (%)" numFmtId="164">
      <sharedItems containsSemiMixedTypes="0" containsString="0" containsNumber="1" minValue="4.0940000000000003" maxValue="13.81"/>
    </cacheField>
    <cacheField name="Dry soil weight (g)" numFmtId="164">
      <sharedItems containsSemiMixedTypes="0" containsString="0" containsNumber="1" minValue="13.316000000000001" maxValue="14.627000000000001"/>
    </cacheField>
    <cacheField name="Soil N availability" numFmtId="164">
      <sharedItems containsSemiMixedTypes="0" containsString="0" containsNumber="1" minValue="6.4720000000000004" maxValue="55.0080000000000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74389699071" createdVersion="8" refreshedVersion="8" minRefreshableVersion="3" recordCount="12" xr:uid="{3F0DBAFD-AF20-8A49-961B-7A3A93E8D844}">
  <cacheSource type="worksheet">
    <worksheetSource ref="C3:H15" sheet="Soil P"/>
  </cacheSource>
  <cacheFields count="6">
    <cacheField name="Land use" numFmtId="0">
      <sharedItems count="2">
        <s v="Agriculture"/>
        <s v="Native"/>
      </sharedItems>
    </cacheField>
    <cacheField name="Soil depth" numFmtId="0">
      <sharedItems count="3">
        <s v="0-10cm"/>
        <s v="10-20cm"/>
        <s v="20-30cm"/>
      </sharedItems>
    </cacheField>
    <cacheField name="Ashed Soil Weight (g)" numFmtId="164">
      <sharedItems containsSemiMixedTypes="0" containsString="0" containsNumber="1" minValue="0.5" maxValue="0.54356666666666664"/>
    </cacheField>
    <cacheField name="Absorbance" numFmtId="164">
      <sharedItems containsSemiMixedTypes="0" containsString="0" containsNumber="1" minValue="3.2000000000000001E-2" maxValue="0.45250000000000001"/>
    </cacheField>
    <cacheField name="P concentration  (in mg L-1)" numFmtId="164">
      <sharedItems containsSemiMixedTypes="0" containsString="0" containsNumber="1" minValue="0.59633920000000007" maxValue="8.4326090000000011"/>
    </cacheField>
    <cacheField name="Soil P (mg g-1)" numFmtId="164">
      <sharedItems containsSemiMixedTypes="0" containsString="0" containsNumber="1" minValue="2.9810997800439915E-2" maxValue="0.4183671859495932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77285532406" createdVersion="8" refreshedVersion="8" minRefreshableVersion="3" recordCount="12" xr:uid="{C7040C32-55A0-C548-BAC3-4AB640154D70}">
  <cacheSource type="worksheet">
    <worksheetSource ref="C19:L31" sheet="Soil texture"/>
  </cacheSource>
  <cacheFields count="10">
    <cacheField name="Land use" numFmtId="0">
      <sharedItems count="2">
        <s v="Agriculture"/>
        <s v="Indigenous"/>
      </sharedItems>
    </cacheField>
    <cacheField name="Soil depth" numFmtId="0">
      <sharedItems count="3">
        <s v="0-10cm"/>
        <s v="10-20cm"/>
        <s v="20-30cm"/>
      </sharedItems>
    </cacheField>
    <cacheField name="Moist soil weight (g)" numFmtId="164">
      <sharedItems containsSemiMixedTypes="0" containsString="0" containsNumber="1" minValue="49.937125000000002" maxValue="50.357500000000002"/>
    </cacheField>
    <cacheField name="Soil moisture %" numFmtId="164">
      <sharedItems containsSemiMixedTypes="0" containsString="0" containsNumber="1" minValue="4.093807858465369" maxValue="13.810043668122271"/>
    </cacheField>
    <cacheField name="Dry soil weight (g)" numFmtId="164">
      <sharedItems containsSemiMixedTypes="0" containsString="0" containsNumber="1" minValue="44.086618705035981" maxValue="48.084032114624492"/>
    </cacheField>
    <cacheField name="Hydrometer reading 4 mins (corrected for temperature &amp; blank)" numFmtId="164">
      <sharedItems containsSemiMixedTypes="0" containsString="0" containsNumber="1" minValue="11.400000000000002" maxValue="34.94"/>
    </cacheField>
    <cacheField name="Hydrometer reading 2 hours (corrected for temperature &amp; blank)" numFmtId="164">
      <sharedItems containsSemiMixedTypes="0" containsString="0" containsNumber="1" minValue="5" maxValue="32.44"/>
    </cacheField>
    <cacheField name="Sand fraction (%)" numFmtId="164">
      <sharedItems containsSemiMixedTypes="0" containsString="0" containsNumber="1" minValue="22.291784556933695" maxValue="76.152417676118418"/>
    </cacheField>
    <cacheField name="Silt fraction (%)" numFmtId="164">
      <sharedItems containsSemiMixedTypes="0" containsString="0" containsNumber="1" minValue="14.739479390707851" maxValue="38.462917996618813"/>
    </cacheField>
    <cacheField name="Clay fraction) %)" numFmtId="164">
      <sharedItems containsSemiMixedTypes="0" containsString="0" containsNumber="1" minValue="7.2789236802283312" maxValue="50.50366789585431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8.884979629627" createdVersion="8" refreshedVersion="8" minRefreshableVersion="3" recordCount="12" xr:uid="{BCDEAAC2-8BA7-9841-B62C-35CAFC06D852}">
  <cacheSource type="worksheet">
    <worksheetSource ref="C6:Q18" sheet="Cat ion exchange"/>
  </cacheSource>
  <cacheFields count="15">
    <cacheField name="Land use" numFmtId="0">
      <sharedItems count="2">
        <s v="Agriculture"/>
        <s v="Indigenous"/>
      </sharedItems>
    </cacheField>
    <cacheField name="Soil depth" numFmtId="0">
      <sharedItems count="3">
        <s v="0-10cm"/>
        <s v="10-20cm"/>
        <s v="20-30cm"/>
      </sharedItems>
    </cacheField>
    <cacheField name="Moist soil weight, _x000a_cat ions (g)" numFmtId="168">
      <sharedItems containsSemiMixedTypes="0" containsString="0" containsNumber="1" minValue="3.9899999999999998" maxValue="4.4975000000000005"/>
    </cacheField>
    <cacheField name="Moist soil weight, _x000a_acidity (g)" numFmtId="168">
      <sharedItems containsSemiMixedTypes="0" containsString="0" containsNumber="1" minValue="9.9924999999999997" maxValue="10.375"/>
    </cacheField>
    <cacheField name="Soil moisture %" numFmtId="168">
      <sharedItems containsSemiMixedTypes="0" containsString="0" containsNumber="1" minValue="4.093807858465369" maxValue="13.810043668122271"/>
    </cacheField>
    <cacheField name="Dry soil, cat ions" numFmtId="168">
      <sharedItems containsSemiMixedTypes="0" containsString="0" containsNumber="1" minValue="3.6002973621103123" maxValue="4.1277849135917819"/>
    </cacheField>
    <cacheField name="VNH4OAc" numFmtId="164">
      <sharedItems containsSemiMixedTypes="0" containsString="0" containsNumber="1" minValue="0.8" maxValue="6.0333333333333341"/>
    </cacheField>
    <cacheField name="Exch K (cmolc/mL)" numFmtId="168">
      <sharedItems containsSemiMixedTypes="0" containsString="0" containsNumber="1" minValue="3.9194165844879232E-2" maxValue="0.1350873039237932"/>
    </cacheField>
    <cacheField name="Exch Ca (cmolc/mL)" numFmtId="168">
      <sharedItems containsSemiMixedTypes="0" containsString="0" containsNumber="1" minValue="0.25383482407028146" maxValue="0.69646477556780995"/>
    </cacheField>
    <cacheField name="Exch Mg (cmolc/mL)" numFmtId="168">
      <sharedItems containsSemiMixedTypes="0" containsString="0" containsNumber="1" minValue="3.6653392165763278E-2" maxValue="1.0600504196633029"/>
    </cacheField>
    <cacheField name="Exch Na (cmolc/mL)" numFmtId="168">
      <sharedItems containsSemiMixedTypes="0" containsString="0" containsNumber="1" minValue="6.2087842716597218E-3" maxValue="5.6394309722012197E-2"/>
    </cacheField>
    <cacheField name="Sum of cations" numFmtId="168">
      <sharedItems containsSemiMixedTypes="0" containsString="0" containsNumber="1" minValue="0.34519267781160812" maxValue="1.8008378631802824"/>
    </cacheField>
    <cacheField name="exch cat (cmolc kg-1)" numFmtId="2">
      <sharedItems containsSemiMixedTypes="0" containsString="0" containsNumber="1" minValue="165.98812266939109" maxValue="1721.5319648661573"/>
    </cacheField>
    <cacheField name="_x000a_exch acidity (cmolc kg-1) = NaOH/(Wmoist soil acidity/(SM/100+1)) × 10" numFmtId="168">
      <sharedItems containsSemiMixedTypes="0" containsString="0" containsNumber="1" minValue="0.89835258938823703" maxValue="6.1719862609008302"/>
    </cacheField>
    <cacheField name="eCEC (cmolc kg-1) _x000a_= exch cat + exch acidity" numFmtId="169">
      <sharedItems containsSemiMixedTypes="0" containsString="0" containsNumber="1" minValue="167.90695700709171" maxValue="1725.63278312421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x v="0"/>
    <n v="26.970233333333329"/>
    <n v="4.5089666666666668"/>
    <n v="31.134499999999999"/>
    <n v="7.6447670937168755E-2"/>
    <n v="3.4401451921725936"/>
  </r>
  <r>
    <n v="1"/>
    <x v="0"/>
    <x v="1"/>
    <n v="27.71363333333333"/>
    <n v="4.9967333333333332"/>
    <n v="32.462566666666667"/>
    <n v="4.959240036824019E-2"/>
    <n v="2.2316580165708086"/>
  </r>
  <r>
    <n v="1"/>
    <x v="0"/>
    <x v="2"/>
    <n v="30.43"/>
    <n v="4.84"/>
    <n v="35.019999999999996"/>
    <n v="5.1652892561983473E-2"/>
    <n v="2.3243801652892566"/>
  </r>
  <r>
    <n v="1"/>
    <x v="1"/>
    <x v="0"/>
    <n v="28.359850000000002"/>
    <n v="5.4211"/>
    <n v="32.860699999999994"/>
    <n v="0.1697533710870506"/>
    <n v="7.6389016989172775"/>
  </r>
  <r>
    <n v="1"/>
    <x v="1"/>
    <x v="1"/>
    <n v="26.826000000000001"/>
    <n v="4.6119000000000003"/>
    <n v="30.727799999999998"/>
    <n v="0.15397124829246092"/>
    <n v="6.9287061731607409"/>
  </r>
  <r>
    <n v="1"/>
    <x v="1"/>
    <x v="2"/>
    <n v="25.973199999999999"/>
    <n v="4.7638499999999997"/>
    <n v="30.26005"/>
    <n v="0.10012909726376708"/>
    <n v="4.505809376869518"/>
  </r>
  <r>
    <n v="2"/>
    <x v="0"/>
    <x v="0"/>
    <n v="28.565679999999997"/>
    <n v="5.0268600000000001"/>
    <n v="33.319159999999997"/>
    <n v="5.4383849958026094E-2"/>
    <n v="2.4472732481111743"/>
  </r>
  <r>
    <n v="2"/>
    <x v="0"/>
    <x v="1"/>
    <n v="27.380200000000002"/>
    <n v="5.1013666666666673"/>
    <n v="32.277666666666669"/>
    <n v="3.9969681327225504E-2"/>
    <n v="1.7986356597251476"/>
  </r>
  <r>
    <n v="2"/>
    <x v="0"/>
    <x v="2"/>
    <n v="28.8124"/>
    <n v="4.5232999999999999"/>
    <n v="33.094200000000001"/>
    <n v="5.3390223951540257E-2"/>
    <n v="2.4025600778193117"/>
  </r>
  <r>
    <n v="2"/>
    <x v="1"/>
    <x v="0"/>
    <n v="27.999320000000001"/>
    <n v="5.0282400000000003"/>
    <n v="32.622140000000002"/>
    <n v="8.0628609612906188E-2"/>
    <n v="3.6282874325807781"/>
  </r>
  <r>
    <n v="2"/>
    <x v="1"/>
    <x v="1"/>
    <n v="29.3933"/>
    <n v="4.5392000000000001"/>
    <n v="33.592599999999997"/>
    <n v="7.4881036305957022E-2"/>
    <n v="3.3696466337680664"/>
  </r>
  <r>
    <n v="2"/>
    <x v="1"/>
    <x v="2"/>
    <n v="29.456733333333332"/>
    <n v="4.8013666666666666"/>
    <n v="34.115333333333332"/>
    <n v="2.9734589457168455E-2"/>
    <n v="1.33805652557258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39.572500000000005"/>
    <n v="49.854999999999997"/>
    <n v="49.29"/>
    <n v="5.814252636995092"/>
  </r>
  <r>
    <x v="0"/>
    <x v="1"/>
    <n v="47.924999999999997"/>
    <n v="58.629999999999995"/>
    <n v="57.75"/>
    <n v="8.9567430025444796"/>
  </r>
  <r>
    <x v="0"/>
    <x v="2"/>
    <n v="46.1"/>
    <n v="56.525000000000006"/>
    <n v="55.260000000000005"/>
    <n v="13.810043668122271"/>
  </r>
  <r>
    <x v="1"/>
    <x v="0"/>
    <n v="42.980000000000004"/>
    <n v="53.585000000000001"/>
    <n v="52.69"/>
    <n v="9.2173017507724371"/>
  </r>
  <r>
    <x v="1"/>
    <x v="1"/>
    <n v="38.99"/>
    <n v="49.14"/>
    <n v="48.14"/>
    <n v="10.928961748633881"/>
  </r>
  <r>
    <x v="1"/>
    <x v="2"/>
    <n v="45.473500000000001"/>
    <n v="55.425000000000004"/>
    <n v="54.422499999999999"/>
    <n v="11.202368979774333"/>
  </r>
  <r>
    <x v="0"/>
    <x v="0"/>
    <n v="42.055999999999997"/>
    <n v="52.176000000000002"/>
    <n v="51.777999999999999"/>
    <n v="4.093807858465369"/>
  </r>
  <r>
    <x v="0"/>
    <x v="1"/>
    <n v="43.78"/>
    <n v="54.353999999999999"/>
    <n v="53.85"/>
    <n v="5.0049652432968994"/>
  </r>
  <r>
    <x v="0"/>
    <x v="2"/>
    <n v="37.314"/>
    <n v="47.364000000000004"/>
    <n v="46.899340000000002"/>
    <n v="4.8476110393580401"/>
  </r>
  <r>
    <x v="1"/>
    <x v="0"/>
    <n v="37.972299999999997"/>
    <n v="49.100416666666668"/>
    <n v="48.636450000000004"/>
    <n v="4.3507139965835435"/>
  </r>
  <r>
    <x v="1"/>
    <x v="1"/>
    <n v="33.856666666666669"/>
    <n v="44.49666666666667"/>
    <n v="43.942133333333338"/>
    <n v="5.4983408468951858"/>
  </r>
  <r>
    <x v="1"/>
    <x v="2"/>
    <n v="30.655000000000001"/>
    <n v="40.910000000000004"/>
    <n v="40.375500000000002"/>
    <n v="5.4986883390772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5.1"/>
    <n v="4.4290000000000003"/>
    <n v="2.9159999999999999"/>
    <n v="5.8140000000000001"/>
    <n v="14.27"/>
    <n v="20.587"/>
  </r>
  <r>
    <x v="0"/>
    <x v="1"/>
    <n v="15.02"/>
    <n v="3.5409999999999999"/>
    <n v="1.329"/>
    <n v="8.9570000000000007"/>
    <n v="13.785"/>
    <n v="14.129"/>
  </r>
  <r>
    <x v="0"/>
    <x v="2"/>
    <n v="15.154999999999999"/>
    <n v="2.4169999999999998"/>
    <n v="1.504"/>
    <n v="13.81"/>
    <n v="13.316000000000001"/>
    <n v="11.776"/>
  </r>
  <r>
    <x v="1"/>
    <x v="0"/>
    <n v="15"/>
    <n v="3.2080000000000002"/>
    <n v="1.849"/>
    <n v="9.2170000000000005"/>
    <n v="13.734"/>
    <n v="14.727"/>
  </r>
  <r>
    <x v="1"/>
    <x v="1"/>
    <n v="15.37"/>
    <n v="0.997"/>
    <n v="1.2450000000000001"/>
    <n v="10.929"/>
    <n v="13.856"/>
    <n v="6.4720000000000004"/>
  </r>
  <r>
    <x v="1"/>
    <x v="2"/>
    <n v="15.042999999999999"/>
    <n v="2.0249999999999999"/>
    <n v="1.0009999999999999"/>
    <n v="11.202"/>
    <n v="13.528"/>
    <n v="8.9489999999999998"/>
  </r>
  <r>
    <x v="0"/>
    <x v="0"/>
    <n v="14.803000000000001"/>
    <n v="8.1189999999999998"/>
    <n v="11.438000000000001"/>
    <n v="4.0940000000000003"/>
    <n v="14.221"/>
    <n v="55.008000000000003"/>
  </r>
  <r>
    <x v="0"/>
    <x v="1"/>
    <n v="14.898999999999999"/>
    <n v="4.6550000000000002"/>
    <n v="11.435"/>
    <n v="5.0049999999999999"/>
    <n v="14.189"/>
    <n v="45.357999999999997"/>
  </r>
  <r>
    <x v="0"/>
    <x v="2"/>
    <n v="15.241"/>
    <n v="2.2480000000000002"/>
    <n v="9.8770000000000007"/>
    <n v="4.8479999999999999"/>
    <n v="14.536"/>
    <n v="33.366999999999997"/>
  </r>
  <r>
    <x v="1"/>
    <x v="0"/>
    <n v="15.263"/>
    <n v="4.8739999999999997"/>
    <n v="3.1389999999999998"/>
    <n v="4.351"/>
    <n v="14.627000000000001"/>
    <n v="21.914000000000001"/>
  </r>
  <r>
    <x v="1"/>
    <x v="1"/>
    <n v="15.018000000000001"/>
    <n v="2.5470000000000002"/>
    <n v="0.28599999999999998"/>
    <n v="5.4980000000000002"/>
    <n v="14.234999999999999"/>
    <n v="7.9589999999999996"/>
  </r>
  <r>
    <x v="1"/>
    <x v="2"/>
    <n v="15.02"/>
    <n v="2.6840000000000002"/>
    <n v="0.54400000000000004"/>
    <n v="5.4989999999999997"/>
    <n v="14.237"/>
    <n v="9.069000000000000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0.50390000000000001"/>
    <n v="0.45250000000000001"/>
    <n v="8.4326090000000011"/>
    <n v="0.41836718594959327"/>
  </r>
  <r>
    <x v="0"/>
    <x v="1"/>
    <n v="0.50792499999999996"/>
    <n v="0.2515"/>
    <n v="4.6868534000000004"/>
    <n v="0.23068629226755924"/>
  </r>
  <r>
    <x v="0"/>
    <x v="2"/>
    <n v="0.51232500000000003"/>
    <n v="0.20674999999999999"/>
    <n v="3.8529103"/>
    <n v="0.18801104279510078"/>
  </r>
  <r>
    <x v="1"/>
    <x v="0"/>
    <n v="0.5"/>
    <n v="0.26500000000000001"/>
    <n v="4.938434"/>
    <n v="0.24692170000000002"/>
  </r>
  <r>
    <x v="1"/>
    <x v="1"/>
    <n v="0.50459999999999994"/>
    <n v="0.23449999999999999"/>
    <n v="4.3700481999999994"/>
    <n v="0.21651051327784385"/>
  </r>
  <r>
    <x v="1"/>
    <x v="2"/>
    <n v="0.50009999999999999"/>
    <n v="3.2000000000000001E-2"/>
    <n v="0.59633920000000007"/>
    <n v="2.9810997800439915E-2"/>
  </r>
  <r>
    <x v="0"/>
    <x v="0"/>
    <n v="0.54169999999999996"/>
    <n v="0.4403333333333333"/>
    <n v="8.2058758666666662"/>
    <n v="0.37870942711217775"/>
  </r>
  <r>
    <x v="0"/>
    <x v="1"/>
    <n v="0.51026666666666665"/>
    <n v="0.23666666666666666"/>
    <n v="4.4104253333333334"/>
    <n v="0.21608433498824148"/>
  </r>
  <r>
    <x v="0"/>
    <x v="2"/>
    <n v="0.50129999999999997"/>
    <n v="0.13566666666666669"/>
    <n v="2.5282297333333337"/>
    <n v="0.12608366912693666"/>
  </r>
  <r>
    <x v="1"/>
    <x v="0"/>
    <n v="0.51916000000000007"/>
    <n v="0.19400000000000001"/>
    <n v="3.6153064000000001"/>
    <n v="0.17409403652053315"/>
  </r>
  <r>
    <x v="1"/>
    <x v="1"/>
    <n v="0.54356666666666664"/>
    <n v="0.126"/>
    <n v="2.3480856000000001"/>
    <n v="0.10799437051572947"/>
  </r>
  <r>
    <x v="1"/>
    <x v="2"/>
    <n v="0.52424999999999999"/>
    <n v="9.7925000000000012E-2"/>
    <n v="1.8248911300000001"/>
    <n v="8.7023897472579895E-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50.017499999999998"/>
    <n v="5.8142526369950902"/>
    <n v="47.269152078774624"/>
    <n v="27.164999999999999"/>
    <n v="12.900000000000002"/>
    <n v="42.531230611606503"/>
    <n v="38.365401540898802"/>
    <n v="19.103367847494695"/>
  </r>
  <r>
    <x v="0"/>
    <x v="1"/>
    <n v="50"/>
    <n v="8.9567430025444796"/>
    <n v="45.889771134983675"/>
    <n v="27.939999999999998"/>
    <n v="16"/>
    <n v="39.11497201017815"/>
    <n v="36.47871755725189"/>
    <n v="24.40631043256996"/>
  </r>
  <r>
    <x v="0"/>
    <x v="2"/>
    <n v="50.175000000000004"/>
    <n v="13.810043668122271"/>
    <n v="44.086618705035981"/>
    <n v="29.689999999999998"/>
    <n v="18.189999999999998"/>
    <n v="32.655302511080237"/>
    <n v="38.462917996618813"/>
    <n v="28.88177949230095"/>
  </r>
  <r>
    <x v="1"/>
    <x v="0"/>
    <n v="50"/>
    <n v="9.2173017507724371"/>
    <n v="45.780292314945761"/>
    <n v="23.689999999999998"/>
    <n v="12.25"/>
    <n v="48.252842430484023"/>
    <n v="33.016390319258505"/>
    <n v="18.730767250257472"/>
  </r>
  <r>
    <x v="1"/>
    <x v="1"/>
    <n v="50.115000000000002"/>
    <n v="10.928961748633881"/>
    <n v="45.177561576354677"/>
    <n v="25.439999999999998"/>
    <n v="15"/>
    <n v="43.688859884560593"/>
    <n v="33.069513888548144"/>
    <n v="23.241626226891263"/>
  </r>
  <r>
    <x v="1"/>
    <x v="2"/>
    <n v="50"/>
    <n v="11.202368979774333"/>
    <n v="44.963070893835074"/>
    <n v="34.94"/>
    <n v="32.44"/>
    <n v="22.291784556933695"/>
    <n v="27.204547547211995"/>
    <n v="50.503667895854313"/>
  </r>
  <r>
    <x v="0"/>
    <x v="0"/>
    <n v="50.052499999999995"/>
    <n v="4.093807858465369"/>
    <n v="48.084032114624492"/>
    <n v="12.75"/>
    <n v="5"/>
    <n v="73.48392087916821"/>
    <n v="19.237155440603459"/>
    <n v="7.2789236802283312"/>
  </r>
  <r>
    <x v="0"/>
    <x v="1"/>
    <n v="49.937125000000002"/>
    <n v="5.0049652432968994"/>
    <n v="47.5569177936448"/>
    <n v="13.75"/>
    <n v="7.5000000000000009"/>
    <n v="71.087276808680272"/>
    <n v="17.873319790997652"/>
    <n v="11.039403400322076"/>
  </r>
  <r>
    <x v="0"/>
    <x v="2"/>
    <n v="50.120919999999998"/>
    <n v="4.8476110393580401"/>
    <n v="47.803587991323369"/>
    <n v="11.400000000000002"/>
    <n v="6.2200000000000015"/>
    <n v="76.152417676118418"/>
    <n v="14.739479390707851"/>
    <n v="9.1081029331737309"/>
  </r>
  <r>
    <x v="1"/>
    <x v="0"/>
    <n v="50.109666666666669"/>
    <n v="4.3507139965835435"/>
    <n v="48.020434884908667"/>
    <n v="15.5"/>
    <n v="7.916666666666667"/>
    <n v="67.722074910089646"/>
    <n v="20.737699184109072"/>
    <n v="11.540225905801282"/>
  </r>
  <r>
    <x v="1"/>
    <x v="1"/>
    <n v="50.233333333333327"/>
    <n v="5.4983408468951858"/>
    <n v="47.615282790309109"/>
    <n v="22.439999999999998"/>
    <n v="14"/>
    <n v="52.87227401583953"/>
    <n v="26.546098771826575"/>
    <n v="20.581627212333895"/>
  </r>
  <r>
    <x v="1"/>
    <x v="2"/>
    <n v="50.357500000000002"/>
    <n v="5.498688339077221"/>
    <n v="47.732820941004377"/>
    <n v="20.805"/>
    <n v="13.615000000000002"/>
    <n v="56.41363826849026"/>
    <n v="23.620016118332448"/>
    <n v="19.9663456131772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4.0350000000000001"/>
    <n v="9.9924999999999997"/>
    <n v="5.8142526369950902"/>
    <n v="3.8132859226841731"/>
    <n v="1.0999999999999999"/>
    <n v="0.1350873039237932"/>
    <n v="0.63233845215192253"/>
    <n v="0.68426785712881644"/>
    <n v="9.0305975644197831E-3"/>
    <n v="1.460724210768952"/>
    <n v="421.36799191675158"/>
    <n v="1.1648304018083022"/>
    <n v="422.53282231855985"/>
  </r>
  <r>
    <x v="0"/>
    <x v="1"/>
    <n v="4.4975000000000005"/>
    <n v="10.149999999999999"/>
    <n v="8.9567430025444796"/>
    <n v="4.1277849135917819"/>
    <n v="1.1499999999999999"/>
    <n v="0.11845390231323981"/>
    <n v="0.64595461887192873"/>
    <n v="1.0245240621445042"/>
    <n v="1.1905279850609565E-2"/>
    <n v="1.8008378631802824"/>
    <n v="501.71304610328662"/>
    <n v="1.2344852655460705"/>
    <n v="502.9475313688327"/>
  </r>
  <r>
    <x v="0"/>
    <x v="2"/>
    <n v="4.0975000000000001"/>
    <n v="10.135"/>
    <n v="13.810043668122271"/>
    <n v="3.6002973621103123"/>
    <n v="0.8"/>
    <n v="8.4358430279297444E-2"/>
    <n v="0.63385758518835"/>
    <n v="1.03362094607879"/>
    <n v="1.6558580681170186E-2"/>
    <n v="1.7683955422276076"/>
    <n v="392.9443297297118"/>
    <n v="0.89835258938823703"/>
    <n v="393.84268231910005"/>
  </r>
  <r>
    <x v="1"/>
    <x v="0"/>
    <n v="4.0649999999999995"/>
    <n v="10.074999999999999"/>
    <n v="9.2173017507724371"/>
    <n v="3.72193776520509"/>
    <n v="1.2"/>
    <n v="0.11305588872806693"/>
    <n v="0.69646477556780995"/>
    <n v="0.88313579235449802"/>
    <n v="1.7134425308901566E-2"/>
    <n v="1.7097908819592764"/>
    <n v="551.25829279901291"/>
    <n v="1.3008512367337661"/>
    <n v="552.55914403574673"/>
  </r>
  <r>
    <x v="1"/>
    <x v="1"/>
    <n v="4.0104500000000005"/>
    <n v="10.051749999999998"/>
    <n v="10.928961748633881"/>
    <n v="3.6153317733990149"/>
    <n v="0.85000000000000009"/>
    <n v="4.6888316703520255E-2"/>
    <n v="0.54338646824097747"/>
    <n v="0.98684418142575714"/>
    <n v="3.0343345219446996E-2"/>
    <n v="1.607462311589702"/>
    <n v="377.93017363013865"/>
    <n v="0.93804180850437802"/>
    <n v="378.86821543864301"/>
  </r>
  <r>
    <x v="1"/>
    <x v="2"/>
    <n v="4.0233333333333325"/>
    <n v="10.033333333333333"/>
    <n v="11.202368979774333"/>
    <n v="3.6180284379239285"/>
    <n v="3.6999999999999997"/>
    <n v="3.9194165844879232E-2"/>
    <n v="0.52775343062948543"/>
    <n v="1.0600504196633029"/>
    <n v="5.6394309722012197E-2"/>
    <n v="1.6833923258596797"/>
    <n v="1721.5319648661573"/>
    <n v="4.1008182580581236"/>
    <n v="1725.6327831242154"/>
  </r>
  <r>
    <x v="0"/>
    <x v="0"/>
    <n v="4.0179999999999998"/>
    <n v="10.026"/>
    <n v="4.093807858465369"/>
    <n v="3.859979841897232"/>
    <n v="2.58"/>
    <n v="7.3293515568402051E-2"/>
    <n v="0.36999569048922731"/>
    <n v="5.7202651052080521E-2"/>
    <n v="6.2087842716597218E-3"/>
    <n v="0.50670064138136961"/>
    <n v="338.67732690577577"/>
    <n v="2.6786557378300486"/>
    <n v="341.35598264360584"/>
  </r>
  <r>
    <x v="0"/>
    <x v="1"/>
    <n v="3.9899999999999998"/>
    <n v="10.257999999999999"/>
    <n v="5.0049652432968994"/>
    <n v="3.7998203139776816"/>
    <n v="3.72"/>
    <n v="5.8318098205746259E-2"/>
    <n v="0.28551359075427135"/>
    <n v="3.9577298033054098E-2"/>
    <n v="1.3026065935862353E-2"/>
    <n v="0.39643505292893405"/>
    <n v="388.10740378190854"/>
    <n v="3.8079398586962814"/>
    <n v="391.91534364060482"/>
  </r>
  <r>
    <x v="0"/>
    <x v="2"/>
    <n v="4.0119999999999996"/>
    <n v="10.053999999999998"/>
    <n v="4.8476110393580401"/>
    <n v="3.8265058786069637"/>
    <n v="1.8399999999999999"/>
    <n v="4.3454173482778635E-2"/>
    <n v="0.25383482407028146"/>
    <n v="3.6653392165763278E-2"/>
    <n v="1.1250288092784713E-2"/>
    <n v="0.34519267781160812"/>
    <n v="165.98812266939109"/>
    <n v="1.9188343377006047"/>
    <n v="167.90695700709171"/>
  </r>
  <r>
    <x v="1"/>
    <x v="0"/>
    <n v="4.0630499999999996"/>
    <n v="10.149099999999999"/>
    <n v="4.3507139965835435"/>
    <n v="3.8936484901608099"/>
    <n v="1.6166666666666665"/>
    <n v="7.7590949145761826E-2"/>
    <n v="0.57688333078472909"/>
    <n v="0.16984728222189105"/>
    <n v="1.3055788405776413E-2"/>
    <n v="0.83737735055815832"/>
    <n v="347.68419735113571"/>
    <n v="1.6622195166186495"/>
    <n v="349.34641686775439"/>
  </r>
  <r>
    <x v="1"/>
    <x v="1"/>
    <n v="4.1672000000000002"/>
    <n v="10.312833333333332"/>
    <n v="5.4983408468951858"/>
    <n v="3.9500147268170438"/>
    <n v="6.0333333333333341"/>
    <n v="6.5946419937896308E-2"/>
    <n v="0.2675723901719263"/>
    <n v="0.17638942066458299"/>
    <n v="1.7253636117686988E-2"/>
    <n v="0.52716186689209255"/>
    <n v="805.19782419778505"/>
    <n v="6.1719862609008302"/>
    <n v="811.36981045868583"/>
  </r>
  <r>
    <x v="1"/>
    <x v="2"/>
    <n v="4.3149999999999995"/>
    <n v="10.375"/>
    <n v="5.498688339077221"/>
    <n v="4.0900982447586527"/>
    <n v="2.2999999999999998"/>
    <n v="8.0269003889640977E-2"/>
    <n v="0.2631654001534135"/>
    <n v="0.16979351467936421"/>
    <n v="2.0230118147315741E-2"/>
    <n v="0.53345803686973448"/>
    <n v="299.98142131981695"/>
    <n v="2.3387661029385796"/>
    <n v="302.32018742275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CAC1A-AA92-074B-BA57-213F579A075E}" name="PivotTable3" cacheId="6"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6:M35" firstHeaderRow="0" firstDataRow="1" firstDataCol="1"/>
  <pivotFields count="8">
    <pivotField showAll="0"/>
    <pivotField axis="axisRow" showAll="0">
      <items count="4">
        <item x="0"/>
        <item m="1" x="2"/>
        <item x="1"/>
        <item t="default"/>
      </items>
    </pivotField>
    <pivotField axis="axisRow" showAll="0">
      <items count="4">
        <item x="0"/>
        <item x="1"/>
        <item x="2"/>
        <item t="default"/>
      </items>
    </pivotField>
    <pivotField numFmtId="164" showAll="0"/>
    <pivotField numFmtId="164" showAll="0"/>
    <pivotField numFmtId="164" showAll="0"/>
    <pivotField dataField="1" numFmtId="164" showAll="0"/>
    <pivotField dataField="1" numFmtId="164" showAll="0"/>
  </pivotFields>
  <rowFields count="2">
    <field x="1"/>
    <field x="2"/>
  </rowFields>
  <rowItems count="9">
    <i>
      <x/>
    </i>
    <i r="1">
      <x/>
    </i>
    <i r="1">
      <x v="1"/>
    </i>
    <i r="1">
      <x v="2"/>
    </i>
    <i>
      <x v="2"/>
    </i>
    <i r="1">
      <x/>
    </i>
    <i r="1">
      <x v="1"/>
    </i>
    <i r="1">
      <x v="2"/>
    </i>
    <i t="grand">
      <x/>
    </i>
  </rowItems>
  <colFields count="1">
    <field x="-2"/>
  </colFields>
  <colItems count="2">
    <i>
      <x/>
    </i>
    <i i="1">
      <x v="1"/>
    </i>
  </colItems>
  <dataFields count="2">
    <dataField name="Average of Soil organic matter" fld="6" subtotal="average" baseField="0" baseItem="0"/>
    <dataField name="Average of Total soil C (%) "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D90F5-91BE-E041-8D2A-21CE194D5973}"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4:K13" firstHeaderRow="1" firstDataRow="1" firstDataCol="1"/>
  <pivotFields count="6">
    <pivotField axis="axisRow" showAll="0">
      <items count="3">
        <item x="0"/>
        <item x="1"/>
        <item t="default"/>
      </items>
    </pivotField>
    <pivotField axis="axisRow" showAll="0">
      <items count="4">
        <item x="0"/>
        <item x="1"/>
        <item x="2"/>
        <item t="default"/>
      </items>
    </pivotField>
    <pivotField numFmtId="164" showAll="0"/>
    <pivotField numFmtId="164" showAll="0"/>
    <pivotField numFmtId="164" showAll="0"/>
    <pivotField dataField="1" numFmtId="164" showAll="0"/>
  </pivotFields>
  <rowFields count="2">
    <field x="0"/>
    <field x="1"/>
  </rowFields>
  <rowItems count="9">
    <i>
      <x/>
    </i>
    <i r="1">
      <x/>
    </i>
    <i r="1">
      <x v="1"/>
    </i>
    <i r="1">
      <x v="2"/>
    </i>
    <i>
      <x v="1"/>
    </i>
    <i r="1">
      <x/>
    </i>
    <i r="1">
      <x v="1"/>
    </i>
    <i r="1">
      <x v="2"/>
    </i>
    <i t="grand">
      <x/>
    </i>
  </rowItems>
  <colItems count="1">
    <i/>
  </colItems>
  <dataFields count="1">
    <dataField name="Average of Soil moisture (%)"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EDD53-933C-BC4B-A5EE-307F1D433544}"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E26" firstHeaderRow="0" firstDataRow="1" firstDataCol="1"/>
  <pivotFields count="8">
    <pivotField axis="axisRow" showAll="0">
      <items count="3">
        <item x="0"/>
        <item x="1"/>
        <item t="default"/>
      </items>
    </pivotField>
    <pivotField axis="axisRow" showAll="0">
      <items count="4">
        <item x="0"/>
        <item x="1"/>
        <item x="2"/>
        <item t="default"/>
      </items>
    </pivotField>
    <pivotField numFmtId="164" showAll="0"/>
    <pivotField dataField="1" numFmtId="164" showAll="0"/>
    <pivotField dataField="1" numFmtId="164" showAll="0"/>
    <pivotField numFmtId="164" showAll="0"/>
    <pivotField numFmtId="164" showAll="0"/>
    <pivotField dataField="1" numFmtId="164" showAll="0"/>
  </pivotFields>
  <rowFields count="2">
    <field x="0"/>
    <field x="1"/>
  </rowFields>
  <rowItems count="9">
    <i>
      <x/>
    </i>
    <i r="1">
      <x/>
    </i>
    <i r="1">
      <x v="1"/>
    </i>
    <i r="1">
      <x v="2"/>
    </i>
    <i>
      <x v="1"/>
    </i>
    <i r="1">
      <x/>
    </i>
    <i r="1">
      <x v="1"/>
    </i>
    <i r="1">
      <x v="2"/>
    </i>
    <i t="grand">
      <x/>
    </i>
  </rowItems>
  <colFields count="1">
    <field x="-2"/>
  </colFields>
  <colItems count="3">
    <i>
      <x/>
    </i>
    <i i="1">
      <x v="1"/>
    </i>
    <i i="2">
      <x v="2"/>
    </i>
  </colItems>
  <dataFields count="3">
    <dataField name="Average of Soil N availability" fld="7" subtotal="average" baseField="0" baseItem="0"/>
    <dataField name="Sum of NH4+ (mg/L)" fld="3" baseField="0" baseItem="0"/>
    <dataField name="Sum of NO3- (mg/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A1CF02-6BBD-FC41-9805-9CB4BDD67E4F}"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N14" firstHeaderRow="1" firstDataRow="1" firstDataCol="1"/>
  <pivotFields count="6">
    <pivotField axis="axisRow" showAll="0">
      <items count="3">
        <item x="0"/>
        <item x="1"/>
        <item t="default"/>
      </items>
    </pivotField>
    <pivotField axis="axisRow" showAll="0">
      <items count="4">
        <item x="0"/>
        <item x="1"/>
        <item x="2"/>
        <item t="default"/>
      </items>
    </pivotField>
    <pivotField numFmtId="164" showAll="0"/>
    <pivotField numFmtId="164" showAll="0"/>
    <pivotField numFmtId="164" showAll="0"/>
    <pivotField dataField="1" numFmtId="164" showAll="0"/>
  </pivotFields>
  <rowFields count="2">
    <field x="0"/>
    <field x="1"/>
  </rowFields>
  <rowItems count="9">
    <i>
      <x/>
    </i>
    <i r="1">
      <x/>
    </i>
    <i r="1">
      <x v="1"/>
    </i>
    <i r="1">
      <x v="2"/>
    </i>
    <i>
      <x v="1"/>
    </i>
    <i r="1">
      <x/>
    </i>
    <i r="1">
      <x v="1"/>
    </i>
    <i r="1">
      <x v="2"/>
    </i>
    <i t="grand">
      <x/>
    </i>
  </rowItems>
  <colItems count="1">
    <i/>
  </colItems>
  <dataFields count="1">
    <dataField name="Average of Soil P (mg g-1)"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47F77E-2A65-E442-AE30-A327F3DE8E9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E44" firstHeaderRow="0" firstDataRow="1" firstDataCol="1"/>
  <pivotFields count="10">
    <pivotField axis="axisRow" showAll="0">
      <items count="3">
        <item x="0"/>
        <item x="1"/>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dataField="1" numFmtId="164" showAll="0"/>
    <pivotField dataField="1" numFmtId="164" showAll="0"/>
    <pivotField dataField="1" numFmtId="164" showAll="0"/>
  </pivotFields>
  <rowFields count="2">
    <field x="0"/>
    <field x="1"/>
  </rowFields>
  <rowItems count="9">
    <i>
      <x/>
    </i>
    <i r="1">
      <x/>
    </i>
    <i r="1">
      <x v="1"/>
    </i>
    <i r="1">
      <x v="2"/>
    </i>
    <i>
      <x v="1"/>
    </i>
    <i r="1">
      <x/>
    </i>
    <i r="1">
      <x v="1"/>
    </i>
    <i r="1">
      <x v="2"/>
    </i>
    <i t="grand">
      <x/>
    </i>
  </rowItems>
  <colFields count="1">
    <field x="-2"/>
  </colFields>
  <colItems count="3">
    <i>
      <x/>
    </i>
    <i i="1">
      <x v="1"/>
    </i>
    <i i="2">
      <x v="2"/>
    </i>
  </colItems>
  <dataFields count="3">
    <dataField name="Average of Sand fraction (%)" fld="7" subtotal="average" baseField="0" baseItem="0"/>
    <dataField name="Average of Silt fraction (%)" fld="8" subtotal="average" baseField="0" baseItem="0"/>
    <dataField name="Average of Clay fraction) %)"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1DA4B-056F-A944-A406-7FD1A327698E}"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E33" firstHeaderRow="0" firstDataRow="1" firstDataCol="1"/>
  <pivotFields count="15">
    <pivotField axis="axisRow" showAll="0">
      <items count="3">
        <item x="0"/>
        <item x="1"/>
        <item t="default"/>
      </items>
    </pivotField>
    <pivotField axis="axisRow" showAll="0">
      <items count="4">
        <item x="0"/>
        <item x="1"/>
        <item x="2"/>
        <item t="default"/>
      </items>
    </pivotField>
    <pivotField numFmtId="168" showAll="0"/>
    <pivotField numFmtId="168" showAll="0"/>
    <pivotField numFmtId="168" showAll="0"/>
    <pivotField numFmtId="168" showAll="0"/>
    <pivotField numFmtId="164" showAll="0"/>
    <pivotField numFmtId="168" showAll="0"/>
    <pivotField numFmtId="168" showAll="0"/>
    <pivotField numFmtId="168" showAll="0"/>
    <pivotField numFmtId="168" showAll="0"/>
    <pivotField numFmtId="168" showAll="0"/>
    <pivotField dataField="1" numFmtId="2" showAll="0"/>
    <pivotField dataField="1" numFmtId="168" showAll="0"/>
    <pivotField dataField="1" numFmtId="169" showAll="0"/>
  </pivotFields>
  <rowFields count="2">
    <field x="0"/>
    <field x="1"/>
  </rowFields>
  <rowItems count="9">
    <i>
      <x/>
    </i>
    <i r="1">
      <x/>
    </i>
    <i r="1">
      <x v="1"/>
    </i>
    <i r="1">
      <x v="2"/>
    </i>
    <i>
      <x v="1"/>
    </i>
    <i r="1">
      <x/>
    </i>
    <i r="1">
      <x v="1"/>
    </i>
    <i r="1">
      <x v="2"/>
    </i>
    <i t="grand">
      <x/>
    </i>
  </rowItems>
  <colFields count="1">
    <field x="-2"/>
  </colFields>
  <colItems count="3">
    <i>
      <x/>
    </i>
    <i i="1">
      <x v="1"/>
    </i>
    <i i="2">
      <x v="2"/>
    </i>
  </colItems>
  <dataFields count="3">
    <dataField name="Average of exch cat (cmolc kg-1)" fld="12" subtotal="average" baseField="0" baseItem="0"/>
    <dataField name="Average of _x000a_exch acidity (cmolc kg-1) = NaOH/(Wmoist soil acidity/(SM/100+1)) × 10" fld="13" subtotal="average" baseField="0" baseItem="0"/>
    <dataField name="Average of eCEC (cmolc kg-1) _x000a_= exch cat + exch acidity"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C2163-273E-304B-BAE0-D63EAB87232F}">
  <dimension ref="A1:Q275"/>
  <sheetViews>
    <sheetView tabSelected="1" topLeftCell="A342" workbookViewId="0">
      <selection activeCell="N259" sqref="N259"/>
    </sheetView>
  </sheetViews>
  <sheetFormatPr baseColWidth="10" defaultRowHeight="15" x14ac:dyDescent="0.2"/>
  <sheetData>
    <row r="1" spans="1:12" x14ac:dyDescent="0.2">
      <c r="A1" s="1" t="s">
        <v>0</v>
      </c>
    </row>
    <row r="2" spans="1:12" x14ac:dyDescent="0.2">
      <c r="A2" s="1"/>
    </row>
    <row r="3" spans="1:12" x14ac:dyDescent="0.2">
      <c r="A3" s="1" t="s">
        <v>1</v>
      </c>
    </row>
    <row r="4" spans="1:12" ht="16" thickBot="1" x14ac:dyDescent="0.25">
      <c r="A4" s="1"/>
      <c r="B4" t="s">
        <v>2</v>
      </c>
    </row>
    <row r="5" spans="1:12" ht="17" thickBot="1" x14ac:dyDescent="0.25">
      <c r="A5" s="1"/>
      <c r="B5" s="109" t="s">
        <v>4</v>
      </c>
      <c r="C5" s="321" t="s">
        <v>5</v>
      </c>
      <c r="D5" s="322"/>
      <c r="E5" s="321" t="s">
        <v>6</v>
      </c>
      <c r="F5" s="322"/>
      <c r="G5" s="321" t="s">
        <v>74</v>
      </c>
      <c r="H5" s="322"/>
      <c r="I5" s="321" t="s">
        <v>21</v>
      </c>
      <c r="J5" s="322"/>
      <c r="K5" s="321" t="s">
        <v>75</v>
      </c>
      <c r="L5" s="322"/>
    </row>
    <row r="6" spans="1:12" ht="33" thickBot="1" x14ac:dyDescent="0.25">
      <c r="A6" s="1"/>
      <c r="B6" s="259"/>
      <c r="C6" s="112" t="s">
        <v>7</v>
      </c>
      <c r="D6" s="115" t="s">
        <v>147</v>
      </c>
      <c r="E6" s="112" t="s">
        <v>7</v>
      </c>
      <c r="F6" s="116" t="s">
        <v>147</v>
      </c>
      <c r="G6" s="110" t="s">
        <v>7</v>
      </c>
      <c r="H6" s="115" t="s">
        <v>147</v>
      </c>
      <c r="I6" s="112" t="s">
        <v>7</v>
      </c>
      <c r="J6" s="116" t="s">
        <v>147</v>
      </c>
      <c r="K6" s="113" t="s">
        <v>7</v>
      </c>
      <c r="L6" s="115" t="s">
        <v>147</v>
      </c>
    </row>
    <row r="7" spans="1:12" x14ac:dyDescent="0.2">
      <c r="A7" s="1"/>
      <c r="B7" s="260">
        <v>1</v>
      </c>
      <c r="C7" s="119">
        <v>6.2E-2</v>
      </c>
      <c r="D7" s="118">
        <f>C7*9.671179884*2</f>
        <v>1.1992263056160002</v>
      </c>
      <c r="E7" s="119">
        <v>0.03</v>
      </c>
      <c r="F7" s="120">
        <f>E7*9.671179884*2</f>
        <v>0.58027079304000007</v>
      </c>
      <c r="G7" s="117">
        <v>5.8000000000000003E-2</v>
      </c>
      <c r="H7" s="118">
        <f>G7*9.671179884*2</f>
        <v>1.1218568665440001</v>
      </c>
      <c r="I7" s="119">
        <v>2.1999999999999999E-2</v>
      </c>
      <c r="J7" s="120">
        <f>I7*9.671179884*2</f>
        <v>0.42553191489600001</v>
      </c>
      <c r="K7" s="270">
        <v>2.1999999999999999E-2</v>
      </c>
      <c r="L7" s="271">
        <f>K7*9.671179884*2</f>
        <v>0.42553191489600001</v>
      </c>
    </row>
    <row r="8" spans="1:12" x14ac:dyDescent="0.2">
      <c r="A8" s="1"/>
      <c r="B8" s="260">
        <v>2</v>
      </c>
      <c r="C8" s="119">
        <v>7.6999999999999999E-2</v>
      </c>
      <c r="D8" s="118">
        <f t="shared" ref="D8:F14" si="0">C8*9.671179884*2</f>
        <v>1.4893617021360002</v>
      </c>
      <c r="E8" s="119">
        <v>2.9000000000000001E-2</v>
      </c>
      <c r="F8" s="120">
        <f t="shared" si="0"/>
        <v>0.56092843327200004</v>
      </c>
      <c r="G8" s="117">
        <v>7.2999999999999995E-2</v>
      </c>
      <c r="H8" s="118">
        <f>G8*9.671179884*2</f>
        <v>1.4119922630640001</v>
      </c>
      <c r="I8" s="119">
        <v>4.2000000000000003E-2</v>
      </c>
      <c r="J8" s="120">
        <f>I8*9.671179884*2</f>
        <v>0.81237911025600007</v>
      </c>
      <c r="K8" s="117">
        <v>2.9000000000000001E-2</v>
      </c>
      <c r="L8" s="118">
        <f>K8*9.671179884*2</f>
        <v>0.56092843327200004</v>
      </c>
    </row>
    <row r="9" spans="1:12" x14ac:dyDescent="0.2">
      <c r="A9" s="1"/>
      <c r="B9" s="260">
        <v>3</v>
      </c>
      <c r="C9" s="119">
        <v>9.9000000000000005E-2</v>
      </c>
      <c r="D9" s="118">
        <f t="shared" si="0"/>
        <v>1.9148936170320003</v>
      </c>
      <c r="E9" s="119">
        <v>1.0999999999999999E-2</v>
      </c>
      <c r="F9" s="120">
        <f t="shared" si="0"/>
        <v>0.212765957448</v>
      </c>
      <c r="G9" s="117">
        <v>4.2999999999999997E-2</v>
      </c>
      <c r="H9" s="118">
        <f>G9*9.671179884*2</f>
        <v>0.83172147002399999</v>
      </c>
      <c r="I9" s="119"/>
      <c r="J9" s="120"/>
      <c r="K9" s="117">
        <v>2.7E-2</v>
      </c>
      <c r="L9" s="118">
        <f>K9*9.671179884*2</f>
        <v>0.52224371373599998</v>
      </c>
    </row>
    <row r="10" spans="1:12" x14ac:dyDescent="0.2">
      <c r="A10" s="1"/>
      <c r="B10" s="260">
        <v>4</v>
      </c>
      <c r="C10" s="119">
        <v>8.8999999999999996E-2</v>
      </c>
      <c r="D10" s="118">
        <f t="shared" si="0"/>
        <v>1.7214700193520001</v>
      </c>
      <c r="E10" s="119">
        <v>1.0999999999999999E-2</v>
      </c>
      <c r="F10" s="120">
        <f t="shared" si="0"/>
        <v>0.212765957448</v>
      </c>
      <c r="G10" s="117">
        <v>8.7999999999999995E-2</v>
      </c>
      <c r="H10" s="118">
        <f>G10*9.671179884*2</f>
        <v>1.702127659584</v>
      </c>
      <c r="I10" s="119"/>
      <c r="J10" s="120"/>
      <c r="K10" s="117">
        <v>2.1000000000000001E-2</v>
      </c>
      <c r="L10" s="118">
        <f>K10*9.671179884*2</f>
        <v>0.40618955512800003</v>
      </c>
    </row>
    <row r="11" spans="1:12" x14ac:dyDescent="0.2">
      <c r="A11" s="1"/>
      <c r="B11" s="260">
        <v>5</v>
      </c>
      <c r="C11" s="119">
        <v>4.4999999999999998E-2</v>
      </c>
      <c r="D11" s="118">
        <f t="shared" si="0"/>
        <v>0.87040618956000004</v>
      </c>
      <c r="E11" s="119">
        <v>1.2E-2</v>
      </c>
      <c r="F11" s="120">
        <f t="shared" si="0"/>
        <v>0.23210831721600003</v>
      </c>
      <c r="G11" s="117"/>
      <c r="H11" s="118"/>
      <c r="I11" s="119"/>
      <c r="J11" s="120"/>
      <c r="K11" s="117"/>
      <c r="L11" s="118"/>
    </row>
    <row r="12" spans="1:12" x14ac:dyDescent="0.2">
      <c r="A12" s="1"/>
      <c r="B12" s="260">
        <v>6</v>
      </c>
      <c r="C12" s="119">
        <v>5.5E-2</v>
      </c>
      <c r="D12" s="118">
        <f t="shared" si="0"/>
        <v>1.06382978724</v>
      </c>
      <c r="E12" s="119"/>
      <c r="F12" s="120"/>
      <c r="G12" s="117"/>
      <c r="H12" s="118"/>
      <c r="I12" s="119"/>
      <c r="J12" s="120"/>
      <c r="K12" s="117"/>
      <c r="L12" s="118"/>
    </row>
    <row r="13" spans="1:12" x14ac:dyDescent="0.2">
      <c r="A13" s="1"/>
      <c r="B13" s="260">
        <v>7</v>
      </c>
      <c r="C13" s="119">
        <v>8.6999999999999994E-2</v>
      </c>
      <c r="D13" s="118">
        <f t="shared" si="0"/>
        <v>1.682785299816</v>
      </c>
      <c r="E13" s="119"/>
      <c r="F13" s="120"/>
      <c r="G13" s="117"/>
      <c r="H13" s="118"/>
      <c r="I13" s="119"/>
      <c r="J13" s="120"/>
      <c r="K13" s="117"/>
      <c r="L13" s="118"/>
    </row>
    <row r="14" spans="1:12" ht="16" thickBot="1" x14ac:dyDescent="0.25">
      <c r="A14" s="1"/>
      <c r="B14" s="260">
        <v>8</v>
      </c>
      <c r="C14" s="119">
        <v>6.6000000000000003E-2</v>
      </c>
      <c r="D14" s="118">
        <f t="shared" si="0"/>
        <v>1.2765957446880001</v>
      </c>
      <c r="E14" s="119"/>
      <c r="F14" s="120"/>
      <c r="G14" s="117"/>
      <c r="H14" s="118"/>
      <c r="I14" s="119"/>
      <c r="J14" s="120"/>
      <c r="K14" s="121"/>
      <c r="L14" s="122"/>
    </row>
    <row r="15" spans="1:12" ht="16" x14ac:dyDescent="0.25">
      <c r="A15" s="1"/>
      <c r="B15" s="261" t="s">
        <v>168</v>
      </c>
      <c r="C15" s="263">
        <f>AVERAGE(C7:C14)</f>
        <v>7.2500000000000009E-2</v>
      </c>
      <c r="D15" s="263">
        <f>AVERAGE(D7:D14)</f>
        <v>1.4023210831800001</v>
      </c>
      <c r="E15" s="264">
        <f>AVERAGE(E7:E11)</f>
        <v>1.8599999999999998E-2</v>
      </c>
      <c r="F15" s="272">
        <f>AVERAGE(F7:F11)</f>
        <v>0.35976789168480006</v>
      </c>
      <c r="G15" s="263">
        <f>AVERAGE(G7:G10)</f>
        <v>6.5500000000000003E-2</v>
      </c>
      <c r="H15" s="263">
        <f>AVERAGE(H7:H10)</f>
        <v>1.266924564804</v>
      </c>
      <c r="I15" s="264">
        <f>AVERAGE(I7:I8)</f>
        <v>3.2000000000000001E-2</v>
      </c>
      <c r="J15" s="265">
        <f>AVERAGE(J7:J8)</f>
        <v>0.61895551257600001</v>
      </c>
      <c r="K15" s="263">
        <f>AVERAGE(K7:K10)</f>
        <v>2.4750000000000001E-2</v>
      </c>
      <c r="L15" s="265">
        <f>AVERAGE(L7:L10)</f>
        <v>0.47872340425799997</v>
      </c>
    </row>
    <row r="16" spans="1:12" ht="16" x14ac:dyDescent="0.25">
      <c r="A16" s="1"/>
      <c r="B16" s="268" t="s">
        <v>169</v>
      </c>
      <c r="C16" s="266">
        <f t="shared" ref="C16:L16" si="1">_xlfn.STDEV.S(C7:C14)</f>
        <v>1.8593393604027307E-2</v>
      </c>
      <c r="D16" s="266">
        <f t="shared" si="1"/>
        <v>0.35964010839712762</v>
      </c>
      <c r="E16" s="269">
        <f t="shared" si="1"/>
        <v>9.9649385346824958E-3</v>
      </c>
      <c r="F16" s="267">
        <f t="shared" si="1"/>
        <v>0.19274542620383539</v>
      </c>
      <c r="G16" s="266">
        <f t="shared" si="1"/>
        <v>1.9364916731037032E-2</v>
      </c>
      <c r="H16" s="266">
        <f t="shared" si="1"/>
        <v>0.3745631862890822</v>
      </c>
      <c r="I16" s="269">
        <f t="shared" si="1"/>
        <v>1.4142135623730954E-2</v>
      </c>
      <c r="J16" s="267">
        <f t="shared" si="1"/>
        <v>0.27354227512205315</v>
      </c>
      <c r="K16" s="266">
        <f t="shared" si="1"/>
        <v>3.8622100754188227E-3</v>
      </c>
      <c r="L16" s="267">
        <f t="shared" si="1"/>
        <v>7.4704256778345773E-2</v>
      </c>
    </row>
    <row r="17" spans="1:15" ht="16" x14ac:dyDescent="0.25">
      <c r="A17" s="1"/>
      <c r="B17" s="268" t="s">
        <v>171</v>
      </c>
      <c r="C17" s="266">
        <f>COUNT(C7:C14)</f>
        <v>8</v>
      </c>
      <c r="D17" s="266">
        <f t="shared" ref="D17:L17" si="2">COUNT(D7:D14)</f>
        <v>8</v>
      </c>
      <c r="E17" s="269">
        <f t="shared" si="2"/>
        <v>5</v>
      </c>
      <c r="F17" s="267">
        <f>COUNT(F7:F14)</f>
        <v>5</v>
      </c>
      <c r="G17" s="266">
        <f t="shared" si="2"/>
        <v>4</v>
      </c>
      <c r="H17" s="266">
        <f t="shared" si="2"/>
        <v>4</v>
      </c>
      <c r="I17" s="269">
        <f t="shared" si="2"/>
        <v>2</v>
      </c>
      <c r="J17" s="267">
        <f t="shared" si="2"/>
        <v>2</v>
      </c>
      <c r="K17" s="266">
        <f t="shared" si="2"/>
        <v>4</v>
      </c>
      <c r="L17" s="267">
        <f t="shared" si="2"/>
        <v>4</v>
      </c>
    </row>
    <row r="18" spans="1:15" ht="17" thickBot="1" x14ac:dyDescent="0.3">
      <c r="B18" s="262" t="s">
        <v>172</v>
      </c>
      <c r="C18" s="168">
        <f>C16/SQRT(C17)</f>
        <v>6.5737573513391439E-3</v>
      </c>
      <c r="D18" s="168">
        <f t="shared" ref="D18:L18" si="3">D16/SQRT(D17)</f>
        <v>0.12715197971713696</v>
      </c>
      <c r="E18" s="227">
        <f t="shared" si="3"/>
        <v>4.4564559910314407E-3</v>
      </c>
      <c r="F18" s="193">
        <f t="shared" si="3"/>
        <v>8.6198375068789024E-2</v>
      </c>
      <c r="G18" s="168">
        <f t="shared" si="3"/>
        <v>9.6824583655185162E-3</v>
      </c>
      <c r="H18" s="168">
        <f t="shared" si="3"/>
        <v>0.1872815931445411</v>
      </c>
      <c r="I18" s="227">
        <f t="shared" si="3"/>
        <v>1.0000000000000002E-2</v>
      </c>
      <c r="J18" s="193">
        <f t="shared" si="3"/>
        <v>0.19342359768</v>
      </c>
      <c r="K18" s="168">
        <f t="shared" si="3"/>
        <v>1.9311050377094113E-3</v>
      </c>
      <c r="L18" s="193">
        <f t="shared" si="3"/>
        <v>3.7352128389172887E-2</v>
      </c>
    </row>
    <row r="19" spans="1:15" ht="16" x14ac:dyDescent="0.25">
      <c r="B19" s="333"/>
      <c r="C19" s="334"/>
      <c r="D19" s="334"/>
      <c r="E19" s="334"/>
      <c r="F19" s="334"/>
      <c r="G19" s="334"/>
      <c r="H19" s="334"/>
      <c r="I19" s="334"/>
      <c r="J19" s="334"/>
      <c r="K19" s="334"/>
      <c r="L19" s="334"/>
    </row>
    <row r="20" spans="1:15" ht="16" x14ac:dyDescent="0.25">
      <c r="B20" s="333"/>
      <c r="C20" s="334"/>
      <c r="D20" s="334"/>
      <c r="E20" s="334"/>
      <c r="F20" s="334"/>
      <c r="G20" s="334"/>
      <c r="H20" s="334"/>
      <c r="I20" s="334"/>
      <c r="J20" s="334"/>
      <c r="K20" s="334"/>
      <c r="L20" s="334"/>
    </row>
    <row r="21" spans="1:15" ht="16" x14ac:dyDescent="0.25">
      <c r="A21" s="1" t="s">
        <v>8</v>
      </c>
      <c r="B21" s="333"/>
      <c r="C21" s="334"/>
      <c r="D21" s="334"/>
      <c r="E21" s="334"/>
      <c r="F21" s="334"/>
      <c r="G21" s="334"/>
      <c r="H21" s="334"/>
      <c r="I21" s="334"/>
      <c r="J21" s="334"/>
      <c r="K21" s="334"/>
      <c r="L21" s="334"/>
    </row>
    <row r="22" spans="1:15" ht="16" thickBot="1" x14ac:dyDescent="0.25">
      <c r="B22" s="80" t="s">
        <v>88</v>
      </c>
    </row>
    <row r="23" spans="1:15" ht="17" thickBot="1" x14ac:dyDescent="0.25">
      <c r="B23" s="123" t="s">
        <v>4</v>
      </c>
      <c r="C23" s="323" t="s">
        <v>5</v>
      </c>
      <c r="D23" s="323"/>
      <c r="E23" s="321" t="s">
        <v>6</v>
      </c>
      <c r="F23" s="322"/>
      <c r="G23" s="323" t="s">
        <v>74</v>
      </c>
      <c r="H23" s="323"/>
      <c r="I23" s="321" t="s">
        <v>21</v>
      </c>
      <c r="J23" s="322"/>
      <c r="K23" s="322" t="s">
        <v>75</v>
      </c>
      <c r="L23" s="322"/>
    </row>
    <row r="24" spans="1:15" ht="49" thickBot="1" x14ac:dyDescent="0.25">
      <c r="B24" s="124"/>
      <c r="C24" s="84" t="s">
        <v>87</v>
      </c>
      <c r="D24" s="116" t="s">
        <v>92</v>
      </c>
      <c r="E24" s="125" t="s">
        <v>87</v>
      </c>
      <c r="F24" s="115" t="s">
        <v>92</v>
      </c>
      <c r="G24" s="84" t="s">
        <v>87</v>
      </c>
      <c r="H24" s="116" t="s">
        <v>92</v>
      </c>
      <c r="I24" s="125" t="s">
        <v>87</v>
      </c>
      <c r="J24" s="115" t="s">
        <v>92</v>
      </c>
      <c r="K24" s="111" t="s">
        <v>87</v>
      </c>
      <c r="L24" s="115" t="s">
        <v>92</v>
      </c>
      <c r="O24" s="1"/>
    </row>
    <row r="25" spans="1:15" x14ac:dyDescent="0.2">
      <c r="B25" s="85">
        <v>1</v>
      </c>
      <c r="C25" s="278">
        <v>1.8000000000000007</v>
      </c>
      <c r="D25" s="53">
        <f xml:space="preserve"> (C25*0.8) / (0.8)</f>
        <v>1.8000000000000007</v>
      </c>
      <c r="E25" s="87">
        <v>8.5</v>
      </c>
      <c r="F25" s="5">
        <f xml:space="preserve"> (E25*0.8) / (0.8)</f>
        <v>8.5</v>
      </c>
      <c r="G25" s="278">
        <v>5.7999999999999989</v>
      </c>
      <c r="H25" s="53">
        <f xml:space="preserve"> (G25*0.8) / (0.8)</f>
        <v>5.7999999999999989</v>
      </c>
      <c r="I25" s="87">
        <v>5.3999999999999986</v>
      </c>
      <c r="J25" s="5">
        <f xml:space="preserve"> (I25*0.8) / (0.8)</f>
        <v>5.3999999999999986</v>
      </c>
      <c r="K25" s="51">
        <v>2.5999999999999996</v>
      </c>
      <c r="L25" s="277">
        <v>2.5999999999999996</v>
      </c>
    </row>
    <row r="26" spans="1:15" x14ac:dyDescent="0.2">
      <c r="B26" s="85">
        <v>2</v>
      </c>
      <c r="C26" s="126">
        <v>2</v>
      </c>
      <c r="D26" s="59">
        <f xml:space="preserve"> (C26*0.8) / (0.8)</f>
        <v>2</v>
      </c>
      <c r="E26" s="87">
        <v>6.8</v>
      </c>
      <c r="F26" s="5">
        <f xml:space="preserve"> (E26*0.8) / (0.8)</f>
        <v>6.8</v>
      </c>
      <c r="G26" s="126">
        <v>5.6999999999999993</v>
      </c>
      <c r="H26" s="59">
        <f xml:space="preserve"> (G26*0.8) / (0.8)</f>
        <v>5.6999999999999993</v>
      </c>
      <c r="I26" s="87">
        <v>4.3</v>
      </c>
      <c r="J26" s="5">
        <f xml:space="preserve"> (I26*0.8) / (0.8)</f>
        <v>4.3</v>
      </c>
      <c r="K26" s="57">
        <v>1.7000000000000028</v>
      </c>
      <c r="L26" s="88">
        <v>1.7000000000000028</v>
      </c>
    </row>
    <row r="27" spans="1:15" x14ac:dyDescent="0.2">
      <c r="B27" s="85">
        <v>3</v>
      </c>
      <c r="C27" s="126">
        <v>2.3999999999999986</v>
      </c>
      <c r="D27" s="59">
        <f xml:space="preserve"> (C27*0.8) / (0.8)</f>
        <v>2.3999999999999986</v>
      </c>
      <c r="E27" s="87">
        <v>6.6</v>
      </c>
      <c r="F27" s="5">
        <f xml:space="preserve"> (E27*0.8) / (0.8)</f>
        <v>6.6</v>
      </c>
      <c r="G27" s="126">
        <v>4.3999999999999986</v>
      </c>
      <c r="H27" s="59">
        <f xml:space="preserve"> (G27*0.8) / (0.8)</f>
        <v>4.3999999999999986</v>
      </c>
      <c r="I27" s="87"/>
      <c r="J27" s="5"/>
      <c r="K27" s="57">
        <v>1.7999999999999972</v>
      </c>
      <c r="L27" s="88">
        <v>1.7999999999999972</v>
      </c>
    </row>
    <row r="28" spans="1:15" x14ac:dyDescent="0.2">
      <c r="B28" s="85">
        <v>4</v>
      </c>
      <c r="C28" s="126">
        <v>3.7</v>
      </c>
      <c r="D28" s="59">
        <f xml:space="preserve"> (C28*0.8) / (0.8)</f>
        <v>3.7</v>
      </c>
      <c r="E28" s="87">
        <v>7.3000000000000007</v>
      </c>
      <c r="F28" s="5">
        <f xml:space="preserve"> (E28*0.8) / (0.8)</f>
        <v>7.3000000000000007</v>
      </c>
      <c r="G28" s="126">
        <v>5.5000000000000018</v>
      </c>
      <c r="H28" s="59">
        <f xml:space="preserve"> (G28*0.8) / (0.8)</f>
        <v>5.5000000000000009</v>
      </c>
      <c r="I28" s="87"/>
      <c r="J28" s="5"/>
      <c r="K28" s="57">
        <v>3.5</v>
      </c>
      <c r="L28" s="88">
        <v>3.5</v>
      </c>
    </row>
    <row r="29" spans="1:15" x14ac:dyDescent="0.2">
      <c r="B29" s="85">
        <v>5</v>
      </c>
      <c r="C29" s="126">
        <v>1.8000000000000007</v>
      </c>
      <c r="D29" s="59">
        <f xml:space="preserve"> (C29*0.8) / (0.8)</f>
        <v>1.8000000000000007</v>
      </c>
      <c r="E29" s="87"/>
      <c r="F29" s="5"/>
      <c r="G29" s="126"/>
      <c r="H29" s="59"/>
      <c r="I29" s="87"/>
      <c r="J29" s="5"/>
      <c r="K29" s="57">
        <v>2.5</v>
      </c>
      <c r="L29" s="88">
        <v>2.5</v>
      </c>
    </row>
    <row r="30" spans="1:15" ht="16" thickBot="1" x14ac:dyDescent="0.25">
      <c r="B30" s="86">
        <v>6</v>
      </c>
      <c r="C30" s="127"/>
      <c r="D30" s="22"/>
      <c r="E30" s="89"/>
      <c r="F30" s="21"/>
      <c r="G30" s="127"/>
      <c r="H30" s="22"/>
      <c r="I30" s="89"/>
      <c r="J30" s="21"/>
      <c r="K30" s="52">
        <v>2.8999999999999995</v>
      </c>
      <c r="L30" s="90">
        <v>2.8999999999999995</v>
      </c>
    </row>
    <row r="31" spans="1:15" ht="16" x14ac:dyDescent="0.25">
      <c r="B31" s="261" t="s">
        <v>168</v>
      </c>
      <c r="C31" s="264">
        <f>AVERAGE(C25:C30)</f>
        <v>2.34</v>
      </c>
      <c r="D31" s="264">
        <f t="shared" ref="D31:L31" si="4">AVERAGE(D25:D30)</f>
        <v>2.34</v>
      </c>
      <c r="E31" s="264">
        <f t="shared" si="4"/>
        <v>7.3</v>
      </c>
      <c r="F31" s="264">
        <f t="shared" si="4"/>
        <v>7.3</v>
      </c>
      <c r="G31" s="264">
        <f>AVERAGE(G25:G28)</f>
        <v>5.35</v>
      </c>
      <c r="H31" s="264">
        <f>AVERAGE(H25:H28)</f>
        <v>5.35</v>
      </c>
      <c r="I31" s="264">
        <f>AVERAGE(I25:I26)</f>
        <v>4.8499999999999996</v>
      </c>
      <c r="J31" s="264">
        <f>AVERAGE(J25:J30)</f>
        <v>4.8499999999999996</v>
      </c>
      <c r="K31" s="264">
        <f t="shared" si="4"/>
        <v>2.5</v>
      </c>
      <c r="L31" s="264">
        <f t="shared" si="4"/>
        <v>2.5</v>
      </c>
    </row>
    <row r="32" spans="1:15" ht="16" x14ac:dyDescent="0.25">
      <c r="B32" s="268" t="s">
        <v>169</v>
      </c>
      <c r="C32" s="269">
        <f>_xlfn.STDEV.S(C25:C30)</f>
        <v>0.79874902190863484</v>
      </c>
      <c r="D32" s="269">
        <f t="shared" ref="D32:L32" si="5">_xlfn.STDEV.S(D25:D30)</f>
        <v>0.79874902190863484</v>
      </c>
      <c r="E32" s="269">
        <f t="shared" si="5"/>
        <v>0.85244745683629608</v>
      </c>
      <c r="F32" s="269">
        <f t="shared" si="5"/>
        <v>0.85244745683629608</v>
      </c>
      <c r="G32" s="269">
        <f>_xlfn.STDEV.S(G25:G28)</f>
        <v>0.6454972243679028</v>
      </c>
      <c r="H32" s="269">
        <f>_xlfn.STDEV.S(H25:H28)</f>
        <v>0.6454972243679028</v>
      </c>
      <c r="I32" s="269">
        <f>_xlfn.STDEV.S(I25:I26)</f>
        <v>0.77781745930519575</v>
      </c>
      <c r="J32" s="269">
        <f>_xlfn.STDEV.S(J25:J30)</f>
        <v>0.77781745930519575</v>
      </c>
      <c r="K32" s="269">
        <f t="shared" si="5"/>
        <v>0.67823299831252637</v>
      </c>
      <c r="L32" s="269">
        <f t="shared" si="5"/>
        <v>0.67823299831252637</v>
      </c>
    </row>
    <row r="33" spans="2:12" ht="16" x14ac:dyDescent="0.25">
      <c r="B33" s="268" t="s">
        <v>171</v>
      </c>
      <c r="C33" s="269">
        <f>COUNT(C25:C29)</f>
        <v>5</v>
      </c>
      <c r="D33" s="269">
        <f t="shared" ref="D33:L33" si="6">COUNT(D25:D29)</f>
        <v>5</v>
      </c>
      <c r="E33" s="269">
        <f t="shared" si="6"/>
        <v>4</v>
      </c>
      <c r="F33" s="269">
        <f t="shared" si="6"/>
        <v>4</v>
      </c>
      <c r="G33" s="269">
        <f>COUNT(G25:G28)</f>
        <v>4</v>
      </c>
      <c r="H33" s="269">
        <f>COUNT(H25:H28)</f>
        <v>4</v>
      </c>
      <c r="I33" s="269">
        <f>COUNT(I25:I26)</f>
        <v>2</v>
      </c>
      <c r="J33" s="269">
        <f t="shared" si="6"/>
        <v>2</v>
      </c>
      <c r="K33" s="269">
        <f t="shared" si="6"/>
        <v>5</v>
      </c>
      <c r="L33" s="269">
        <f t="shared" si="6"/>
        <v>5</v>
      </c>
    </row>
    <row r="34" spans="2:12" ht="17" thickBot="1" x14ac:dyDescent="0.3">
      <c r="B34" s="262" t="s">
        <v>172</v>
      </c>
      <c r="C34" s="227">
        <f>C32/SQRT(C33)</f>
        <v>0.35721142198983524</v>
      </c>
      <c r="D34" s="227">
        <f t="shared" ref="D34:L34" si="7">D32/SQRT(D33)</f>
        <v>0.35721142198983524</v>
      </c>
      <c r="E34" s="227">
        <f t="shared" si="7"/>
        <v>0.42622372841814804</v>
      </c>
      <c r="F34" s="227">
        <f t="shared" si="7"/>
        <v>0.42622372841814804</v>
      </c>
      <c r="G34" s="227">
        <f t="shared" si="7"/>
        <v>0.3227486121839514</v>
      </c>
      <c r="H34" s="227">
        <f t="shared" si="7"/>
        <v>0.3227486121839514</v>
      </c>
      <c r="I34" s="227">
        <f t="shared" si="7"/>
        <v>0.54999999999999538</v>
      </c>
      <c r="J34" s="227">
        <f t="shared" si="7"/>
        <v>0.54999999999999538</v>
      </c>
      <c r="K34" s="227">
        <f t="shared" si="7"/>
        <v>0.30331501776206182</v>
      </c>
      <c r="L34" s="227">
        <f t="shared" si="7"/>
        <v>0.30331501776206182</v>
      </c>
    </row>
    <row r="35" spans="2:12" x14ac:dyDescent="0.2">
      <c r="B35" s="81"/>
      <c r="C35" s="87"/>
      <c r="D35" s="5"/>
      <c r="E35" s="87"/>
      <c r="F35" s="5"/>
      <c r="G35" s="87"/>
      <c r="H35" s="5"/>
      <c r="I35" s="87"/>
      <c r="J35" s="5"/>
      <c r="K35" s="5"/>
      <c r="L35" s="87"/>
    </row>
    <row r="36" spans="2:12" ht="16" thickBot="1" x14ac:dyDescent="0.25">
      <c r="B36" s="78" t="s">
        <v>89</v>
      </c>
    </row>
    <row r="37" spans="2:12" ht="33" thickBot="1" x14ac:dyDescent="0.25">
      <c r="B37" s="109" t="s">
        <v>4</v>
      </c>
      <c r="C37" s="110" t="s">
        <v>5</v>
      </c>
      <c r="D37" s="111"/>
      <c r="E37" s="112" t="s">
        <v>6</v>
      </c>
      <c r="F37" s="112"/>
      <c r="G37" s="110" t="s">
        <v>74</v>
      </c>
      <c r="H37" s="111"/>
      <c r="I37" s="112" t="s">
        <v>21</v>
      </c>
      <c r="J37" s="112"/>
      <c r="K37" s="113" t="s">
        <v>75</v>
      </c>
      <c r="L37" s="111"/>
    </row>
    <row r="38" spans="2:12" ht="49" thickBot="1" x14ac:dyDescent="0.25">
      <c r="B38" s="114"/>
      <c r="C38" s="125" t="s">
        <v>87</v>
      </c>
      <c r="D38" s="115" t="s">
        <v>92</v>
      </c>
      <c r="E38" s="84" t="s">
        <v>87</v>
      </c>
      <c r="F38" s="116" t="s">
        <v>92</v>
      </c>
      <c r="G38" s="125" t="s">
        <v>87</v>
      </c>
      <c r="H38" s="115" t="s">
        <v>92</v>
      </c>
      <c r="I38" s="84" t="s">
        <v>87</v>
      </c>
      <c r="J38" s="116" t="s">
        <v>92</v>
      </c>
      <c r="K38" s="113" t="s">
        <v>87</v>
      </c>
      <c r="L38" s="115" t="s">
        <v>92</v>
      </c>
    </row>
    <row r="39" spans="2:12" x14ac:dyDescent="0.2">
      <c r="B39" s="82">
        <v>1</v>
      </c>
      <c r="C39" s="68">
        <v>0</v>
      </c>
      <c r="D39" s="59">
        <f xml:space="preserve"> (C39*0.8) / (0.8)</f>
        <v>0</v>
      </c>
      <c r="E39">
        <v>3.9000000000000004</v>
      </c>
      <c r="F39" s="5">
        <f xml:space="preserve"> (E39*0.8) / (0.8)</f>
        <v>3.9000000000000004</v>
      </c>
      <c r="G39" s="3">
        <v>4.5999999999999996</v>
      </c>
      <c r="H39" s="59">
        <f xml:space="preserve"> (G39*0.8) / (0.8)</f>
        <v>4.5999999999999996</v>
      </c>
      <c r="I39">
        <v>1.3999999999999986</v>
      </c>
      <c r="J39" s="5">
        <f xml:space="preserve"> (I39*0.8) / (0.8)</f>
        <v>1.3999999999999986</v>
      </c>
      <c r="K39" s="3">
        <v>9.9999999999999645E-2</v>
      </c>
      <c r="L39" s="59">
        <f xml:space="preserve"> (K39*0.8) / (0.8)</f>
        <v>9.9999999999999645E-2</v>
      </c>
    </row>
    <row r="40" spans="2:12" x14ac:dyDescent="0.2">
      <c r="B40" s="82">
        <v>2</v>
      </c>
      <c r="C40" s="68">
        <v>0</v>
      </c>
      <c r="D40" s="59">
        <f t="shared" ref="D40:F43" si="8" xml:space="preserve"> (C40*0.8) / (0.8)</f>
        <v>0</v>
      </c>
      <c r="E40">
        <v>4.1000000000000014</v>
      </c>
      <c r="F40" s="5">
        <f t="shared" si="8"/>
        <v>4.1000000000000014</v>
      </c>
      <c r="G40" s="3">
        <v>2.5</v>
      </c>
      <c r="H40" s="59">
        <f xml:space="preserve"> (G40*0.8) / (0.8)</f>
        <v>2.5</v>
      </c>
      <c r="I40">
        <v>0.90000000000000036</v>
      </c>
      <c r="J40" s="5">
        <f xml:space="preserve"> (I40*0.8) / (0.8)</f>
        <v>0.90000000000000036</v>
      </c>
      <c r="K40" s="3">
        <v>0.69999999999999574</v>
      </c>
      <c r="L40" s="59">
        <f xml:space="preserve"> (K40*0.8) / (0.8)</f>
        <v>0.69999999999999574</v>
      </c>
    </row>
    <row r="41" spans="2:12" x14ac:dyDescent="0.2">
      <c r="B41" s="82">
        <v>3</v>
      </c>
      <c r="C41" s="68">
        <v>0.30000000000000071</v>
      </c>
      <c r="D41" s="59">
        <f t="shared" si="8"/>
        <v>0.30000000000000071</v>
      </c>
      <c r="E41">
        <v>3.5</v>
      </c>
      <c r="F41" s="5">
        <f t="shared" si="8"/>
        <v>3.5</v>
      </c>
      <c r="G41" s="3">
        <v>4.2000000000000011</v>
      </c>
      <c r="H41" s="59">
        <f xml:space="preserve"> (G41*0.8) / (0.8)</f>
        <v>4.2000000000000011</v>
      </c>
      <c r="J41" s="5"/>
      <c r="K41" s="3">
        <v>0</v>
      </c>
      <c r="L41" s="59">
        <f xml:space="preserve"> (K41*0.8) / (0.8)</f>
        <v>0</v>
      </c>
    </row>
    <row r="42" spans="2:12" x14ac:dyDescent="0.2">
      <c r="B42" s="82">
        <v>4</v>
      </c>
      <c r="C42" s="68">
        <v>0</v>
      </c>
      <c r="D42" s="59">
        <f t="shared" si="8"/>
        <v>0</v>
      </c>
      <c r="E42">
        <v>6</v>
      </c>
      <c r="F42" s="5">
        <f t="shared" si="8"/>
        <v>6.0000000000000009</v>
      </c>
      <c r="G42" s="3">
        <v>3.5</v>
      </c>
      <c r="H42" s="59">
        <f xml:space="preserve"> (G42*0.8) / (0.8)</f>
        <v>3.5</v>
      </c>
      <c r="J42" s="5"/>
      <c r="K42" s="3">
        <v>1.5</v>
      </c>
      <c r="L42" s="59">
        <f xml:space="preserve"> (K42*0.8) / (0.8)</f>
        <v>1.5000000000000002</v>
      </c>
    </row>
    <row r="43" spans="2:12" ht="16" thickBot="1" x14ac:dyDescent="0.25">
      <c r="B43" s="83">
        <v>5</v>
      </c>
      <c r="C43" s="69">
        <v>1.6000000000000014</v>
      </c>
      <c r="D43" s="22">
        <f t="shared" si="8"/>
        <v>1.6000000000000014</v>
      </c>
      <c r="E43" s="7">
        <v>0</v>
      </c>
      <c r="F43" s="21">
        <f t="shared" si="8"/>
        <v>0</v>
      </c>
      <c r="G43" s="6">
        <v>0</v>
      </c>
      <c r="H43" s="22">
        <f xml:space="preserve"> (G43*0.8) / (0.8)</f>
        <v>0</v>
      </c>
      <c r="I43" s="7"/>
      <c r="J43" s="21"/>
      <c r="K43" s="6">
        <v>0</v>
      </c>
      <c r="L43" s="22">
        <f xml:space="preserve"> (K43*0.8) / (0.8)</f>
        <v>0</v>
      </c>
    </row>
    <row r="44" spans="2:12" ht="16" x14ac:dyDescent="0.25">
      <c r="B44" s="261" t="s">
        <v>168</v>
      </c>
      <c r="C44" s="264">
        <f>AVERAGE(C39:C43)</f>
        <v>0.38000000000000045</v>
      </c>
      <c r="D44" s="264">
        <f t="shared" ref="D44:L44" si="9">AVERAGE(D39:D43)</f>
        <v>0.38000000000000045</v>
      </c>
      <c r="E44" s="264">
        <f t="shared" si="9"/>
        <v>3.5</v>
      </c>
      <c r="F44" s="264">
        <f t="shared" si="9"/>
        <v>3.5000000000000009</v>
      </c>
      <c r="G44" s="264">
        <f t="shared" si="9"/>
        <v>2.96</v>
      </c>
      <c r="H44" s="264">
        <f t="shared" si="9"/>
        <v>2.96</v>
      </c>
      <c r="I44" s="264">
        <f t="shared" si="9"/>
        <v>1.1499999999999995</v>
      </c>
      <c r="J44" s="264">
        <f t="shared" si="9"/>
        <v>1.1499999999999995</v>
      </c>
      <c r="K44" s="264">
        <f t="shared" si="9"/>
        <v>0.45999999999999908</v>
      </c>
      <c r="L44" s="264">
        <f t="shared" si="9"/>
        <v>0.45999999999999908</v>
      </c>
    </row>
    <row r="45" spans="2:12" ht="16" x14ac:dyDescent="0.25">
      <c r="B45" s="268" t="s">
        <v>169</v>
      </c>
      <c r="C45" s="269">
        <f>_xlfn.STDEV.S(C39:C43)</f>
        <v>0.69426219830839186</v>
      </c>
      <c r="D45" s="269">
        <f t="shared" ref="D45:L45" si="10">_xlfn.STDEV.S(D39:D43)</f>
        <v>0.69426219830839186</v>
      </c>
      <c r="E45" s="269">
        <f t="shared" si="10"/>
        <v>2.1805962487356529</v>
      </c>
      <c r="F45" s="269">
        <f t="shared" si="10"/>
        <v>2.1805962487356534</v>
      </c>
      <c r="G45" s="269">
        <f t="shared" si="10"/>
        <v>1.8365728953678913</v>
      </c>
      <c r="H45" s="269">
        <f t="shared" si="10"/>
        <v>1.8365728953678913</v>
      </c>
      <c r="I45" s="269">
        <f t="shared" si="10"/>
        <v>0.35355339059327251</v>
      </c>
      <c r="J45" s="269">
        <f t="shared" si="10"/>
        <v>0.35355339059327251</v>
      </c>
      <c r="K45" s="269">
        <f t="shared" si="10"/>
        <v>0.65038450166036355</v>
      </c>
      <c r="L45" s="269">
        <f t="shared" si="10"/>
        <v>0.65038450166036377</v>
      </c>
    </row>
    <row r="46" spans="2:12" ht="16" x14ac:dyDescent="0.25">
      <c r="B46" s="268" t="s">
        <v>171</v>
      </c>
      <c r="C46" s="269">
        <f>COUNT(C39:C43)</f>
        <v>5</v>
      </c>
      <c r="D46" s="269">
        <f t="shared" ref="D46:L46" si="11">COUNT(D39:D43)</f>
        <v>5</v>
      </c>
      <c r="E46" s="269">
        <f t="shared" si="11"/>
        <v>5</v>
      </c>
      <c r="F46" s="269">
        <f t="shared" si="11"/>
        <v>5</v>
      </c>
      <c r="G46" s="269">
        <f t="shared" si="11"/>
        <v>5</v>
      </c>
      <c r="H46" s="269">
        <f t="shared" si="11"/>
        <v>5</v>
      </c>
      <c r="I46" s="269">
        <f>COUNT(I39:I43)</f>
        <v>2</v>
      </c>
      <c r="J46" s="269">
        <f t="shared" si="11"/>
        <v>2</v>
      </c>
      <c r="K46" s="269">
        <f t="shared" si="11"/>
        <v>5</v>
      </c>
      <c r="L46" s="269">
        <f t="shared" si="11"/>
        <v>5</v>
      </c>
    </row>
    <row r="47" spans="2:12" ht="17" thickBot="1" x14ac:dyDescent="0.3">
      <c r="B47" s="262" t="s">
        <v>172</v>
      </c>
      <c r="C47" s="227">
        <f>C45/SQRT(C46)</f>
        <v>0.31048349392520075</v>
      </c>
      <c r="D47" s="227">
        <f t="shared" ref="D47:L47" si="12">D45/SQRT(D46)</f>
        <v>0.31048349392520075</v>
      </c>
      <c r="E47" s="227">
        <f t="shared" si="12"/>
        <v>0.97519228873079189</v>
      </c>
      <c r="F47" s="227">
        <f t="shared" si="12"/>
        <v>0.97519228873079211</v>
      </c>
      <c r="G47" s="227">
        <f t="shared" si="12"/>
        <v>0.82134036793524268</v>
      </c>
      <c r="H47" s="227">
        <f t="shared" si="12"/>
        <v>0.82134036793524268</v>
      </c>
      <c r="I47" s="227">
        <f t="shared" si="12"/>
        <v>0.24999999999999908</v>
      </c>
      <c r="J47" s="227">
        <f t="shared" si="12"/>
        <v>0.24999999999999908</v>
      </c>
      <c r="K47" s="227">
        <f t="shared" si="12"/>
        <v>0.29086079144497951</v>
      </c>
      <c r="L47" s="227">
        <f t="shared" si="12"/>
        <v>0.29086079144497962</v>
      </c>
    </row>
    <row r="49" spans="1:7" ht="16" thickBot="1" x14ac:dyDescent="0.25">
      <c r="B49" t="s">
        <v>90</v>
      </c>
    </row>
    <row r="50" spans="1:7" ht="16" thickBot="1" x14ac:dyDescent="0.25">
      <c r="B50" s="93" t="s">
        <v>4</v>
      </c>
      <c r="C50" s="66" t="s">
        <v>5</v>
      </c>
      <c r="D50" s="67" t="s">
        <v>6</v>
      </c>
      <c r="E50" s="66" t="s">
        <v>74</v>
      </c>
      <c r="F50" s="67" t="s">
        <v>21</v>
      </c>
      <c r="G50" s="66" t="s">
        <v>75</v>
      </c>
    </row>
    <row r="51" spans="1:7" x14ac:dyDescent="0.2">
      <c r="B51" s="64">
        <v>1</v>
      </c>
      <c r="C51" s="128">
        <f>C25-C39</f>
        <v>1.8000000000000007</v>
      </c>
      <c r="D51" s="91">
        <f>D25-D39</f>
        <v>1.8000000000000007</v>
      </c>
      <c r="E51" s="128">
        <f>E25-E39</f>
        <v>4.5999999999999996</v>
      </c>
      <c r="F51" s="91">
        <f>F25-F39</f>
        <v>4.5999999999999996</v>
      </c>
      <c r="G51" s="128">
        <f>G25-G39</f>
        <v>1.1999999999999993</v>
      </c>
    </row>
    <row r="52" spans="1:7" x14ac:dyDescent="0.2">
      <c r="B52" s="64">
        <v>2</v>
      </c>
      <c r="C52" s="128">
        <f>C26-C40</f>
        <v>2</v>
      </c>
      <c r="D52" s="91">
        <f>D26-D40</f>
        <v>2</v>
      </c>
      <c r="E52" s="128">
        <f>E26-E40</f>
        <v>2.6999999999999984</v>
      </c>
      <c r="F52" s="91">
        <f>F26-F40</f>
        <v>2.6999999999999984</v>
      </c>
      <c r="G52" s="128">
        <f>G26-G40</f>
        <v>3.1999999999999993</v>
      </c>
    </row>
    <row r="53" spans="1:7" x14ac:dyDescent="0.2">
      <c r="B53" s="64">
        <v>3</v>
      </c>
      <c r="C53" s="128">
        <f>C27-C41</f>
        <v>2.0999999999999979</v>
      </c>
      <c r="D53" s="91">
        <f>D27-D41</f>
        <v>2.0999999999999979</v>
      </c>
      <c r="E53" s="128">
        <f>E27-E41</f>
        <v>3.0999999999999996</v>
      </c>
      <c r="F53" s="91">
        <f>F27-F41</f>
        <v>3.0999999999999996</v>
      </c>
      <c r="G53" s="128">
        <f>G27-G41</f>
        <v>0.19999999999999751</v>
      </c>
    </row>
    <row r="54" spans="1:7" x14ac:dyDescent="0.2">
      <c r="B54" s="64">
        <v>4</v>
      </c>
      <c r="C54" s="128">
        <f>C28-C42</f>
        <v>3.7</v>
      </c>
      <c r="D54" s="91">
        <f>D28-D42</f>
        <v>3.7</v>
      </c>
      <c r="E54" s="128">
        <f>E28-E42</f>
        <v>1.3000000000000007</v>
      </c>
      <c r="F54" s="91">
        <f>F28-F42</f>
        <v>1.2999999999999998</v>
      </c>
      <c r="G54" s="128">
        <f>G28-G42</f>
        <v>2.0000000000000018</v>
      </c>
    </row>
    <row r="55" spans="1:7" ht="16" thickBot="1" x14ac:dyDescent="0.25">
      <c r="B55" s="65">
        <v>5</v>
      </c>
      <c r="C55" s="129">
        <f>C29-C43</f>
        <v>0.19999999999999929</v>
      </c>
      <c r="D55" s="92">
        <f>D29-D43</f>
        <v>0.19999999999999929</v>
      </c>
      <c r="E55" s="129">
        <f>E29-E43</f>
        <v>0</v>
      </c>
      <c r="F55" s="92">
        <f>F29-F43</f>
        <v>0</v>
      </c>
      <c r="G55" s="129">
        <f>G29-G43</f>
        <v>0</v>
      </c>
    </row>
    <row r="56" spans="1:7" ht="16" x14ac:dyDescent="0.25">
      <c r="B56" s="261" t="s">
        <v>168</v>
      </c>
      <c r="C56" s="264">
        <f>AVERAGE(C51:C55)</f>
        <v>1.9599999999999995</v>
      </c>
      <c r="D56" s="264">
        <f>AVERAGE(D51:D55)</f>
        <v>1.9599999999999995</v>
      </c>
      <c r="E56" s="264">
        <f>AVERAGE(E51:E55)</f>
        <v>2.34</v>
      </c>
      <c r="F56" s="264">
        <f>AVERAGE(F51:F55)</f>
        <v>2.34</v>
      </c>
      <c r="G56" s="264">
        <f>AVERAGE(G51:G55)</f>
        <v>1.3199999999999996</v>
      </c>
    </row>
    <row r="57" spans="1:7" ht="16" x14ac:dyDescent="0.25">
      <c r="B57" s="268" t="s">
        <v>169</v>
      </c>
      <c r="C57" s="269">
        <f>_xlfn.STDEV.S(C51:C55)</f>
        <v>1.2421755109484331</v>
      </c>
      <c r="D57" s="269">
        <f>_xlfn.STDEV.S(D51:D55)</f>
        <v>1.2421755109484331</v>
      </c>
      <c r="E57" s="269">
        <f>_xlfn.STDEV.S(E51:E55)</f>
        <v>1.7586926962946081</v>
      </c>
      <c r="F57" s="269">
        <f>_xlfn.STDEV.S(F51:F55)</f>
        <v>1.7586926962946077</v>
      </c>
      <c r="G57" s="269">
        <f>_xlfn.STDEV.S(G51:G55)</f>
        <v>1.3236313686219443</v>
      </c>
    </row>
    <row r="58" spans="1:7" ht="16" x14ac:dyDescent="0.25">
      <c r="B58" s="268" t="s">
        <v>171</v>
      </c>
      <c r="C58" s="269">
        <f>COUNT(C51:C55)</f>
        <v>5</v>
      </c>
      <c r="D58" s="269">
        <f>COUNT(D51:D55)</f>
        <v>5</v>
      </c>
      <c r="E58" s="269">
        <f>COUNT(E51:E55)</f>
        <v>5</v>
      </c>
      <c r="F58" s="269">
        <f>COUNT(F51:F55)</f>
        <v>5</v>
      </c>
      <c r="G58" s="269">
        <f>COUNT(G51:G55)</f>
        <v>5</v>
      </c>
    </row>
    <row r="59" spans="1:7" ht="17" thickBot="1" x14ac:dyDescent="0.3">
      <c r="B59" s="262" t="s">
        <v>172</v>
      </c>
      <c r="C59" s="227">
        <f>C57/SQRT(C58)</f>
        <v>0.55551777649324618</v>
      </c>
      <c r="D59" s="227">
        <f>D57/SQRT(D58)</f>
        <v>0.55551777649324618</v>
      </c>
      <c r="E59" s="227">
        <f>E57/SQRT(E58)</f>
        <v>0.78651128408942717</v>
      </c>
      <c r="F59" s="227">
        <f>F57/SQRT(F58)</f>
        <v>0.78651128408942705</v>
      </c>
      <c r="G59" s="227">
        <f>G57/SQRT(G58)</f>
        <v>0.59194594347794993</v>
      </c>
    </row>
    <row r="62" spans="1:7" x14ac:dyDescent="0.2">
      <c r="A62" s="1" t="s">
        <v>9</v>
      </c>
    </row>
    <row r="63" spans="1:7" x14ac:dyDescent="0.2">
      <c r="A63" s="1"/>
      <c r="B63" s="1"/>
    </row>
    <row r="64" spans="1:7" ht="18" thickBot="1" x14ac:dyDescent="0.25">
      <c r="B64" t="s">
        <v>26</v>
      </c>
    </row>
    <row r="65" spans="1:7" ht="33" thickBot="1" x14ac:dyDescent="0.25">
      <c r="B65" s="44" t="s">
        <v>4</v>
      </c>
      <c r="C65" s="33" t="s">
        <v>5</v>
      </c>
      <c r="D65" s="33" t="s">
        <v>6</v>
      </c>
      <c r="E65" s="33" t="s">
        <v>74</v>
      </c>
      <c r="F65" s="33" t="s">
        <v>21</v>
      </c>
      <c r="G65" s="20" t="s">
        <v>75</v>
      </c>
    </row>
    <row r="66" spans="1:7" x14ac:dyDescent="0.2">
      <c r="B66" s="32">
        <v>1</v>
      </c>
      <c r="C66" s="34">
        <v>21.69</v>
      </c>
      <c r="D66" s="34">
        <v>8.6690000000000005</v>
      </c>
      <c r="E66" s="34">
        <v>12.88</v>
      </c>
      <c r="F66" s="34">
        <v>22.32</v>
      </c>
      <c r="G66" s="35">
        <v>15.26</v>
      </c>
    </row>
    <row r="67" spans="1:7" x14ac:dyDescent="0.2">
      <c r="B67" s="18">
        <v>2</v>
      </c>
      <c r="C67" s="30">
        <v>24.42</v>
      </c>
      <c r="D67" s="30">
        <v>13.35</v>
      </c>
      <c r="E67" s="30">
        <v>12.76</v>
      </c>
      <c r="F67" s="30">
        <v>20.69</v>
      </c>
      <c r="G67" s="25">
        <v>13.97</v>
      </c>
    </row>
    <row r="68" spans="1:7" x14ac:dyDescent="0.2">
      <c r="B68" s="18">
        <v>3</v>
      </c>
      <c r="C68" s="30">
        <v>26.07</v>
      </c>
      <c r="D68" s="30">
        <v>13.71</v>
      </c>
      <c r="E68" s="30">
        <v>18.760000000000002</v>
      </c>
      <c r="F68" s="30"/>
      <c r="G68" s="25">
        <v>16</v>
      </c>
    </row>
    <row r="69" spans="1:7" x14ac:dyDescent="0.2">
      <c r="B69" s="18">
        <v>4</v>
      </c>
      <c r="C69" s="30">
        <v>24.62</v>
      </c>
      <c r="D69" s="30">
        <v>15.3</v>
      </c>
      <c r="E69" s="30">
        <v>20.68</v>
      </c>
      <c r="F69" s="30"/>
      <c r="G69" s="25">
        <v>16.39</v>
      </c>
    </row>
    <row r="70" spans="1:7" ht="16" thickBot="1" x14ac:dyDescent="0.25">
      <c r="B70" s="18">
        <v>5</v>
      </c>
      <c r="C70" s="30">
        <v>22.87</v>
      </c>
      <c r="D70" s="30"/>
      <c r="E70" s="30"/>
      <c r="F70" s="30"/>
      <c r="G70" s="25"/>
    </row>
    <row r="71" spans="1:7" ht="16" x14ac:dyDescent="0.25">
      <c r="B71" s="261" t="s">
        <v>168</v>
      </c>
      <c r="C71" s="264">
        <f>AVERAGE(C66:C70)</f>
        <v>23.934000000000005</v>
      </c>
      <c r="D71" s="264">
        <f>AVERAGE(D66:D70)</f>
        <v>12.757249999999999</v>
      </c>
      <c r="E71" s="264">
        <f>AVERAGE(E66:E70)</f>
        <v>16.270000000000003</v>
      </c>
      <c r="F71" s="264">
        <f>AVERAGE(F66:F70)</f>
        <v>21.505000000000003</v>
      </c>
      <c r="G71" s="264">
        <f>AVERAGE(G66:G70)</f>
        <v>15.405000000000001</v>
      </c>
    </row>
    <row r="72" spans="1:7" ht="16" x14ac:dyDescent="0.25">
      <c r="B72" s="268" t="s">
        <v>169</v>
      </c>
      <c r="C72" s="269">
        <f>_xlfn.STDEV.S(C66:C70)</f>
        <v>1.6909257819313062</v>
      </c>
      <c r="D72" s="269">
        <f>_xlfn.STDEV.S(D66:D70)</f>
        <v>2.8541461507778543</v>
      </c>
      <c r="E72" s="269">
        <f>_xlfn.STDEV.S(E66:E70)</f>
        <v>4.0603940695454463</v>
      </c>
      <c r="F72" s="269">
        <f>_xlfn.STDEV.S(F66:F70)</f>
        <v>1.1525840533340717</v>
      </c>
      <c r="G72" s="269">
        <f>_xlfn.STDEV.S(G66:G70)</f>
        <v>1.0652855642189718</v>
      </c>
    </row>
    <row r="73" spans="1:7" ht="16" x14ac:dyDescent="0.25">
      <c r="B73" s="268" t="s">
        <v>171</v>
      </c>
      <c r="C73" s="269">
        <f>COUNT(C66:C70)</f>
        <v>5</v>
      </c>
      <c r="D73" s="269">
        <f>COUNT(D66:D70)</f>
        <v>4</v>
      </c>
      <c r="E73" s="269">
        <f>COUNT(E66:E70)</f>
        <v>4</v>
      </c>
      <c r="F73" s="269">
        <f>COUNT(F66:F70)</f>
        <v>2</v>
      </c>
      <c r="G73" s="269">
        <f>COUNT(G66:G70)</f>
        <v>4</v>
      </c>
    </row>
    <row r="74" spans="1:7" ht="17" thickBot="1" x14ac:dyDescent="0.3">
      <c r="B74" s="262" t="s">
        <v>172</v>
      </c>
      <c r="C74" s="227">
        <f>C72/SQRT(C73)</f>
        <v>0.75620499866107715</v>
      </c>
      <c r="D74" s="227">
        <f>D72/SQRT(D73)</f>
        <v>1.4270730753889271</v>
      </c>
      <c r="E74" s="227">
        <f>E72/SQRT(E73)</f>
        <v>2.0301970347727232</v>
      </c>
      <c r="F74" s="227">
        <f>F72/SQRT(F73)</f>
        <v>0.81499999999999939</v>
      </c>
      <c r="G74" s="227">
        <f>G72/SQRT(G73)</f>
        <v>0.5326427821094859</v>
      </c>
    </row>
    <row r="76" spans="1:7" x14ac:dyDescent="0.2">
      <c r="A76" s="1" t="s">
        <v>24</v>
      </c>
    </row>
    <row r="77" spans="1:7" ht="18" thickBot="1" x14ac:dyDescent="0.25">
      <c r="B77" t="s">
        <v>27</v>
      </c>
      <c r="E77" s="9"/>
      <c r="F77" s="9"/>
      <c r="G77" s="9"/>
    </row>
    <row r="78" spans="1:7" ht="33" thickBot="1" x14ac:dyDescent="0.25">
      <c r="B78" s="44" t="s">
        <v>4</v>
      </c>
      <c r="C78" s="33" t="s">
        <v>5</v>
      </c>
      <c r="D78" s="33" t="s">
        <v>6</v>
      </c>
      <c r="E78" s="33" t="s">
        <v>74</v>
      </c>
      <c r="F78" s="33" t="s">
        <v>21</v>
      </c>
      <c r="G78" s="20" t="s">
        <v>75</v>
      </c>
    </row>
    <row r="79" spans="1:7" x14ac:dyDescent="0.2">
      <c r="B79" s="32">
        <v>1</v>
      </c>
      <c r="C79" s="36">
        <v>0.98429999999999995</v>
      </c>
      <c r="D79" s="36">
        <v>0.41849999999999998</v>
      </c>
      <c r="E79" s="36">
        <v>0.56210000000000004</v>
      </c>
      <c r="F79" s="36">
        <v>0.84340000000000004</v>
      </c>
      <c r="G79" s="37">
        <v>0.79049999999999998</v>
      </c>
    </row>
    <row r="80" spans="1:7" x14ac:dyDescent="0.2">
      <c r="B80" s="18">
        <v>2</v>
      </c>
      <c r="C80" s="31">
        <v>0.61890000000000001</v>
      </c>
      <c r="D80" s="31">
        <v>0.37030000000000002</v>
      </c>
      <c r="E80" s="31">
        <v>0.56069999999999998</v>
      </c>
      <c r="F80" s="31">
        <v>0.7651</v>
      </c>
      <c r="G80" s="40">
        <v>0.77070000000000005</v>
      </c>
    </row>
    <row r="81" spans="1:14" x14ac:dyDescent="0.2">
      <c r="B81" s="18">
        <v>3</v>
      </c>
      <c r="C81" s="31">
        <v>0.62</v>
      </c>
      <c r="D81" s="31">
        <v>0.3745</v>
      </c>
      <c r="E81" s="31">
        <v>0.5534</v>
      </c>
      <c r="F81" s="31"/>
      <c r="G81" s="40">
        <v>0.75539999999999996</v>
      </c>
    </row>
    <row r="82" spans="1:14" x14ac:dyDescent="0.2">
      <c r="B82" s="18">
        <v>4</v>
      </c>
      <c r="C82" s="31">
        <v>0.60619999999999996</v>
      </c>
      <c r="D82" s="31">
        <v>0.36570000000000003</v>
      </c>
      <c r="E82" s="31">
        <v>0.51580000000000004</v>
      </c>
      <c r="F82" s="31"/>
      <c r="G82" s="40">
        <v>0.73460000000000003</v>
      </c>
    </row>
    <row r="83" spans="1:14" ht="16" thickBot="1" x14ac:dyDescent="0.25">
      <c r="B83" s="18">
        <v>5</v>
      </c>
      <c r="C83" s="31">
        <v>0.66049999999999998</v>
      </c>
      <c r="D83" s="31"/>
      <c r="E83" s="31"/>
      <c r="F83" s="31"/>
      <c r="G83" s="40"/>
    </row>
    <row r="84" spans="1:14" ht="16" x14ac:dyDescent="0.25">
      <c r="B84" s="261" t="s">
        <v>168</v>
      </c>
      <c r="C84" s="264">
        <f>AVERAGE(C79:C83)</f>
        <v>0.69797999999999993</v>
      </c>
      <c r="D84" s="264">
        <f>AVERAGE(D79:D83)</f>
        <v>0.38224999999999998</v>
      </c>
      <c r="E84" s="264">
        <f>AVERAGE(E79:E83)</f>
        <v>0.54800000000000004</v>
      </c>
      <c r="F84" s="264">
        <f>AVERAGE(F79:F83)</f>
        <v>0.80425000000000002</v>
      </c>
      <c r="G84" s="264">
        <f>AVERAGE(G79:G83)</f>
        <v>0.76279999999999992</v>
      </c>
    </row>
    <row r="85" spans="1:14" ht="16" x14ac:dyDescent="0.25">
      <c r="B85" s="268" t="s">
        <v>169</v>
      </c>
      <c r="C85" s="269">
        <f>_xlfn.STDEV.S(C79:C83)</f>
        <v>0.16135518894662196</v>
      </c>
      <c r="D85" s="269">
        <f>_xlfn.STDEV.S(D79:D83)</f>
        <v>2.4432423812084887E-2</v>
      </c>
      <c r="E85" s="269">
        <f>_xlfn.STDEV.S(E79:E83)</f>
        <v>2.1802905005220429E-2</v>
      </c>
      <c r="F85" s="269">
        <f>_xlfn.STDEV.S(F79:F83)</f>
        <v>5.53664609669067E-2</v>
      </c>
      <c r="G85" s="269">
        <f>_xlfn.STDEV.S(G79:G83)</f>
        <v>2.3662206152427961E-2</v>
      </c>
    </row>
    <row r="86" spans="1:14" ht="16" x14ac:dyDescent="0.25">
      <c r="B86" s="268" t="s">
        <v>171</v>
      </c>
      <c r="C86" s="269">
        <f>COUNT(C79:C83)</f>
        <v>5</v>
      </c>
      <c r="D86" s="269">
        <f>COUNT(D79:D83)</f>
        <v>4</v>
      </c>
      <c r="E86" s="269">
        <f>COUNT(E79:E83)</f>
        <v>4</v>
      </c>
      <c r="F86" s="269">
        <f>COUNT(F79:F83)</f>
        <v>2</v>
      </c>
      <c r="G86" s="269">
        <f>COUNT(G79:G83)</f>
        <v>4</v>
      </c>
    </row>
    <row r="87" spans="1:14" ht="17" thickBot="1" x14ac:dyDescent="0.3">
      <c r="B87" s="262" t="s">
        <v>172</v>
      </c>
      <c r="C87" s="227">
        <f>C85/SQRT(C86)</f>
        <v>7.2160234201393877E-2</v>
      </c>
      <c r="D87" s="227">
        <f>D85/SQRT(D86)</f>
        <v>1.2216211906042444E-2</v>
      </c>
      <c r="E87" s="227">
        <f>E85/SQRT(E86)</f>
        <v>1.0901452502610215E-2</v>
      </c>
      <c r="F87" s="227">
        <f>F85/SQRT(F86)</f>
        <v>3.9150000000000018E-2</v>
      </c>
      <c r="G87" s="227">
        <f>G85/SQRT(G86)</f>
        <v>1.183110307621398E-2</v>
      </c>
    </row>
    <row r="90" spans="1:14" x14ac:dyDescent="0.2">
      <c r="A90" s="1" t="s">
        <v>25</v>
      </c>
    </row>
    <row r="91" spans="1:14" ht="18" thickBot="1" x14ac:dyDescent="0.25">
      <c r="B91" t="s">
        <v>11</v>
      </c>
      <c r="I91" t="s">
        <v>32</v>
      </c>
    </row>
    <row r="92" spans="1:14" ht="33" thickBot="1" x14ac:dyDescent="0.25">
      <c r="B92" s="44" t="s">
        <v>4</v>
      </c>
      <c r="C92" s="33" t="s">
        <v>5</v>
      </c>
      <c r="D92" s="33" t="s">
        <v>6</v>
      </c>
      <c r="E92" s="33" t="s">
        <v>77</v>
      </c>
      <c r="F92" s="33" t="s">
        <v>21</v>
      </c>
      <c r="G92" s="20" t="s">
        <v>75</v>
      </c>
      <c r="I92" s="44" t="s">
        <v>4</v>
      </c>
      <c r="J92" s="33" t="s">
        <v>5</v>
      </c>
      <c r="K92" s="33" t="s">
        <v>6</v>
      </c>
      <c r="L92" s="33" t="s">
        <v>77</v>
      </c>
      <c r="M92" s="33" t="s">
        <v>21</v>
      </c>
      <c r="N92" s="20" t="s">
        <v>75</v>
      </c>
    </row>
    <row r="93" spans="1:14" x14ac:dyDescent="0.2">
      <c r="B93" s="32">
        <v>1</v>
      </c>
      <c r="C93" s="36">
        <v>8.14</v>
      </c>
      <c r="D93" s="36">
        <v>7.92</v>
      </c>
      <c r="E93" s="36">
        <v>7.73</v>
      </c>
      <c r="F93" s="36">
        <v>6.9</v>
      </c>
      <c r="G93" s="37">
        <v>7.95</v>
      </c>
      <c r="I93" s="32">
        <v>1</v>
      </c>
      <c r="J93" s="45">
        <v>1381</v>
      </c>
      <c r="K93" s="45">
        <v>974</v>
      </c>
      <c r="L93" s="45">
        <v>1661</v>
      </c>
      <c r="M93" s="45">
        <v>2310</v>
      </c>
      <c r="N93" s="46">
        <v>1947</v>
      </c>
    </row>
    <row r="94" spans="1:14" x14ac:dyDescent="0.2">
      <c r="B94" s="18">
        <v>2</v>
      </c>
      <c r="C94" s="31">
        <v>8.2100000000000009</v>
      </c>
      <c r="D94" s="31">
        <v>7.88</v>
      </c>
      <c r="E94" s="31">
        <v>7.65</v>
      </c>
      <c r="F94" s="31">
        <v>6.91</v>
      </c>
      <c r="G94" s="40">
        <v>8</v>
      </c>
      <c r="I94" s="18">
        <v>2</v>
      </c>
      <c r="J94" s="47">
        <v>1456</v>
      </c>
      <c r="K94" s="47">
        <v>1000</v>
      </c>
      <c r="L94" s="47">
        <v>1732</v>
      </c>
      <c r="M94" s="47">
        <v>2329.1</v>
      </c>
      <c r="N94" s="48">
        <v>1841</v>
      </c>
    </row>
    <row r="95" spans="1:14" x14ac:dyDescent="0.2">
      <c r="B95" s="18">
        <v>3</v>
      </c>
      <c r="C95" s="31">
        <v>8.23</v>
      </c>
      <c r="D95" s="31">
        <v>7.81</v>
      </c>
      <c r="E95" s="31">
        <v>7.87</v>
      </c>
      <c r="F95" s="31"/>
      <c r="G95" s="40">
        <v>7.97</v>
      </c>
      <c r="I95" s="18">
        <v>3</v>
      </c>
      <c r="J95" s="47">
        <v>1462</v>
      </c>
      <c r="K95" s="47">
        <v>1052</v>
      </c>
      <c r="L95" s="47">
        <v>1733</v>
      </c>
      <c r="M95" s="47"/>
      <c r="N95" s="48">
        <v>1805</v>
      </c>
    </row>
    <row r="96" spans="1:14" x14ac:dyDescent="0.2">
      <c r="B96" s="18">
        <v>4</v>
      </c>
      <c r="C96" s="31">
        <v>8.1300000000000008</v>
      </c>
      <c r="D96" s="31">
        <v>7.92</v>
      </c>
      <c r="E96" s="31">
        <v>7.73</v>
      </c>
      <c r="F96" s="31"/>
      <c r="G96" s="40">
        <v>7.95</v>
      </c>
      <c r="I96" s="18">
        <v>4</v>
      </c>
      <c r="J96" s="47">
        <v>1490</v>
      </c>
      <c r="K96" s="47">
        <v>1050</v>
      </c>
      <c r="L96" s="47">
        <v>1750</v>
      </c>
      <c r="M96" s="47"/>
      <c r="N96" s="48">
        <v>1881</v>
      </c>
    </row>
    <row r="97" spans="1:14" x14ac:dyDescent="0.2">
      <c r="B97" s="18">
        <v>5</v>
      </c>
      <c r="C97" s="31">
        <v>8.16</v>
      </c>
      <c r="D97" s="31">
        <v>7.95</v>
      </c>
      <c r="E97" s="31">
        <v>7.83</v>
      </c>
      <c r="F97" s="31"/>
      <c r="G97" s="40">
        <v>7.9</v>
      </c>
      <c r="I97" s="18">
        <v>5</v>
      </c>
      <c r="J97" s="47">
        <v>1437</v>
      </c>
      <c r="K97" s="47">
        <v>1130</v>
      </c>
      <c r="L97" s="47">
        <v>1733</v>
      </c>
      <c r="M97" s="47"/>
      <c r="N97" s="48">
        <v>1986</v>
      </c>
    </row>
    <row r="98" spans="1:14" x14ac:dyDescent="0.2">
      <c r="B98" s="18">
        <v>6</v>
      </c>
      <c r="C98" s="31">
        <v>8.18</v>
      </c>
      <c r="D98" s="31">
        <v>7.92</v>
      </c>
      <c r="E98" s="31"/>
      <c r="F98" s="31"/>
      <c r="G98" s="40">
        <v>7.81</v>
      </c>
      <c r="I98" s="18">
        <v>6</v>
      </c>
      <c r="J98" s="47">
        <v>1542</v>
      </c>
      <c r="K98" s="47">
        <v>1028</v>
      </c>
      <c r="L98" s="47"/>
      <c r="M98" s="47"/>
      <c r="N98" s="48">
        <v>1812</v>
      </c>
    </row>
    <row r="99" spans="1:14" x14ac:dyDescent="0.2">
      <c r="B99" s="18">
        <v>7</v>
      </c>
      <c r="C99" s="31">
        <v>8.18</v>
      </c>
      <c r="D99" s="31">
        <v>7.84</v>
      </c>
      <c r="E99" s="31"/>
      <c r="F99" s="31"/>
      <c r="G99" s="40">
        <v>7.99</v>
      </c>
      <c r="I99" s="18">
        <v>7</v>
      </c>
      <c r="J99" s="47">
        <v>1552</v>
      </c>
      <c r="K99" s="47">
        <v>1006</v>
      </c>
      <c r="L99" s="47"/>
      <c r="M99" s="47"/>
      <c r="N99" s="48">
        <v>1895</v>
      </c>
    </row>
    <row r="100" spans="1:14" ht="16" thickBot="1" x14ac:dyDescent="0.25">
      <c r="B100" s="19">
        <v>8</v>
      </c>
      <c r="C100" s="26">
        <v>8.17</v>
      </c>
      <c r="D100" s="26">
        <v>7.95</v>
      </c>
      <c r="E100" s="26"/>
      <c r="F100" s="26"/>
      <c r="G100" s="27">
        <v>8.0299999999999994</v>
      </c>
      <c r="I100" s="19">
        <v>8</v>
      </c>
      <c r="J100" s="49">
        <v>1539</v>
      </c>
      <c r="K100" s="49">
        <v>1123</v>
      </c>
      <c r="L100" s="49"/>
      <c r="M100" s="49"/>
      <c r="N100" s="50">
        <v>2010</v>
      </c>
    </row>
    <row r="101" spans="1:14" ht="16" x14ac:dyDescent="0.25">
      <c r="B101" s="261" t="s">
        <v>168</v>
      </c>
      <c r="C101" s="264">
        <f>AVERAGE(C93:C100)</f>
        <v>8.1750000000000007</v>
      </c>
      <c r="D101" s="264">
        <f>AVERAGE(D93:D100)</f>
        <v>7.8987500000000015</v>
      </c>
      <c r="E101" s="264">
        <f>AVERAGE(E93:E100)</f>
        <v>7.7620000000000005</v>
      </c>
      <c r="F101" s="264">
        <f>AVERAGE(F93:F100)</f>
        <v>6.9050000000000002</v>
      </c>
      <c r="G101" s="264">
        <f>AVERAGE(G93:G100)</f>
        <v>7.95</v>
      </c>
      <c r="I101" s="261" t="s">
        <v>168</v>
      </c>
      <c r="J101" s="264">
        <f>AVERAGE(J93:J100)</f>
        <v>1482.375</v>
      </c>
      <c r="K101" s="264">
        <f>AVERAGE(K93:K100)</f>
        <v>1045.375</v>
      </c>
      <c r="L101" s="264">
        <f>AVERAGE(L93:L100)</f>
        <v>1721.8</v>
      </c>
      <c r="M101" s="264">
        <f>AVERAGE(M93:M100)</f>
        <v>2319.5500000000002</v>
      </c>
      <c r="N101" s="264">
        <f>AVERAGE(N93:N100)</f>
        <v>1897.125</v>
      </c>
    </row>
    <row r="102" spans="1:14" ht="16" x14ac:dyDescent="0.25">
      <c r="B102" s="268" t="s">
        <v>169</v>
      </c>
      <c r="C102" s="269">
        <f>_xlfn.STDEV.S(C93:C100)</f>
        <v>3.3380918415851182E-2</v>
      </c>
      <c r="D102" s="269">
        <f>_xlfn.STDEV.S(D93:D100)</f>
        <v>5.1112620750652343E-2</v>
      </c>
      <c r="E102" s="269">
        <f>_xlfn.STDEV.S(E93:E100)</f>
        <v>8.786353054595504E-2</v>
      </c>
      <c r="F102" s="269">
        <f>_xlfn.STDEV.S(F93:F94)</f>
        <v>7.0710678118653244E-3</v>
      </c>
      <c r="G102" s="269">
        <f>_xlfn.STDEV.S(G93:G100)</f>
        <v>6.86606562325595E-2</v>
      </c>
      <c r="I102" s="268" t="s">
        <v>169</v>
      </c>
      <c r="J102" s="269">
        <f>_xlfn.STDEV.S(J93:J100)</f>
        <v>59.897382485142273</v>
      </c>
      <c r="K102" s="269">
        <f>_xlfn.STDEV.S(K93:K100)</f>
        <v>56.388797012983247</v>
      </c>
      <c r="L102" s="269">
        <f>_xlfn.STDEV.S(L93:L100)</f>
        <v>34.809481466979655</v>
      </c>
      <c r="M102" s="269">
        <f>_xlfn.STDEV.S(M93:M100)</f>
        <v>13.505739520662994</v>
      </c>
      <c r="N102" s="269">
        <f>_xlfn.STDEV.S(N93:N100)</f>
        <v>77.712726481206772</v>
      </c>
    </row>
    <row r="103" spans="1:14" ht="16" x14ac:dyDescent="0.25">
      <c r="B103" s="268" t="s">
        <v>171</v>
      </c>
      <c r="C103" s="269">
        <f>COUNT(C93:C100)</f>
        <v>8</v>
      </c>
      <c r="D103" s="269">
        <f>COUNT(D93:D100)</f>
        <v>8</v>
      </c>
      <c r="E103" s="269">
        <f>COUNT(E93:E100)</f>
        <v>5</v>
      </c>
      <c r="F103" s="269">
        <f>COUNT(F93:F100)</f>
        <v>2</v>
      </c>
      <c r="G103" s="269">
        <f>COUNT(G93:G100)</f>
        <v>8</v>
      </c>
      <c r="I103" s="268" t="s">
        <v>171</v>
      </c>
      <c r="J103" s="269">
        <f>COUNT(J93:J100)</f>
        <v>8</v>
      </c>
      <c r="K103" s="269">
        <f>COUNT(K93:K100)</f>
        <v>8</v>
      </c>
      <c r="L103" s="269">
        <f>COUNT(L93:L100)</f>
        <v>5</v>
      </c>
      <c r="M103" s="269">
        <f>COUNT(M93:M100)</f>
        <v>2</v>
      </c>
      <c r="N103" s="269">
        <f>COUNT(N93:N100)</f>
        <v>8</v>
      </c>
    </row>
    <row r="104" spans="1:14" ht="17" thickBot="1" x14ac:dyDescent="0.3">
      <c r="B104" s="262" t="s">
        <v>172</v>
      </c>
      <c r="C104" s="227">
        <f>C102/SQRT(C103)</f>
        <v>1.1801936887041637E-2</v>
      </c>
      <c r="D104" s="227">
        <f>D102/SQRT(D103)</f>
        <v>1.8071040368501257E-2</v>
      </c>
      <c r="E104" s="227">
        <f>E102/SQRT(E103)</f>
        <v>3.9293765408776937E-2</v>
      </c>
      <c r="F104" s="227">
        <f>F102/SQRT(F103)</f>
        <v>4.9999999999998934E-3</v>
      </c>
      <c r="G104" s="227">
        <f>G102/SQRT(G103)</f>
        <v>2.4275207811380605E-2</v>
      </c>
      <c r="I104" s="262" t="s">
        <v>172</v>
      </c>
      <c r="J104" s="227">
        <f>J102/SQRT(J103)</f>
        <v>21.17692266528422</v>
      </c>
      <c r="K104" s="227">
        <f>K102/SQRT(K103)</f>
        <v>19.936450375416094</v>
      </c>
      <c r="L104" s="227">
        <f>L102/SQRT(L103)</f>
        <v>15.567273364337121</v>
      </c>
      <c r="M104" s="227">
        <f>M102/SQRT(M103)</f>
        <v>9.5499999999999545</v>
      </c>
      <c r="N104" s="227">
        <f>N102/SQRT(N103)</f>
        <v>27.475597939678345</v>
      </c>
    </row>
    <row r="107" spans="1:14" x14ac:dyDescent="0.2">
      <c r="A107" s="1" t="s">
        <v>12</v>
      </c>
    </row>
    <row r="108" spans="1:14" ht="16" thickBot="1" x14ac:dyDescent="0.25">
      <c r="B108" t="s">
        <v>13</v>
      </c>
    </row>
    <row r="109" spans="1:14" ht="33" thickBot="1" x14ac:dyDescent="0.3">
      <c r="B109" s="138" t="s">
        <v>4</v>
      </c>
      <c r="C109" s="139" t="s">
        <v>5</v>
      </c>
      <c r="D109" s="140"/>
      <c r="E109" s="141" t="s">
        <v>6</v>
      </c>
      <c r="F109" s="142"/>
      <c r="G109" s="143" t="s">
        <v>77</v>
      </c>
      <c r="H109" s="144"/>
      <c r="I109" s="141" t="s">
        <v>21</v>
      </c>
      <c r="J109" s="142"/>
      <c r="K109" s="143" t="s">
        <v>75</v>
      </c>
      <c r="L109" s="145"/>
    </row>
    <row r="110" spans="1:14" ht="49" thickBot="1" x14ac:dyDescent="0.3">
      <c r="B110" s="146"/>
      <c r="C110" s="139" t="s">
        <v>86</v>
      </c>
      <c r="D110" s="140" t="s">
        <v>94</v>
      </c>
      <c r="E110" s="147" t="s">
        <v>86</v>
      </c>
      <c r="F110" s="147" t="s">
        <v>94</v>
      </c>
      <c r="G110" s="139" t="s">
        <v>86</v>
      </c>
      <c r="H110" s="140" t="s">
        <v>94</v>
      </c>
      <c r="I110" s="147" t="s">
        <v>86</v>
      </c>
      <c r="J110" s="147" t="s">
        <v>94</v>
      </c>
      <c r="K110" s="139" t="s">
        <v>86</v>
      </c>
      <c r="L110" s="140" t="s">
        <v>94</v>
      </c>
    </row>
    <row r="111" spans="1:14" ht="16" x14ac:dyDescent="0.25">
      <c r="B111" s="148">
        <v>1</v>
      </c>
      <c r="C111" s="149">
        <v>19.3</v>
      </c>
      <c r="D111" s="150">
        <v>7.72</v>
      </c>
      <c r="E111" s="149">
        <v>15.3</v>
      </c>
      <c r="F111" s="150">
        <v>6.1199999999999992</v>
      </c>
      <c r="G111" s="149">
        <v>16.3</v>
      </c>
      <c r="H111" s="150">
        <v>6.52</v>
      </c>
      <c r="I111" s="149">
        <v>6.4999999999999964</v>
      </c>
      <c r="J111" s="150">
        <v>2.5999999999999983</v>
      </c>
      <c r="K111" s="149">
        <v>13</v>
      </c>
      <c r="L111" s="150">
        <v>5.2</v>
      </c>
    </row>
    <row r="112" spans="1:14" ht="16" x14ac:dyDescent="0.25">
      <c r="B112" s="148">
        <v>2</v>
      </c>
      <c r="C112" s="149">
        <v>19.399999999999999</v>
      </c>
      <c r="D112" s="150">
        <v>7.7599999999999989</v>
      </c>
      <c r="E112" s="149">
        <v>15.299999999999997</v>
      </c>
      <c r="F112" s="150">
        <v>6.1199999999999983</v>
      </c>
      <c r="G112" s="149">
        <v>15.8</v>
      </c>
      <c r="H112" s="150">
        <v>6.3199999999999994</v>
      </c>
      <c r="I112" s="149">
        <v>6.6000000000000014</v>
      </c>
      <c r="J112" s="150">
        <v>2.6400000000000006</v>
      </c>
      <c r="K112" s="149">
        <v>12.6</v>
      </c>
      <c r="L112" s="150">
        <v>5.04</v>
      </c>
    </row>
    <row r="113" spans="2:12" ht="16" x14ac:dyDescent="0.25">
      <c r="B113" s="148">
        <v>3</v>
      </c>
      <c r="C113" s="149">
        <v>19.8</v>
      </c>
      <c r="D113" s="150">
        <v>7.92</v>
      </c>
      <c r="E113" s="149">
        <v>12.600000000000001</v>
      </c>
      <c r="F113" s="150">
        <v>5.0400000000000009</v>
      </c>
      <c r="G113" s="149">
        <v>17.100000000000001</v>
      </c>
      <c r="H113" s="150">
        <v>6.84</v>
      </c>
      <c r="I113" s="149">
        <v>7</v>
      </c>
      <c r="J113" s="150">
        <v>2.8000000000000003</v>
      </c>
      <c r="K113" s="149">
        <v>10.5</v>
      </c>
      <c r="L113" s="150">
        <v>4.1999999999999993</v>
      </c>
    </row>
    <row r="114" spans="2:12" ht="16" x14ac:dyDescent="0.25">
      <c r="B114" s="148">
        <v>4</v>
      </c>
      <c r="C114" s="149">
        <v>19.8</v>
      </c>
      <c r="D114" s="150">
        <v>7.92</v>
      </c>
      <c r="E114" s="149">
        <v>17.399999999999999</v>
      </c>
      <c r="F114" s="150">
        <v>6.9599999999999991</v>
      </c>
      <c r="G114" s="149">
        <v>18.299999999999997</v>
      </c>
      <c r="H114" s="150">
        <v>7.3199999999999985</v>
      </c>
      <c r="I114" s="149">
        <v>6.9</v>
      </c>
      <c r="J114" s="150">
        <v>2.7600000000000002</v>
      </c>
      <c r="K114" s="149">
        <v>11.799999999999997</v>
      </c>
      <c r="L114" s="150">
        <v>4.7199999999999989</v>
      </c>
    </row>
    <row r="115" spans="2:12" ht="16" x14ac:dyDescent="0.25">
      <c r="B115" s="148">
        <v>5</v>
      </c>
      <c r="C115" s="149">
        <v>19.900000000000002</v>
      </c>
      <c r="D115" s="150">
        <v>7.9600000000000009</v>
      </c>
      <c r="E115" s="149">
        <v>13.9</v>
      </c>
      <c r="F115" s="150">
        <v>5.5600000000000005</v>
      </c>
      <c r="G115" s="149">
        <v>17.100000000000001</v>
      </c>
      <c r="H115" s="150">
        <v>6.84</v>
      </c>
      <c r="I115" s="149">
        <v>0</v>
      </c>
      <c r="J115" s="150">
        <v>0</v>
      </c>
      <c r="K115" s="149">
        <v>13.600000000000001</v>
      </c>
      <c r="L115" s="150">
        <v>5.44</v>
      </c>
    </row>
    <row r="116" spans="2:12" ht="16" x14ac:dyDescent="0.25">
      <c r="B116" s="148">
        <v>6</v>
      </c>
      <c r="C116" s="149">
        <v>18.900000000000002</v>
      </c>
      <c r="D116" s="150">
        <v>7.5600000000000005</v>
      </c>
      <c r="E116" s="149">
        <v>13.6</v>
      </c>
      <c r="F116" s="150">
        <v>5.44</v>
      </c>
      <c r="G116" s="149">
        <v>17.299999999999997</v>
      </c>
      <c r="H116" s="150">
        <v>6.919999999999999</v>
      </c>
      <c r="I116" s="149">
        <v>0</v>
      </c>
      <c r="J116" s="150">
        <v>0</v>
      </c>
      <c r="K116" s="149">
        <v>13</v>
      </c>
      <c r="L116" s="150">
        <v>5.2</v>
      </c>
    </row>
    <row r="117" spans="2:12" ht="16" x14ac:dyDescent="0.25">
      <c r="B117" s="148">
        <v>7</v>
      </c>
      <c r="C117" s="149">
        <v>17.399999999999999</v>
      </c>
      <c r="D117" s="150">
        <v>6.9599999999999991</v>
      </c>
      <c r="E117" s="149">
        <v>14.5</v>
      </c>
      <c r="F117" s="150">
        <v>5.7999999999999989</v>
      </c>
      <c r="G117" s="149">
        <v>0</v>
      </c>
      <c r="H117" s="150">
        <v>0</v>
      </c>
      <c r="I117" s="149">
        <v>0</v>
      </c>
      <c r="J117" s="150">
        <v>0</v>
      </c>
      <c r="K117" s="149">
        <v>11</v>
      </c>
      <c r="L117" s="150">
        <v>4.3999999999999995</v>
      </c>
    </row>
    <row r="118" spans="2:12" ht="16" x14ac:dyDescent="0.25">
      <c r="B118" s="148">
        <v>8</v>
      </c>
      <c r="C118" s="149">
        <v>19.5</v>
      </c>
      <c r="D118" s="150">
        <v>7.8</v>
      </c>
      <c r="E118" s="149">
        <v>14.2</v>
      </c>
      <c r="F118" s="150">
        <v>5.6799999999999988</v>
      </c>
      <c r="G118" s="149">
        <v>0</v>
      </c>
      <c r="H118" s="150">
        <v>0</v>
      </c>
      <c r="I118" s="149">
        <v>0</v>
      </c>
      <c r="J118" s="150">
        <v>0</v>
      </c>
      <c r="K118" s="149">
        <v>12.2</v>
      </c>
      <c r="L118" s="150">
        <v>4.88</v>
      </c>
    </row>
    <row r="119" spans="2:12" ht="16" x14ac:dyDescent="0.25">
      <c r="B119" s="148">
        <v>9</v>
      </c>
      <c r="C119" s="149">
        <v>19.799999999999997</v>
      </c>
      <c r="D119" s="150">
        <v>7.919999999999999</v>
      </c>
      <c r="E119" s="149">
        <v>14.799999999999997</v>
      </c>
      <c r="F119" s="150">
        <v>5.9199999999999982</v>
      </c>
      <c r="G119" s="149">
        <v>0</v>
      </c>
      <c r="H119" s="150">
        <v>0</v>
      </c>
      <c r="I119" s="149">
        <v>0</v>
      </c>
      <c r="J119" s="150">
        <v>0</v>
      </c>
      <c r="K119" s="149">
        <v>12.399999999999999</v>
      </c>
      <c r="L119" s="150">
        <v>4.9599999999999991</v>
      </c>
    </row>
    <row r="120" spans="2:12" ht="16" x14ac:dyDescent="0.25">
      <c r="B120" s="148">
        <v>10</v>
      </c>
      <c r="C120" s="149">
        <v>19.3</v>
      </c>
      <c r="D120" s="150">
        <v>7.72</v>
      </c>
      <c r="E120" s="149">
        <v>14.5</v>
      </c>
      <c r="F120" s="150">
        <v>5.7999999999999989</v>
      </c>
      <c r="G120" s="149">
        <v>0</v>
      </c>
      <c r="H120" s="150">
        <v>0</v>
      </c>
      <c r="I120" s="149">
        <v>0</v>
      </c>
      <c r="J120" s="150">
        <v>0</v>
      </c>
      <c r="K120" s="149">
        <v>13</v>
      </c>
      <c r="L120" s="150">
        <v>5.2</v>
      </c>
    </row>
    <row r="121" spans="2:12" ht="16" x14ac:dyDescent="0.25">
      <c r="B121" s="148">
        <v>11</v>
      </c>
      <c r="C121" s="149">
        <v>18.600000000000001</v>
      </c>
      <c r="D121" s="150">
        <v>7.44</v>
      </c>
      <c r="E121" s="149">
        <v>14.700000000000003</v>
      </c>
      <c r="F121" s="150">
        <v>5.8800000000000008</v>
      </c>
      <c r="G121" s="149">
        <v>0</v>
      </c>
      <c r="H121" s="150">
        <v>0</v>
      </c>
      <c r="I121" s="149">
        <v>0</v>
      </c>
      <c r="J121" s="150">
        <v>0</v>
      </c>
      <c r="K121" s="149">
        <v>13.7</v>
      </c>
      <c r="L121" s="150">
        <v>5.4799999999999986</v>
      </c>
    </row>
    <row r="122" spans="2:12" ht="17" thickBot="1" x14ac:dyDescent="0.3">
      <c r="B122" s="151">
        <v>12</v>
      </c>
      <c r="C122" s="152">
        <v>20.399999999999999</v>
      </c>
      <c r="D122" s="153">
        <v>8.1599999999999984</v>
      </c>
      <c r="E122" s="152">
        <v>0</v>
      </c>
      <c r="F122" s="153">
        <v>0</v>
      </c>
      <c r="G122" s="152">
        <v>0</v>
      </c>
      <c r="H122" s="153">
        <v>0</v>
      </c>
      <c r="I122" s="152">
        <v>0</v>
      </c>
      <c r="J122" s="153">
        <v>0</v>
      </c>
      <c r="K122" s="152">
        <v>13.000000000000004</v>
      </c>
      <c r="L122" s="153">
        <v>5.2000000000000011</v>
      </c>
    </row>
    <row r="123" spans="2:12" ht="16" x14ac:dyDescent="0.25">
      <c r="B123" s="261" t="s">
        <v>168</v>
      </c>
      <c r="C123" s="264">
        <v>19.341666666666669</v>
      </c>
      <c r="D123" s="264">
        <v>7.7366666666666655</v>
      </c>
      <c r="E123" s="264">
        <v>13.4</v>
      </c>
      <c r="F123" s="264">
        <v>5.3599999999999994</v>
      </c>
      <c r="G123" s="264">
        <v>8.4916666666666654</v>
      </c>
      <c r="H123" s="264">
        <v>3.3966666666666669</v>
      </c>
      <c r="I123" s="264">
        <v>2.25</v>
      </c>
      <c r="J123" s="264">
        <v>0.89999999999999991</v>
      </c>
      <c r="K123" s="264">
        <v>12.483333333333333</v>
      </c>
      <c r="L123" s="264">
        <v>4.9933333333333332</v>
      </c>
    </row>
    <row r="124" spans="2:12" ht="16" x14ac:dyDescent="0.25">
      <c r="B124" s="268" t="s">
        <v>169</v>
      </c>
      <c r="C124" s="269">
        <v>0.77513439694889896</v>
      </c>
      <c r="D124" s="269">
        <v>0.31005375877955954</v>
      </c>
      <c r="E124" s="269">
        <v>4.3736816195387282</v>
      </c>
      <c r="F124" s="269">
        <v>1.7494726478154936</v>
      </c>
      <c r="G124" s="269">
        <v>8.8883435754448374</v>
      </c>
      <c r="H124" s="269">
        <v>3.5553374301779335</v>
      </c>
      <c r="I124" s="269">
        <v>3.3257945052136173</v>
      </c>
      <c r="J124" s="269">
        <v>1.3303178020854469</v>
      </c>
      <c r="K124" s="269">
        <v>0.97685332790671553</v>
      </c>
      <c r="L124" s="269">
        <v>0.39074133116268628</v>
      </c>
    </row>
    <row r="125" spans="2:12" ht="16" x14ac:dyDescent="0.25">
      <c r="B125" s="268" t="s">
        <v>171</v>
      </c>
      <c r="C125" s="269">
        <v>12</v>
      </c>
      <c r="D125" s="269">
        <v>12</v>
      </c>
      <c r="E125" s="269">
        <v>12</v>
      </c>
      <c r="F125" s="269">
        <v>12</v>
      </c>
      <c r="G125" s="269">
        <v>12</v>
      </c>
      <c r="H125" s="269">
        <v>12</v>
      </c>
      <c r="I125" s="269">
        <v>12</v>
      </c>
      <c r="J125" s="269">
        <v>12</v>
      </c>
      <c r="K125" s="269">
        <v>12</v>
      </c>
      <c r="L125" s="269">
        <v>12</v>
      </c>
    </row>
    <row r="126" spans="2:12" ht="17" thickBot="1" x14ac:dyDescent="0.3">
      <c r="B126" s="262" t="s">
        <v>172</v>
      </c>
      <c r="C126" s="227">
        <v>0.22376202636829254</v>
      </c>
      <c r="D126" s="227">
        <v>8.9504810547317001E-2</v>
      </c>
      <c r="E126" s="227">
        <v>1.2625731301952017</v>
      </c>
      <c r="F126" s="227">
        <v>0.50502925207808136</v>
      </c>
      <c r="G126" s="227">
        <v>2.5658437779664789</v>
      </c>
      <c r="H126" s="227">
        <v>1.0263375111865911</v>
      </c>
      <c r="I126" s="227">
        <v>0.96007417642723014</v>
      </c>
      <c r="J126" s="227">
        <v>0.38402967057089205</v>
      </c>
      <c r="K126" s="227">
        <v>0.281993265912862</v>
      </c>
      <c r="L126" s="227">
        <v>0.11279730636514482</v>
      </c>
    </row>
    <row r="129" spans="1:9" ht="16" x14ac:dyDescent="0.25">
      <c r="A129" s="154" t="s">
        <v>42</v>
      </c>
      <c r="B129" s="108"/>
      <c r="C129" s="108"/>
      <c r="D129" s="108"/>
      <c r="E129" s="108"/>
      <c r="F129" s="108"/>
      <c r="G129" s="108"/>
      <c r="H129" s="108"/>
      <c r="I129" s="108"/>
    </row>
    <row r="130" spans="1:9" ht="17" thickBot="1" x14ac:dyDescent="0.3">
      <c r="A130" s="108"/>
      <c r="B130" s="108" t="s">
        <v>78</v>
      </c>
      <c r="C130" s="108"/>
      <c r="D130" s="108"/>
      <c r="E130" s="108"/>
      <c r="F130" s="108"/>
      <c r="G130" s="108"/>
      <c r="H130" s="108"/>
      <c r="I130" s="108"/>
    </row>
    <row r="131" spans="1:9" ht="52" thickBot="1" x14ac:dyDescent="0.3">
      <c r="A131" s="108"/>
      <c r="B131" s="156" t="s">
        <v>36</v>
      </c>
      <c r="C131" s="198" t="s">
        <v>44</v>
      </c>
      <c r="D131" s="159" t="s">
        <v>43</v>
      </c>
      <c r="E131" s="158" t="s">
        <v>45</v>
      </c>
      <c r="F131" s="158" t="s">
        <v>46</v>
      </c>
      <c r="G131" s="158" t="s">
        <v>47</v>
      </c>
      <c r="H131" s="159" t="s">
        <v>118</v>
      </c>
      <c r="I131" s="108"/>
    </row>
    <row r="132" spans="1:9" ht="16" x14ac:dyDescent="0.25">
      <c r="A132" s="108"/>
      <c r="B132" s="134">
        <v>1</v>
      </c>
      <c r="C132" s="174" t="s">
        <v>37</v>
      </c>
      <c r="D132" s="135" t="s">
        <v>38</v>
      </c>
      <c r="E132" s="334">
        <v>39.572500000000005</v>
      </c>
      <c r="F132" s="334">
        <v>49.854999999999997</v>
      </c>
      <c r="G132" s="334">
        <v>49.29</v>
      </c>
      <c r="H132" s="190">
        <f>(F132-G132)/(G132-E132)*100</f>
        <v>5.814252636995092</v>
      </c>
      <c r="I132" s="108"/>
    </row>
    <row r="133" spans="1:9" ht="16" x14ac:dyDescent="0.25">
      <c r="A133" s="108"/>
      <c r="B133" s="134">
        <v>1</v>
      </c>
      <c r="C133" s="174" t="s">
        <v>37</v>
      </c>
      <c r="D133" s="210" t="s">
        <v>39</v>
      </c>
      <c r="E133" s="334">
        <v>47.924999999999997</v>
      </c>
      <c r="F133" s="334">
        <v>58.629999999999995</v>
      </c>
      <c r="G133" s="334">
        <v>57.75</v>
      </c>
      <c r="H133" s="190">
        <f t="shared" ref="H133:H143" si="13">(F133-G133)/(G133-E133)*100</f>
        <v>8.9567430025444796</v>
      </c>
      <c r="I133" s="108"/>
    </row>
    <row r="134" spans="1:9" ht="16" x14ac:dyDescent="0.25">
      <c r="A134" s="108"/>
      <c r="B134" s="134">
        <v>1</v>
      </c>
      <c r="C134" s="174" t="s">
        <v>37</v>
      </c>
      <c r="D134" s="135" t="s">
        <v>40</v>
      </c>
      <c r="E134" s="334">
        <v>46.1</v>
      </c>
      <c r="F134" s="334">
        <v>56.525000000000006</v>
      </c>
      <c r="G134" s="334">
        <v>55.260000000000005</v>
      </c>
      <c r="H134" s="190">
        <f>(F134-G134)/(G134-E134)*100</f>
        <v>13.810043668122271</v>
      </c>
      <c r="I134" s="108"/>
    </row>
    <row r="135" spans="1:9" ht="16" x14ac:dyDescent="0.25">
      <c r="A135" s="108"/>
      <c r="B135" s="134">
        <v>1</v>
      </c>
      <c r="C135" s="335" t="s">
        <v>193</v>
      </c>
      <c r="D135" s="135" t="s">
        <v>38</v>
      </c>
      <c r="E135" s="334">
        <v>42.980000000000004</v>
      </c>
      <c r="F135" s="334">
        <v>53.585000000000001</v>
      </c>
      <c r="G135" s="334">
        <v>52.69</v>
      </c>
      <c r="H135" s="190">
        <f t="shared" si="13"/>
        <v>9.2173017507724371</v>
      </c>
      <c r="I135" s="108"/>
    </row>
    <row r="136" spans="1:9" ht="16" x14ac:dyDescent="0.25">
      <c r="A136" s="108"/>
      <c r="B136" s="134">
        <v>1</v>
      </c>
      <c r="C136" s="335" t="s">
        <v>193</v>
      </c>
      <c r="D136" s="135" t="s">
        <v>39</v>
      </c>
      <c r="E136" s="334">
        <v>38.99</v>
      </c>
      <c r="F136" s="334">
        <v>49.14</v>
      </c>
      <c r="G136" s="334">
        <v>48.14</v>
      </c>
      <c r="H136" s="190">
        <f t="shared" si="13"/>
        <v>10.928961748633881</v>
      </c>
      <c r="I136" s="108"/>
    </row>
    <row r="137" spans="1:9" ht="16" x14ac:dyDescent="0.25">
      <c r="A137" s="108"/>
      <c r="B137" s="134">
        <v>1</v>
      </c>
      <c r="C137" s="335" t="s">
        <v>193</v>
      </c>
      <c r="D137" s="135" t="s">
        <v>40</v>
      </c>
      <c r="E137" s="334">
        <v>45.473500000000001</v>
      </c>
      <c r="F137" s="334">
        <v>55.425000000000004</v>
      </c>
      <c r="G137" s="334">
        <v>54.422499999999999</v>
      </c>
      <c r="H137" s="190">
        <f t="shared" si="13"/>
        <v>11.202368979774333</v>
      </c>
      <c r="I137" s="108"/>
    </row>
    <row r="138" spans="1:9" ht="16" x14ac:dyDescent="0.25">
      <c r="A138" s="108"/>
      <c r="B138" s="134">
        <v>2</v>
      </c>
      <c r="C138" s="174" t="s">
        <v>37</v>
      </c>
      <c r="D138" s="210" t="s">
        <v>38</v>
      </c>
      <c r="E138" s="336">
        <v>42.055999999999997</v>
      </c>
      <c r="F138" s="334">
        <v>52.176000000000002</v>
      </c>
      <c r="G138" s="336">
        <v>51.777999999999999</v>
      </c>
      <c r="H138" s="190">
        <f t="shared" si="13"/>
        <v>4.093807858465369</v>
      </c>
      <c r="I138" s="108"/>
    </row>
    <row r="139" spans="1:9" ht="16" x14ac:dyDescent="0.25">
      <c r="A139" s="108"/>
      <c r="B139" s="134">
        <v>2</v>
      </c>
      <c r="C139" s="174" t="s">
        <v>37</v>
      </c>
      <c r="D139" s="135" t="s">
        <v>39</v>
      </c>
      <c r="E139" s="334">
        <v>43.78</v>
      </c>
      <c r="F139" s="334">
        <v>54.353999999999999</v>
      </c>
      <c r="G139" s="334">
        <v>53.85</v>
      </c>
      <c r="H139" s="190">
        <f t="shared" si="13"/>
        <v>5.0049652432968994</v>
      </c>
      <c r="I139" s="108"/>
    </row>
    <row r="140" spans="1:9" ht="16" x14ac:dyDescent="0.25">
      <c r="A140" s="108"/>
      <c r="B140" s="134">
        <v>2</v>
      </c>
      <c r="C140" s="174" t="s">
        <v>37</v>
      </c>
      <c r="D140" s="135" t="s">
        <v>40</v>
      </c>
      <c r="E140" s="334">
        <v>37.314</v>
      </c>
      <c r="F140" s="334">
        <v>47.364000000000004</v>
      </c>
      <c r="G140" s="334">
        <v>46.899340000000002</v>
      </c>
      <c r="H140" s="190">
        <f t="shared" si="13"/>
        <v>4.8476110393580401</v>
      </c>
      <c r="I140" s="108"/>
    </row>
    <row r="141" spans="1:9" ht="16" x14ac:dyDescent="0.25">
      <c r="A141" s="108"/>
      <c r="B141" s="134">
        <v>2</v>
      </c>
      <c r="C141" s="335" t="s">
        <v>193</v>
      </c>
      <c r="D141" s="135" t="s">
        <v>38</v>
      </c>
      <c r="E141" s="334">
        <v>37.972299999999997</v>
      </c>
      <c r="F141" s="334">
        <v>49.100416666666668</v>
      </c>
      <c r="G141" s="334">
        <v>48.636450000000004</v>
      </c>
      <c r="H141" s="190">
        <f t="shared" si="13"/>
        <v>4.3507139965835435</v>
      </c>
      <c r="I141" s="108"/>
    </row>
    <row r="142" spans="1:9" ht="16" x14ac:dyDescent="0.25">
      <c r="A142" s="108"/>
      <c r="B142" s="134">
        <v>2</v>
      </c>
      <c r="C142" s="335" t="s">
        <v>193</v>
      </c>
      <c r="D142" s="135" t="s">
        <v>39</v>
      </c>
      <c r="E142" s="334">
        <v>33.856666666666669</v>
      </c>
      <c r="F142" s="334">
        <v>44.49666666666667</v>
      </c>
      <c r="G142" s="334">
        <v>43.942133333333338</v>
      </c>
      <c r="H142" s="190">
        <f t="shared" si="13"/>
        <v>5.4983408468951858</v>
      </c>
      <c r="I142" s="108"/>
    </row>
    <row r="143" spans="1:9" ht="17" thickBot="1" x14ac:dyDescent="0.3">
      <c r="A143" s="108"/>
      <c r="B143" s="136">
        <v>2</v>
      </c>
      <c r="C143" s="335" t="s">
        <v>193</v>
      </c>
      <c r="D143" s="211" t="s">
        <v>40</v>
      </c>
      <c r="E143" s="168">
        <v>30.655000000000001</v>
      </c>
      <c r="F143" s="168">
        <v>40.910000000000004</v>
      </c>
      <c r="G143" s="168">
        <v>40.375500000000002</v>
      </c>
      <c r="H143" s="193">
        <f t="shared" si="13"/>
        <v>5.498688339077221</v>
      </c>
      <c r="I143" s="108"/>
    </row>
    <row r="144" spans="1:9" ht="16" x14ac:dyDescent="0.25">
      <c r="A144" s="108"/>
      <c r="B144" s="261" t="s">
        <v>168</v>
      </c>
      <c r="C144" s="335"/>
      <c r="D144" s="337"/>
      <c r="E144" s="264">
        <f>AVERAGE(E132:E143)</f>
        <v>40.556247222222225</v>
      </c>
      <c r="F144" s="264">
        <f t="shared" ref="F144:H144" si="14">AVERAGE(F132:F143)</f>
        <v>50.963423611111104</v>
      </c>
      <c r="G144" s="264">
        <f t="shared" si="14"/>
        <v>50.25282694444445</v>
      </c>
      <c r="H144" s="272">
        <f t="shared" si="14"/>
        <v>7.4353165925432299</v>
      </c>
      <c r="I144" s="108"/>
    </row>
    <row r="145" spans="1:9" ht="16" x14ac:dyDescent="0.25">
      <c r="A145" s="108"/>
      <c r="B145" s="268" t="s">
        <v>169</v>
      </c>
      <c r="C145" s="335"/>
      <c r="D145" s="337"/>
      <c r="E145" s="269">
        <f>_xlfn.STDEV.S(E132:E143)</f>
        <v>5.1456638459234663</v>
      </c>
      <c r="F145" s="269">
        <f t="shared" ref="F145:H145" si="15">_xlfn.STDEV.S(F132:F143)</f>
        <v>5.1638832753693515</v>
      </c>
      <c r="G145" s="269">
        <f t="shared" si="15"/>
        <v>5.0136834809908484</v>
      </c>
      <c r="H145" s="338">
        <f t="shared" si="15"/>
        <v>3.2464964159026448</v>
      </c>
      <c r="I145" s="108"/>
    </row>
    <row r="146" spans="1:9" ht="16" x14ac:dyDescent="0.25">
      <c r="A146" s="108"/>
      <c r="B146" s="268" t="s">
        <v>171</v>
      </c>
      <c r="C146" s="335"/>
      <c r="D146" s="337"/>
      <c r="E146" s="269">
        <f>COUNT(E132:E143)</f>
        <v>12</v>
      </c>
      <c r="F146" s="269">
        <f t="shared" ref="F146:H146" si="16">COUNT(F132:F143)</f>
        <v>12</v>
      </c>
      <c r="G146" s="269">
        <f t="shared" si="16"/>
        <v>12</v>
      </c>
      <c r="H146" s="338">
        <f t="shared" si="16"/>
        <v>12</v>
      </c>
      <c r="I146" s="108"/>
    </row>
    <row r="147" spans="1:9" ht="17" thickBot="1" x14ac:dyDescent="0.3">
      <c r="A147" s="108"/>
      <c r="B147" s="262" t="s">
        <v>172</v>
      </c>
      <c r="C147" s="166"/>
      <c r="D147" s="167"/>
      <c r="E147" s="227">
        <f>E145/SQRT(E146)</f>
        <v>1.4854252033016193</v>
      </c>
      <c r="F147" s="227">
        <f t="shared" ref="F147:H147" si="17">F145/SQRT(F146)</f>
        <v>1.4906846995491507</v>
      </c>
      <c r="G147" s="227">
        <f t="shared" si="17"/>
        <v>1.4473257536908233</v>
      </c>
      <c r="H147" s="192">
        <f t="shared" si="17"/>
        <v>0.93718278982227365</v>
      </c>
      <c r="I147" s="108"/>
    </row>
    <row r="148" spans="1:9" ht="16" x14ac:dyDescent="0.25">
      <c r="A148" s="108"/>
      <c r="B148" s="108"/>
      <c r="C148" s="108"/>
      <c r="D148" s="164"/>
      <c r="E148" s="161"/>
      <c r="F148" s="161"/>
      <c r="G148" s="161"/>
      <c r="H148" s="161"/>
      <c r="I148" s="108"/>
    </row>
    <row r="149" spans="1:9" ht="16" x14ac:dyDescent="0.25">
      <c r="A149" s="108"/>
      <c r="B149" s="108"/>
      <c r="C149" s="108"/>
      <c r="D149" s="164"/>
      <c r="E149" s="161"/>
      <c r="F149" s="161"/>
      <c r="G149" s="161"/>
      <c r="H149" s="161"/>
      <c r="I149" s="108"/>
    </row>
    <row r="150" spans="1:9" ht="16" x14ac:dyDescent="0.25">
      <c r="A150" s="154" t="s">
        <v>48</v>
      </c>
      <c r="B150" s="108"/>
      <c r="C150" s="108"/>
      <c r="D150" s="108"/>
      <c r="E150" s="108"/>
      <c r="F150" s="108"/>
      <c r="G150" s="108"/>
      <c r="H150" s="108"/>
      <c r="I150" s="108"/>
    </row>
    <row r="151" spans="1:9" ht="17" thickBot="1" x14ac:dyDescent="0.3">
      <c r="A151" s="108"/>
      <c r="B151" s="108" t="s">
        <v>79</v>
      </c>
      <c r="C151" s="108"/>
      <c r="D151" s="108"/>
      <c r="E151" s="108"/>
      <c r="F151" s="108"/>
      <c r="G151" s="108"/>
      <c r="H151" s="108"/>
      <c r="I151" s="108"/>
    </row>
    <row r="152" spans="1:9" ht="69" thickBot="1" x14ac:dyDescent="0.3">
      <c r="A152" s="108"/>
      <c r="B152" s="156" t="s">
        <v>36</v>
      </c>
      <c r="C152" s="198" t="s">
        <v>44</v>
      </c>
      <c r="D152" s="157" t="s">
        <v>43</v>
      </c>
      <c r="E152" s="133" t="s">
        <v>16</v>
      </c>
      <c r="F152" s="133" t="s">
        <v>17</v>
      </c>
      <c r="G152" s="133" t="s">
        <v>49</v>
      </c>
      <c r="H152" s="157" t="s">
        <v>96</v>
      </c>
      <c r="I152" s="159" t="s">
        <v>160</v>
      </c>
    </row>
    <row r="153" spans="1:9" ht="16" x14ac:dyDescent="0.25">
      <c r="A153" s="108"/>
      <c r="B153" s="171">
        <v>1</v>
      </c>
      <c r="C153" s="335" t="s">
        <v>37</v>
      </c>
      <c r="D153" s="335" t="s">
        <v>38</v>
      </c>
      <c r="E153" s="334">
        <v>26.970233333333329</v>
      </c>
      <c r="F153" s="334">
        <v>4.5089666666666668</v>
      </c>
      <c r="G153" s="334">
        <v>31.134499999999999</v>
      </c>
      <c r="H153" s="334">
        <f>(F153+E153-G153)/F153</f>
        <v>7.6447670937168755E-2</v>
      </c>
      <c r="I153" s="190">
        <f>H153*0.45*100</f>
        <v>3.4401451921725936</v>
      </c>
    </row>
    <row r="154" spans="1:9" ht="16" x14ac:dyDescent="0.25">
      <c r="A154" s="108"/>
      <c r="B154" s="134">
        <v>1</v>
      </c>
      <c r="C154" s="335" t="s">
        <v>37</v>
      </c>
      <c r="D154" s="337" t="s">
        <v>39</v>
      </c>
      <c r="E154" s="334">
        <v>27.71363333333333</v>
      </c>
      <c r="F154" s="334">
        <v>4.9967333333333332</v>
      </c>
      <c r="G154" s="334">
        <v>32.462566666666667</v>
      </c>
      <c r="H154" s="334">
        <f t="shared" ref="H154:H164" si="18">(F154+E154-G154)/F154</f>
        <v>4.959240036824019E-2</v>
      </c>
      <c r="I154" s="190">
        <f t="shared" ref="I154:I164" si="19">H154*0.45*100</f>
        <v>2.2316580165708086</v>
      </c>
    </row>
    <row r="155" spans="1:9" ht="16" x14ac:dyDescent="0.25">
      <c r="A155" s="108"/>
      <c r="B155" s="134">
        <v>1</v>
      </c>
      <c r="C155" s="335" t="s">
        <v>37</v>
      </c>
      <c r="D155" s="335" t="s">
        <v>40</v>
      </c>
      <c r="E155" s="334">
        <v>30.43</v>
      </c>
      <c r="F155" s="334">
        <v>4.84</v>
      </c>
      <c r="G155" s="334">
        <v>35.019999999999996</v>
      </c>
      <c r="H155" s="334">
        <f t="shared" si="18"/>
        <v>5.1652892561983473E-2</v>
      </c>
      <c r="I155" s="190">
        <f t="shared" si="19"/>
        <v>2.3243801652892566</v>
      </c>
    </row>
    <row r="156" spans="1:9" ht="16" x14ac:dyDescent="0.25">
      <c r="A156" s="108"/>
      <c r="B156" s="134">
        <v>1</v>
      </c>
      <c r="C156" s="335" t="s">
        <v>193</v>
      </c>
      <c r="D156" s="335" t="s">
        <v>38</v>
      </c>
      <c r="E156" s="334">
        <v>28.359850000000002</v>
      </c>
      <c r="F156" s="334">
        <v>5.4211</v>
      </c>
      <c r="G156" s="334">
        <v>32.860699999999994</v>
      </c>
      <c r="H156" s="334">
        <f t="shared" si="18"/>
        <v>0.1697533710870506</v>
      </c>
      <c r="I156" s="190">
        <f t="shared" si="19"/>
        <v>7.6389016989172775</v>
      </c>
    </row>
    <row r="157" spans="1:9" ht="16" x14ac:dyDescent="0.25">
      <c r="A157" s="108"/>
      <c r="B157" s="134">
        <v>1</v>
      </c>
      <c r="C157" s="335" t="s">
        <v>193</v>
      </c>
      <c r="D157" s="335" t="s">
        <v>39</v>
      </c>
      <c r="E157" s="334">
        <v>26.826000000000001</v>
      </c>
      <c r="F157" s="334">
        <v>4.6119000000000003</v>
      </c>
      <c r="G157" s="334">
        <v>30.727799999999998</v>
      </c>
      <c r="H157" s="334">
        <f t="shared" si="18"/>
        <v>0.15397124829246092</v>
      </c>
      <c r="I157" s="190">
        <f t="shared" si="19"/>
        <v>6.9287061731607409</v>
      </c>
    </row>
    <row r="158" spans="1:9" ht="16" x14ac:dyDescent="0.25">
      <c r="A158" s="108"/>
      <c r="B158" s="134">
        <v>1</v>
      </c>
      <c r="C158" s="335" t="s">
        <v>193</v>
      </c>
      <c r="D158" s="335" t="s">
        <v>40</v>
      </c>
      <c r="E158" s="334">
        <v>25.973199999999999</v>
      </c>
      <c r="F158" s="334">
        <v>4.7638499999999997</v>
      </c>
      <c r="G158" s="334">
        <v>30.26005</v>
      </c>
      <c r="H158" s="334">
        <f t="shared" si="18"/>
        <v>0.10012909726376708</v>
      </c>
      <c r="I158" s="190">
        <f t="shared" si="19"/>
        <v>4.505809376869518</v>
      </c>
    </row>
    <row r="159" spans="1:9" ht="16" x14ac:dyDescent="0.25">
      <c r="A159" s="108"/>
      <c r="B159" s="134">
        <v>2</v>
      </c>
      <c r="C159" s="335" t="s">
        <v>37</v>
      </c>
      <c r="D159" s="337" t="s">
        <v>38</v>
      </c>
      <c r="E159" s="334">
        <v>28.565679999999997</v>
      </c>
      <c r="F159" s="334">
        <v>5.0268600000000001</v>
      </c>
      <c r="G159" s="334">
        <v>33.319159999999997</v>
      </c>
      <c r="H159" s="334">
        <f t="shared" si="18"/>
        <v>5.4383849958026094E-2</v>
      </c>
      <c r="I159" s="190">
        <f t="shared" si="19"/>
        <v>2.4472732481111743</v>
      </c>
    </row>
    <row r="160" spans="1:9" ht="16" x14ac:dyDescent="0.25">
      <c r="A160" s="108"/>
      <c r="B160" s="134">
        <v>2</v>
      </c>
      <c r="C160" s="335" t="s">
        <v>37</v>
      </c>
      <c r="D160" s="335" t="s">
        <v>39</v>
      </c>
      <c r="E160" s="334">
        <v>27.380200000000002</v>
      </c>
      <c r="F160" s="334">
        <v>5.1013666666666673</v>
      </c>
      <c r="G160" s="334">
        <v>32.277666666666669</v>
      </c>
      <c r="H160" s="334">
        <f t="shared" si="18"/>
        <v>3.9969681327225504E-2</v>
      </c>
      <c r="I160" s="190">
        <f t="shared" si="19"/>
        <v>1.7986356597251476</v>
      </c>
    </row>
    <row r="161" spans="1:9" ht="16" x14ac:dyDescent="0.25">
      <c r="A161" s="108"/>
      <c r="B161" s="134">
        <v>2</v>
      </c>
      <c r="C161" s="335" t="s">
        <v>37</v>
      </c>
      <c r="D161" s="335" t="s">
        <v>40</v>
      </c>
      <c r="E161" s="334">
        <v>28.8124</v>
      </c>
      <c r="F161" s="334">
        <v>4.5232999999999999</v>
      </c>
      <c r="G161" s="334">
        <v>33.094200000000001</v>
      </c>
      <c r="H161" s="334">
        <f t="shared" si="18"/>
        <v>5.3390223951540257E-2</v>
      </c>
      <c r="I161" s="190">
        <f t="shared" si="19"/>
        <v>2.4025600778193117</v>
      </c>
    </row>
    <row r="162" spans="1:9" ht="16" x14ac:dyDescent="0.25">
      <c r="A162" s="108"/>
      <c r="B162" s="134">
        <v>2</v>
      </c>
      <c r="C162" s="335" t="s">
        <v>193</v>
      </c>
      <c r="D162" s="335" t="s">
        <v>38</v>
      </c>
      <c r="E162" s="334">
        <v>27.999320000000001</v>
      </c>
      <c r="F162" s="334">
        <v>5.0282400000000003</v>
      </c>
      <c r="G162" s="334">
        <v>32.622140000000002</v>
      </c>
      <c r="H162" s="334">
        <f t="shared" si="18"/>
        <v>8.0628609612906188E-2</v>
      </c>
      <c r="I162" s="190">
        <f t="shared" si="19"/>
        <v>3.6282874325807781</v>
      </c>
    </row>
    <row r="163" spans="1:9" ht="16" x14ac:dyDescent="0.25">
      <c r="A163" s="108"/>
      <c r="B163" s="134">
        <v>2</v>
      </c>
      <c r="C163" s="335" t="s">
        <v>193</v>
      </c>
      <c r="D163" s="335" t="s">
        <v>39</v>
      </c>
      <c r="E163" s="334">
        <v>29.3933</v>
      </c>
      <c r="F163" s="334">
        <v>4.5392000000000001</v>
      </c>
      <c r="G163" s="334">
        <v>33.592599999999997</v>
      </c>
      <c r="H163" s="334">
        <f t="shared" si="18"/>
        <v>7.4881036305957022E-2</v>
      </c>
      <c r="I163" s="190">
        <f t="shared" si="19"/>
        <v>3.3696466337680664</v>
      </c>
    </row>
    <row r="164" spans="1:9" ht="17" thickBot="1" x14ac:dyDescent="0.3">
      <c r="A164" s="108"/>
      <c r="B164" s="136">
        <v>2</v>
      </c>
      <c r="C164" s="335" t="s">
        <v>193</v>
      </c>
      <c r="D164" s="167" t="s">
        <v>40</v>
      </c>
      <c r="E164" s="168">
        <v>29.456733333333332</v>
      </c>
      <c r="F164" s="168">
        <v>4.8013666666666666</v>
      </c>
      <c r="G164" s="168">
        <v>34.115333333333332</v>
      </c>
      <c r="H164" s="168">
        <f t="shared" si="18"/>
        <v>2.9734589457168455E-2</v>
      </c>
      <c r="I164" s="193">
        <f t="shared" si="19"/>
        <v>1.3380565255725805</v>
      </c>
    </row>
    <row r="165" spans="1:9" ht="16" x14ac:dyDescent="0.25">
      <c r="A165" s="108"/>
      <c r="B165" s="261" t="s">
        <v>168</v>
      </c>
      <c r="C165" s="335"/>
      <c r="D165" s="337"/>
      <c r="E165" s="264">
        <f>AVERAGE(E153:E164)</f>
        <v>28.156712499999998</v>
      </c>
      <c r="F165" s="264">
        <f t="shared" ref="F165:I165" si="20">AVERAGE(F153:F164)</f>
        <v>4.8469069444444441</v>
      </c>
      <c r="G165" s="264">
        <f t="shared" si="20"/>
        <v>32.623893055555556</v>
      </c>
      <c r="H165" s="264">
        <f t="shared" si="20"/>
        <v>7.7877889260291197E-2</v>
      </c>
      <c r="I165" s="272">
        <f t="shared" si="20"/>
        <v>3.5045050167131038</v>
      </c>
    </row>
    <row r="166" spans="1:9" ht="16" x14ac:dyDescent="0.25">
      <c r="A166" s="108"/>
      <c r="B166" s="268" t="s">
        <v>169</v>
      </c>
      <c r="C166" s="335"/>
      <c r="D166" s="337"/>
      <c r="E166" s="269">
        <f>_xlfn.STDEV.S(E153:E164)</f>
        <v>1.2719277725857709</v>
      </c>
      <c r="F166" s="269">
        <f t="shared" ref="F166:I166" si="21">_xlfn.STDEV.S(F153:F164)</f>
        <v>0.27961290345530149</v>
      </c>
      <c r="G166" s="269">
        <f t="shared" si="21"/>
        <v>1.3886518819100189</v>
      </c>
      <c r="H166" s="269">
        <f t="shared" si="21"/>
        <v>4.3837776709529375E-2</v>
      </c>
      <c r="I166" s="338">
        <f t="shared" si="21"/>
        <v>1.9726999519288229</v>
      </c>
    </row>
    <row r="167" spans="1:9" ht="16" x14ac:dyDescent="0.25">
      <c r="B167" s="268" t="s">
        <v>171</v>
      </c>
      <c r="C167" s="335"/>
      <c r="D167" s="337"/>
      <c r="E167" s="269">
        <f>COUNT(E153:E164)</f>
        <v>12</v>
      </c>
      <c r="F167" s="269">
        <f t="shared" ref="F167:I167" si="22">COUNT(F153:F164)</f>
        <v>12</v>
      </c>
      <c r="G167" s="269">
        <f t="shared" si="22"/>
        <v>12</v>
      </c>
      <c r="H167" s="269">
        <f t="shared" si="22"/>
        <v>12</v>
      </c>
      <c r="I167" s="338">
        <f t="shared" si="22"/>
        <v>12</v>
      </c>
    </row>
    <row r="168" spans="1:9" ht="17" thickBot="1" x14ac:dyDescent="0.3">
      <c r="B168" s="262" t="s">
        <v>172</v>
      </c>
      <c r="C168" s="166"/>
      <c r="D168" s="167"/>
      <c r="E168" s="227">
        <f>E166/SQRT(E167)</f>
        <v>0.36717392094607798</v>
      </c>
      <c r="F168" s="227">
        <f t="shared" ref="F168:I168" si="23">F166/SQRT(F167)</f>
        <v>8.0717292539405586E-2</v>
      </c>
      <c r="G168" s="227">
        <f t="shared" si="23"/>
        <v>0.40086926891571495</v>
      </c>
      <c r="H168" s="227">
        <f t="shared" si="23"/>
        <v>1.2654876091960747E-2</v>
      </c>
      <c r="I168" s="192">
        <f t="shared" si="23"/>
        <v>0.56946942413823387</v>
      </c>
    </row>
    <row r="172" spans="1:9" ht="34" x14ac:dyDescent="0.25">
      <c r="A172" s="238" t="s">
        <v>52</v>
      </c>
      <c r="B172" s="239"/>
      <c r="C172" s="239"/>
      <c r="D172" s="239"/>
      <c r="E172" s="239"/>
      <c r="F172" s="239"/>
      <c r="G172" s="239"/>
    </row>
    <row r="173" spans="1:9" ht="52" thickBot="1" x14ac:dyDescent="0.3">
      <c r="A173" s="239"/>
      <c r="B173" s="239" t="s">
        <v>18</v>
      </c>
      <c r="C173" s="239"/>
      <c r="D173" s="239"/>
      <c r="E173" s="239"/>
      <c r="F173" s="239"/>
      <c r="G173" s="239"/>
    </row>
    <row r="174" spans="1:9" ht="37" thickBot="1" x14ac:dyDescent="0.3">
      <c r="A174" s="239"/>
      <c r="B174" s="240" t="s">
        <v>36</v>
      </c>
      <c r="C174" s="241" t="s">
        <v>44</v>
      </c>
      <c r="D174" s="241" t="s">
        <v>43</v>
      </c>
      <c r="E174" s="242" t="s">
        <v>10</v>
      </c>
      <c r="F174" s="243" t="s">
        <v>164</v>
      </c>
      <c r="G174" s="239"/>
    </row>
    <row r="175" spans="1:9" ht="17" x14ac:dyDescent="0.25">
      <c r="A175" s="239"/>
      <c r="B175" s="244">
        <v>1</v>
      </c>
      <c r="C175" s="339" t="s">
        <v>37</v>
      </c>
      <c r="D175" s="340" t="s">
        <v>39</v>
      </c>
      <c r="E175" s="245">
        <v>6.79</v>
      </c>
      <c r="F175" s="246">
        <v>76.849999999999994</v>
      </c>
      <c r="G175" s="239"/>
    </row>
    <row r="176" spans="1:9" ht="17" x14ac:dyDescent="0.25">
      <c r="A176" s="239"/>
      <c r="B176" s="244">
        <v>1</v>
      </c>
      <c r="C176" s="339" t="s">
        <v>37</v>
      </c>
      <c r="D176" s="340" t="s">
        <v>38</v>
      </c>
      <c r="E176" s="249">
        <v>5.1029999999999998</v>
      </c>
      <c r="F176" s="250">
        <v>115.125</v>
      </c>
      <c r="G176" s="239"/>
    </row>
    <row r="177" spans="1:10" ht="17" x14ac:dyDescent="0.25">
      <c r="A177" s="239"/>
      <c r="B177" s="244">
        <v>1</v>
      </c>
      <c r="C177" s="339" t="s">
        <v>37</v>
      </c>
      <c r="D177" s="340" t="s">
        <v>40</v>
      </c>
      <c r="E177" s="249">
        <v>6.85</v>
      </c>
      <c r="F177" s="250">
        <v>74.05</v>
      </c>
      <c r="G177" s="239"/>
    </row>
    <row r="178" spans="1:10" ht="17" x14ac:dyDescent="0.25">
      <c r="A178" s="239"/>
      <c r="B178" s="244">
        <v>1</v>
      </c>
      <c r="C178" s="339" t="s">
        <v>41</v>
      </c>
      <c r="D178" s="340" t="s">
        <v>39</v>
      </c>
      <c r="E178" s="249">
        <v>6.3</v>
      </c>
      <c r="F178" s="250">
        <v>141.15</v>
      </c>
      <c r="G178" s="239"/>
    </row>
    <row r="179" spans="1:10" ht="17" x14ac:dyDescent="0.25">
      <c r="A179" s="239"/>
      <c r="B179" s="244">
        <v>1</v>
      </c>
      <c r="C179" s="339" t="s">
        <v>41</v>
      </c>
      <c r="D179" s="340" t="s">
        <v>38</v>
      </c>
      <c r="E179" s="249">
        <v>6.4850000000000003</v>
      </c>
      <c r="F179" s="250">
        <v>64.25</v>
      </c>
      <c r="G179" s="239"/>
    </row>
    <row r="180" spans="1:10" ht="17" x14ac:dyDescent="0.25">
      <c r="A180" s="239"/>
      <c r="B180" s="244">
        <v>1</v>
      </c>
      <c r="C180" s="339" t="s">
        <v>41</v>
      </c>
      <c r="D180" s="340" t="s">
        <v>40</v>
      </c>
      <c r="E180" s="249">
        <v>6.0979999999999999</v>
      </c>
      <c r="F180" s="250">
        <v>165.5</v>
      </c>
      <c r="G180" s="239"/>
    </row>
    <row r="181" spans="1:10" ht="17" x14ac:dyDescent="0.25">
      <c r="A181" s="239"/>
      <c r="B181" s="244">
        <v>2</v>
      </c>
      <c r="C181" s="339" t="s">
        <v>37</v>
      </c>
      <c r="D181" s="340" t="s">
        <v>39</v>
      </c>
      <c r="E181" s="249">
        <v>5.7939999999999996</v>
      </c>
      <c r="F181" s="250">
        <v>93.3</v>
      </c>
      <c r="G181" s="239"/>
    </row>
    <row r="182" spans="1:10" ht="17" x14ac:dyDescent="0.25">
      <c r="A182" s="239"/>
      <c r="B182" s="244">
        <v>2</v>
      </c>
      <c r="C182" s="339" t="s">
        <v>37</v>
      </c>
      <c r="D182" s="340" t="s">
        <v>38</v>
      </c>
      <c r="E182" s="249">
        <v>5.58</v>
      </c>
      <c r="F182" s="250">
        <v>108.96</v>
      </c>
      <c r="G182" s="239"/>
    </row>
    <row r="183" spans="1:10" ht="17" x14ac:dyDescent="0.25">
      <c r="A183" s="239"/>
      <c r="B183" s="244">
        <v>2</v>
      </c>
      <c r="C183" s="339" t="s">
        <v>37</v>
      </c>
      <c r="D183" s="340" t="s">
        <v>40</v>
      </c>
      <c r="E183" s="249">
        <v>5.6520000000000001</v>
      </c>
      <c r="F183" s="250">
        <v>153.65</v>
      </c>
      <c r="G183" s="239"/>
    </row>
    <row r="184" spans="1:10" ht="17" x14ac:dyDescent="0.25">
      <c r="A184" s="239"/>
      <c r="B184" s="244">
        <v>2</v>
      </c>
      <c r="C184" s="339" t="s">
        <v>41</v>
      </c>
      <c r="D184" s="340" t="s">
        <v>39</v>
      </c>
      <c r="E184" s="249">
        <v>5.83</v>
      </c>
      <c r="F184" s="250">
        <v>188</v>
      </c>
      <c r="G184" s="239"/>
    </row>
    <row r="185" spans="1:10" ht="17" x14ac:dyDescent="0.25">
      <c r="A185" s="239"/>
      <c r="B185" s="244">
        <v>2</v>
      </c>
      <c r="C185" s="339" t="s">
        <v>41</v>
      </c>
      <c r="D185" s="340" t="s">
        <v>38</v>
      </c>
      <c r="E185" s="249">
        <v>5.9379999999999997</v>
      </c>
      <c r="F185" s="250">
        <v>96.85</v>
      </c>
      <c r="G185" s="239"/>
    </row>
    <row r="186" spans="1:10" ht="18" thickBot="1" x14ac:dyDescent="0.3">
      <c r="A186" s="239"/>
      <c r="B186" s="251">
        <v>2</v>
      </c>
      <c r="C186" s="252" t="s">
        <v>41</v>
      </c>
      <c r="D186" s="290" t="s">
        <v>40</v>
      </c>
      <c r="E186" s="253">
        <v>5.5650000000000004</v>
      </c>
      <c r="F186" s="254">
        <v>287.35000000000002</v>
      </c>
      <c r="G186" s="239"/>
    </row>
    <row r="187" spans="1:10" ht="16" x14ac:dyDescent="0.25">
      <c r="B187" s="261" t="s">
        <v>168</v>
      </c>
      <c r="C187" s="335"/>
      <c r="D187" s="337"/>
      <c r="E187" s="264">
        <f>AVERAGE(E175:E186)</f>
        <v>5.9987500000000002</v>
      </c>
      <c r="F187" s="272">
        <f t="shared" ref="F187" si="24">AVERAGE(F175:F186)</f>
        <v>130.41958333333332</v>
      </c>
    </row>
    <row r="188" spans="1:10" ht="16" x14ac:dyDescent="0.25">
      <c r="B188" s="268" t="s">
        <v>169</v>
      </c>
      <c r="C188" s="335"/>
      <c r="D188" s="337"/>
      <c r="E188" s="269">
        <f>_xlfn.STDEV.S(E175:E186)</f>
        <v>0.52638805682085565</v>
      </c>
      <c r="F188" s="338">
        <f t="shared" ref="F188" si="25">_xlfn.STDEV.S(F175:F186)</f>
        <v>62.851160488972724</v>
      </c>
    </row>
    <row r="189" spans="1:10" ht="16" x14ac:dyDescent="0.25">
      <c r="B189" s="268" t="s">
        <v>171</v>
      </c>
      <c r="C189" s="335"/>
      <c r="D189" s="337"/>
      <c r="E189" s="269">
        <f>COUNT(E175:E186)</f>
        <v>12</v>
      </c>
      <c r="F189" s="338">
        <f t="shared" ref="F189" si="26">COUNT(F175:F186)</f>
        <v>12</v>
      </c>
    </row>
    <row r="190" spans="1:10" ht="17" thickBot="1" x14ac:dyDescent="0.3">
      <c r="B190" s="262" t="s">
        <v>172</v>
      </c>
      <c r="C190" s="166"/>
      <c r="D190" s="167"/>
      <c r="E190" s="227">
        <f>E188/SQRT(E189)</f>
        <v>0.15195514315186254</v>
      </c>
      <c r="F190" s="192">
        <f t="shared" ref="F190" si="27">F188/SQRT(F189)</f>
        <v>18.143567213594388</v>
      </c>
    </row>
    <row r="192" spans="1:10" ht="51" x14ac:dyDescent="0.25">
      <c r="A192" s="238" t="s">
        <v>53</v>
      </c>
      <c r="B192" s="239"/>
      <c r="C192" s="239"/>
      <c r="D192" s="239"/>
      <c r="E192" s="239"/>
      <c r="F192" s="239"/>
      <c r="G192" s="239"/>
      <c r="H192" s="239"/>
      <c r="I192" s="239"/>
      <c r="J192" s="239"/>
    </row>
    <row r="193" spans="1:10" ht="69" thickBot="1" x14ac:dyDescent="0.3">
      <c r="A193" s="239"/>
      <c r="B193" s="239" t="s">
        <v>54</v>
      </c>
      <c r="C193" s="239"/>
      <c r="D193" s="239"/>
      <c r="E193" s="239"/>
      <c r="F193" s="239"/>
      <c r="G193" s="239"/>
      <c r="H193" s="239"/>
      <c r="I193" s="239"/>
      <c r="J193" s="239"/>
    </row>
    <row r="194" spans="1:10" ht="37" thickBot="1" x14ac:dyDescent="0.3">
      <c r="A194" s="239"/>
      <c r="B194" s="240" t="s">
        <v>36</v>
      </c>
      <c r="C194" s="241" t="s">
        <v>44</v>
      </c>
      <c r="D194" s="255" t="s">
        <v>43</v>
      </c>
      <c r="E194" s="241" t="s">
        <v>19</v>
      </c>
      <c r="F194" s="241" t="s">
        <v>165</v>
      </c>
      <c r="G194" s="241" t="s">
        <v>166</v>
      </c>
      <c r="H194" s="256" t="s">
        <v>118</v>
      </c>
      <c r="I194" s="241" t="s">
        <v>142</v>
      </c>
      <c r="J194" s="255" t="s">
        <v>101</v>
      </c>
    </row>
    <row r="195" spans="1:10" ht="17" x14ac:dyDescent="0.25">
      <c r="A195" s="239"/>
      <c r="B195" s="244">
        <v>1</v>
      </c>
      <c r="C195" s="239" t="s">
        <v>37</v>
      </c>
      <c r="D195" t="s">
        <v>188</v>
      </c>
      <c r="E195" s="257">
        <v>15.1</v>
      </c>
      <c r="F195" s="257">
        <v>4.4290000000000003</v>
      </c>
      <c r="G195" s="257">
        <v>2.9159999999999999</v>
      </c>
      <c r="H195" s="257">
        <v>5.8140000000000001</v>
      </c>
      <c r="I195" s="257">
        <v>14.27</v>
      </c>
      <c r="J195" s="250">
        <v>20.587</v>
      </c>
    </row>
    <row r="196" spans="1:10" ht="17" x14ac:dyDescent="0.25">
      <c r="A196" s="239"/>
      <c r="B196" s="244">
        <v>1</v>
      </c>
      <c r="C196" s="239" t="s">
        <v>37</v>
      </c>
      <c r="D196" t="s">
        <v>189</v>
      </c>
      <c r="E196" s="257">
        <v>15.02</v>
      </c>
      <c r="F196" s="257">
        <v>3.5409999999999999</v>
      </c>
      <c r="G196" s="257">
        <v>1.329</v>
      </c>
      <c r="H196" s="257">
        <v>8.9570000000000007</v>
      </c>
      <c r="I196" s="257">
        <v>13.785</v>
      </c>
      <c r="J196" s="250">
        <v>14.129</v>
      </c>
    </row>
    <row r="197" spans="1:10" ht="17" x14ac:dyDescent="0.25">
      <c r="A197" s="239"/>
      <c r="B197" s="244">
        <v>1</v>
      </c>
      <c r="C197" s="239" t="s">
        <v>37</v>
      </c>
      <c r="D197" t="s">
        <v>190</v>
      </c>
      <c r="E197" s="257">
        <v>15.154999999999999</v>
      </c>
      <c r="F197" s="257">
        <v>2.4169999999999998</v>
      </c>
      <c r="G197" s="257">
        <v>1.504</v>
      </c>
      <c r="H197" s="257">
        <v>13.81</v>
      </c>
      <c r="I197" s="257">
        <v>13.316000000000001</v>
      </c>
      <c r="J197" s="250">
        <v>11.776</v>
      </c>
    </row>
    <row r="198" spans="1:10" ht="17" x14ac:dyDescent="0.25">
      <c r="A198" s="239"/>
      <c r="B198" s="244">
        <v>1</v>
      </c>
      <c r="C198" s="239" t="s">
        <v>41</v>
      </c>
      <c r="D198" t="s">
        <v>188</v>
      </c>
      <c r="E198" s="257">
        <v>15</v>
      </c>
      <c r="F198" s="257">
        <v>3.2080000000000002</v>
      </c>
      <c r="G198" s="257">
        <v>1.849</v>
      </c>
      <c r="H198" s="257">
        <v>9.2170000000000005</v>
      </c>
      <c r="I198" s="257">
        <v>13.734</v>
      </c>
      <c r="J198" s="250">
        <v>14.727</v>
      </c>
    </row>
    <row r="199" spans="1:10" ht="17" x14ac:dyDescent="0.25">
      <c r="A199" s="239"/>
      <c r="B199" s="244">
        <v>1</v>
      </c>
      <c r="C199" s="239" t="s">
        <v>41</v>
      </c>
      <c r="D199" t="s">
        <v>189</v>
      </c>
      <c r="E199" s="257">
        <v>15.37</v>
      </c>
      <c r="F199" s="257">
        <v>0.997</v>
      </c>
      <c r="G199" s="257">
        <v>1.2450000000000001</v>
      </c>
      <c r="H199" s="257">
        <v>10.929</v>
      </c>
      <c r="I199" s="257">
        <v>13.856</v>
      </c>
      <c r="J199" s="250">
        <v>6.4720000000000004</v>
      </c>
    </row>
    <row r="200" spans="1:10" ht="17" x14ac:dyDescent="0.25">
      <c r="A200" s="239"/>
      <c r="B200" s="244">
        <v>1</v>
      </c>
      <c r="C200" s="239" t="s">
        <v>41</v>
      </c>
      <c r="D200" t="s">
        <v>190</v>
      </c>
      <c r="E200" s="257">
        <v>15.042999999999999</v>
      </c>
      <c r="F200" s="257">
        <v>2.0249999999999999</v>
      </c>
      <c r="G200" s="257">
        <v>1.0009999999999999</v>
      </c>
      <c r="H200" s="257">
        <v>11.202</v>
      </c>
      <c r="I200" s="257">
        <v>13.528</v>
      </c>
      <c r="J200" s="250">
        <v>8.9489999999999998</v>
      </c>
    </row>
    <row r="201" spans="1:10" ht="17" x14ac:dyDescent="0.25">
      <c r="A201" s="239"/>
      <c r="B201" s="244">
        <v>2</v>
      </c>
      <c r="C201" s="239" t="s">
        <v>37</v>
      </c>
      <c r="D201" t="s">
        <v>188</v>
      </c>
      <c r="E201" s="257">
        <v>14.803000000000001</v>
      </c>
      <c r="F201" s="257">
        <v>8.1189999999999998</v>
      </c>
      <c r="G201" s="257">
        <v>11.438000000000001</v>
      </c>
      <c r="H201" s="257">
        <v>4.0940000000000003</v>
      </c>
      <c r="I201" s="257">
        <v>14.221</v>
      </c>
      <c r="J201" s="250">
        <v>55.008000000000003</v>
      </c>
    </row>
    <row r="202" spans="1:10" ht="17" x14ac:dyDescent="0.25">
      <c r="A202" s="239"/>
      <c r="B202" s="244">
        <v>2</v>
      </c>
      <c r="C202" s="239" t="s">
        <v>37</v>
      </c>
      <c r="D202" t="s">
        <v>189</v>
      </c>
      <c r="E202" s="257">
        <v>14.898999999999999</v>
      </c>
      <c r="F202" s="257">
        <v>4.6550000000000002</v>
      </c>
      <c r="G202" s="257">
        <v>11.435</v>
      </c>
      <c r="H202" s="257">
        <v>5.0049999999999999</v>
      </c>
      <c r="I202" s="257">
        <v>14.189</v>
      </c>
      <c r="J202" s="250">
        <v>45.357999999999997</v>
      </c>
    </row>
    <row r="203" spans="1:10" ht="17" x14ac:dyDescent="0.25">
      <c r="A203" s="239"/>
      <c r="B203" s="244">
        <v>2</v>
      </c>
      <c r="C203" s="239" t="s">
        <v>37</v>
      </c>
      <c r="D203" t="s">
        <v>190</v>
      </c>
      <c r="E203" s="257">
        <v>15.241</v>
      </c>
      <c r="F203" s="257">
        <v>2.2480000000000002</v>
      </c>
      <c r="G203" s="257">
        <v>9.8770000000000007</v>
      </c>
      <c r="H203" s="257">
        <v>4.8479999999999999</v>
      </c>
      <c r="I203" s="257">
        <v>14.536</v>
      </c>
      <c r="J203" s="250">
        <v>33.366999999999997</v>
      </c>
    </row>
    <row r="204" spans="1:10" ht="17" x14ac:dyDescent="0.25">
      <c r="A204" s="239"/>
      <c r="B204" s="244">
        <v>2</v>
      </c>
      <c r="C204" s="239" t="s">
        <v>41</v>
      </c>
      <c r="D204" t="s">
        <v>188</v>
      </c>
      <c r="E204" s="257">
        <v>15.263</v>
      </c>
      <c r="F204" s="257">
        <v>4.8739999999999997</v>
      </c>
      <c r="G204" s="257">
        <v>3.1389999999999998</v>
      </c>
      <c r="H204" s="257">
        <v>4.351</v>
      </c>
      <c r="I204" s="257">
        <v>14.627000000000001</v>
      </c>
      <c r="J204" s="250">
        <v>21.914000000000001</v>
      </c>
    </row>
    <row r="205" spans="1:10" ht="17" x14ac:dyDescent="0.25">
      <c r="A205" s="239"/>
      <c r="B205" s="244">
        <v>2</v>
      </c>
      <c r="C205" s="239" t="s">
        <v>41</v>
      </c>
      <c r="D205" t="s">
        <v>189</v>
      </c>
      <c r="E205" s="257">
        <v>15.018000000000001</v>
      </c>
      <c r="F205" s="257">
        <v>2.5470000000000002</v>
      </c>
      <c r="G205" s="257">
        <v>0.28599999999999998</v>
      </c>
      <c r="H205" s="257">
        <v>5.4980000000000002</v>
      </c>
      <c r="I205" s="257">
        <v>14.234999999999999</v>
      </c>
      <c r="J205" s="250">
        <v>7.9589999999999996</v>
      </c>
    </row>
    <row r="206" spans="1:10" ht="18" thickBot="1" x14ac:dyDescent="0.3">
      <c r="A206" s="239"/>
      <c r="B206" s="251">
        <v>2</v>
      </c>
      <c r="C206" s="252" t="s">
        <v>41</v>
      </c>
      <c r="D206" t="s">
        <v>190</v>
      </c>
      <c r="E206" s="258">
        <v>15.02</v>
      </c>
      <c r="F206" s="258">
        <v>2.6840000000000002</v>
      </c>
      <c r="G206" s="258">
        <v>0.54400000000000004</v>
      </c>
      <c r="H206" s="258">
        <v>5.4989999999999997</v>
      </c>
      <c r="I206" s="258">
        <v>14.237</v>
      </c>
      <c r="J206" s="254">
        <v>9.0690000000000008</v>
      </c>
    </row>
    <row r="209" spans="1:8" ht="16" x14ac:dyDescent="0.25">
      <c r="A209" s="154" t="s">
        <v>50</v>
      </c>
      <c r="B209" s="154"/>
      <c r="C209" s="154"/>
      <c r="D209" s="108"/>
      <c r="E209" s="108"/>
      <c r="F209" s="108"/>
      <c r="G209" s="108"/>
      <c r="H209" s="108"/>
    </row>
    <row r="210" spans="1:8" ht="17" thickBot="1" x14ac:dyDescent="0.3">
      <c r="A210" s="108"/>
      <c r="B210" s="108" t="s">
        <v>80</v>
      </c>
      <c r="C210" s="108"/>
      <c r="D210" s="108"/>
      <c r="E210" s="108"/>
      <c r="F210" s="108" t="s">
        <v>98</v>
      </c>
      <c r="G210" s="108"/>
      <c r="H210" s="108" t="s">
        <v>110</v>
      </c>
    </row>
    <row r="211" spans="1:8" ht="73" thickBot="1" x14ac:dyDescent="0.3">
      <c r="A211" s="108"/>
      <c r="B211" s="156" t="s">
        <v>36</v>
      </c>
      <c r="C211" s="198" t="s">
        <v>44</v>
      </c>
      <c r="D211" s="159" t="s">
        <v>43</v>
      </c>
      <c r="E211" s="133" t="s">
        <v>51</v>
      </c>
      <c r="F211" s="133" t="s">
        <v>7</v>
      </c>
      <c r="G211" s="188" t="s">
        <v>113</v>
      </c>
      <c r="H211" s="159" t="s">
        <v>112</v>
      </c>
    </row>
    <row r="212" spans="1:8" ht="17" x14ac:dyDescent="0.25">
      <c r="A212" s="108"/>
      <c r="B212" s="134">
        <v>1</v>
      </c>
      <c r="C212" s="239" t="s">
        <v>37</v>
      </c>
      <c r="D212" t="s">
        <v>188</v>
      </c>
      <c r="E212" s="161">
        <v>0.50390000000000001</v>
      </c>
      <c r="F212" s="161">
        <v>0.45250000000000001</v>
      </c>
      <c r="G212" s="161">
        <f>F212*18.6356</f>
        <v>8.4326090000000011</v>
      </c>
      <c r="H212" s="190">
        <f>G212*(25/1000)/E212</f>
        <v>0.41836718594959327</v>
      </c>
    </row>
    <row r="213" spans="1:8" ht="17" x14ac:dyDescent="0.25">
      <c r="A213" s="108"/>
      <c r="B213" s="134">
        <v>1</v>
      </c>
      <c r="C213" s="239" t="s">
        <v>37</v>
      </c>
      <c r="D213" t="s">
        <v>189</v>
      </c>
      <c r="E213" s="161">
        <v>0.50792499999999996</v>
      </c>
      <c r="F213" s="161">
        <v>0.2515</v>
      </c>
      <c r="G213" s="161">
        <f t="shared" ref="G213:G223" si="28">F213*18.6356</f>
        <v>4.6868534000000004</v>
      </c>
      <c r="H213" s="190">
        <f t="shared" ref="H213:H223" si="29">G213*(25/1000)/E213</f>
        <v>0.23068629226755924</v>
      </c>
    </row>
    <row r="214" spans="1:8" ht="17" x14ac:dyDescent="0.25">
      <c r="A214" s="108"/>
      <c r="B214" s="134">
        <v>1</v>
      </c>
      <c r="C214" s="239" t="s">
        <v>37</v>
      </c>
      <c r="D214" t="s">
        <v>190</v>
      </c>
      <c r="E214" s="161">
        <v>0.51232500000000003</v>
      </c>
      <c r="F214" s="161">
        <v>0.20674999999999999</v>
      </c>
      <c r="G214" s="161">
        <f t="shared" si="28"/>
        <v>3.8529103</v>
      </c>
      <c r="H214" s="190">
        <f t="shared" si="29"/>
        <v>0.18801104279510078</v>
      </c>
    </row>
    <row r="215" spans="1:8" ht="16" x14ac:dyDescent="0.25">
      <c r="A215" s="108"/>
      <c r="B215" s="134">
        <v>1</v>
      </c>
      <c r="C215" t="s">
        <v>193</v>
      </c>
      <c r="D215" t="s">
        <v>188</v>
      </c>
      <c r="E215" s="161">
        <v>0.5</v>
      </c>
      <c r="F215" s="161">
        <v>0.26500000000000001</v>
      </c>
      <c r="G215" s="161">
        <f t="shared" si="28"/>
        <v>4.938434</v>
      </c>
      <c r="H215" s="190">
        <f t="shared" si="29"/>
        <v>0.24692170000000002</v>
      </c>
    </row>
    <row r="216" spans="1:8" ht="16" x14ac:dyDescent="0.25">
      <c r="A216" s="108"/>
      <c r="B216" s="134">
        <v>1</v>
      </c>
      <c r="C216" t="s">
        <v>193</v>
      </c>
      <c r="D216" t="s">
        <v>189</v>
      </c>
      <c r="E216" s="161">
        <v>0.50459999999999994</v>
      </c>
      <c r="F216" s="161">
        <v>0.23449999999999999</v>
      </c>
      <c r="G216" s="161">
        <f t="shared" si="28"/>
        <v>4.3700481999999994</v>
      </c>
      <c r="H216" s="190">
        <f t="shared" si="29"/>
        <v>0.21651051327784385</v>
      </c>
    </row>
    <row r="217" spans="1:8" ht="16" x14ac:dyDescent="0.25">
      <c r="A217" s="108"/>
      <c r="B217" s="134">
        <v>1</v>
      </c>
      <c r="C217" t="s">
        <v>193</v>
      </c>
      <c r="D217" t="s">
        <v>190</v>
      </c>
      <c r="E217" s="161">
        <v>0.50009999999999999</v>
      </c>
      <c r="F217" s="161">
        <v>3.2000000000000001E-2</v>
      </c>
      <c r="G217" s="161">
        <f t="shared" si="28"/>
        <v>0.59633920000000007</v>
      </c>
      <c r="H217" s="190">
        <f t="shared" si="29"/>
        <v>2.9810997800439915E-2</v>
      </c>
    </row>
    <row r="218" spans="1:8" ht="17" x14ac:dyDescent="0.25">
      <c r="A218" s="108"/>
      <c r="B218" s="134">
        <v>2</v>
      </c>
      <c r="C218" s="239" t="s">
        <v>37</v>
      </c>
      <c r="D218" t="s">
        <v>188</v>
      </c>
      <c r="E218" s="161">
        <v>0.54169999999999996</v>
      </c>
      <c r="F218" s="161">
        <v>0.4403333333333333</v>
      </c>
      <c r="G218" s="161">
        <f t="shared" si="28"/>
        <v>8.2058758666666662</v>
      </c>
      <c r="H218" s="190">
        <f t="shared" si="29"/>
        <v>0.37870942711217775</v>
      </c>
    </row>
    <row r="219" spans="1:8" ht="17" x14ac:dyDescent="0.25">
      <c r="A219" s="108"/>
      <c r="B219" s="134">
        <v>2</v>
      </c>
      <c r="C219" s="239" t="s">
        <v>37</v>
      </c>
      <c r="D219" t="s">
        <v>189</v>
      </c>
      <c r="E219" s="161">
        <v>0.51026666666666665</v>
      </c>
      <c r="F219" s="161">
        <v>0.23666666666666666</v>
      </c>
      <c r="G219" s="161">
        <f t="shared" si="28"/>
        <v>4.4104253333333334</v>
      </c>
      <c r="H219" s="190">
        <f t="shared" si="29"/>
        <v>0.21608433498824148</v>
      </c>
    </row>
    <row r="220" spans="1:8" ht="17" x14ac:dyDescent="0.25">
      <c r="A220" s="108"/>
      <c r="B220" s="134">
        <v>2</v>
      </c>
      <c r="C220" s="239" t="s">
        <v>37</v>
      </c>
      <c r="D220" t="s">
        <v>190</v>
      </c>
      <c r="E220" s="161">
        <v>0.50129999999999997</v>
      </c>
      <c r="F220" s="161">
        <v>0.13566666666666669</v>
      </c>
      <c r="G220" s="161">
        <f t="shared" si="28"/>
        <v>2.5282297333333337</v>
      </c>
      <c r="H220" s="190">
        <f t="shared" si="29"/>
        <v>0.12608366912693666</v>
      </c>
    </row>
    <row r="221" spans="1:8" ht="16" x14ac:dyDescent="0.25">
      <c r="A221" s="108"/>
      <c r="B221" s="134">
        <v>2</v>
      </c>
      <c r="C221" t="s">
        <v>193</v>
      </c>
      <c r="D221" t="s">
        <v>188</v>
      </c>
      <c r="E221" s="161">
        <v>0.51916000000000007</v>
      </c>
      <c r="F221" s="161">
        <v>0.19400000000000001</v>
      </c>
      <c r="G221" s="161">
        <f t="shared" si="28"/>
        <v>3.6153064000000001</v>
      </c>
      <c r="H221" s="190">
        <f t="shared" si="29"/>
        <v>0.17409403652053315</v>
      </c>
    </row>
    <row r="222" spans="1:8" ht="16" x14ac:dyDescent="0.25">
      <c r="A222" s="108"/>
      <c r="B222" s="134">
        <v>2</v>
      </c>
      <c r="C222" t="s">
        <v>193</v>
      </c>
      <c r="D222" t="s">
        <v>189</v>
      </c>
      <c r="E222" s="161">
        <v>0.54356666666666664</v>
      </c>
      <c r="F222" s="161">
        <v>0.126</v>
      </c>
      <c r="G222" s="161">
        <f t="shared" si="28"/>
        <v>2.3480856000000001</v>
      </c>
      <c r="H222" s="190">
        <f t="shared" si="29"/>
        <v>0.10799437051572947</v>
      </c>
    </row>
    <row r="223" spans="1:8" ht="17" thickBot="1" x14ac:dyDescent="0.3">
      <c r="A223" s="108"/>
      <c r="B223" s="136">
        <v>2</v>
      </c>
      <c r="C223" t="s">
        <v>193</v>
      </c>
      <c r="D223" t="s">
        <v>190</v>
      </c>
      <c r="E223" s="168">
        <v>0.52424999999999999</v>
      </c>
      <c r="F223" s="168">
        <v>9.7925000000000012E-2</v>
      </c>
      <c r="G223" s="168">
        <f t="shared" si="28"/>
        <v>1.8248911300000001</v>
      </c>
      <c r="H223" s="193">
        <f t="shared" si="29"/>
        <v>8.7023897472579895E-2</v>
      </c>
    </row>
    <row r="226" spans="1:17" ht="17" thickBot="1" x14ac:dyDescent="0.3">
      <c r="A226" s="154" t="s">
        <v>63</v>
      </c>
      <c r="B226" s="154"/>
      <c r="C226" s="154"/>
      <c r="D226" s="108"/>
      <c r="E226" s="162"/>
      <c r="F226" s="162"/>
      <c r="G226" s="162"/>
      <c r="H226" s="163"/>
      <c r="I226" s="180"/>
      <c r="J226" s="163"/>
      <c r="K226" s="108"/>
      <c r="L226" s="163"/>
      <c r="M226" s="108"/>
      <c r="N226" s="108"/>
      <c r="O226" s="108"/>
      <c r="P226" s="108"/>
      <c r="Q226" s="108"/>
    </row>
    <row r="227" spans="1:17" ht="17" thickBot="1" x14ac:dyDescent="0.3">
      <c r="A227" s="108"/>
      <c r="B227" s="108" t="s">
        <v>64</v>
      </c>
      <c r="C227" s="108"/>
      <c r="D227" s="108"/>
      <c r="E227" s="108"/>
      <c r="F227" s="108"/>
      <c r="G227" s="108"/>
      <c r="H227" s="108"/>
      <c r="I227" s="108"/>
      <c r="J227" s="108" t="s">
        <v>133</v>
      </c>
      <c r="K227" s="108"/>
      <c r="L227" s="108"/>
      <c r="M227" s="108" t="s">
        <v>65</v>
      </c>
      <c r="N227" s="108"/>
      <c r="O227" s="108"/>
      <c r="P227" s="108"/>
      <c r="Q227" s="108"/>
    </row>
    <row r="228" spans="1:17" ht="120" thickBot="1" x14ac:dyDescent="0.3">
      <c r="A228" s="108"/>
      <c r="B228" s="156" t="s">
        <v>36</v>
      </c>
      <c r="C228" s="157" t="s">
        <v>44</v>
      </c>
      <c r="D228" s="198" t="s">
        <v>43</v>
      </c>
      <c r="E228" s="131" t="s">
        <v>19</v>
      </c>
      <c r="F228" s="133" t="s">
        <v>66</v>
      </c>
      <c r="G228" s="133" t="s">
        <v>134</v>
      </c>
      <c r="H228" s="133" t="s">
        <v>138</v>
      </c>
      <c r="I228" s="133" t="s">
        <v>67</v>
      </c>
      <c r="J228" s="133" t="s">
        <v>135</v>
      </c>
      <c r="K228" s="133" t="s">
        <v>139</v>
      </c>
      <c r="L228" s="133" t="s">
        <v>68</v>
      </c>
      <c r="M228" s="132" t="s">
        <v>136</v>
      </c>
      <c r="N228" s="133" t="s">
        <v>20</v>
      </c>
      <c r="O228" s="133"/>
      <c r="P228" s="133" t="s">
        <v>69</v>
      </c>
      <c r="Q228" s="132" t="s">
        <v>137</v>
      </c>
    </row>
    <row r="229" spans="1:17" ht="17" x14ac:dyDescent="0.25">
      <c r="A229" s="108"/>
      <c r="B229" s="171">
        <v>1</v>
      </c>
      <c r="C229" s="239" t="s">
        <v>37</v>
      </c>
      <c r="D229" t="s">
        <v>188</v>
      </c>
      <c r="E229" s="185">
        <v>50.017499999999998</v>
      </c>
      <c r="F229" s="163">
        <v>27.475000000000001</v>
      </c>
      <c r="G229" s="163">
        <f t="shared" ref="G229:G234" si="30">F229+0.4</f>
        <v>27.875</v>
      </c>
      <c r="H229" s="199">
        <f t="shared" ref="H229:H240" si="31">G229-O229</f>
        <v>27.164999999999999</v>
      </c>
      <c r="I229" s="163">
        <v>13.65</v>
      </c>
      <c r="J229" s="161">
        <f>I229-0.04</f>
        <v>13.610000000000001</v>
      </c>
      <c r="K229" s="200">
        <f t="shared" ref="K229:K240" si="32">J229-O229</f>
        <v>12.900000000000002</v>
      </c>
      <c r="L229" s="163">
        <v>23.25</v>
      </c>
      <c r="M229" s="182">
        <f t="shared" ref="M229:M240" si="33">L229+0.4</f>
        <v>23.65</v>
      </c>
      <c r="N229" s="163">
        <v>0.75</v>
      </c>
      <c r="O229" s="163">
        <f t="shared" ref="O229:O240" si="34">N229-0.04</f>
        <v>0.71</v>
      </c>
      <c r="P229" s="163">
        <v>22.5</v>
      </c>
      <c r="Q229" s="182">
        <f t="shared" ref="Q229:Q240" si="35">P229+0.4</f>
        <v>22.9</v>
      </c>
    </row>
    <row r="230" spans="1:17" ht="17" x14ac:dyDescent="0.25">
      <c r="A230" s="108"/>
      <c r="B230" s="134">
        <v>1</v>
      </c>
      <c r="C230" s="239" t="s">
        <v>37</v>
      </c>
      <c r="D230" t="s">
        <v>189</v>
      </c>
      <c r="E230" s="185">
        <v>50</v>
      </c>
      <c r="F230" s="163">
        <v>30.5</v>
      </c>
      <c r="G230" s="163">
        <f t="shared" si="30"/>
        <v>30.9</v>
      </c>
      <c r="H230" s="199">
        <f t="shared" si="31"/>
        <v>27.939999999999998</v>
      </c>
      <c r="I230" s="163">
        <v>19</v>
      </c>
      <c r="J230" s="161">
        <f>I230-0.04</f>
        <v>18.96</v>
      </c>
      <c r="K230" s="200">
        <f t="shared" si="32"/>
        <v>16</v>
      </c>
      <c r="L230" s="163">
        <v>23.75</v>
      </c>
      <c r="M230" s="182">
        <f t="shared" si="33"/>
        <v>24.15</v>
      </c>
      <c r="N230" s="163">
        <v>3</v>
      </c>
      <c r="O230" s="163">
        <f t="shared" si="34"/>
        <v>2.96</v>
      </c>
      <c r="P230" s="163">
        <v>23</v>
      </c>
      <c r="Q230" s="182">
        <f t="shared" si="35"/>
        <v>23.4</v>
      </c>
    </row>
    <row r="231" spans="1:17" ht="17" x14ac:dyDescent="0.25">
      <c r="A231" s="108"/>
      <c r="B231" s="134">
        <v>1</v>
      </c>
      <c r="C231" s="239" t="s">
        <v>37</v>
      </c>
      <c r="D231" t="s">
        <v>190</v>
      </c>
      <c r="E231" s="185">
        <v>50.175000000000004</v>
      </c>
      <c r="F231" s="163">
        <v>31.75</v>
      </c>
      <c r="G231" s="163">
        <f t="shared" si="30"/>
        <v>32.15</v>
      </c>
      <c r="H231" s="199">
        <f t="shared" si="31"/>
        <v>29.689999999999998</v>
      </c>
      <c r="I231" s="163">
        <v>20.25</v>
      </c>
      <c r="J231" s="163">
        <f>I231+0.4</f>
        <v>20.65</v>
      </c>
      <c r="K231" s="200">
        <f t="shared" si="32"/>
        <v>18.189999999999998</v>
      </c>
      <c r="L231" s="163">
        <v>23</v>
      </c>
      <c r="M231" s="182">
        <f t="shared" si="33"/>
        <v>23.4</v>
      </c>
      <c r="N231" s="163">
        <v>2.5</v>
      </c>
      <c r="O231" s="163">
        <f t="shared" si="34"/>
        <v>2.46</v>
      </c>
      <c r="P231" s="163">
        <v>23</v>
      </c>
      <c r="Q231" s="182">
        <f t="shared" si="35"/>
        <v>23.4</v>
      </c>
    </row>
    <row r="232" spans="1:17" ht="17" x14ac:dyDescent="0.25">
      <c r="A232" s="108"/>
      <c r="B232" s="134">
        <v>1</v>
      </c>
      <c r="C232" s="239" t="s">
        <v>193</v>
      </c>
      <c r="D232" t="s">
        <v>188</v>
      </c>
      <c r="E232" s="185">
        <v>50</v>
      </c>
      <c r="F232" s="163">
        <v>25.25</v>
      </c>
      <c r="G232" s="163">
        <f t="shared" si="30"/>
        <v>25.65</v>
      </c>
      <c r="H232" s="199">
        <f t="shared" si="31"/>
        <v>23.689999999999998</v>
      </c>
      <c r="I232" s="163">
        <v>14.25</v>
      </c>
      <c r="J232" s="161">
        <f>I232-0.04</f>
        <v>14.21</v>
      </c>
      <c r="K232" s="200">
        <f t="shared" si="32"/>
        <v>12.25</v>
      </c>
      <c r="L232" s="163">
        <v>24</v>
      </c>
      <c r="M232" s="182">
        <f t="shared" si="33"/>
        <v>24.4</v>
      </c>
      <c r="N232" s="163">
        <v>2</v>
      </c>
      <c r="O232" s="163">
        <f t="shared" si="34"/>
        <v>1.96</v>
      </c>
      <c r="P232" s="163">
        <v>23</v>
      </c>
      <c r="Q232" s="182">
        <f t="shared" si="35"/>
        <v>23.4</v>
      </c>
    </row>
    <row r="233" spans="1:17" ht="17" x14ac:dyDescent="0.25">
      <c r="A233" s="108"/>
      <c r="B233" s="134">
        <v>1</v>
      </c>
      <c r="C233" s="239" t="s">
        <v>193</v>
      </c>
      <c r="D233" t="s">
        <v>189</v>
      </c>
      <c r="E233" s="185">
        <v>50.115000000000002</v>
      </c>
      <c r="F233" s="163">
        <v>28</v>
      </c>
      <c r="G233" s="163">
        <f t="shared" si="30"/>
        <v>28.4</v>
      </c>
      <c r="H233" s="199">
        <f t="shared" si="31"/>
        <v>25.439999999999998</v>
      </c>
      <c r="I233" s="163">
        <v>18</v>
      </c>
      <c r="J233" s="161">
        <f>I233-0.04</f>
        <v>17.96</v>
      </c>
      <c r="K233" s="200">
        <f t="shared" si="32"/>
        <v>15</v>
      </c>
      <c r="L233" s="163">
        <v>23.7</v>
      </c>
      <c r="M233" s="182">
        <f t="shared" si="33"/>
        <v>24.099999999999998</v>
      </c>
      <c r="N233" s="163">
        <v>3</v>
      </c>
      <c r="O233" s="163">
        <f t="shared" si="34"/>
        <v>2.96</v>
      </c>
      <c r="P233" s="163">
        <v>22.5</v>
      </c>
      <c r="Q233" s="182">
        <f t="shared" si="35"/>
        <v>22.9</v>
      </c>
    </row>
    <row r="234" spans="1:17" ht="17" x14ac:dyDescent="0.25">
      <c r="A234" s="108"/>
      <c r="B234" s="134">
        <v>1</v>
      </c>
      <c r="C234" s="239" t="s">
        <v>193</v>
      </c>
      <c r="D234" t="s">
        <v>190</v>
      </c>
      <c r="E234" s="185">
        <v>50</v>
      </c>
      <c r="F234" s="163">
        <v>36.5</v>
      </c>
      <c r="G234" s="163">
        <f t="shared" si="30"/>
        <v>36.9</v>
      </c>
      <c r="H234" s="199">
        <f t="shared" si="31"/>
        <v>34.94</v>
      </c>
      <c r="I234" s="163">
        <v>34</v>
      </c>
      <c r="J234" s="163">
        <f>I234+0.4</f>
        <v>34.4</v>
      </c>
      <c r="K234" s="200">
        <f t="shared" si="32"/>
        <v>32.44</v>
      </c>
      <c r="L234" s="163">
        <v>23.5</v>
      </c>
      <c r="M234" s="182">
        <f t="shared" si="33"/>
        <v>23.9</v>
      </c>
      <c r="N234" s="163">
        <v>2</v>
      </c>
      <c r="O234" s="163">
        <f t="shared" si="34"/>
        <v>1.96</v>
      </c>
      <c r="P234" s="163">
        <v>22.5</v>
      </c>
      <c r="Q234" s="182">
        <f t="shared" si="35"/>
        <v>22.9</v>
      </c>
    </row>
    <row r="235" spans="1:17" ht="17" x14ac:dyDescent="0.25">
      <c r="A235" s="108"/>
      <c r="B235" s="134">
        <v>2</v>
      </c>
      <c r="C235" s="239" t="s">
        <v>37</v>
      </c>
      <c r="D235" t="s">
        <v>188</v>
      </c>
      <c r="E235" s="185">
        <v>50.052499999999995</v>
      </c>
      <c r="F235" s="163">
        <v>15.125</v>
      </c>
      <c r="G235" s="161">
        <f>F235-0.04</f>
        <v>15.085000000000001</v>
      </c>
      <c r="H235" s="199">
        <f t="shared" si="31"/>
        <v>12.75</v>
      </c>
      <c r="I235" s="163">
        <v>7.375</v>
      </c>
      <c r="J235" s="161">
        <f t="shared" ref="J235:J240" si="36">I235-0.04</f>
        <v>7.335</v>
      </c>
      <c r="K235" s="200">
        <f t="shared" si="32"/>
        <v>5</v>
      </c>
      <c r="L235" s="163">
        <v>24</v>
      </c>
      <c r="M235" s="182">
        <f t="shared" si="33"/>
        <v>24.4</v>
      </c>
      <c r="N235" s="163">
        <v>2.375</v>
      </c>
      <c r="O235" s="163">
        <f t="shared" si="34"/>
        <v>2.335</v>
      </c>
      <c r="P235" s="163">
        <v>23</v>
      </c>
      <c r="Q235" s="182">
        <f t="shared" si="35"/>
        <v>23.4</v>
      </c>
    </row>
    <row r="236" spans="1:17" ht="17" x14ac:dyDescent="0.25">
      <c r="A236" s="108"/>
      <c r="B236" s="134">
        <v>2</v>
      </c>
      <c r="C236" s="239" t="s">
        <v>37</v>
      </c>
      <c r="D236" t="s">
        <v>189</v>
      </c>
      <c r="E236" s="185">
        <v>49.937125000000002</v>
      </c>
      <c r="F236" s="163">
        <v>16.25</v>
      </c>
      <c r="G236" s="161">
        <f>F236-0.04</f>
        <v>16.21</v>
      </c>
      <c r="H236" s="199">
        <f t="shared" si="31"/>
        <v>13.75</v>
      </c>
      <c r="I236" s="163">
        <v>10</v>
      </c>
      <c r="J236" s="161">
        <f t="shared" si="36"/>
        <v>9.9600000000000009</v>
      </c>
      <c r="K236" s="200">
        <f t="shared" si="32"/>
        <v>7.5000000000000009</v>
      </c>
      <c r="L236" s="163">
        <v>23.3</v>
      </c>
      <c r="M236" s="182">
        <f t="shared" si="33"/>
        <v>23.7</v>
      </c>
      <c r="N236" s="163">
        <v>2.5</v>
      </c>
      <c r="O236" s="163">
        <f t="shared" si="34"/>
        <v>2.46</v>
      </c>
      <c r="P236" s="163">
        <v>23</v>
      </c>
      <c r="Q236" s="182">
        <f t="shared" si="35"/>
        <v>23.4</v>
      </c>
    </row>
    <row r="237" spans="1:17" ht="17" x14ac:dyDescent="0.25">
      <c r="A237" s="108"/>
      <c r="B237" s="134">
        <v>2</v>
      </c>
      <c r="C237" s="239" t="s">
        <v>37</v>
      </c>
      <c r="D237" t="s">
        <v>190</v>
      </c>
      <c r="E237" s="185">
        <v>50.120919999999998</v>
      </c>
      <c r="F237" s="163">
        <v>14.4</v>
      </c>
      <c r="G237" s="161">
        <f>F237-0.04</f>
        <v>14.360000000000001</v>
      </c>
      <c r="H237" s="199">
        <f t="shared" si="31"/>
        <v>11.400000000000002</v>
      </c>
      <c r="I237" s="163">
        <v>9.2200000000000006</v>
      </c>
      <c r="J237" s="161">
        <f t="shared" si="36"/>
        <v>9.1800000000000015</v>
      </c>
      <c r="K237" s="200">
        <f t="shared" si="32"/>
        <v>6.2200000000000015</v>
      </c>
      <c r="L237" s="163">
        <v>23.4</v>
      </c>
      <c r="M237" s="182">
        <f t="shared" si="33"/>
        <v>23.799999999999997</v>
      </c>
      <c r="N237" s="163">
        <v>3</v>
      </c>
      <c r="O237" s="163">
        <f t="shared" si="34"/>
        <v>2.96</v>
      </c>
      <c r="P237" s="163">
        <v>22.619999999999997</v>
      </c>
      <c r="Q237" s="182">
        <f t="shared" si="35"/>
        <v>23.019999999999996</v>
      </c>
    </row>
    <row r="238" spans="1:17" ht="17" x14ac:dyDescent="0.25">
      <c r="A238" s="108"/>
      <c r="B238" s="134">
        <v>2</v>
      </c>
      <c r="C238" s="239" t="s">
        <v>193</v>
      </c>
      <c r="D238" t="s">
        <v>188</v>
      </c>
      <c r="E238" s="185">
        <v>50.109666666666669</v>
      </c>
      <c r="F238" s="163">
        <v>18</v>
      </c>
      <c r="G238" s="161">
        <f>F238-0.04</f>
        <v>17.96</v>
      </c>
      <c r="H238" s="199">
        <f t="shared" si="31"/>
        <v>15.5</v>
      </c>
      <c r="I238" s="163">
        <v>10.416666666666666</v>
      </c>
      <c r="J238" s="161">
        <f t="shared" si="36"/>
        <v>10.376666666666667</v>
      </c>
      <c r="K238" s="200">
        <f t="shared" si="32"/>
        <v>7.916666666666667</v>
      </c>
      <c r="L238" s="163">
        <v>23.033333333333331</v>
      </c>
      <c r="M238" s="182">
        <f t="shared" si="33"/>
        <v>23.43333333333333</v>
      </c>
      <c r="N238" s="163">
        <v>2.5</v>
      </c>
      <c r="O238" s="163">
        <f t="shared" si="34"/>
        <v>2.46</v>
      </c>
      <c r="P238" s="163">
        <v>22.733333333333334</v>
      </c>
      <c r="Q238" s="182">
        <f t="shared" si="35"/>
        <v>23.133333333333333</v>
      </c>
    </row>
    <row r="239" spans="1:17" ht="17" x14ac:dyDescent="0.25">
      <c r="A239" s="108"/>
      <c r="B239" s="134">
        <v>2</v>
      </c>
      <c r="C239" s="239" t="s">
        <v>193</v>
      </c>
      <c r="D239" t="s">
        <v>189</v>
      </c>
      <c r="E239" s="185">
        <v>50.233333333333327</v>
      </c>
      <c r="F239" s="163">
        <v>24</v>
      </c>
      <c r="G239" s="163">
        <f>F239+0.4</f>
        <v>24.4</v>
      </c>
      <c r="H239" s="199">
        <f t="shared" si="31"/>
        <v>22.439999999999998</v>
      </c>
      <c r="I239" s="163">
        <v>16</v>
      </c>
      <c r="J239" s="161">
        <f t="shared" si="36"/>
        <v>15.96</v>
      </c>
      <c r="K239" s="200">
        <f t="shared" si="32"/>
        <v>14</v>
      </c>
      <c r="L239" s="163">
        <v>22.899999999999995</v>
      </c>
      <c r="M239" s="182">
        <f t="shared" si="33"/>
        <v>23.299999999999994</v>
      </c>
      <c r="N239" s="163">
        <v>2</v>
      </c>
      <c r="O239" s="163">
        <f t="shared" si="34"/>
        <v>1.96</v>
      </c>
      <c r="P239" s="163">
        <v>22.5</v>
      </c>
      <c r="Q239" s="182">
        <f t="shared" si="35"/>
        <v>22.9</v>
      </c>
    </row>
    <row r="240" spans="1:17" ht="18" thickBot="1" x14ac:dyDescent="0.3">
      <c r="A240" s="108"/>
      <c r="B240" s="136">
        <v>2</v>
      </c>
      <c r="C240" s="252" t="s">
        <v>193</v>
      </c>
      <c r="D240" t="s">
        <v>190</v>
      </c>
      <c r="E240" s="186">
        <v>50.357500000000002</v>
      </c>
      <c r="F240" s="202">
        <v>23.125</v>
      </c>
      <c r="G240" s="202">
        <f>F240+0.4</f>
        <v>23.524999999999999</v>
      </c>
      <c r="H240" s="203">
        <f t="shared" si="31"/>
        <v>20.805</v>
      </c>
      <c r="I240" s="202">
        <v>16.375</v>
      </c>
      <c r="J240" s="168">
        <f t="shared" si="36"/>
        <v>16.335000000000001</v>
      </c>
      <c r="K240" s="204">
        <f t="shared" si="32"/>
        <v>13.615000000000002</v>
      </c>
      <c r="L240" s="202">
        <v>22.9</v>
      </c>
      <c r="M240" s="184">
        <f t="shared" si="33"/>
        <v>23.299999999999997</v>
      </c>
      <c r="N240" s="202">
        <v>2.76</v>
      </c>
      <c r="O240" s="202">
        <f t="shared" si="34"/>
        <v>2.7199999999999998</v>
      </c>
      <c r="P240" s="202">
        <v>22.65</v>
      </c>
      <c r="Q240" s="184">
        <f t="shared" si="35"/>
        <v>23.049999999999997</v>
      </c>
    </row>
    <row r="241" spans="1:17" ht="16" x14ac:dyDescent="0.25">
      <c r="A241" s="108"/>
      <c r="B241" s="108"/>
      <c r="C241" s="108"/>
      <c r="D241" s="108"/>
      <c r="E241" s="108"/>
      <c r="F241" s="108"/>
      <c r="G241" s="108"/>
      <c r="H241" s="108"/>
      <c r="I241" s="108"/>
      <c r="J241" s="108"/>
      <c r="K241" s="108"/>
      <c r="L241" s="108"/>
      <c r="M241" s="108"/>
      <c r="N241" s="108"/>
      <c r="O241" s="108"/>
      <c r="P241" s="108"/>
      <c r="Q241" s="108"/>
    </row>
    <row r="242" spans="1:17" ht="171" thickBot="1" x14ac:dyDescent="0.3">
      <c r="A242" s="108"/>
      <c r="B242" s="283" t="s">
        <v>35</v>
      </c>
      <c r="C242" s="283"/>
      <c r="D242" s="283"/>
      <c r="E242" s="283"/>
      <c r="F242" s="283"/>
      <c r="G242" s="283"/>
      <c r="H242" s="283"/>
      <c r="I242" s="283"/>
      <c r="J242" s="283"/>
      <c r="K242" s="283"/>
      <c r="L242" s="283"/>
      <c r="M242" s="108"/>
      <c r="N242" s="108"/>
      <c r="O242" s="108"/>
      <c r="P242" s="108"/>
      <c r="Q242" s="108"/>
    </row>
    <row r="243" spans="1:17" ht="17" thickBot="1" x14ac:dyDescent="0.3">
      <c r="A243" s="108"/>
      <c r="B243" s="313" t="s">
        <v>162</v>
      </c>
      <c r="C243" s="172"/>
      <c r="D243" s="172"/>
      <c r="E243" s="172"/>
      <c r="F243" s="172"/>
      <c r="G243" s="172"/>
      <c r="H243" s="172"/>
      <c r="I243" s="172"/>
      <c r="J243" s="172"/>
      <c r="K243" s="172"/>
      <c r="L243" s="314"/>
      <c r="M243" s="160"/>
      <c r="N243" s="108"/>
      <c r="O243" s="108"/>
      <c r="P243" s="108"/>
      <c r="Q243" s="108"/>
    </row>
    <row r="244" spans="1:17" ht="120" thickBot="1" x14ac:dyDescent="0.3">
      <c r="A244" s="108"/>
      <c r="B244" s="187" t="s">
        <v>36</v>
      </c>
      <c r="C244" s="131" t="s">
        <v>44</v>
      </c>
      <c r="D244" s="133" t="s">
        <v>43</v>
      </c>
      <c r="E244" s="133" t="s">
        <v>19</v>
      </c>
      <c r="F244" s="133" t="s">
        <v>123</v>
      </c>
      <c r="G244" s="133" t="s">
        <v>142</v>
      </c>
      <c r="H244" s="133" t="s">
        <v>143</v>
      </c>
      <c r="I244" s="133" t="s">
        <v>144</v>
      </c>
      <c r="J244" s="133" t="s">
        <v>141</v>
      </c>
      <c r="K244" s="133" t="s">
        <v>145</v>
      </c>
      <c r="L244" s="132" t="s">
        <v>146</v>
      </c>
      <c r="M244" s="108"/>
      <c r="N244" s="108"/>
      <c r="O244" s="108"/>
      <c r="P244" s="108"/>
      <c r="Q244" s="108"/>
    </row>
    <row r="245" spans="1:17" ht="17" x14ac:dyDescent="0.25">
      <c r="A245" s="108"/>
      <c r="B245" s="205">
        <v>1</v>
      </c>
      <c r="C245" s="239" t="s">
        <v>37</v>
      </c>
      <c r="D245" t="s">
        <v>188</v>
      </c>
      <c r="E245" s="229">
        <v>50.017499999999998</v>
      </c>
      <c r="F245" s="229">
        <v>5.8142526369950902</v>
      </c>
      <c r="G245" s="229">
        <f>E245/((F245/100)+1)</f>
        <v>47.269152078774624</v>
      </c>
      <c r="H245" s="161">
        <v>27.164999999999999</v>
      </c>
      <c r="I245" s="229">
        <v>12.900000000000002</v>
      </c>
      <c r="J245" s="229">
        <f t="shared" ref="J245:J256" si="37">((G245-H245)/G245)*100</f>
        <v>42.531230611606503</v>
      </c>
      <c r="K245" s="161">
        <f t="shared" ref="K245:K256" si="38">(H245-(0.7*I245))/G245*100</f>
        <v>38.365401540898802</v>
      </c>
      <c r="L245" s="190">
        <f t="shared" ref="L245:L256" si="39">100-J245-K245</f>
        <v>19.103367847494695</v>
      </c>
      <c r="M245" s="108"/>
      <c r="N245" s="108"/>
      <c r="O245" s="108"/>
      <c r="P245" s="108"/>
      <c r="Q245" s="108"/>
    </row>
    <row r="246" spans="1:17" ht="17" x14ac:dyDescent="0.25">
      <c r="A246" s="108"/>
      <c r="B246" s="205">
        <v>1</v>
      </c>
      <c r="C246" s="239" t="s">
        <v>37</v>
      </c>
      <c r="D246" t="s">
        <v>189</v>
      </c>
      <c r="E246" s="229">
        <v>50</v>
      </c>
      <c r="F246" s="229">
        <v>8.9567430025444796</v>
      </c>
      <c r="G246" s="229">
        <f t="shared" ref="G246:G256" si="40">E246/((F246/100)+1)</f>
        <v>45.889771134983675</v>
      </c>
      <c r="H246" s="161">
        <v>27.939999999999998</v>
      </c>
      <c r="I246" s="229">
        <v>16</v>
      </c>
      <c r="J246" s="229">
        <f t="shared" si="37"/>
        <v>39.11497201017815</v>
      </c>
      <c r="K246" s="161">
        <f t="shared" si="38"/>
        <v>36.47871755725189</v>
      </c>
      <c r="L246" s="190">
        <f t="shared" si="39"/>
        <v>24.40631043256996</v>
      </c>
      <c r="M246" s="108"/>
      <c r="N246" s="108"/>
      <c r="O246" s="108"/>
      <c r="P246" s="108"/>
      <c r="Q246" s="108"/>
    </row>
    <row r="247" spans="1:17" ht="17" x14ac:dyDescent="0.25">
      <c r="A247" s="108"/>
      <c r="B247" s="205">
        <v>1</v>
      </c>
      <c r="C247" s="239" t="s">
        <v>37</v>
      </c>
      <c r="D247" t="s">
        <v>190</v>
      </c>
      <c r="E247" s="229">
        <v>50.175000000000004</v>
      </c>
      <c r="F247" s="229">
        <v>13.810043668122271</v>
      </c>
      <c r="G247" s="229">
        <f t="shared" si="40"/>
        <v>44.086618705035981</v>
      </c>
      <c r="H247" s="161">
        <v>29.689999999999998</v>
      </c>
      <c r="I247" s="229">
        <v>18.189999999999998</v>
      </c>
      <c r="J247" s="229">
        <f t="shared" si="37"/>
        <v>32.655302511080237</v>
      </c>
      <c r="K247" s="161">
        <f t="shared" si="38"/>
        <v>38.462917996618813</v>
      </c>
      <c r="L247" s="190">
        <f t="shared" si="39"/>
        <v>28.88177949230095</v>
      </c>
      <c r="M247" s="108"/>
      <c r="N247" s="108"/>
      <c r="O247" s="108"/>
      <c r="P247" s="108"/>
      <c r="Q247" s="108"/>
    </row>
    <row r="248" spans="1:17" ht="17" x14ac:dyDescent="0.25">
      <c r="A248" s="108"/>
      <c r="B248" s="205">
        <v>1</v>
      </c>
      <c r="C248" s="239" t="s">
        <v>193</v>
      </c>
      <c r="D248" t="s">
        <v>188</v>
      </c>
      <c r="E248" s="229">
        <v>50</v>
      </c>
      <c r="F248" s="229">
        <v>9.2173017507724371</v>
      </c>
      <c r="G248" s="229">
        <f t="shared" si="40"/>
        <v>45.780292314945761</v>
      </c>
      <c r="H248" s="161">
        <v>23.689999999999998</v>
      </c>
      <c r="I248" s="229">
        <v>12.25</v>
      </c>
      <c r="J248" s="229">
        <f t="shared" si="37"/>
        <v>48.252842430484023</v>
      </c>
      <c r="K248" s="161">
        <f t="shared" si="38"/>
        <v>33.016390319258505</v>
      </c>
      <c r="L248" s="190">
        <f t="shared" si="39"/>
        <v>18.730767250257472</v>
      </c>
      <c r="M248" s="108"/>
      <c r="N248" s="108"/>
      <c r="O248" s="108"/>
      <c r="P248" s="108"/>
      <c r="Q248" s="108"/>
    </row>
    <row r="249" spans="1:17" ht="17" x14ac:dyDescent="0.25">
      <c r="A249" s="108"/>
      <c r="B249" s="205">
        <v>1</v>
      </c>
      <c r="C249" s="239" t="s">
        <v>193</v>
      </c>
      <c r="D249" t="s">
        <v>189</v>
      </c>
      <c r="E249" s="229">
        <v>50.115000000000002</v>
      </c>
      <c r="F249" s="229">
        <v>10.928961748633881</v>
      </c>
      <c r="G249" s="229">
        <f>E249/((F249/100)+1)</f>
        <v>45.177561576354677</v>
      </c>
      <c r="H249" s="161">
        <v>25.439999999999998</v>
      </c>
      <c r="I249" s="229">
        <v>15</v>
      </c>
      <c r="J249" s="229">
        <f t="shared" si="37"/>
        <v>43.688859884560593</v>
      </c>
      <c r="K249" s="161">
        <f t="shared" si="38"/>
        <v>33.069513888548144</v>
      </c>
      <c r="L249" s="190">
        <f t="shared" si="39"/>
        <v>23.241626226891263</v>
      </c>
      <c r="M249" s="108"/>
      <c r="N249" s="108"/>
      <c r="O249" s="108"/>
      <c r="P249" s="108"/>
      <c r="Q249" s="108"/>
    </row>
    <row r="250" spans="1:17" ht="17" x14ac:dyDescent="0.25">
      <c r="A250" s="108"/>
      <c r="B250" s="205">
        <v>1</v>
      </c>
      <c r="C250" s="239" t="s">
        <v>193</v>
      </c>
      <c r="D250" t="s">
        <v>190</v>
      </c>
      <c r="E250" s="229">
        <v>50</v>
      </c>
      <c r="F250" s="229">
        <v>11.202368979774333</v>
      </c>
      <c r="G250" s="229">
        <f t="shared" si="40"/>
        <v>44.963070893835074</v>
      </c>
      <c r="H250" s="161">
        <v>34.94</v>
      </c>
      <c r="I250" s="229">
        <v>32.44</v>
      </c>
      <c r="J250" s="229">
        <f t="shared" si="37"/>
        <v>22.291784556933695</v>
      </c>
      <c r="K250" s="161">
        <f t="shared" si="38"/>
        <v>27.204547547211995</v>
      </c>
      <c r="L250" s="190">
        <f t="shared" si="39"/>
        <v>50.503667895854313</v>
      </c>
      <c r="M250" s="108"/>
      <c r="N250" s="108"/>
      <c r="O250" s="108"/>
      <c r="P250" s="108"/>
      <c r="Q250" s="108"/>
    </row>
    <row r="251" spans="1:17" ht="17" x14ac:dyDescent="0.25">
      <c r="A251" s="108"/>
      <c r="B251" s="205">
        <v>2</v>
      </c>
      <c r="C251" s="239" t="s">
        <v>37</v>
      </c>
      <c r="D251" t="s">
        <v>188</v>
      </c>
      <c r="E251" s="229">
        <v>50.052499999999995</v>
      </c>
      <c r="F251" s="229">
        <v>4.093807858465369</v>
      </c>
      <c r="G251" s="229">
        <f t="shared" si="40"/>
        <v>48.084032114624492</v>
      </c>
      <c r="H251" s="161">
        <v>12.75</v>
      </c>
      <c r="I251" s="229">
        <v>5</v>
      </c>
      <c r="J251" s="229">
        <f t="shared" si="37"/>
        <v>73.48392087916821</v>
      </c>
      <c r="K251" s="161">
        <f t="shared" si="38"/>
        <v>19.237155440603459</v>
      </c>
      <c r="L251" s="190">
        <f t="shared" si="39"/>
        <v>7.2789236802283312</v>
      </c>
      <c r="M251" s="108"/>
      <c r="N251" s="108"/>
      <c r="O251" s="108"/>
      <c r="P251" s="108"/>
      <c r="Q251" s="108"/>
    </row>
    <row r="252" spans="1:17" ht="17" x14ac:dyDescent="0.25">
      <c r="A252" s="108"/>
      <c r="B252" s="205">
        <v>2</v>
      </c>
      <c r="C252" s="239" t="s">
        <v>37</v>
      </c>
      <c r="D252" t="s">
        <v>189</v>
      </c>
      <c r="E252" s="229">
        <v>49.937125000000002</v>
      </c>
      <c r="F252" s="229">
        <v>5.0049652432968994</v>
      </c>
      <c r="G252" s="229">
        <f t="shared" si="40"/>
        <v>47.5569177936448</v>
      </c>
      <c r="H252" s="161">
        <v>13.75</v>
      </c>
      <c r="I252" s="229">
        <v>7.5000000000000009</v>
      </c>
      <c r="J252" s="229">
        <f t="shared" si="37"/>
        <v>71.087276808680272</v>
      </c>
      <c r="K252" s="161">
        <f t="shared" si="38"/>
        <v>17.873319790997652</v>
      </c>
      <c r="L252" s="190">
        <f t="shared" si="39"/>
        <v>11.039403400322076</v>
      </c>
      <c r="M252" s="108"/>
      <c r="N252" s="108"/>
      <c r="O252" s="108"/>
      <c r="P252" s="108"/>
      <c r="Q252" s="108"/>
    </row>
    <row r="253" spans="1:17" ht="17" x14ac:dyDescent="0.25">
      <c r="A253" s="108"/>
      <c r="B253" s="205">
        <v>2</v>
      </c>
      <c r="C253" s="239" t="s">
        <v>37</v>
      </c>
      <c r="D253" t="s">
        <v>190</v>
      </c>
      <c r="E253" s="229">
        <v>50.120919999999998</v>
      </c>
      <c r="F253" s="229">
        <v>4.8476110393580401</v>
      </c>
      <c r="G253" s="229">
        <f t="shared" si="40"/>
        <v>47.803587991323369</v>
      </c>
      <c r="H253" s="161">
        <v>11.400000000000002</v>
      </c>
      <c r="I253" s="229">
        <v>6.2200000000000015</v>
      </c>
      <c r="J253" s="229">
        <f t="shared" si="37"/>
        <v>76.152417676118418</v>
      </c>
      <c r="K253" s="161">
        <f t="shared" si="38"/>
        <v>14.739479390707851</v>
      </c>
      <c r="L253" s="190">
        <f t="shared" si="39"/>
        <v>9.1081029331737309</v>
      </c>
      <c r="M253" s="108"/>
      <c r="N253" s="108"/>
      <c r="O253" s="108"/>
      <c r="P253" s="108"/>
      <c r="Q253" s="108"/>
    </row>
    <row r="254" spans="1:17" ht="17" x14ac:dyDescent="0.25">
      <c r="A254" s="108"/>
      <c r="B254" s="205">
        <v>2</v>
      </c>
      <c r="C254" s="239" t="s">
        <v>193</v>
      </c>
      <c r="D254" t="s">
        <v>188</v>
      </c>
      <c r="E254" s="229">
        <v>50.109666666666669</v>
      </c>
      <c r="F254" s="229">
        <v>4.3507139965835435</v>
      </c>
      <c r="G254" s="229">
        <f t="shared" si="40"/>
        <v>48.020434884908667</v>
      </c>
      <c r="H254" s="161">
        <v>15.5</v>
      </c>
      <c r="I254" s="229">
        <v>7.916666666666667</v>
      </c>
      <c r="J254" s="229">
        <f t="shared" si="37"/>
        <v>67.722074910089646</v>
      </c>
      <c r="K254" s="161">
        <f t="shared" si="38"/>
        <v>20.737699184109072</v>
      </c>
      <c r="L254" s="190">
        <f t="shared" si="39"/>
        <v>11.540225905801282</v>
      </c>
      <c r="M254" s="108"/>
      <c r="N254" s="108"/>
      <c r="O254" s="108"/>
      <c r="P254" s="108"/>
      <c r="Q254" s="108"/>
    </row>
    <row r="255" spans="1:17" ht="17" x14ac:dyDescent="0.25">
      <c r="A255" s="108"/>
      <c r="B255" s="205">
        <v>2</v>
      </c>
      <c r="C255" s="239" t="s">
        <v>193</v>
      </c>
      <c r="D255" t="s">
        <v>189</v>
      </c>
      <c r="E255" s="229">
        <v>50.233333333333327</v>
      </c>
      <c r="F255" s="229">
        <v>5.4983408468951858</v>
      </c>
      <c r="G255" s="229">
        <f t="shared" si="40"/>
        <v>47.615282790309109</v>
      </c>
      <c r="H255" s="161">
        <v>22.439999999999998</v>
      </c>
      <c r="I255" s="229">
        <v>14</v>
      </c>
      <c r="J255" s="229">
        <f t="shared" si="37"/>
        <v>52.87227401583953</v>
      </c>
      <c r="K255" s="161">
        <f t="shared" si="38"/>
        <v>26.546098771826575</v>
      </c>
      <c r="L255" s="190">
        <f t="shared" si="39"/>
        <v>20.581627212333895</v>
      </c>
      <c r="M255" s="108"/>
      <c r="N255" s="108"/>
      <c r="O255" s="108"/>
      <c r="P255" s="108"/>
      <c r="Q255" s="108"/>
    </row>
    <row r="256" spans="1:17" ht="18" thickBot="1" x14ac:dyDescent="0.3">
      <c r="A256" s="108"/>
      <c r="B256" s="207">
        <v>2</v>
      </c>
      <c r="C256" s="252" t="s">
        <v>193</v>
      </c>
      <c r="D256" s="7" t="s">
        <v>190</v>
      </c>
      <c r="E256" s="232">
        <v>50.357500000000002</v>
      </c>
      <c r="F256" s="232">
        <v>5.498688339077221</v>
      </c>
      <c r="G256" s="232">
        <f t="shared" si="40"/>
        <v>47.732820941004377</v>
      </c>
      <c r="H256" s="168">
        <v>20.805</v>
      </c>
      <c r="I256" s="232">
        <v>13.615000000000002</v>
      </c>
      <c r="J256" s="232">
        <f t="shared" si="37"/>
        <v>56.41363826849026</v>
      </c>
      <c r="K256" s="168">
        <f t="shared" si="38"/>
        <v>23.620016118332448</v>
      </c>
      <c r="L256" s="193">
        <f t="shared" si="39"/>
        <v>19.966345613177293</v>
      </c>
      <c r="M256" s="108"/>
      <c r="N256" s="108"/>
      <c r="O256" s="108"/>
      <c r="P256" s="108"/>
      <c r="Q256" s="108"/>
    </row>
    <row r="259" spans="1:17" x14ac:dyDescent="0.2">
      <c r="A259" s="1" t="s">
        <v>58</v>
      </c>
      <c r="B259" s="1"/>
      <c r="C259" s="1"/>
      <c r="E259" s="5"/>
      <c r="F259" s="5"/>
      <c r="I259" s="1"/>
      <c r="N259" s="2"/>
    </row>
    <row r="260" spans="1:17" x14ac:dyDescent="0.2">
      <c r="A260" s="1"/>
      <c r="B260" s="1"/>
      <c r="C260" s="1"/>
      <c r="E260" s="5"/>
      <c r="F260" s="5"/>
      <c r="I260" s="1"/>
      <c r="N260" s="2"/>
    </row>
    <row r="261" spans="1:17" x14ac:dyDescent="0.2">
      <c r="F261" s="95"/>
      <c r="G261" s="95"/>
      <c r="H261" s="95"/>
      <c r="I261" s="95"/>
      <c r="J261" s="96"/>
      <c r="N261" s="5"/>
      <c r="O261" s="5"/>
      <c r="P261" s="2"/>
    </row>
    <row r="262" spans="1:17" ht="81" thickBot="1" x14ac:dyDescent="0.25">
      <c r="B262" s="2" t="s">
        <v>126</v>
      </c>
      <c r="E262" s="2"/>
      <c r="F262" s="2"/>
      <c r="H262" s="2"/>
      <c r="I262" s="2"/>
      <c r="J262" s="2"/>
      <c r="K262" s="2"/>
      <c r="L262" s="2"/>
      <c r="M262" s="2"/>
      <c r="N262" s="5"/>
      <c r="O262" s="99"/>
    </row>
    <row r="263" spans="1:17" ht="129" thickBot="1" x14ac:dyDescent="0.25">
      <c r="B263" s="100" t="s">
        <v>36</v>
      </c>
      <c r="C263" s="101" t="s">
        <v>44</v>
      </c>
      <c r="D263" s="101" t="s">
        <v>43</v>
      </c>
      <c r="E263" s="98" t="s">
        <v>129</v>
      </c>
      <c r="F263" s="98" t="s">
        <v>128</v>
      </c>
      <c r="G263" s="102" t="s">
        <v>123</v>
      </c>
      <c r="H263" s="103" t="s">
        <v>125</v>
      </c>
      <c r="I263" s="103" t="s">
        <v>121</v>
      </c>
      <c r="J263" s="104" t="s">
        <v>70</v>
      </c>
      <c r="K263" s="103" t="s">
        <v>71</v>
      </c>
      <c r="L263" s="103" t="s">
        <v>72</v>
      </c>
      <c r="M263" s="103" t="s">
        <v>73</v>
      </c>
      <c r="N263" s="63" t="s">
        <v>124</v>
      </c>
      <c r="O263" s="103" t="s">
        <v>119</v>
      </c>
      <c r="P263" s="105" t="s">
        <v>127</v>
      </c>
      <c r="Q263" s="63" t="s">
        <v>130</v>
      </c>
    </row>
    <row r="264" spans="1:17" ht="17" x14ac:dyDescent="0.25">
      <c r="B264" s="18">
        <v>1</v>
      </c>
      <c r="C264" s="315" t="s">
        <v>37</v>
      </c>
      <c r="D264" s="5" t="s">
        <v>188</v>
      </c>
      <c r="E264" s="5">
        <v>4.0350000000000001</v>
      </c>
      <c r="F264" s="316">
        <v>9.9924999999999997</v>
      </c>
      <c r="G264" s="5">
        <v>5.8142526369950902</v>
      </c>
      <c r="H264" s="5">
        <f t="shared" ref="H264:H275" si="41">E264/((G264/100)+1)</f>
        <v>3.8132859226841731</v>
      </c>
      <c r="I264" s="59">
        <v>1.0999999999999999</v>
      </c>
      <c r="J264" s="57">
        <v>0.1350873039237932</v>
      </c>
      <c r="K264" s="5">
        <v>0.63233845215192253</v>
      </c>
      <c r="L264" s="5">
        <v>0.68426785712881644</v>
      </c>
      <c r="M264" s="5">
        <v>9.0305975644197831E-3</v>
      </c>
      <c r="N264" s="59">
        <f>SUM(J264:M264)</f>
        <v>1.460724210768952</v>
      </c>
      <c r="O264" s="5">
        <f>((N264*I264)/H264)*1000</f>
        <v>421.36799191675158</v>
      </c>
      <c r="P264" s="317">
        <f>(I264/(F264/(G264/100+1)))*10</f>
        <v>1.1648304018083022</v>
      </c>
      <c r="Q264" s="59">
        <f>O264+P264</f>
        <v>422.53282231855985</v>
      </c>
    </row>
    <row r="265" spans="1:17" ht="17" x14ac:dyDescent="0.25">
      <c r="B265" s="18">
        <v>1</v>
      </c>
      <c r="C265" s="315" t="s">
        <v>37</v>
      </c>
      <c r="D265" s="5" t="s">
        <v>189</v>
      </c>
      <c r="E265" s="5">
        <v>4.4975000000000005</v>
      </c>
      <c r="F265" s="316">
        <v>10.149999999999999</v>
      </c>
      <c r="G265" s="5">
        <v>8.9567430025444796</v>
      </c>
      <c r="H265" s="5">
        <f t="shared" si="41"/>
        <v>4.1277849135917819</v>
      </c>
      <c r="I265" s="59">
        <v>1.1499999999999999</v>
      </c>
      <c r="J265" s="57">
        <v>0.11845390231323981</v>
      </c>
      <c r="K265" s="5">
        <v>0.64595461887192873</v>
      </c>
      <c r="L265" s="5">
        <v>1.0245240621445042</v>
      </c>
      <c r="M265" s="5">
        <v>1.1905279850609565E-2</v>
      </c>
      <c r="N265" s="59">
        <f t="shared" ref="N265:N275" si="42">SUM(J265:M265)</f>
        <v>1.8008378631802824</v>
      </c>
      <c r="O265" s="5">
        <f t="shared" ref="O265:O275" si="43">((N265*I265)/H265)*1000</f>
        <v>501.71304610328662</v>
      </c>
      <c r="P265" s="317">
        <f t="shared" ref="P265:P275" si="44">(I265/(F265/(G265/100+1)))*10</f>
        <v>1.2344852655460705</v>
      </c>
      <c r="Q265" s="59">
        <f t="shared" ref="Q265:Q275" si="45">O265+P265</f>
        <v>502.9475313688327</v>
      </c>
    </row>
    <row r="266" spans="1:17" ht="17" x14ac:dyDescent="0.25">
      <c r="B266" s="18">
        <v>1</v>
      </c>
      <c r="C266" s="315" t="s">
        <v>37</v>
      </c>
      <c r="D266" s="5" t="s">
        <v>190</v>
      </c>
      <c r="E266" s="5">
        <v>4.0975000000000001</v>
      </c>
      <c r="F266" s="316">
        <v>10.135</v>
      </c>
      <c r="G266" s="5">
        <v>13.810043668122271</v>
      </c>
      <c r="H266" s="5">
        <f t="shared" si="41"/>
        <v>3.6002973621103123</v>
      </c>
      <c r="I266" s="59">
        <v>0.8</v>
      </c>
      <c r="J266" s="57">
        <v>8.4358430279297444E-2</v>
      </c>
      <c r="K266" s="5">
        <v>0.63385758518835</v>
      </c>
      <c r="L266" s="5">
        <v>1.03362094607879</v>
      </c>
      <c r="M266" s="5">
        <v>1.6558580681170186E-2</v>
      </c>
      <c r="N266" s="59">
        <f t="shared" si="42"/>
        <v>1.7683955422276076</v>
      </c>
      <c r="O266" s="5">
        <f t="shared" si="43"/>
        <v>392.9443297297118</v>
      </c>
      <c r="P266" s="317">
        <f t="shared" si="44"/>
        <v>0.89835258938823703</v>
      </c>
      <c r="Q266" s="59">
        <f t="shared" si="45"/>
        <v>393.84268231910005</v>
      </c>
    </row>
    <row r="267" spans="1:17" ht="17" x14ac:dyDescent="0.25">
      <c r="B267" s="18">
        <v>1</v>
      </c>
      <c r="C267" s="315" t="s">
        <v>193</v>
      </c>
      <c r="D267" s="5" t="s">
        <v>188</v>
      </c>
      <c r="E267" s="5">
        <v>4.0649999999999995</v>
      </c>
      <c r="F267" s="316">
        <v>10.074999999999999</v>
      </c>
      <c r="G267" s="5">
        <v>9.2173017507724371</v>
      </c>
      <c r="H267" s="5">
        <f t="shared" si="41"/>
        <v>3.72193776520509</v>
      </c>
      <c r="I267" s="59">
        <v>1.2</v>
      </c>
      <c r="J267" s="57">
        <v>0.11305588872806693</v>
      </c>
      <c r="K267" s="5">
        <v>0.69646477556780995</v>
      </c>
      <c r="L267" s="5">
        <v>0.88313579235449802</v>
      </c>
      <c r="M267" s="5">
        <v>1.7134425308901566E-2</v>
      </c>
      <c r="N267" s="59">
        <f t="shared" si="42"/>
        <v>1.7097908819592764</v>
      </c>
      <c r="O267" s="5">
        <f t="shared" si="43"/>
        <v>551.25829279901291</v>
      </c>
      <c r="P267" s="317">
        <f t="shared" si="44"/>
        <v>1.3008512367337661</v>
      </c>
      <c r="Q267" s="59">
        <f t="shared" si="45"/>
        <v>552.55914403574673</v>
      </c>
    </row>
    <row r="268" spans="1:17" ht="17" x14ac:dyDescent="0.25">
      <c r="B268" s="18">
        <v>1</v>
      </c>
      <c r="C268" s="315" t="s">
        <v>193</v>
      </c>
      <c r="D268" s="5" t="s">
        <v>189</v>
      </c>
      <c r="E268" s="5">
        <v>4.0104500000000005</v>
      </c>
      <c r="F268" s="316">
        <v>10.051749999999998</v>
      </c>
      <c r="G268" s="5">
        <v>10.928961748633881</v>
      </c>
      <c r="H268" s="5">
        <f t="shared" si="41"/>
        <v>3.6153317733990149</v>
      </c>
      <c r="I268" s="59">
        <v>0.85000000000000009</v>
      </c>
      <c r="J268" s="57">
        <v>4.6888316703520255E-2</v>
      </c>
      <c r="K268" s="5">
        <v>0.54338646824097747</v>
      </c>
      <c r="L268" s="5">
        <v>0.98684418142575714</v>
      </c>
      <c r="M268" s="5">
        <v>3.0343345219446996E-2</v>
      </c>
      <c r="N268" s="59">
        <f t="shared" si="42"/>
        <v>1.607462311589702</v>
      </c>
      <c r="O268" s="5">
        <f t="shared" si="43"/>
        <v>377.93017363013865</v>
      </c>
      <c r="P268" s="317">
        <f t="shared" si="44"/>
        <v>0.93804180850437802</v>
      </c>
      <c r="Q268" s="59">
        <f t="shared" si="45"/>
        <v>378.86821543864301</v>
      </c>
    </row>
    <row r="269" spans="1:17" ht="17" x14ac:dyDescent="0.25">
      <c r="B269" s="18">
        <v>1</v>
      </c>
      <c r="C269" s="315" t="s">
        <v>193</v>
      </c>
      <c r="D269" s="5" t="s">
        <v>190</v>
      </c>
      <c r="E269" s="5">
        <v>4.0233333333333325</v>
      </c>
      <c r="F269" s="316">
        <v>10.033333333333333</v>
      </c>
      <c r="G269" s="5">
        <v>11.202368979774333</v>
      </c>
      <c r="H269" s="5">
        <f t="shared" si="41"/>
        <v>3.6180284379239285</v>
      </c>
      <c r="I269" s="59">
        <v>3.6999999999999997</v>
      </c>
      <c r="J269" s="57">
        <v>3.9194165844879232E-2</v>
      </c>
      <c r="K269" s="5">
        <v>0.52775343062948543</v>
      </c>
      <c r="L269" s="5">
        <v>1.0600504196633029</v>
      </c>
      <c r="M269" s="5">
        <v>5.6394309722012197E-2</v>
      </c>
      <c r="N269" s="59">
        <f t="shared" si="42"/>
        <v>1.6833923258596797</v>
      </c>
      <c r="O269" s="5">
        <f>((N269*I269)/H269)*1000</f>
        <v>1721.5319648661573</v>
      </c>
      <c r="P269" s="317">
        <f t="shared" si="44"/>
        <v>4.1008182580581236</v>
      </c>
      <c r="Q269" s="59">
        <f t="shared" si="45"/>
        <v>1725.6327831242154</v>
      </c>
    </row>
    <row r="270" spans="1:17" ht="17" x14ac:dyDescent="0.25">
      <c r="B270" s="18">
        <v>2</v>
      </c>
      <c r="C270" s="315" t="s">
        <v>37</v>
      </c>
      <c r="D270" s="5" t="s">
        <v>188</v>
      </c>
      <c r="E270" s="5">
        <v>4.0179999999999998</v>
      </c>
      <c r="F270" s="316">
        <v>10.026</v>
      </c>
      <c r="G270" s="5">
        <v>4.093807858465369</v>
      </c>
      <c r="H270" s="5">
        <f t="shared" si="41"/>
        <v>3.859979841897232</v>
      </c>
      <c r="I270" s="59">
        <v>2.58</v>
      </c>
      <c r="J270" s="57">
        <v>7.3293515568402051E-2</v>
      </c>
      <c r="K270" s="5">
        <v>0.36999569048922731</v>
      </c>
      <c r="L270" s="5">
        <v>5.7202651052080521E-2</v>
      </c>
      <c r="M270" s="5">
        <v>6.2087842716597218E-3</v>
      </c>
      <c r="N270" s="59">
        <f t="shared" si="42"/>
        <v>0.50670064138136961</v>
      </c>
      <c r="O270" s="5">
        <f>((N270*I270)/H270)*1000</f>
        <v>338.67732690577577</v>
      </c>
      <c r="P270" s="317">
        <f t="shared" si="44"/>
        <v>2.6786557378300486</v>
      </c>
      <c r="Q270" s="59">
        <f t="shared" si="45"/>
        <v>341.35598264360584</v>
      </c>
    </row>
    <row r="271" spans="1:17" ht="17" x14ac:dyDescent="0.25">
      <c r="B271" s="18">
        <v>2</v>
      </c>
      <c r="C271" s="315" t="s">
        <v>37</v>
      </c>
      <c r="D271" s="5" t="s">
        <v>189</v>
      </c>
      <c r="E271" s="5">
        <v>3.9899999999999998</v>
      </c>
      <c r="F271" s="316">
        <v>10.257999999999999</v>
      </c>
      <c r="G271" s="5">
        <v>5.0049652432968994</v>
      </c>
      <c r="H271" s="5">
        <f t="shared" si="41"/>
        <v>3.7998203139776816</v>
      </c>
      <c r="I271" s="59">
        <v>3.72</v>
      </c>
      <c r="J271" s="57">
        <v>5.8318098205746259E-2</v>
      </c>
      <c r="K271" s="5">
        <v>0.28551359075427135</v>
      </c>
      <c r="L271" s="5">
        <v>3.9577298033054098E-2</v>
      </c>
      <c r="M271" s="5">
        <v>1.3026065935862353E-2</v>
      </c>
      <c r="N271" s="59">
        <f t="shared" si="42"/>
        <v>0.39643505292893405</v>
      </c>
      <c r="O271" s="5">
        <f t="shared" si="43"/>
        <v>388.10740378190854</v>
      </c>
      <c r="P271" s="317">
        <f t="shared" si="44"/>
        <v>3.8079398586962814</v>
      </c>
      <c r="Q271" s="59">
        <f t="shared" si="45"/>
        <v>391.91534364060482</v>
      </c>
    </row>
    <row r="272" spans="1:17" ht="17" x14ac:dyDescent="0.25">
      <c r="B272" s="18">
        <v>2</v>
      </c>
      <c r="C272" s="315" t="s">
        <v>37</v>
      </c>
      <c r="D272" s="5" t="s">
        <v>190</v>
      </c>
      <c r="E272" s="5">
        <v>4.0119999999999996</v>
      </c>
      <c r="F272" s="316">
        <v>10.053999999999998</v>
      </c>
      <c r="G272" s="5">
        <v>4.8476110393580401</v>
      </c>
      <c r="H272" s="5">
        <f t="shared" si="41"/>
        <v>3.8265058786069637</v>
      </c>
      <c r="I272" s="59">
        <v>1.8399999999999999</v>
      </c>
      <c r="J272" s="57">
        <v>4.3454173482778635E-2</v>
      </c>
      <c r="K272" s="5">
        <v>0.25383482407028146</v>
      </c>
      <c r="L272" s="5">
        <v>3.6653392165763278E-2</v>
      </c>
      <c r="M272" s="5">
        <v>1.1250288092784713E-2</v>
      </c>
      <c r="N272" s="59">
        <f t="shared" si="42"/>
        <v>0.34519267781160812</v>
      </c>
      <c r="O272" s="5">
        <f t="shared" si="43"/>
        <v>165.98812266939109</v>
      </c>
      <c r="P272" s="317">
        <f t="shared" si="44"/>
        <v>1.9188343377006047</v>
      </c>
      <c r="Q272" s="59">
        <f t="shared" si="45"/>
        <v>167.90695700709171</v>
      </c>
    </row>
    <row r="273" spans="2:17" ht="17" x14ac:dyDescent="0.25">
      <c r="B273" s="18">
        <v>2</v>
      </c>
      <c r="C273" s="315" t="s">
        <v>193</v>
      </c>
      <c r="D273" s="5" t="s">
        <v>188</v>
      </c>
      <c r="E273" s="5">
        <v>4.0630499999999996</v>
      </c>
      <c r="F273" s="316">
        <v>10.149099999999999</v>
      </c>
      <c r="G273" s="5">
        <v>4.3507139965835435</v>
      </c>
      <c r="H273" s="5">
        <f t="shared" si="41"/>
        <v>3.8936484901608099</v>
      </c>
      <c r="I273" s="59">
        <v>1.6166666666666665</v>
      </c>
      <c r="J273" s="57">
        <v>7.7590949145761826E-2</v>
      </c>
      <c r="K273" s="5">
        <v>0.57688333078472909</v>
      </c>
      <c r="L273" s="5">
        <v>0.16984728222189105</v>
      </c>
      <c r="M273" s="5">
        <v>1.3055788405776413E-2</v>
      </c>
      <c r="N273" s="59">
        <f t="shared" si="42"/>
        <v>0.83737735055815832</v>
      </c>
      <c r="O273" s="5">
        <f t="shared" si="43"/>
        <v>347.68419735113571</v>
      </c>
      <c r="P273" s="317">
        <f t="shared" si="44"/>
        <v>1.6622195166186495</v>
      </c>
      <c r="Q273" s="59">
        <f t="shared" si="45"/>
        <v>349.34641686775439</v>
      </c>
    </row>
    <row r="274" spans="2:17" ht="17" x14ac:dyDescent="0.25">
      <c r="B274" s="18">
        <v>2</v>
      </c>
      <c r="C274" s="315" t="s">
        <v>193</v>
      </c>
      <c r="D274" s="5" t="s">
        <v>189</v>
      </c>
      <c r="E274" s="5">
        <v>4.1672000000000002</v>
      </c>
      <c r="F274" s="316">
        <v>10.312833333333332</v>
      </c>
      <c r="G274" s="5">
        <v>5.4983408468951858</v>
      </c>
      <c r="H274" s="5">
        <f t="shared" si="41"/>
        <v>3.9500147268170438</v>
      </c>
      <c r="I274" s="59">
        <v>6.0333333333333341</v>
      </c>
      <c r="J274" s="57">
        <v>6.5946419937896308E-2</v>
      </c>
      <c r="K274" s="5">
        <v>0.2675723901719263</v>
      </c>
      <c r="L274" s="5">
        <v>0.17638942066458299</v>
      </c>
      <c r="M274" s="5">
        <v>1.7253636117686988E-2</v>
      </c>
      <c r="N274" s="59">
        <f t="shared" si="42"/>
        <v>0.52716186689209255</v>
      </c>
      <c r="O274" s="5">
        <f>((N274*I274)/H274)*1000</f>
        <v>805.19782419778505</v>
      </c>
      <c r="P274" s="317">
        <f t="shared" si="44"/>
        <v>6.1719862609008302</v>
      </c>
      <c r="Q274" s="59">
        <f t="shared" si="45"/>
        <v>811.36981045868583</v>
      </c>
    </row>
    <row r="275" spans="2:17" ht="18" thickBot="1" x14ac:dyDescent="0.3">
      <c r="B275" s="19">
        <v>2</v>
      </c>
      <c r="C275" s="318" t="s">
        <v>193</v>
      </c>
      <c r="D275" s="5" t="s">
        <v>190</v>
      </c>
      <c r="E275" s="21">
        <v>4.3149999999999995</v>
      </c>
      <c r="F275" s="319">
        <v>10.375</v>
      </c>
      <c r="G275" s="21">
        <v>5.498688339077221</v>
      </c>
      <c r="H275" s="21">
        <f t="shared" si="41"/>
        <v>4.0900982447586527</v>
      </c>
      <c r="I275" s="22">
        <v>2.2999999999999998</v>
      </c>
      <c r="J275" s="52">
        <v>8.0269003889640977E-2</v>
      </c>
      <c r="K275" s="21">
        <v>0.2631654001534135</v>
      </c>
      <c r="L275" s="21">
        <v>0.16979351467936421</v>
      </c>
      <c r="M275" s="21">
        <v>2.0230118147315741E-2</v>
      </c>
      <c r="N275" s="22">
        <f t="shared" si="42"/>
        <v>0.53345803686973448</v>
      </c>
      <c r="O275" s="21">
        <f t="shared" si="43"/>
        <v>299.98142131981695</v>
      </c>
      <c r="P275" s="320">
        <f t="shared" si="44"/>
        <v>2.3387661029385796</v>
      </c>
      <c r="Q275" s="22">
        <f t="shared" si="45"/>
        <v>302.32018742275551</v>
      </c>
    </row>
  </sheetData>
  <mergeCells count="10">
    <mergeCell ref="E5:F5"/>
    <mergeCell ref="G5:H5"/>
    <mergeCell ref="I5:J5"/>
    <mergeCell ref="K5:L5"/>
    <mergeCell ref="C23:D23"/>
    <mergeCell ref="E23:F23"/>
    <mergeCell ref="G23:H23"/>
    <mergeCell ref="I23:J23"/>
    <mergeCell ref="K23:L23"/>
    <mergeCell ref="C5: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C21C7-8ABC-B847-B7F9-9D5123BF7AA6}">
  <dimension ref="A1:AR26"/>
  <sheetViews>
    <sheetView workbookViewId="0">
      <selection sqref="A1:J15"/>
    </sheetView>
  </sheetViews>
  <sheetFormatPr baseColWidth="10" defaultRowHeight="15" x14ac:dyDescent="0.2"/>
  <cols>
    <col min="2" max="2" width="12.1640625" bestFit="1" customWidth="1"/>
    <col min="3" max="3" width="23" bestFit="1" customWidth="1"/>
    <col min="4" max="4" width="16.33203125" bestFit="1" customWidth="1"/>
    <col min="5" max="6" width="15.83203125" bestFit="1" customWidth="1"/>
  </cols>
  <sheetData>
    <row r="1" spans="1:44" ht="51" x14ac:dyDescent="0.25">
      <c r="A1" s="238" t="s">
        <v>53</v>
      </c>
      <c r="B1" s="239"/>
      <c r="C1" s="239"/>
      <c r="D1" s="239"/>
      <c r="E1" s="239"/>
      <c r="F1" s="239"/>
      <c r="G1" s="239"/>
      <c r="H1" s="239"/>
      <c r="I1" s="239"/>
      <c r="J1" s="239"/>
      <c r="K1" s="239"/>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row>
    <row r="2" spans="1:44" ht="154" thickBot="1" x14ac:dyDescent="0.3">
      <c r="A2" s="239"/>
      <c r="B2" s="239" t="s">
        <v>54</v>
      </c>
      <c r="C2" s="239"/>
      <c r="D2" s="239"/>
      <c r="E2" s="239"/>
      <c r="F2" s="239"/>
      <c r="G2" s="239"/>
      <c r="H2" s="239"/>
      <c r="I2" s="239"/>
      <c r="J2" s="239"/>
      <c r="K2" s="239"/>
      <c r="L2" s="106"/>
      <c r="M2" s="107"/>
      <c r="N2" s="239" t="s">
        <v>99</v>
      </c>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row>
    <row r="3" spans="1:44" ht="208" customHeight="1" thickBot="1" x14ac:dyDescent="0.35">
      <c r="A3" s="239"/>
      <c r="B3" s="240" t="s">
        <v>36</v>
      </c>
      <c r="C3" s="241" t="s">
        <v>44</v>
      </c>
      <c r="D3" s="255" t="s">
        <v>43</v>
      </c>
      <c r="E3" s="241" t="s">
        <v>19</v>
      </c>
      <c r="F3" s="241" t="s">
        <v>165</v>
      </c>
      <c r="G3" s="241" t="s">
        <v>166</v>
      </c>
      <c r="H3" s="256" t="s">
        <v>118</v>
      </c>
      <c r="I3" s="241" t="s">
        <v>142</v>
      </c>
      <c r="J3" s="255" t="s">
        <v>101</v>
      </c>
      <c r="K3" s="239"/>
      <c r="L3" s="238"/>
      <c r="M3" s="330" t="s">
        <v>100</v>
      </c>
      <c r="N3" s="330"/>
      <c r="O3" s="330"/>
      <c r="P3" s="330"/>
      <c r="Q3" s="330"/>
      <c r="R3" s="330"/>
      <c r="S3" s="330"/>
      <c r="T3" s="107"/>
      <c r="U3" s="106"/>
      <c r="V3" s="106"/>
      <c r="W3" s="106"/>
      <c r="X3" s="106"/>
      <c r="Y3" s="107"/>
      <c r="Z3" s="106"/>
      <c r="AA3" s="106"/>
      <c r="AB3" s="106"/>
      <c r="AC3" s="106"/>
      <c r="AD3" s="107"/>
      <c r="AE3" s="107"/>
      <c r="AF3" s="107"/>
      <c r="AG3" s="107"/>
      <c r="AH3" s="107"/>
      <c r="AI3" s="107"/>
      <c r="AJ3" s="107"/>
      <c r="AK3" s="107"/>
      <c r="AL3" s="107"/>
      <c r="AM3" s="107"/>
      <c r="AN3" s="107"/>
      <c r="AO3" s="107"/>
      <c r="AP3" s="107"/>
      <c r="AQ3" s="107"/>
      <c r="AR3" s="107"/>
    </row>
    <row r="4" spans="1:44" ht="17" x14ac:dyDescent="0.25">
      <c r="A4" s="239"/>
      <c r="B4" s="244">
        <v>1</v>
      </c>
      <c r="C4" s="239" t="s">
        <v>37</v>
      </c>
      <c r="D4" t="s">
        <v>188</v>
      </c>
      <c r="E4" s="257">
        <v>15.1</v>
      </c>
      <c r="F4" s="257">
        <v>4.4290000000000003</v>
      </c>
      <c r="G4" s="257">
        <v>2.9159999999999999</v>
      </c>
      <c r="H4" s="257">
        <v>5.8140000000000001</v>
      </c>
      <c r="I4" s="257">
        <v>14.27</v>
      </c>
      <c r="J4" s="250">
        <v>20.587</v>
      </c>
      <c r="K4" s="239"/>
      <c r="L4" s="247"/>
      <c r="M4" s="107"/>
      <c r="N4" s="107"/>
      <c r="O4" s="107"/>
      <c r="P4" s="107"/>
      <c r="Q4" s="107"/>
      <c r="R4" s="107"/>
      <c r="S4" s="248"/>
      <c r="T4" s="107"/>
      <c r="U4" s="106"/>
      <c r="V4" s="107"/>
      <c r="W4" s="107"/>
      <c r="X4" s="248"/>
      <c r="Y4" s="107"/>
      <c r="Z4" s="107"/>
      <c r="AA4" s="107"/>
      <c r="AB4" s="107"/>
      <c r="AC4" s="248"/>
      <c r="AD4" s="107"/>
      <c r="AE4" s="107"/>
      <c r="AF4" s="107"/>
      <c r="AG4" s="107"/>
      <c r="AH4" s="107"/>
      <c r="AI4" s="107"/>
      <c r="AJ4" s="107"/>
      <c r="AK4" s="107"/>
      <c r="AL4" s="107"/>
      <c r="AM4" s="107"/>
      <c r="AN4" s="107"/>
      <c r="AO4" s="107"/>
      <c r="AP4" s="107"/>
      <c r="AQ4" s="107"/>
      <c r="AR4" s="107"/>
    </row>
    <row r="5" spans="1:44" ht="17" x14ac:dyDescent="0.25">
      <c r="A5" s="239"/>
      <c r="B5" s="244">
        <v>1</v>
      </c>
      <c r="C5" s="239" t="s">
        <v>37</v>
      </c>
      <c r="D5" t="s">
        <v>189</v>
      </c>
      <c r="E5" s="257">
        <v>15.02</v>
      </c>
      <c r="F5" s="257">
        <v>3.5409999999999999</v>
      </c>
      <c r="G5" s="257">
        <v>1.329</v>
      </c>
      <c r="H5" s="257">
        <v>8.9570000000000007</v>
      </c>
      <c r="I5" s="257">
        <v>13.785</v>
      </c>
      <c r="J5" s="250">
        <v>14.129</v>
      </c>
      <c r="K5" s="239"/>
      <c r="L5" s="247"/>
      <c r="M5" s="107"/>
      <c r="N5" s="107"/>
      <c r="O5" s="107"/>
      <c r="P5" s="107"/>
      <c r="Q5" s="107"/>
      <c r="R5" s="107"/>
      <c r="S5" s="248"/>
      <c r="T5" s="107"/>
      <c r="U5" s="107"/>
      <c r="V5" s="107"/>
      <c r="W5" s="107"/>
      <c r="X5" s="248"/>
      <c r="Y5" s="107"/>
      <c r="Z5" s="107"/>
      <c r="AA5" s="107"/>
      <c r="AB5" s="107"/>
      <c r="AC5" s="248"/>
      <c r="AD5" s="107"/>
      <c r="AE5" s="107"/>
      <c r="AF5" s="107"/>
      <c r="AG5" s="107"/>
      <c r="AH5" s="107"/>
      <c r="AI5" s="107"/>
      <c r="AJ5" s="107"/>
      <c r="AK5" s="107"/>
      <c r="AL5" s="107"/>
      <c r="AM5" s="107"/>
      <c r="AN5" s="107"/>
      <c r="AO5" s="107"/>
      <c r="AP5" s="107"/>
      <c r="AQ5" s="107"/>
      <c r="AR5" s="107"/>
    </row>
    <row r="6" spans="1:44" ht="17" x14ac:dyDescent="0.25">
      <c r="A6" s="239"/>
      <c r="B6" s="244">
        <v>1</v>
      </c>
      <c r="C6" s="239" t="s">
        <v>37</v>
      </c>
      <c r="D6" t="s">
        <v>190</v>
      </c>
      <c r="E6" s="257">
        <v>15.154999999999999</v>
      </c>
      <c r="F6" s="257">
        <v>2.4169999999999998</v>
      </c>
      <c r="G6" s="257">
        <v>1.504</v>
      </c>
      <c r="H6" s="257">
        <v>13.81</v>
      </c>
      <c r="I6" s="257">
        <v>13.316000000000001</v>
      </c>
      <c r="J6" s="250">
        <v>11.776</v>
      </c>
      <c r="K6" s="239"/>
      <c r="L6" s="247"/>
      <c r="M6" s="107"/>
      <c r="N6" s="107"/>
      <c r="O6" s="107"/>
      <c r="P6" s="107"/>
      <c r="Q6" s="107"/>
      <c r="R6" s="107"/>
      <c r="S6" s="248"/>
      <c r="T6" s="107"/>
      <c r="U6" s="107"/>
      <c r="V6" s="107"/>
      <c r="W6" s="107"/>
      <c r="X6" s="248"/>
      <c r="Y6" s="107"/>
      <c r="Z6" s="107"/>
      <c r="AA6" s="107"/>
      <c r="AB6" s="107"/>
      <c r="AC6" s="248"/>
      <c r="AD6" s="107"/>
      <c r="AE6" s="107"/>
      <c r="AF6" s="107"/>
      <c r="AG6" s="107"/>
      <c r="AH6" s="107"/>
      <c r="AI6" s="107"/>
      <c r="AJ6" s="107"/>
      <c r="AK6" s="107"/>
      <c r="AL6" s="107"/>
      <c r="AM6" s="107"/>
      <c r="AN6" s="107"/>
      <c r="AO6" s="107"/>
      <c r="AP6" s="107"/>
      <c r="AQ6" s="107"/>
      <c r="AR6" s="107"/>
    </row>
    <row r="7" spans="1:44" ht="17" x14ac:dyDescent="0.25">
      <c r="A7" s="239"/>
      <c r="B7" s="244">
        <v>1</v>
      </c>
      <c r="C7" s="239" t="s">
        <v>41</v>
      </c>
      <c r="D7" t="s">
        <v>188</v>
      </c>
      <c r="E7" s="257">
        <v>15</v>
      </c>
      <c r="F7" s="257">
        <v>3.2080000000000002</v>
      </c>
      <c r="G7" s="257">
        <v>1.849</v>
      </c>
      <c r="H7" s="257">
        <v>9.2170000000000005</v>
      </c>
      <c r="I7" s="257">
        <v>13.734</v>
      </c>
      <c r="J7" s="250">
        <v>14.727</v>
      </c>
      <c r="K7" s="239"/>
      <c r="L7" s="247"/>
      <c r="M7" s="107"/>
      <c r="N7" s="107"/>
      <c r="O7" s="107"/>
      <c r="P7" s="107"/>
      <c r="Q7" s="107"/>
      <c r="R7" s="107"/>
      <c r="S7" s="248"/>
      <c r="T7" s="107"/>
      <c r="U7" s="107"/>
      <c r="V7" s="107"/>
      <c r="W7" s="107"/>
      <c r="X7" s="248"/>
      <c r="Y7" s="107"/>
      <c r="Z7" s="107"/>
      <c r="AA7" s="107"/>
      <c r="AB7" s="107"/>
      <c r="AC7" s="248"/>
      <c r="AD7" s="107"/>
      <c r="AE7" s="107"/>
      <c r="AF7" s="107"/>
      <c r="AG7" s="107"/>
      <c r="AH7" s="107"/>
      <c r="AI7" s="107"/>
      <c r="AJ7" s="107"/>
      <c r="AK7" s="107"/>
      <c r="AL7" s="107"/>
      <c r="AM7" s="107"/>
      <c r="AN7" s="107"/>
      <c r="AO7" s="107"/>
      <c r="AP7" s="107"/>
      <c r="AQ7" s="107"/>
      <c r="AR7" s="107"/>
    </row>
    <row r="8" spans="1:44" ht="17" x14ac:dyDescent="0.25">
      <c r="A8" s="239"/>
      <c r="B8" s="244">
        <v>1</v>
      </c>
      <c r="C8" s="239" t="s">
        <v>41</v>
      </c>
      <c r="D8" t="s">
        <v>189</v>
      </c>
      <c r="E8" s="257">
        <v>15.37</v>
      </c>
      <c r="F8" s="257">
        <v>0.997</v>
      </c>
      <c r="G8" s="257">
        <v>1.2450000000000001</v>
      </c>
      <c r="H8" s="257">
        <v>10.929</v>
      </c>
      <c r="I8" s="257">
        <v>13.856</v>
      </c>
      <c r="J8" s="250">
        <v>6.4720000000000004</v>
      </c>
      <c r="K8" s="239"/>
      <c r="L8" s="247"/>
      <c r="M8" s="107"/>
      <c r="N8" s="107"/>
      <c r="O8" s="107"/>
      <c r="P8" s="107"/>
      <c r="Q8" s="107"/>
      <c r="R8" s="107"/>
      <c r="S8" s="248"/>
      <c r="T8" s="107"/>
      <c r="U8" s="107"/>
      <c r="V8" s="107"/>
      <c r="W8" s="107"/>
      <c r="X8" s="248"/>
      <c r="Y8" s="107"/>
      <c r="Z8" s="107"/>
      <c r="AA8" s="107"/>
      <c r="AB8" s="107"/>
      <c r="AC8" s="248"/>
      <c r="AD8" s="107"/>
      <c r="AE8" s="107"/>
      <c r="AF8" s="107"/>
      <c r="AG8" s="107"/>
      <c r="AH8" s="107"/>
      <c r="AI8" s="107"/>
      <c r="AJ8" s="107"/>
      <c r="AK8" s="107"/>
      <c r="AL8" s="107"/>
      <c r="AM8" s="107"/>
      <c r="AN8" s="107"/>
      <c r="AO8" s="107"/>
      <c r="AP8" s="107"/>
      <c r="AQ8" s="107"/>
      <c r="AR8" s="107"/>
    </row>
    <row r="9" spans="1:44" ht="17" x14ac:dyDescent="0.25">
      <c r="A9" s="239"/>
      <c r="B9" s="244">
        <v>1</v>
      </c>
      <c r="C9" s="239" t="s">
        <v>41</v>
      </c>
      <c r="D9" t="s">
        <v>190</v>
      </c>
      <c r="E9" s="257">
        <v>15.042999999999999</v>
      </c>
      <c r="F9" s="257">
        <v>2.0249999999999999</v>
      </c>
      <c r="G9" s="257">
        <v>1.0009999999999999</v>
      </c>
      <c r="H9" s="257">
        <v>11.202</v>
      </c>
      <c r="I9" s="257">
        <v>13.528</v>
      </c>
      <c r="J9" s="250">
        <v>8.9489999999999998</v>
      </c>
      <c r="K9" s="239"/>
      <c r="L9" s="247"/>
      <c r="M9" s="107"/>
      <c r="N9" s="107"/>
      <c r="O9" s="107"/>
      <c r="P9" s="107"/>
      <c r="Q9" s="107"/>
      <c r="R9" s="107"/>
      <c r="S9" s="248"/>
      <c r="T9" s="107"/>
      <c r="U9" s="107"/>
      <c r="V9" s="107"/>
      <c r="W9" s="107"/>
      <c r="X9" s="248"/>
      <c r="Y9" s="107"/>
      <c r="Z9" s="107"/>
      <c r="AA9" s="107"/>
      <c r="AB9" s="107"/>
      <c r="AC9" s="248"/>
      <c r="AD9" s="107"/>
      <c r="AE9" s="107"/>
      <c r="AF9" s="107"/>
      <c r="AG9" s="107"/>
      <c r="AH9" s="107"/>
      <c r="AI9" s="107"/>
      <c r="AJ9" s="107"/>
      <c r="AK9" s="107"/>
      <c r="AL9" s="107"/>
      <c r="AM9" s="107"/>
      <c r="AN9" s="107"/>
      <c r="AO9" s="107"/>
      <c r="AP9" s="107"/>
      <c r="AQ9" s="107"/>
      <c r="AR9" s="107"/>
    </row>
    <row r="10" spans="1:44" ht="17" x14ac:dyDescent="0.25">
      <c r="A10" s="239"/>
      <c r="B10" s="244">
        <v>2</v>
      </c>
      <c r="C10" s="239" t="s">
        <v>37</v>
      </c>
      <c r="D10" t="s">
        <v>188</v>
      </c>
      <c r="E10" s="257">
        <v>14.803000000000001</v>
      </c>
      <c r="F10" s="257">
        <v>8.1189999999999998</v>
      </c>
      <c r="G10" s="257">
        <v>11.438000000000001</v>
      </c>
      <c r="H10" s="257">
        <v>4.0940000000000003</v>
      </c>
      <c r="I10" s="257">
        <v>14.221</v>
      </c>
      <c r="J10" s="250">
        <v>55.008000000000003</v>
      </c>
      <c r="K10" s="239"/>
      <c r="L10" s="247"/>
      <c r="M10" s="107"/>
      <c r="N10" s="107"/>
      <c r="O10" s="107"/>
      <c r="P10" s="107"/>
      <c r="Q10" s="107"/>
      <c r="R10" s="107"/>
      <c r="S10" s="248"/>
      <c r="T10" s="107"/>
      <c r="U10" s="106"/>
      <c r="V10" s="107"/>
      <c r="W10" s="107"/>
      <c r="X10" s="248"/>
      <c r="Y10" s="107"/>
      <c r="Z10" s="107"/>
      <c r="AA10" s="107"/>
      <c r="AB10" s="107"/>
      <c r="AC10" s="248"/>
      <c r="AD10" s="107"/>
      <c r="AE10" s="107"/>
      <c r="AF10" s="107"/>
      <c r="AG10" s="107"/>
      <c r="AH10" s="107"/>
      <c r="AI10" s="107"/>
      <c r="AJ10" s="107"/>
      <c r="AK10" s="107"/>
      <c r="AL10" s="107"/>
      <c r="AM10" s="107"/>
      <c r="AN10" s="107"/>
      <c r="AO10" s="107"/>
      <c r="AP10" s="107"/>
      <c r="AQ10" s="107"/>
      <c r="AR10" s="107"/>
    </row>
    <row r="11" spans="1:44" ht="17" x14ac:dyDescent="0.25">
      <c r="A11" s="239"/>
      <c r="B11" s="244">
        <v>2</v>
      </c>
      <c r="C11" s="239" t="s">
        <v>37</v>
      </c>
      <c r="D11" t="s">
        <v>189</v>
      </c>
      <c r="E11" s="257">
        <v>14.898999999999999</v>
      </c>
      <c r="F11" s="257">
        <v>4.6550000000000002</v>
      </c>
      <c r="G11" s="257">
        <v>11.435</v>
      </c>
      <c r="H11" s="257">
        <v>5.0049999999999999</v>
      </c>
      <c r="I11" s="257">
        <v>14.189</v>
      </c>
      <c r="J11" s="250">
        <v>45.357999999999997</v>
      </c>
      <c r="K11" s="239"/>
      <c r="L11" s="247"/>
      <c r="M11" s="107"/>
      <c r="N11" s="107"/>
      <c r="O11" s="107"/>
      <c r="P11" s="107"/>
      <c r="Q11" s="107"/>
      <c r="R11" s="107"/>
      <c r="S11" s="248"/>
      <c r="T11" s="107"/>
      <c r="U11" s="106"/>
      <c r="V11" s="107"/>
      <c r="W11" s="107"/>
      <c r="X11" s="248"/>
      <c r="Y11" s="107"/>
      <c r="Z11" s="107"/>
      <c r="AA11" s="107"/>
      <c r="AB11" s="107"/>
      <c r="AC11" s="248"/>
      <c r="AD11" s="107"/>
      <c r="AE11" s="107"/>
      <c r="AF11" s="107"/>
      <c r="AG11" s="107"/>
      <c r="AH11" s="107"/>
      <c r="AI11" s="107"/>
      <c r="AJ11" s="107"/>
      <c r="AK11" s="107"/>
      <c r="AL11" s="107"/>
      <c r="AM11" s="107"/>
      <c r="AN11" s="107"/>
      <c r="AO11" s="107"/>
      <c r="AP11" s="107"/>
      <c r="AQ11" s="107"/>
      <c r="AR11" s="107"/>
    </row>
    <row r="12" spans="1:44" ht="17" x14ac:dyDescent="0.25">
      <c r="A12" s="239"/>
      <c r="B12" s="244">
        <v>2</v>
      </c>
      <c r="C12" s="239" t="s">
        <v>37</v>
      </c>
      <c r="D12" t="s">
        <v>190</v>
      </c>
      <c r="E12" s="257">
        <v>15.241</v>
      </c>
      <c r="F12" s="257">
        <v>2.2480000000000002</v>
      </c>
      <c r="G12" s="257">
        <v>9.8770000000000007</v>
      </c>
      <c r="H12" s="257">
        <v>4.8479999999999999</v>
      </c>
      <c r="I12" s="257">
        <v>14.536</v>
      </c>
      <c r="J12" s="250">
        <v>33.366999999999997</v>
      </c>
      <c r="K12" s="239"/>
      <c r="L12" s="247"/>
      <c r="M12" s="107"/>
      <c r="N12" s="107"/>
      <c r="O12" s="107"/>
      <c r="P12" s="107"/>
      <c r="Q12" s="107"/>
      <c r="R12" s="107"/>
      <c r="S12" s="248"/>
      <c r="T12" s="107"/>
      <c r="U12" s="106"/>
      <c r="V12" s="107"/>
      <c r="W12" s="107"/>
      <c r="X12" s="248"/>
      <c r="Y12" s="107"/>
      <c r="Z12" s="107"/>
      <c r="AA12" s="107"/>
      <c r="AB12" s="107"/>
      <c r="AC12" s="248"/>
      <c r="AD12" s="107"/>
      <c r="AE12" s="107"/>
      <c r="AF12" s="107"/>
      <c r="AG12" s="107"/>
      <c r="AH12" s="107"/>
      <c r="AI12" s="107"/>
      <c r="AJ12" s="107"/>
      <c r="AK12" s="107"/>
      <c r="AL12" s="107"/>
      <c r="AM12" s="107"/>
      <c r="AN12" s="107"/>
      <c r="AO12" s="107"/>
      <c r="AP12" s="107"/>
      <c r="AQ12" s="107"/>
      <c r="AR12" s="107"/>
    </row>
    <row r="13" spans="1:44" ht="17" x14ac:dyDescent="0.25">
      <c r="A13" s="239"/>
      <c r="B13" s="244">
        <v>2</v>
      </c>
      <c r="C13" s="239" t="s">
        <v>41</v>
      </c>
      <c r="D13" t="s">
        <v>188</v>
      </c>
      <c r="E13" s="257">
        <v>15.263</v>
      </c>
      <c r="F13" s="257">
        <v>4.8739999999999997</v>
      </c>
      <c r="G13" s="257">
        <v>3.1389999999999998</v>
      </c>
      <c r="H13" s="257">
        <v>4.351</v>
      </c>
      <c r="I13" s="257">
        <v>14.627000000000001</v>
      </c>
      <c r="J13" s="250">
        <v>21.914000000000001</v>
      </c>
      <c r="K13" s="239"/>
      <c r="L13" s="247"/>
      <c r="M13" s="107"/>
      <c r="N13" s="107"/>
      <c r="O13" s="107"/>
      <c r="P13" s="107"/>
      <c r="Q13" s="107"/>
      <c r="R13" s="107"/>
      <c r="S13" s="248"/>
      <c r="T13" s="107"/>
      <c r="U13" s="106"/>
      <c r="V13" s="107"/>
      <c r="W13" s="107"/>
      <c r="X13" s="248"/>
      <c r="Y13" s="107"/>
      <c r="Z13" s="107"/>
      <c r="AA13" s="107"/>
      <c r="AB13" s="107"/>
      <c r="AC13" s="248"/>
      <c r="AD13" s="107"/>
      <c r="AE13" s="107"/>
      <c r="AF13" s="107"/>
      <c r="AG13" s="107"/>
      <c r="AH13" s="107"/>
      <c r="AI13" s="107"/>
      <c r="AJ13" s="107"/>
      <c r="AK13" s="107"/>
      <c r="AL13" s="107"/>
      <c r="AM13" s="107"/>
      <c r="AN13" s="107"/>
      <c r="AO13" s="107"/>
      <c r="AP13" s="107"/>
      <c r="AQ13" s="107"/>
      <c r="AR13" s="107"/>
    </row>
    <row r="14" spans="1:44" ht="17" x14ac:dyDescent="0.25">
      <c r="A14" s="239"/>
      <c r="B14" s="244">
        <v>2</v>
      </c>
      <c r="C14" s="239" t="s">
        <v>41</v>
      </c>
      <c r="D14" t="s">
        <v>189</v>
      </c>
      <c r="E14" s="257">
        <v>15.018000000000001</v>
      </c>
      <c r="F14" s="257">
        <v>2.5470000000000002</v>
      </c>
      <c r="G14" s="257">
        <v>0.28599999999999998</v>
      </c>
      <c r="H14" s="257">
        <v>5.4980000000000002</v>
      </c>
      <c r="I14" s="257">
        <v>14.234999999999999</v>
      </c>
      <c r="J14" s="250">
        <v>7.9589999999999996</v>
      </c>
      <c r="K14" s="239"/>
      <c r="L14" s="247"/>
      <c r="M14" s="107"/>
      <c r="N14" s="107"/>
      <c r="O14" s="107"/>
      <c r="P14" s="107"/>
      <c r="Q14" s="107"/>
      <c r="R14" s="107"/>
      <c r="S14" s="248"/>
      <c r="T14" s="107"/>
      <c r="U14" s="106"/>
      <c r="V14" s="107"/>
      <c r="W14" s="107"/>
      <c r="X14" s="248"/>
      <c r="Y14" s="107"/>
      <c r="Z14" s="107"/>
      <c r="AA14" s="107"/>
      <c r="AB14" s="107"/>
      <c r="AC14" s="248"/>
      <c r="AD14" s="107"/>
      <c r="AE14" s="107"/>
      <c r="AF14" s="107"/>
      <c r="AG14" s="107"/>
      <c r="AH14" s="107"/>
      <c r="AI14" s="107"/>
      <c r="AJ14" s="107"/>
      <c r="AK14" s="107"/>
      <c r="AL14" s="107"/>
      <c r="AM14" s="107"/>
      <c r="AN14" s="107"/>
      <c r="AO14" s="107"/>
      <c r="AP14" s="107"/>
      <c r="AQ14" s="107"/>
      <c r="AR14" s="107"/>
    </row>
    <row r="15" spans="1:44" ht="18" thickBot="1" x14ac:dyDescent="0.3">
      <c r="A15" s="239"/>
      <c r="B15" s="251">
        <v>2</v>
      </c>
      <c r="C15" s="252" t="s">
        <v>41</v>
      </c>
      <c r="D15" t="s">
        <v>190</v>
      </c>
      <c r="E15" s="258">
        <v>15.02</v>
      </c>
      <c r="F15" s="258">
        <v>2.6840000000000002</v>
      </c>
      <c r="G15" s="258">
        <v>0.54400000000000004</v>
      </c>
      <c r="H15" s="258">
        <v>5.4989999999999997</v>
      </c>
      <c r="I15" s="258">
        <v>14.237</v>
      </c>
      <c r="J15" s="254">
        <v>9.0690000000000008</v>
      </c>
      <c r="K15" s="239"/>
      <c r="L15" s="247"/>
      <c r="M15" s="107"/>
      <c r="N15" s="107"/>
      <c r="O15" s="107"/>
      <c r="P15" s="107"/>
      <c r="Q15" s="107"/>
      <c r="R15" s="107"/>
      <c r="S15" s="248"/>
      <c r="T15" s="107"/>
      <c r="U15" s="106"/>
      <c r="V15" s="107"/>
      <c r="W15" s="107"/>
      <c r="X15" s="248"/>
      <c r="Y15" s="107"/>
      <c r="Z15" s="107"/>
      <c r="AA15" s="107"/>
      <c r="AB15" s="107"/>
      <c r="AC15" s="248"/>
      <c r="AD15" s="107"/>
      <c r="AE15" s="107"/>
      <c r="AF15" s="107"/>
      <c r="AG15" s="107"/>
      <c r="AH15" s="107"/>
      <c r="AI15" s="107"/>
      <c r="AJ15" s="107"/>
      <c r="AK15" s="107"/>
      <c r="AL15" s="107"/>
      <c r="AM15" s="107"/>
      <c r="AN15" s="107"/>
      <c r="AO15" s="107"/>
      <c r="AP15" s="107"/>
      <c r="AQ15" s="107"/>
      <c r="AR15" s="107"/>
    </row>
    <row r="16" spans="1:44" ht="16" x14ac:dyDescent="0.25">
      <c r="A16" s="107"/>
      <c r="B16" s="107"/>
      <c r="C16" s="107"/>
      <c r="D16" s="107"/>
      <c r="E16" s="107"/>
      <c r="F16" s="248"/>
      <c r="G16" s="247"/>
      <c r="H16" s="247"/>
      <c r="I16" s="247"/>
      <c r="J16" s="107"/>
      <c r="K16" s="107"/>
      <c r="L16" s="107"/>
      <c r="M16" s="247"/>
      <c r="N16" s="107"/>
      <c r="O16" s="107"/>
      <c r="P16" s="107"/>
      <c r="Q16" s="107"/>
      <c r="R16" s="107"/>
      <c r="S16" s="107"/>
      <c r="T16" s="248"/>
      <c r="U16" s="107"/>
      <c r="V16" s="106"/>
      <c r="W16" s="107"/>
      <c r="X16" s="107"/>
      <c r="Y16" s="248"/>
      <c r="Z16" s="107"/>
      <c r="AA16" s="107"/>
      <c r="AB16" s="107"/>
      <c r="AC16" s="107"/>
      <c r="AD16" s="248"/>
      <c r="AE16" s="107"/>
      <c r="AF16" s="107"/>
      <c r="AG16" s="107"/>
      <c r="AH16" s="107"/>
      <c r="AI16" s="107"/>
      <c r="AJ16" s="107"/>
      <c r="AK16" s="107"/>
      <c r="AL16" s="107"/>
      <c r="AM16" s="107"/>
      <c r="AN16" s="107"/>
      <c r="AO16" s="107"/>
      <c r="AP16" s="107"/>
      <c r="AQ16" s="107"/>
      <c r="AR16" s="107"/>
    </row>
    <row r="17" spans="1:44" ht="154" x14ac:dyDescent="0.25">
      <c r="A17" s="107"/>
      <c r="B17" s="286" t="s">
        <v>182</v>
      </c>
      <c r="C17" t="s">
        <v>207</v>
      </c>
      <c r="D17" t="s">
        <v>205</v>
      </c>
      <c r="E17" t="s">
        <v>206</v>
      </c>
      <c r="H17" s="247"/>
      <c r="I17" s="107" t="s">
        <v>208</v>
      </c>
      <c r="J17" s="107"/>
      <c r="K17" s="107"/>
      <c r="L17" s="107"/>
      <c r="M17" s="247"/>
      <c r="N17" s="239" t="s">
        <v>167</v>
      </c>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row>
    <row r="18" spans="1:44" x14ac:dyDescent="0.2">
      <c r="B18" s="287" t="s">
        <v>37</v>
      </c>
      <c r="C18">
        <v>30.037499999999998</v>
      </c>
      <c r="D18">
        <v>25.409000000000002</v>
      </c>
      <c r="E18">
        <v>38.499000000000002</v>
      </c>
      <c r="G18" t="s">
        <v>37</v>
      </c>
      <c r="H18" t="s">
        <v>188</v>
      </c>
      <c r="I18">
        <v>37.797499999999999</v>
      </c>
    </row>
    <row r="19" spans="1:44" x14ac:dyDescent="0.2">
      <c r="B19" s="288" t="s">
        <v>188</v>
      </c>
      <c r="C19">
        <v>37.797499999999999</v>
      </c>
      <c r="D19">
        <v>12.548</v>
      </c>
      <c r="E19">
        <v>14.354000000000001</v>
      </c>
      <c r="H19" t="s">
        <v>189</v>
      </c>
      <c r="I19">
        <v>29.743499999999997</v>
      </c>
    </row>
    <row r="20" spans="1:44" x14ac:dyDescent="0.2">
      <c r="B20" s="288" t="s">
        <v>189</v>
      </c>
      <c r="C20">
        <v>29.743499999999997</v>
      </c>
      <c r="D20">
        <v>8.1959999999999997</v>
      </c>
      <c r="E20">
        <v>12.764000000000001</v>
      </c>
      <c r="H20" t="s">
        <v>190</v>
      </c>
      <c r="I20">
        <v>22.5715</v>
      </c>
    </row>
    <row r="21" spans="1:44" x14ac:dyDescent="0.2">
      <c r="B21" s="288" t="s">
        <v>190</v>
      </c>
      <c r="C21">
        <v>22.5715</v>
      </c>
      <c r="D21">
        <v>4.665</v>
      </c>
      <c r="E21">
        <v>11.381</v>
      </c>
    </row>
    <row r="22" spans="1:44" ht="16" x14ac:dyDescent="0.25">
      <c r="B22" s="287" t="s">
        <v>41</v>
      </c>
      <c r="C22">
        <v>11.515000000000001</v>
      </c>
      <c r="D22">
        <v>16.335000000000001</v>
      </c>
      <c r="E22">
        <v>8.0640000000000001</v>
      </c>
      <c r="F22" s="108"/>
      <c r="I22" s="107" t="s">
        <v>209</v>
      </c>
    </row>
    <row r="23" spans="1:44" ht="16" x14ac:dyDescent="0.25">
      <c r="B23" s="288" t="s">
        <v>188</v>
      </c>
      <c r="C23">
        <v>18.320500000000003</v>
      </c>
      <c r="D23">
        <v>8.0820000000000007</v>
      </c>
      <c r="E23">
        <v>4.9879999999999995</v>
      </c>
      <c r="F23" s="162"/>
      <c r="G23" t="s">
        <v>193</v>
      </c>
      <c r="H23" t="s">
        <v>188</v>
      </c>
      <c r="I23">
        <v>18.320500000000003</v>
      </c>
    </row>
    <row r="24" spans="1:44" ht="16" x14ac:dyDescent="0.25">
      <c r="B24" s="288" t="s">
        <v>189</v>
      </c>
      <c r="C24">
        <v>7.2155000000000005</v>
      </c>
      <c r="D24">
        <v>3.544</v>
      </c>
      <c r="E24">
        <v>1.5310000000000001</v>
      </c>
      <c r="F24" s="162"/>
      <c r="H24" t="s">
        <v>189</v>
      </c>
      <c r="I24">
        <v>7.2155000000000005</v>
      </c>
    </row>
    <row r="25" spans="1:44" ht="16" x14ac:dyDescent="0.25">
      <c r="B25" s="288" t="s">
        <v>190</v>
      </c>
      <c r="C25">
        <v>9.0090000000000003</v>
      </c>
      <c r="D25">
        <v>4.7089999999999996</v>
      </c>
      <c r="E25">
        <v>1.5449999999999999</v>
      </c>
      <c r="F25" s="162"/>
      <c r="H25" t="s">
        <v>190</v>
      </c>
      <c r="I25">
        <v>9.0090000000000003</v>
      </c>
    </row>
    <row r="26" spans="1:44" x14ac:dyDescent="0.2">
      <c r="B26" s="287" t="s">
        <v>183</v>
      </c>
      <c r="C26">
        <v>20.776250000000001</v>
      </c>
      <c r="D26">
        <v>41.744</v>
      </c>
      <c r="E26">
        <v>46.562999999999995</v>
      </c>
    </row>
  </sheetData>
  <mergeCells count="1">
    <mergeCell ref="M3:S3"/>
  </mergeCells>
  <pageMargins left="0.7" right="0.7" top="0.75" bottom="0.75" header="0.3" footer="0.3"/>
  <pageSetup paperSize="9" orientation="portrait" horizontalDpi="0" verticalDpi="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E07E9-A738-1241-854D-686A861DB379}">
  <dimension ref="A1:AC28"/>
  <sheetViews>
    <sheetView workbookViewId="0">
      <selection sqref="A1:H15"/>
    </sheetView>
  </sheetViews>
  <sheetFormatPr baseColWidth="10" defaultRowHeight="15" x14ac:dyDescent="0.2"/>
  <cols>
    <col min="13" max="13" width="12.1640625" bestFit="1" customWidth="1"/>
    <col min="14" max="14" width="20.33203125" bestFit="1" customWidth="1"/>
    <col min="15" max="15" width="17.33203125" bestFit="1" customWidth="1"/>
  </cols>
  <sheetData>
    <row r="1" spans="1:29" s="108" customFormat="1" ht="16" x14ac:dyDescent="0.25">
      <c r="A1" s="154" t="s">
        <v>50</v>
      </c>
      <c r="B1" s="154"/>
      <c r="C1" s="154"/>
    </row>
    <row r="2" spans="1:29" s="108" customFormat="1" ht="17" thickBot="1" x14ac:dyDescent="0.3">
      <c r="B2" s="108" t="s">
        <v>80</v>
      </c>
      <c r="F2" s="108" t="s">
        <v>98</v>
      </c>
      <c r="H2" s="108" t="s">
        <v>110</v>
      </c>
      <c r="J2" s="108" t="s">
        <v>81</v>
      </c>
      <c r="N2" s="108" t="s">
        <v>109</v>
      </c>
    </row>
    <row r="3" spans="1:29" s="108" customFormat="1" ht="73" thickBot="1" x14ac:dyDescent="0.3">
      <c r="B3" s="156" t="s">
        <v>36</v>
      </c>
      <c r="C3" s="198" t="s">
        <v>44</v>
      </c>
      <c r="D3" s="159" t="s">
        <v>43</v>
      </c>
      <c r="E3" s="133" t="s">
        <v>51</v>
      </c>
      <c r="F3" s="133" t="s">
        <v>7</v>
      </c>
      <c r="G3" s="188" t="s">
        <v>113</v>
      </c>
      <c r="H3" s="159" t="s">
        <v>112</v>
      </c>
      <c r="J3" s="198" t="s">
        <v>161</v>
      </c>
      <c r="K3" s="159" t="s">
        <v>7</v>
      </c>
      <c r="L3" s="160"/>
      <c r="N3" s="108" t="s">
        <v>152</v>
      </c>
      <c r="O3" s="154"/>
      <c r="P3" s="154"/>
      <c r="Q3" s="154"/>
      <c r="R3" s="154"/>
      <c r="S3" s="154"/>
      <c r="U3" s="154"/>
      <c r="V3" s="154"/>
      <c r="W3" s="154"/>
      <c r="X3" s="154"/>
      <c r="Z3" s="154"/>
      <c r="AA3" s="154"/>
      <c r="AB3" s="154"/>
      <c r="AC3" s="154"/>
    </row>
    <row r="4" spans="1:29" s="108" customFormat="1" ht="17" x14ac:dyDescent="0.25">
      <c r="B4" s="134">
        <v>1</v>
      </c>
      <c r="C4" s="239" t="s">
        <v>37</v>
      </c>
      <c r="D4" t="s">
        <v>188</v>
      </c>
      <c r="E4" s="161">
        <v>0.50390000000000001</v>
      </c>
      <c r="F4" s="161">
        <v>0.45250000000000001</v>
      </c>
      <c r="G4" s="161">
        <f>F4*18.6356</f>
        <v>8.4326090000000011</v>
      </c>
      <c r="H4" s="190">
        <f>G4*(25/1000)/E4</f>
        <v>0.41836718594959327</v>
      </c>
      <c r="J4" s="174">
        <v>1</v>
      </c>
      <c r="K4" s="135">
        <v>0.04</v>
      </c>
      <c r="L4" s="173"/>
      <c r="S4" s="161"/>
      <c r="U4" s="154"/>
      <c r="X4" s="162"/>
      <c r="AC4" s="161"/>
    </row>
    <row r="5" spans="1:29" s="108" customFormat="1" ht="17" x14ac:dyDescent="0.25">
      <c r="B5" s="134">
        <v>1</v>
      </c>
      <c r="C5" s="239" t="s">
        <v>37</v>
      </c>
      <c r="D5" t="s">
        <v>189</v>
      </c>
      <c r="E5" s="161">
        <v>0.50792499999999996</v>
      </c>
      <c r="F5" s="161">
        <v>0.2515</v>
      </c>
      <c r="G5" s="161">
        <f t="shared" ref="G5:G15" si="0">F5*18.6356</f>
        <v>4.6868534000000004</v>
      </c>
      <c r="H5" s="190">
        <f t="shared" ref="H5:H15" si="1">G5*(25/1000)/E5</f>
        <v>0.23068629226755924</v>
      </c>
      <c r="J5" s="174">
        <v>2</v>
      </c>
      <c r="K5" s="135">
        <v>0.12</v>
      </c>
      <c r="L5" s="162"/>
      <c r="M5" s="286" t="s">
        <v>182</v>
      </c>
      <c r="N5" t="s">
        <v>210</v>
      </c>
      <c r="O5"/>
      <c r="Q5" s="164"/>
      <c r="S5" s="161"/>
      <c r="V5" s="164"/>
      <c r="X5" s="162"/>
      <c r="Z5" s="164"/>
      <c r="AC5" s="161"/>
    </row>
    <row r="6" spans="1:29" s="108" customFormat="1" ht="18" thickBot="1" x14ac:dyDescent="0.3">
      <c r="B6" s="134">
        <v>1</v>
      </c>
      <c r="C6" s="239" t="s">
        <v>37</v>
      </c>
      <c r="D6" t="s">
        <v>190</v>
      </c>
      <c r="E6" s="161">
        <v>0.51232500000000003</v>
      </c>
      <c r="F6" s="161">
        <v>0.20674999999999999</v>
      </c>
      <c r="G6" s="161">
        <f t="shared" si="0"/>
        <v>3.8529103</v>
      </c>
      <c r="H6" s="190">
        <f t="shared" si="1"/>
        <v>0.18801104279510078</v>
      </c>
      <c r="J6" s="175">
        <v>4</v>
      </c>
      <c r="K6" s="137">
        <v>0.21</v>
      </c>
      <c r="L6" s="162"/>
      <c r="M6" s="287" t="s">
        <v>37</v>
      </c>
      <c r="N6">
        <v>0.25965699203993486</v>
      </c>
      <c r="O6"/>
      <c r="S6" s="161"/>
      <c r="X6" s="162"/>
      <c r="AC6" s="161"/>
    </row>
    <row r="7" spans="1:29" s="108" customFormat="1" ht="16" x14ac:dyDescent="0.25">
      <c r="B7" s="134">
        <v>1</v>
      </c>
      <c r="C7" t="s">
        <v>193</v>
      </c>
      <c r="D7" t="s">
        <v>188</v>
      </c>
      <c r="E7" s="161">
        <v>0.5</v>
      </c>
      <c r="F7" s="161">
        <v>0.26500000000000001</v>
      </c>
      <c r="G7" s="161">
        <f t="shared" si="0"/>
        <v>4.938434</v>
      </c>
      <c r="H7" s="190">
        <f t="shared" si="1"/>
        <v>0.24692170000000002</v>
      </c>
      <c r="L7" s="162"/>
      <c r="M7" s="288" t="s">
        <v>188</v>
      </c>
      <c r="N7">
        <v>0.39853830653088551</v>
      </c>
      <c r="O7"/>
      <c r="S7" s="161"/>
      <c r="X7" s="162"/>
      <c r="AC7" s="161"/>
    </row>
    <row r="8" spans="1:29" s="108" customFormat="1" ht="16" x14ac:dyDescent="0.25">
      <c r="B8" s="134">
        <v>1</v>
      </c>
      <c r="C8" t="s">
        <v>193</v>
      </c>
      <c r="D8" t="s">
        <v>189</v>
      </c>
      <c r="E8" s="161">
        <v>0.50459999999999994</v>
      </c>
      <c r="F8" s="161">
        <v>0.23449999999999999</v>
      </c>
      <c r="G8" s="161">
        <f t="shared" si="0"/>
        <v>4.3700481999999994</v>
      </c>
      <c r="H8" s="190">
        <f t="shared" si="1"/>
        <v>0.21651051327784385</v>
      </c>
      <c r="J8" s="108" t="s">
        <v>111</v>
      </c>
      <c r="L8" s="162"/>
      <c r="M8" s="288" t="s">
        <v>189</v>
      </c>
      <c r="N8">
        <v>0.22338531362790037</v>
      </c>
      <c r="O8"/>
      <c r="S8" s="161"/>
      <c r="V8" s="164"/>
      <c r="X8" s="162"/>
      <c r="Z8" s="164"/>
      <c r="AC8" s="161"/>
    </row>
    <row r="9" spans="1:29" s="108" customFormat="1" ht="16" x14ac:dyDescent="0.25">
      <c r="B9" s="134">
        <v>1</v>
      </c>
      <c r="C9" t="s">
        <v>193</v>
      </c>
      <c r="D9" t="s">
        <v>190</v>
      </c>
      <c r="E9" s="161">
        <v>0.50009999999999999</v>
      </c>
      <c r="F9" s="161">
        <v>3.2000000000000001E-2</v>
      </c>
      <c r="G9" s="161">
        <f t="shared" si="0"/>
        <v>0.59633920000000007</v>
      </c>
      <c r="H9" s="190">
        <f t="shared" si="1"/>
        <v>2.9810997800439915E-2</v>
      </c>
      <c r="J9" s="329" t="s">
        <v>108</v>
      </c>
      <c r="K9" s="329"/>
      <c r="L9" s="162"/>
      <c r="M9" s="288" t="s">
        <v>190</v>
      </c>
      <c r="N9">
        <v>0.15704735596101871</v>
      </c>
      <c r="O9"/>
      <c r="S9" s="161"/>
      <c r="X9" s="162"/>
      <c r="AC9" s="161"/>
    </row>
    <row r="10" spans="1:29" s="108" customFormat="1" ht="17" x14ac:dyDescent="0.25">
      <c r="B10" s="134">
        <v>2</v>
      </c>
      <c r="C10" s="239" t="s">
        <v>37</v>
      </c>
      <c r="D10" t="s">
        <v>188</v>
      </c>
      <c r="E10" s="161">
        <v>0.54169999999999996</v>
      </c>
      <c r="F10" s="161">
        <v>0.4403333333333333</v>
      </c>
      <c r="G10" s="161">
        <f t="shared" si="0"/>
        <v>8.2058758666666662</v>
      </c>
      <c r="H10" s="190">
        <f t="shared" si="1"/>
        <v>0.37870942711217775</v>
      </c>
      <c r="J10" s="154">
        <v>18.6356</v>
      </c>
      <c r="L10" s="162"/>
      <c r="M10" s="287" t="s">
        <v>41</v>
      </c>
      <c r="N10">
        <v>0.14372591926452105</v>
      </c>
      <c r="O10"/>
      <c r="Q10" s="164"/>
      <c r="S10" s="161"/>
      <c r="U10" s="154"/>
      <c r="X10" s="162"/>
      <c r="AC10" s="161"/>
    </row>
    <row r="11" spans="1:29" s="108" customFormat="1" ht="17" x14ac:dyDescent="0.25">
      <c r="B11" s="134">
        <v>2</v>
      </c>
      <c r="C11" s="239" t="s">
        <v>37</v>
      </c>
      <c r="D11" t="s">
        <v>189</v>
      </c>
      <c r="E11" s="161">
        <v>0.51026666666666665</v>
      </c>
      <c r="F11" s="161">
        <v>0.23666666666666666</v>
      </c>
      <c r="G11" s="161">
        <f t="shared" si="0"/>
        <v>4.4104253333333334</v>
      </c>
      <c r="H11" s="190">
        <f t="shared" si="1"/>
        <v>0.21608433498824148</v>
      </c>
      <c r="L11" s="162"/>
      <c r="M11" s="288" t="s">
        <v>188</v>
      </c>
      <c r="N11">
        <v>0.21050786826026657</v>
      </c>
      <c r="O11"/>
      <c r="S11" s="161"/>
      <c r="V11" s="164"/>
      <c r="X11" s="162"/>
      <c r="AC11" s="161"/>
    </row>
    <row r="12" spans="1:29" s="108" customFormat="1" ht="17" x14ac:dyDescent="0.25">
      <c r="B12" s="134">
        <v>2</v>
      </c>
      <c r="C12" s="239" t="s">
        <v>37</v>
      </c>
      <c r="D12" t="s">
        <v>190</v>
      </c>
      <c r="E12" s="161">
        <v>0.50129999999999997</v>
      </c>
      <c r="F12" s="161">
        <v>0.13566666666666669</v>
      </c>
      <c r="G12" s="161">
        <f t="shared" si="0"/>
        <v>2.5282297333333337</v>
      </c>
      <c r="H12" s="190">
        <f t="shared" si="1"/>
        <v>0.12608366912693666</v>
      </c>
      <c r="I12" s="154"/>
      <c r="L12" s="162"/>
      <c r="M12" s="288" t="s">
        <v>189</v>
      </c>
      <c r="N12">
        <v>0.16225244189678667</v>
      </c>
      <c r="O12"/>
      <c r="S12" s="161"/>
      <c r="X12" s="162"/>
      <c r="AC12" s="161"/>
    </row>
    <row r="13" spans="1:29" s="108" customFormat="1" ht="16" x14ac:dyDescent="0.25">
      <c r="B13" s="134">
        <v>2</v>
      </c>
      <c r="C13" t="s">
        <v>193</v>
      </c>
      <c r="D13" t="s">
        <v>188</v>
      </c>
      <c r="E13" s="161">
        <v>0.51916000000000007</v>
      </c>
      <c r="F13" s="161">
        <v>0.19400000000000001</v>
      </c>
      <c r="G13" s="161">
        <f t="shared" si="0"/>
        <v>3.6153064000000001</v>
      </c>
      <c r="H13" s="190">
        <f t="shared" si="1"/>
        <v>0.17409403652053315</v>
      </c>
      <c r="I13" s="154"/>
      <c r="L13" s="162"/>
      <c r="M13" s="288" t="s">
        <v>190</v>
      </c>
      <c r="N13">
        <v>5.8417447636509905E-2</v>
      </c>
      <c r="O13"/>
      <c r="S13" s="161"/>
      <c r="X13" s="162"/>
      <c r="AC13" s="161"/>
    </row>
    <row r="14" spans="1:29" s="108" customFormat="1" ht="16" x14ac:dyDescent="0.25">
      <c r="B14" s="134">
        <v>2</v>
      </c>
      <c r="C14" t="s">
        <v>193</v>
      </c>
      <c r="D14" t="s">
        <v>189</v>
      </c>
      <c r="E14" s="161">
        <v>0.54356666666666664</v>
      </c>
      <c r="F14" s="161">
        <v>0.126</v>
      </c>
      <c r="G14" s="161">
        <f t="shared" si="0"/>
        <v>2.3480856000000001</v>
      </c>
      <c r="H14" s="190">
        <f t="shared" si="1"/>
        <v>0.10799437051572947</v>
      </c>
      <c r="I14" s="154"/>
      <c r="L14" s="162"/>
      <c r="M14" s="287" t="s">
        <v>183</v>
      </c>
      <c r="N14">
        <v>0.20169145565222799</v>
      </c>
      <c r="O14"/>
      <c r="S14" s="161"/>
      <c r="V14" s="164"/>
      <c r="X14" s="162"/>
      <c r="AC14" s="161"/>
    </row>
    <row r="15" spans="1:29" s="108" customFormat="1" ht="17" thickBot="1" x14ac:dyDescent="0.3">
      <c r="B15" s="136">
        <v>2</v>
      </c>
      <c r="C15" t="s">
        <v>193</v>
      </c>
      <c r="D15" t="s">
        <v>190</v>
      </c>
      <c r="E15" s="168">
        <v>0.52424999999999999</v>
      </c>
      <c r="F15" s="168">
        <v>9.7925000000000012E-2</v>
      </c>
      <c r="G15" s="168">
        <f t="shared" si="0"/>
        <v>1.8248911300000001</v>
      </c>
      <c r="H15" s="193">
        <f t="shared" si="1"/>
        <v>8.7023897472579895E-2</v>
      </c>
      <c r="L15" s="162"/>
      <c r="M15"/>
      <c r="N15"/>
      <c r="O15"/>
      <c r="Q15" s="164"/>
      <c r="S15" s="161"/>
      <c r="X15" s="162"/>
      <c r="AC15" s="161"/>
    </row>
    <row r="16" spans="1:29" s="108" customFormat="1" ht="16" x14ac:dyDescent="0.25">
      <c r="B16" s="154"/>
      <c r="C16" s="154"/>
      <c r="E16" s="162"/>
      <c r="F16" s="162"/>
      <c r="I16" s="154"/>
      <c r="M16"/>
      <c r="N16"/>
      <c r="O16"/>
    </row>
    <row r="17" spans="2:15" s="108" customFormat="1" ht="16" x14ac:dyDescent="0.25">
      <c r="B17" s="154"/>
      <c r="C17" s="154"/>
      <c r="E17" s="162"/>
      <c r="F17" s="162"/>
      <c r="I17" s="154"/>
      <c r="M17"/>
      <c r="N17"/>
      <c r="O17"/>
    </row>
    <row r="18" spans="2:15" s="108" customFormat="1" ht="16" x14ac:dyDescent="0.25">
      <c r="M18"/>
      <c r="N18"/>
      <c r="O18"/>
    </row>
    <row r="20" spans="2:15" ht="16" x14ac:dyDescent="0.25">
      <c r="K20" s="247"/>
      <c r="L20" s="107" t="s">
        <v>211</v>
      </c>
    </row>
    <row r="21" spans="2:15" x14ac:dyDescent="0.2">
      <c r="J21" t="s">
        <v>37</v>
      </c>
      <c r="K21" t="s">
        <v>188</v>
      </c>
      <c r="L21">
        <v>0.39853830653088551</v>
      </c>
    </row>
    <row r="22" spans="2:15" x14ac:dyDescent="0.2">
      <c r="K22" t="s">
        <v>189</v>
      </c>
      <c r="L22">
        <v>0.22338531362790037</v>
      </c>
    </row>
    <row r="23" spans="2:15" x14ac:dyDescent="0.2">
      <c r="K23" t="s">
        <v>190</v>
      </c>
      <c r="L23">
        <v>0.15704735596101871</v>
      </c>
    </row>
    <row r="25" spans="2:15" ht="16" x14ac:dyDescent="0.25">
      <c r="L25" s="107" t="s">
        <v>212</v>
      </c>
    </row>
    <row r="26" spans="2:15" x14ac:dyDescent="0.2">
      <c r="J26" t="s">
        <v>193</v>
      </c>
      <c r="K26" t="s">
        <v>188</v>
      </c>
      <c r="L26">
        <v>0.21050786826026657</v>
      </c>
    </row>
    <row r="27" spans="2:15" x14ac:dyDescent="0.2">
      <c r="K27" t="s">
        <v>189</v>
      </c>
      <c r="L27">
        <v>0.16225244189678667</v>
      </c>
    </row>
    <row r="28" spans="2:15" x14ac:dyDescent="0.2">
      <c r="K28" t="s">
        <v>190</v>
      </c>
      <c r="L28">
        <v>5.8417447636509905E-2</v>
      </c>
    </row>
  </sheetData>
  <mergeCells count="1">
    <mergeCell ref="J9:K9"/>
  </mergeCells>
  <pageMargins left="0.7" right="0.7" top="0.75" bottom="0.75" header="0.3" footer="0.3"/>
  <pageSetup paperSize="9" orientation="portrait" horizontalDpi="0" verticalDpi="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110BD-FE4D-6348-B36E-5D9AED798935}">
  <dimension ref="A1:AK44"/>
  <sheetViews>
    <sheetView workbookViewId="0">
      <selection sqref="A1:Q31"/>
    </sheetView>
  </sheetViews>
  <sheetFormatPr baseColWidth="10" defaultRowHeight="15" x14ac:dyDescent="0.2"/>
  <cols>
    <col min="2" max="2" width="12.1640625" bestFit="1" customWidth="1"/>
    <col min="3" max="3" width="22.6640625" bestFit="1" customWidth="1"/>
    <col min="4" max="4" width="21.5" bestFit="1" customWidth="1"/>
    <col min="5" max="5" width="22.1640625" bestFit="1" customWidth="1"/>
  </cols>
  <sheetData>
    <row r="1" spans="1:37" s="108" customFormat="1" ht="16" x14ac:dyDescent="0.25">
      <c r="A1" s="154" t="s">
        <v>63</v>
      </c>
      <c r="B1" s="154"/>
      <c r="C1" s="154"/>
      <c r="E1" s="162"/>
      <c r="F1" s="162"/>
      <c r="G1" s="162"/>
      <c r="H1" s="163"/>
      <c r="I1" s="180"/>
      <c r="J1" s="163"/>
      <c r="L1" s="163"/>
    </row>
    <row r="2" spans="1:37" s="108" customFormat="1" ht="17" thickBot="1" x14ac:dyDescent="0.3">
      <c r="B2" s="108" t="s">
        <v>64</v>
      </c>
      <c r="J2" s="108" t="s">
        <v>133</v>
      </c>
      <c r="M2" s="108" t="s">
        <v>65</v>
      </c>
    </row>
    <row r="3" spans="1:37" s="108" customFormat="1" ht="120" thickBot="1" x14ac:dyDescent="0.3">
      <c r="B3" s="156" t="s">
        <v>36</v>
      </c>
      <c r="C3" s="157" t="s">
        <v>44</v>
      </c>
      <c r="D3" s="198" t="s">
        <v>43</v>
      </c>
      <c r="E3" s="131" t="s">
        <v>19</v>
      </c>
      <c r="F3" s="133" t="s">
        <v>66</v>
      </c>
      <c r="G3" s="133" t="s">
        <v>134</v>
      </c>
      <c r="H3" s="133" t="s">
        <v>138</v>
      </c>
      <c r="I3" s="133" t="s">
        <v>67</v>
      </c>
      <c r="J3" s="133" t="s">
        <v>135</v>
      </c>
      <c r="K3" s="133" t="s">
        <v>139</v>
      </c>
      <c r="L3" s="133" t="s">
        <v>68</v>
      </c>
      <c r="M3" s="132" t="s">
        <v>136</v>
      </c>
      <c r="N3" s="133" t="s">
        <v>20</v>
      </c>
      <c r="O3" s="133"/>
      <c r="P3" s="133" t="s">
        <v>69</v>
      </c>
      <c r="Q3" s="132" t="s">
        <v>137</v>
      </c>
      <c r="R3" s="154"/>
      <c r="S3" s="154"/>
      <c r="T3" s="154"/>
      <c r="U3" s="154"/>
      <c r="V3" s="154"/>
      <c r="W3" s="154"/>
      <c r="X3" s="154"/>
      <c r="Z3" s="154"/>
      <c r="AA3" s="154"/>
      <c r="AB3" s="154"/>
      <c r="AC3" s="154"/>
      <c r="AD3" s="154"/>
      <c r="AE3" s="154"/>
      <c r="AF3" s="154"/>
      <c r="AG3" s="154"/>
      <c r="AH3" s="154"/>
      <c r="AI3" s="154"/>
      <c r="AJ3" s="154"/>
      <c r="AK3" s="154"/>
    </row>
    <row r="4" spans="1:37" s="108" customFormat="1" ht="17" x14ac:dyDescent="0.25">
      <c r="B4" s="171">
        <v>1</v>
      </c>
      <c r="C4" s="239" t="s">
        <v>37</v>
      </c>
      <c r="D4" t="s">
        <v>188</v>
      </c>
      <c r="E4" s="185">
        <v>50.017499999999998</v>
      </c>
      <c r="F4" s="163">
        <v>27.475000000000001</v>
      </c>
      <c r="G4" s="163">
        <f t="shared" ref="G4:G9" si="0">F4+0.4</f>
        <v>27.875</v>
      </c>
      <c r="H4" s="199">
        <f t="shared" ref="H4:H15" si="1">G4-O4</f>
        <v>27.164999999999999</v>
      </c>
      <c r="I4" s="163">
        <v>13.65</v>
      </c>
      <c r="J4" s="161">
        <f>I4-0.04</f>
        <v>13.610000000000001</v>
      </c>
      <c r="K4" s="200">
        <f t="shared" ref="K4:K15" si="2">J4-O4</f>
        <v>12.900000000000002</v>
      </c>
      <c r="L4" s="163">
        <v>23.25</v>
      </c>
      <c r="M4" s="182">
        <f t="shared" ref="M4:M15" si="3">L4+0.4</f>
        <v>23.65</v>
      </c>
      <c r="N4" s="163">
        <v>0.75</v>
      </c>
      <c r="O4" s="163">
        <f t="shared" ref="O4:O15" si="4">N4-0.04</f>
        <v>0.71</v>
      </c>
      <c r="P4" s="163">
        <v>22.5</v>
      </c>
      <c r="Q4" s="182">
        <f t="shared" ref="Q4:Q15" si="5">P4+0.4</f>
        <v>22.9</v>
      </c>
      <c r="V4" s="180"/>
      <c r="W4" s="180"/>
      <c r="X4" s="180"/>
      <c r="Z4" s="154"/>
      <c r="AF4" s="180"/>
      <c r="AG4" s="180"/>
      <c r="AH4" s="180"/>
      <c r="AI4" s="180"/>
      <c r="AJ4" s="180"/>
      <c r="AK4" s="180"/>
    </row>
    <row r="5" spans="1:37" s="108" customFormat="1" ht="17" x14ac:dyDescent="0.25">
      <c r="B5" s="134">
        <v>1</v>
      </c>
      <c r="C5" s="239" t="s">
        <v>37</v>
      </c>
      <c r="D5" t="s">
        <v>189</v>
      </c>
      <c r="E5" s="185">
        <v>50</v>
      </c>
      <c r="F5" s="163">
        <v>30.5</v>
      </c>
      <c r="G5" s="163">
        <f t="shared" si="0"/>
        <v>30.9</v>
      </c>
      <c r="H5" s="199">
        <f t="shared" si="1"/>
        <v>27.939999999999998</v>
      </c>
      <c r="I5" s="163">
        <v>19</v>
      </c>
      <c r="J5" s="161">
        <f>I5-0.04</f>
        <v>18.96</v>
      </c>
      <c r="K5" s="200">
        <f t="shared" si="2"/>
        <v>16</v>
      </c>
      <c r="L5" s="163">
        <v>23.75</v>
      </c>
      <c r="M5" s="182">
        <f t="shared" si="3"/>
        <v>24.15</v>
      </c>
      <c r="N5" s="163">
        <v>3</v>
      </c>
      <c r="O5" s="163">
        <f t="shared" si="4"/>
        <v>2.96</v>
      </c>
      <c r="P5" s="163">
        <v>23</v>
      </c>
      <c r="Q5" s="182">
        <f t="shared" si="5"/>
        <v>23.4</v>
      </c>
      <c r="T5" s="164"/>
      <c r="V5" s="180"/>
      <c r="W5" s="180"/>
      <c r="X5" s="180"/>
      <c r="AA5" s="164"/>
      <c r="AC5" s="164"/>
      <c r="AF5" s="180"/>
      <c r="AG5" s="180"/>
      <c r="AH5" s="180"/>
      <c r="AI5" s="180"/>
      <c r="AJ5" s="180"/>
      <c r="AK5" s="180"/>
    </row>
    <row r="6" spans="1:37" s="108" customFormat="1" ht="17" x14ac:dyDescent="0.25">
      <c r="B6" s="134">
        <v>1</v>
      </c>
      <c r="C6" s="239" t="s">
        <v>37</v>
      </c>
      <c r="D6" t="s">
        <v>190</v>
      </c>
      <c r="E6" s="185">
        <v>50.175000000000004</v>
      </c>
      <c r="F6" s="163">
        <v>31.75</v>
      </c>
      <c r="G6" s="163">
        <f t="shared" si="0"/>
        <v>32.15</v>
      </c>
      <c r="H6" s="199">
        <f t="shared" si="1"/>
        <v>29.689999999999998</v>
      </c>
      <c r="I6" s="163">
        <v>20.25</v>
      </c>
      <c r="J6" s="163">
        <f>I6+0.4</f>
        <v>20.65</v>
      </c>
      <c r="K6" s="200">
        <f t="shared" si="2"/>
        <v>18.189999999999998</v>
      </c>
      <c r="L6" s="163">
        <v>23</v>
      </c>
      <c r="M6" s="182">
        <f t="shared" si="3"/>
        <v>23.4</v>
      </c>
      <c r="N6" s="163">
        <v>2.5</v>
      </c>
      <c r="O6" s="163">
        <f t="shared" si="4"/>
        <v>2.46</v>
      </c>
      <c r="P6" s="163">
        <v>23</v>
      </c>
      <c r="Q6" s="182">
        <f t="shared" si="5"/>
        <v>23.4</v>
      </c>
      <c r="V6" s="180"/>
      <c r="W6" s="180"/>
      <c r="X6" s="180"/>
      <c r="AF6" s="180"/>
      <c r="AG6" s="180"/>
      <c r="AH6" s="180"/>
      <c r="AI6" s="180"/>
      <c r="AJ6" s="180"/>
      <c r="AK6" s="180"/>
    </row>
    <row r="7" spans="1:37" s="108" customFormat="1" ht="17" x14ac:dyDescent="0.25">
      <c r="B7" s="134">
        <v>1</v>
      </c>
      <c r="C7" s="239" t="s">
        <v>193</v>
      </c>
      <c r="D7" t="s">
        <v>188</v>
      </c>
      <c r="E7" s="185">
        <v>50</v>
      </c>
      <c r="F7" s="163">
        <v>25.25</v>
      </c>
      <c r="G7" s="163">
        <f t="shared" si="0"/>
        <v>25.65</v>
      </c>
      <c r="H7" s="199">
        <f t="shared" si="1"/>
        <v>23.689999999999998</v>
      </c>
      <c r="I7" s="163">
        <v>14.25</v>
      </c>
      <c r="J7" s="161">
        <f>I7-0.04</f>
        <v>14.21</v>
      </c>
      <c r="K7" s="200">
        <f t="shared" si="2"/>
        <v>12.25</v>
      </c>
      <c r="L7" s="163">
        <v>24</v>
      </c>
      <c r="M7" s="182">
        <f t="shared" si="3"/>
        <v>24.4</v>
      </c>
      <c r="N7" s="163">
        <v>2</v>
      </c>
      <c r="O7" s="163">
        <f t="shared" si="4"/>
        <v>1.96</v>
      </c>
      <c r="P7" s="163">
        <v>23</v>
      </c>
      <c r="Q7" s="182">
        <f t="shared" si="5"/>
        <v>23.4</v>
      </c>
      <c r="V7" s="180"/>
      <c r="W7" s="180"/>
      <c r="X7" s="180"/>
      <c r="AF7" s="180"/>
      <c r="AG7" s="180"/>
      <c r="AH7" s="180"/>
      <c r="AI7" s="180"/>
      <c r="AJ7" s="180"/>
      <c r="AK7" s="180"/>
    </row>
    <row r="8" spans="1:37" s="108" customFormat="1" ht="17" x14ac:dyDescent="0.25">
      <c r="B8" s="134">
        <v>1</v>
      </c>
      <c r="C8" s="239" t="s">
        <v>193</v>
      </c>
      <c r="D8" t="s">
        <v>189</v>
      </c>
      <c r="E8" s="185">
        <v>50.115000000000002</v>
      </c>
      <c r="F8" s="163">
        <v>28</v>
      </c>
      <c r="G8" s="163">
        <f t="shared" si="0"/>
        <v>28.4</v>
      </c>
      <c r="H8" s="199">
        <f t="shared" si="1"/>
        <v>25.439999999999998</v>
      </c>
      <c r="I8" s="163">
        <v>18</v>
      </c>
      <c r="J8" s="161">
        <f>I8-0.04</f>
        <v>17.96</v>
      </c>
      <c r="K8" s="200">
        <f t="shared" si="2"/>
        <v>15</v>
      </c>
      <c r="L8" s="163">
        <v>23.7</v>
      </c>
      <c r="M8" s="182">
        <f t="shared" si="3"/>
        <v>24.099999999999998</v>
      </c>
      <c r="N8" s="163">
        <v>3</v>
      </c>
      <c r="O8" s="163">
        <f t="shared" si="4"/>
        <v>2.96</v>
      </c>
      <c r="P8" s="163">
        <v>22.5</v>
      </c>
      <c r="Q8" s="182">
        <f t="shared" si="5"/>
        <v>22.9</v>
      </c>
      <c r="V8" s="180"/>
      <c r="W8" s="180"/>
      <c r="X8" s="180"/>
      <c r="AA8" s="164"/>
      <c r="AC8" s="164"/>
      <c r="AF8" s="180"/>
      <c r="AG8" s="180"/>
      <c r="AH8" s="180"/>
      <c r="AI8" s="180"/>
      <c r="AJ8" s="180"/>
      <c r="AK8" s="180"/>
    </row>
    <row r="9" spans="1:37" s="108" customFormat="1" ht="17" x14ac:dyDescent="0.25">
      <c r="B9" s="134">
        <v>1</v>
      </c>
      <c r="C9" s="239" t="s">
        <v>193</v>
      </c>
      <c r="D9" t="s">
        <v>190</v>
      </c>
      <c r="E9" s="185">
        <v>50</v>
      </c>
      <c r="F9" s="163">
        <v>36.5</v>
      </c>
      <c r="G9" s="163">
        <f t="shared" si="0"/>
        <v>36.9</v>
      </c>
      <c r="H9" s="199">
        <f t="shared" si="1"/>
        <v>34.94</v>
      </c>
      <c r="I9" s="163">
        <v>34</v>
      </c>
      <c r="J9" s="163">
        <f>I9+0.4</f>
        <v>34.4</v>
      </c>
      <c r="K9" s="200">
        <f t="shared" si="2"/>
        <v>32.44</v>
      </c>
      <c r="L9" s="163">
        <v>23.5</v>
      </c>
      <c r="M9" s="182">
        <f t="shared" si="3"/>
        <v>23.9</v>
      </c>
      <c r="N9" s="163">
        <v>2</v>
      </c>
      <c r="O9" s="163">
        <f t="shared" si="4"/>
        <v>1.96</v>
      </c>
      <c r="P9" s="163">
        <v>22.5</v>
      </c>
      <c r="Q9" s="182">
        <f t="shared" si="5"/>
        <v>22.9</v>
      </c>
      <c r="V9" s="180"/>
      <c r="W9" s="180"/>
      <c r="X9" s="180"/>
      <c r="AF9" s="180"/>
      <c r="AG9" s="180"/>
      <c r="AH9" s="180"/>
      <c r="AI9" s="180"/>
      <c r="AJ9" s="180"/>
      <c r="AK9" s="180"/>
    </row>
    <row r="10" spans="1:37" s="108" customFormat="1" ht="17" x14ac:dyDescent="0.25">
      <c r="B10" s="134">
        <v>2</v>
      </c>
      <c r="C10" s="239" t="s">
        <v>37</v>
      </c>
      <c r="D10" t="s">
        <v>188</v>
      </c>
      <c r="E10" s="185">
        <v>50.052499999999995</v>
      </c>
      <c r="F10" s="163">
        <v>15.125</v>
      </c>
      <c r="G10" s="161">
        <f>F10-0.04</f>
        <v>15.085000000000001</v>
      </c>
      <c r="H10" s="199">
        <f t="shared" si="1"/>
        <v>12.75</v>
      </c>
      <c r="I10" s="163">
        <v>7.375</v>
      </c>
      <c r="J10" s="161">
        <f t="shared" ref="J10:J15" si="6">I10-0.04</f>
        <v>7.335</v>
      </c>
      <c r="K10" s="200">
        <f t="shared" si="2"/>
        <v>5</v>
      </c>
      <c r="L10" s="163">
        <v>24</v>
      </c>
      <c r="M10" s="182">
        <f t="shared" si="3"/>
        <v>24.4</v>
      </c>
      <c r="N10" s="163">
        <v>2.375</v>
      </c>
      <c r="O10" s="163">
        <f t="shared" si="4"/>
        <v>2.335</v>
      </c>
      <c r="P10" s="163">
        <v>23</v>
      </c>
      <c r="Q10" s="182">
        <f t="shared" si="5"/>
        <v>23.4</v>
      </c>
      <c r="V10" s="180"/>
      <c r="W10" s="180"/>
      <c r="X10" s="180"/>
      <c r="AF10" s="180"/>
      <c r="AG10" s="180"/>
      <c r="AH10" s="180"/>
      <c r="AI10" s="180"/>
      <c r="AJ10" s="180"/>
      <c r="AK10" s="180"/>
    </row>
    <row r="11" spans="1:37" s="108" customFormat="1" ht="17" x14ac:dyDescent="0.25">
      <c r="B11" s="134">
        <v>2</v>
      </c>
      <c r="C11" s="239" t="s">
        <v>37</v>
      </c>
      <c r="D11" t="s">
        <v>189</v>
      </c>
      <c r="E11" s="185">
        <v>49.937125000000002</v>
      </c>
      <c r="F11" s="163">
        <v>16.25</v>
      </c>
      <c r="G11" s="161">
        <f>F11-0.04</f>
        <v>16.21</v>
      </c>
      <c r="H11" s="199">
        <f t="shared" si="1"/>
        <v>13.75</v>
      </c>
      <c r="I11" s="163">
        <v>10</v>
      </c>
      <c r="J11" s="161">
        <f t="shared" si="6"/>
        <v>9.9600000000000009</v>
      </c>
      <c r="K11" s="200">
        <f t="shared" si="2"/>
        <v>7.5000000000000009</v>
      </c>
      <c r="L11" s="163">
        <v>23.3</v>
      </c>
      <c r="M11" s="182">
        <f t="shared" si="3"/>
        <v>23.7</v>
      </c>
      <c r="N11" s="163">
        <v>2.5</v>
      </c>
      <c r="O11" s="163">
        <f t="shared" si="4"/>
        <v>2.46</v>
      </c>
      <c r="P11" s="163">
        <v>23</v>
      </c>
      <c r="Q11" s="182">
        <f t="shared" si="5"/>
        <v>23.4</v>
      </c>
      <c r="V11" s="180"/>
      <c r="W11" s="180"/>
      <c r="X11" s="180"/>
      <c r="AF11" s="180"/>
      <c r="AG11" s="180"/>
      <c r="AH11" s="180"/>
      <c r="AI11" s="180"/>
      <c r="AJ11" s="180"/>
      <c r="AK11" s="180"/>
    </row>
    <row r="12" spans="1:37" s="108" customFormat="1" ht="17" x14ac:dyDescent="0.25">
      <c r="B12" s="134">
        <v>2</v>
      </c>
      <c r="C12" s="239" t="s">
        <v>37</v>
      </c>
      <c r="D12" t="s">
        <v>190</v>
      </c>
      <c r="E12" s="185">
        <v>50.120919999999998</v>
      </c>
      <c r="F12" s="163">
        <v>14.4</v>
      </c>
      <c r="G12" s="161">
        <f>F12-0.04</f>
        <v>14.360000000000001</v>
      </c>
      <c r="H12" s="199">
        <f t="shared" si="1"/>
        <v>11.400000000000002</v>
      </c>
      <c r="I12" s="163">
        <v>9.2200000000000006</v>
      </c>
      <c r="J12" s="161">
        <f t="shared" si="6"/>
        <v>9.1800000000000015</v>
      </c>
      <c r="K12" s="200">
        <f t="shared" si="2"/>
        <v>6.2200000000000015</v>
      </c>
      <c r="L12" s="163">
        <v>23.4</v>
      </c>
      <c r="M12" s="182">
        <f t="shared" si="3"/>
        <v>23.799999999999997</v>
      </c>
      <c r="N12" s="163">
        <v>3</v>
      </c>
      <c r="O12" s="163">
        <f t="shared" si="4"/>
        <v>2.96</v>
      </c>
      <c r="P12" s="163">
        <v>22.619999999999997</v>
      </c>
      <c r="Q12" s="182">
        <f t="shared" si="5"/>
        <v>23.019999999999996</v>
      </c>
      <c r="V12" s="180"/>
      <c r="W12" s="180"/>
      <c r="X12" s="180"/>
      <c r="AF12" s="180"/>
      <c r="AG12" s="180"/>
      <c r="AH12" s="180"/>
      <c r="AI12" s="180"/>
      <c r="AJ12" s="180"/>
      <c r="AK12" s="180"/>
    </row>
    <row r="13" spans="1:37" s="108" customFormat="1" ht="17" x14ac:dyDescent="0.25">
      <c r="B13" s="134">
        <v>2</v>
      </c>
      <c r="C13" s="239" t="s">
        <v>193</v>
      </c>
      <c r="D13" t="s">
        <v>188</v>
      </c>
      <c r="E13" s="185">
        <v>50.109666666666669</v>
      </c>
      <c r="F13" s="163">
        <v>18</v>
      </c>
      <c r="G13" s="161">
        <f>F13-0.04</f>
        <v>17.96</v>
      </c>
      <c r="H13" s="199">
        <f t="shared" si="1"/>
        <v>15.5</v>
      </c>
      <c r="I13" s="163">
        <v>10.416666666666666</v>
      </c>
      <c r="J13" s="161">
        <f t="shared" si="6"/>
        <v>10.376666666666667</v>
      </c>
      <c r="K13" s="200">
        <f t="shared" si="2"/>
        <v>7.916666666666667</v>
      </c>
      <c r="L13" s="163">
        <v>23.033333333333331</v>
      </c>
      <c r="M13" s="182">
        <f t="shared" si="3"/>
        <v>23.43333333333333</v>
      </c>
      <c r="N13" s="163">
        <v>2.5</v>
      </c>
      <c r="O13" s="163">
        <f t="shared" si="4"/>
        <v>2.46</v>
      </c>
      <c r="P13" s="163">
        <v>22.733333333333334</v>
      </c>
      <c r="Q13" s="182">
        <f t="shared" si="5"/>
        <v>23.133333333333333</v>
      </c>
      <c r="V13" s="180"/>
      <c r="W13" s="180"/>
      <c r="X13" s="180"/>
      <c r="AF13" s="180"/>
      <c r="AG13" s="180"/>
      <c r="AH13" s="180"/>
      <c r="AI13" s="180"/>
      <c r="AJ13" s="180"/>
      <c r="AK13" s="180"/>
    </row>
    <row r="14" spans="1:37" s="108" customFormat="1" ht="17" x14ac:dyDescent="0.25">
      <c r="B14" s="134">
        <v>2</v>
      </c>
      <c r="C14" s="239" t="s">
        <v>193</v>
      </c>
      <c r="D14" t="s">
        <v>189</v>
      </c>
      <c r="E14" s="185">
        <v>50.233333333333327</v>
      </c>
      <c r="F14" s="163">
        <v>24</v>
      </c>
      <c r="G14" s="163">
        <f>F14+0.4</f>
        <v>24.4</v>
      </c>
      <c r="H14" s="199">
        <f t="shared" si="1"/>
        <v>22.439999999999998</v>
      </c>
      <c r="I14" s="163">
        <v>16</v>
      </c>
      <c r="J14" s="161">
        <f t="shared" si="6"/>
        <v>15.96</v>
      </c>
      <c r="K14" s="200">
        <f t="shared" si="2"/>
        <v>14</v>
      </c>
      <c r="L14" s="163">
        <v>22.899999999999995</v>
      </c>
      <c r="M14" s="182">
        <f t="shared" si="3"/>
        <v>23.299999999999994</v>
      </c>
      <c r="N14" s="163">
        <v>2</v>
      </c>
      <c r="O14" s="163">
        <f t="shared" si="4"/>
        <v>1.96</v>
      </c>
      <c r="P14" s="163">
        <v>22.5</v>
      </c>
      <c r="Q14" s="182">
        <f t="shared" si="5"/>
        <v>22.9</v>
      </c>
      <c r="V14" s="180"/>
      <c r="W14" s="180"/>
      <c r="X14" s="180"/>
      <c r="AF14" s="180"/>
      <c r="AG14" s="180"/>
      <c r="AH14" s="180"/>
      <c r="AI14" s="180"/>
      <c r="AJ14" s="180"/>
      <c r="AK14" s="180"/>
    </row>
    <row r="15" spans="1:37" s="108" customFormat="1" ht="18" thickBot="1" x14ac:dyDescent="0.3">
      <c r="B15" s="136">
        <v>2</v>
      </c>
      <c r="C15" s="252" t="s">
        <v>193</v>
      </c>
      <c r="D15" t="s">
        <v>190</v>
      </c>
      <c r="E15" s="186">
        <v>50.357500000000002</v>
      </c>
      <c r="F15" s="202">
        <v>23.125</v>
      </c>
      <c r="G15" s="202">
        <f>F15+0.4</f>
        <v>23.524999999999999</v>
      </c>
      <c r="H15" s="203">
        <f t="shared" si="1"/>
        <v>20.805</v>
      </c>
      <c r="I15" s="202">
        <v>16.375</v>
      </c>
      <c r="J15" s="168">
        <f t="shared" si="6"/>
        <v>16.335000000000001</v>
      </c>
      <c r="K15" s="204">
        <f t="shared" si="2"/>
        <v>13.615000000000002</v>
      </c>
      <c r="L15" s="202">
        <v>22.9</v>
      </c>
      <c r="M15" s="184">
        <f t="shared" si="3"/>
        <v>23.299999999999997</v>
      </c>
      <c r="N15" s="202">
        <v>2.76</v>
      </c>
      <c r="O15" s="202">
        <f t="shared" si="4"/>
        <v>2.7199999999999998</v>
      </c>
      <c r="P15" s="202">
        <v>22.65</v>
      </c>
      <c r="Q15" s="184">
        <f t="shared" si="5"/>
        <v>23.049999999999997</v>
      </c>
      <c r="V15" s="180"/>
      <c r="W15" s="180"/>
      <c r="X15" s="180"/>
      <c r="AF15" s="180"/>
      <c r="AG15" s="180"/>
      <c r="AH15" s="180"/>
      <c r="AI15" s="180"/>
      <c r="AJ15" s="180"/>
      <c r="AK15" s="180"/>
    </row>
    <row r="16" spans="1:37" s="108" customFormat="1" ht="16" x14ac:dyDescent="0.25"/>
    <row r="17" spans="2:13" s="108" customFormat="1" ht="33" customHeight="1" thickBot="1" x14ac:dyDescent="0.3">
      <c r="B17" s="283" t="s">
        <v>35</v>
      </c>
      <c r="C17" s="283"/>
      <c r="D17" s="283"/>
      <c r="E17" s="283"/>
      <c r="F17" s="283"/>
      <c r="G17" s="283"/>
      <c r="H17" s="283"/>
      <c r="I17" s="283"/>
      <c r="J17" s="283"/>
      <c r="K17" s="283"/>
      <c r="L17" s="283"/>
    </row>
    <row r="18" spans="2:13" s="108" customFormat="1" ht="17" thickBot="1" x14ac:dyDescent="0.3">
      <c r="B18" s="313" t="s">
        <v>162</v>
      </c>
      <c r="C18" s="172"/>
      <c r="D18" s="172"/>
      <c r="E18" s="172"/>
      <c r="F18" s="172"/>
      <c r="G18" s="172"/>
      <c r="H18" s="172"/>
      <c r="I18" s="172"/>
      <c r="J18" s="172"/>
      <c r="K18" s="172"/>
      <c r="L18" s="314"/>
      <c r="M18" s="160"/>
    </row>
    <row r="19" spans="2:13" s="108" customFormat="1" ht="120" thickBot="1" x14ac:dyDescent="0.3">
      <c r="B19" s="187" t="s">
        <v>36</v>
      </c>
      <c r="C19" s="131" t="s">
        <v>44</v>
      </c>
      <c r="D19" s="133" t="s">
        <v>43</v>
      </c>
      <c r="E19" s="133" t="s">
        <v>19</v>
      </c>
      <c r="F19" s="133" t="s">
        <v>123</v>
      </c>
      <c r="G19" s="133" t="s">
        <v>142</v>
      </c>
      <c r="H19" s="133" t="s">
        <v>143</v>
      </c>
      <c r="I19" s="133" t="s">
        <v>144</v>
      </c>
      <c r="J19" s="133" t="s">
        <v>141</v>
      </c>
      <c r="K19" s="133" t="s">
        <v>145</v>
      </c>
      <c r="L19" s="132" t="s">
        <v>146</v>
      </c>
    </row>
    <row r="20" spans="2:13" s="108" customFormat="1" ht="17" x14ac:dyDescent="0.25">
      <c r="B20" s="205">
        <v>1</v>
      </c>
      <c r="C20" s="239" t="s">
        <v>37</v>
      </c>
      <c r="D20" t="s">
        <v>188</v>
      </c>
      <c r="E20" s="229">
        <v>50.017499999999998</v>
      </c>
      <c r="F20" s="229">
        <v>5.8142526369950902</v>
      </c>
      <c r="G20" s="229">
        <f>E20/((F20/100)+1)</f>
        <v>47.269152078774624</v>
      </c>
      <c r="H20" s="161">
        <v>27.164999999999999</v>
      </c>
      <c r="I20" s="229">
        <v>12.900000000000002</v>
      </c>
      <c r="J20" s="229">
        <f t="shared" ref="J20:J31" si="7">((G20-H20)/G20)*100</f>
        <v>42.531230611606503</v>
      </c>
      <c r="K20" s="161">
        <f t="shared" ref="K20:K31" si="8">(H20-(0.7*I20))/G20*100</f>
        <v>38.365401540898802</v>
      </c>
      <c r="L20" s="190">
        <f t="shared" ref="L20:L31" si="9">100-J20-K20</f>
        <v>19.103367847494695</v>
      </c>
    </row>
    <row r="21" spans="2:13" s="108" customFormat="1" ht="17" x14ac:dyDescent="0.25">
      <c r="B21" s="205">
        <v>1</v>
      </c>
      <c r="C21" s="239" t="s">
        <v>37</v>
      </c>
      <c r="D21" t="s">
        <v>189</v>
      </c>
      <c r="E21" s="229">
        <v>50</v>
      </c>
      <c r="F21" s="229">
        <v>8.9567430025444796</v>
      </c>
      <c r="G21" s="229">
        <f t="shared" ref="G21:G31" si="10">E21/((F21/100)+1)</f>
        <v>45.889771134983675</v>
      </c>
      <c r="H21" s="161">
        <v>27.939999999999998</v>
      </c>
      <c r="I21" s="229">
        <v>16</v>
      </c>
      <c r="J21" s="229">
        <f t="shared" si="7"/>
        <v>39.11497201017815</v>
      </c>
      <c r="K21" s="161">
        <f t="shared" si="8"/>
        <v>36.47871755725189</v>
      </c>
      <c r="L21" s="190">
        <f t="shared" si="9"/>
        <v>24.40631043256996</v>
      </c>
    </row>
    <row r="22" spans="2:13" s="108" customFormat="1" ht="17" x14ac:dyDescent="0.25">
      <c r="B22" s="205">
        <v>1</v>
      </c>
      <c r="C22" s="239" t="s">
        <v>37</v>
      </c>
      <c r="D22" t="s">
        <v>190</v>
      </c>
      <c r="E22" s="229">
        <v>50.175000000000004</v>
      </c>
      <c r="F22" s="229">
        <v>13.810043668122271</v>
      </c>
      <c r="G22" s="229">
        <f t="shared" si="10"/>
        <v>44.086618705035981</v>
      </c>
      <c r="H22" s="161">
        <v>29.689999999999998</v>
      </c>
      <c r="I22" s="229">
        <v>18.189999999999998</v>
      </c>
      <c r="J22" s="229">
        <f t="shared" si="7"/>
        <v>32.655302511080237</v>
      </c>
      <c r="K22" s="161">
        <f t="shared" si="8"/>
        <v>38.462917996618813</v>
      </c>
      <c r="L22" s="190">
        <f t="shared" si="9"/>
        <v>28.88177949230095</v>
      </c>
    </row>
    <row r="23" spans="2:13" s="108" customFormat="1" ht="17" x14ac:dyDescent="0.25">
      <c r="B23" s="205">
        <v>1</v>
      </c>
      <c r="C23" s="239" t="s">
        <v>193</v>
      </c>
      <c r="D23" t="s">
        <v>188</v>
      </c>
      <c r="E23" s="229">
        <v>50</v>
      </c>
      <c r="F23" s="229">
        <v>9.2173017507724371</v>
      </c>
      <c r="G23" s="229">
        <f t="shared" si="10"/>
        <v>45.780292314945761</v>
      </c>
      <c r="H23" s="161">
        <v>23.689999999999998</v>
      </c>
      <c r="I23" s="229">
        <v>12.25</v>
      </c>
      <c r="J23" s="229">
        <f t="shared" si="7"/>
        <v>48.252842430484023</v>
      </c>
      <c r="K23" s="161">
        <f t="shared" si="8"/>
        <v>33.016390319258505</v>
      </c>
      <c r="L23" s="190">
        <f t="shared" si="9"/>
        <v>18.730767250257472</v>
      </c>
    </row>
    <row r="24" spans="2:13" s="108" customFormat="1" ht="17" x14ac:dyDescent="0.25">
      <c r="B24" s="205">
        <v>1</v>
      </c>
      <c r="C24" s="239" t="s">
        <v>193</v>
      </c>
      <c r="D24" t="s">
        <v>189</v>
      </c>
      <c r="E24" s="229">
        <v>50.115000000000002</v>
      </c>
      <c r="F24" s="229">
        <v>10.928961748633881</v>
      </c>
      <c r="G24" s="229">
        <f>E24/((F24/100)+1)</f>
        <v>45.177561576354677</v>
      </c>
      <c r="H24" s="161">
        <v>25.439999999999998</v>
      </c>
      <c r="I24" s="229">
        <v>15</v>
      </c>
      <c r="J24" s="229">
        <f t="shared" si="7"/>
        <v>43.688859884560593</v>
      </c>
      <c r="K24" s="161">
        <f t="shared" si="8"/>
        <v>33.069513888548144</v>
      </c>
      <c r="L24" s="190">
        <f t="shared" si="9"/>
        <v>23.241626226891263</v>
      </c>
    </row>
    <row r="25" spans="2:13" s="108" customFormat="1" ht="17" x14ac:dyDescent="0.25">
      <c r="B25" s="205">
        <v>1</v>
      </c>
      <c r="C25" s="239" t="s">
        <v>193</v>
      </c>
      <c r="D25" t="s">
        <v>190</v>
      </c>
      <c r="E25" s="229">
        <v>50</v>
      </c>
      <c r="F25" s="229">
        <v>11.202368979774333</v>
      </c>
      <c r="G25" s="229">
        <f t="shared" si="10"/>
        <v>44.963070893835074</v>
      </c>
      <c r="H25" s="161">
        <v>34.94</v>
      </c>
      <c r="I25" s="229">
        <v>32.44</v>
      </c>
      <c r="J25" s="229">
        <f t="shared" si="7"/>
        <v>22.291784556933695</v>
      </c>
      <c r="K25" s="161">
        <f t="shared" si="8"/>
        <v>27.204547547211995</v>
      </c>
      <c r="L25" s="190">
        <f t="shared" si="9"/>
        <v>50.503667895854313</v>
      </c>
    </row>
    <row r="26" spans="2:13" s="108" customFormat="1" ht="17" x14ac:dyDescent="0.25">
      <c r="B26" s="205">
        <v>2</v>
      </c>
      <c r="C26" s="239" t="s">
        <v>37</v>
      </c>
      <c r="D26" t="s">
        <v>188</v>
      </c>
      <c r="E26" s="229">
        <v>50.052499999999995</v>
      </c>
      <c r="F26" s="229">
        <v>4.093807858465369</v>
      </c>
      <c r="G26" s="229">
        <f t="shared" si="10"/>
        <v>48.084032114624492</v>
      </c>
      <c r="H26" s="161">
        <v>12.75</v>
      </c>
      <c r="I26" s="229">
        <v>5</v>
      </c>
      <c r="J26" s="229">
        <f t="shared" si="7"/>
        <v>73.48392087916821</v>
      </c>
      <c r="K26" s="161">
        <f t="shared" si="8"/>
        <v>19.237155440603459</v>
      </c>
      <c r="L26" s="190">
        <f t="shared" si="9"/>
        <v>7.2789236802283312</v>
      </c>
    </row>
    <row r="27" spans="2:13" s="108" customFormat="1" ht="17" x14ac:dyDescent="0.25">
      <c r="B27" s="205">
        <v>2</v>
      </c>
      <c r="C27" s="239" t="s">
        <v>37</v>
      </c>
      <c r="D27" t="s">
        <v>189</v>
      </c>
      <c r="E27" s="229">
        <v>49.937125000000002</v>
      </c>
      <c r="F27" s="229">
        <v>5.0049652432968994</v>
      </c>
      <c r="G27" s="229">
        <f t="shared" si="10"/>
        <v>47.5569177936448</v>
      </c>
      <c r="H27" s="161">
        <v>13.75</v>
      </c>
      <c r="I27" s="229">
        <v>7.5000000000000009</v>
      </c>
      <c r="J27" s="229">
        <f t="shared" si="7"/>
        <v>71.087276808680272</v>
      </c>
      <c r="K27" s="161">
        <f t="shared" si="8"/>
        <v>17.873319790997652</v>
      </c>
      <c r="L27" s="190">
        <f t="shared" si="9"/>
        <v>11.039403400322076</v>
      </c>
    </row>
    <row r="28" spans="2:13" s="108" customFormat="1" ht="17" x14ac:dyDescent="0.25">
      <c r="B28" s="205">
        <v>2</v>
      </c>
      <c r="C28" s="239" t="s">
        <v>37</v>
      </c>
      <c r="D28" t="s">
        <v>190</v>
      </c>
      <c r="E28" s="229">
        <v>50.120919999999998</v>
      </c>
      <c r="F28" s="229">
        <v>4.8476110393580401</v>
      </c>
      <c r="G28" s="229">
        <f t="shared" si="10"/>
        <v>47.803587991323369</v>
      </c>
      <c r="H28" s="161">
        <v>11.400000000000002</v>
      </c>
      <c r="I28" s="229">
        <v>6.2200000000000015</v>
      </c>
      <c r="J28" s="229">
        <f t="shared" si="7"/>
        <v>76.152417676118418</v>
      </c>
      <c r="K28" s="161">
        <f t="shared" si="8"/>
        <v>14.739479390707851</v>
      </c>
      <c r="L28" s="190">
        <f t="shared" si="9"/>
        <v>9.1081029331737309</v>
      </c>
    </row>
    <row r="29" spans="2:13" s="108" customFormat="1" ht="17" x14ac:dyDescent="0.25">
      <c r="B29" s="205">
        <v>2</v>
      </c>
      <c r="C29" s="239" t="s">
        <v>193</v>
      </c>
      <c r="D29" t="s">
        <v>188</v>
      </c>
      <c r="E29" s="229">
        <v>50.109666666666669</v>
      </c>
      <c r="F29" s="229">
        <v>4.3507139965835435</v>
      </c>
      <c r="G29" s="229">
        <f t="shared" si="10"/>
        <v>48.020434884908667</v>
      </c>
      <c r="H29" s="161">
        <v>15.5</v>
      </c>
      <c r="I29" s="229">
        <v>7.916666666666667</v>
      </c>
      <c r="J29" s="229">
        <f t="shared" si="7"/>
        <v>67.722074910089646</v>
      </c>
      <c r="K29" s="161">
        <f t="shared" si="8"/>
        <v>20.737699184109072</v>
      </c>
      <c r="L29" s="190">
        <f t="shared" si="9"/>
        <v>11.540225905801282</v>
      </c>
    </row>
    <row r="30" spans="2:13" s="108" customFormat="1" ht="17" x14ac:dyDescent="0.25">
      <c r="B30" s="205">
        <v>2</v>
      </c>
      <c r="C30" s="239" t="s">
        <v>193</v>
      </c>
      <c r="D30" t="s">
        <v>189</v>
      </c>
      <c r="E30" s="229">
        <v>50.233333333333327</v>
      </c>
      <c r="F30" s="229">
        <v>5.4983408468951858</v>
      </c>
      <c r="G30" s="229">
        <f t="shared" si="10"/>
        <v>47.615282790309109</v>
      </c>
      <c r="H30" s="161">
        <v>22.439999999999998</v>
      </c>
      <c r="I30" s="229">
        <v>14</v>
      </c>
      <c r="J30" s="229">
        <f t="shared" si="7"/>
        <v>52.87227401583953</v>
      </c>
      <c r="K30" s="161">
        <f t="shared" si="8"/>
        <v>26.546098771826575</v>
      </c>
      <c r="L30" s="190">
        <f t="shared" si="9"/>
        <v>20.581627212333895</v>
      </c>
    </row>
    <row r="31" spans="2:13" s="108" customFormat="1" ht="18" thickBot="1" x14ac:dyDescent="0.3">
      <c r="B31" s="207">
        <v>2</v>
      </c>
      <c r="C31" s="252" t="s">
        <v>193</v>
      </c>
      <c r="D31" s="7" t="s">
        <v>190</v>
      </c>
      <c r="E31" s="232">
        <v>50.357500000000002</v>
      </c>
      <c r="F31" s="232">
        <v>5.498688339077221</v>
      </c>
      <c r="G31" s="232">
        <f t="shared" si="10"/>
        <v>47.732820941004377</v>
      </c>
      <c r="H31" s="168">
        <v>20.805</v>
      </c>
      <c r="I31" s="232">
        <v>13.615000000000002</v>
      </c>
      <c r="J31" s="232">
        <f t="shared" si="7"/>
        <v>56.41363826849026</v>
      </c>
      <c r="K31" s="168">
        <f t="shared" si="8"/>
        <v>23.620016118332448</v>
      </c>
      <c r="L31" s="193">
        <f t="shared" si="9"/>
        <v>19.966345613177293</v>
      </c>
    </row>
    <row r="32" spans="2:13" s="108" customFormat="1" ht="16" x14ac:dyDescent="0.25"/>
    <row r="35" spans="2:12" ht="16" x14ac:dyDescent="0.25">
      <c r="B35" s="286" t="s">
        <v>182</v>
      </c>
      <c r="C35" t="s">
        <v>213</v>
      </c>
      <c r="D35" t="s">
        <v>215</v>
      </c>
      <c r="E35" t="s">
        <v>214</v>
      </c>
      <c r="I35" s="247"/>
      <c r="J35" s="107" t="s">
        <v>216</v>
      </c>
      <c r="K35" s="107" t="s">
        <v>217</v>
      </c>
      <c r="L35" s="107" t="s">
        <v>218</v>
      </c>
    </row>
    <row r="36" spans="2:12" x14ac:dyDescent="0.2">
      <c r="B36" s="287" t="s">
        <v>37</v>
      </c>
      <c r="C36">
        <v>55.837520082805298</v>
      </c>
      <c r="D36">
        <v>27.526165286179747</v>
      </c>
      <c r="E36">
        <v>16.636314631014958</v>
      </c>
      <c r="H36" t="s">
        <v>37</v>
      </c>
      <c r="I36" t="s">
        <v>188</v>
      </c>
      <c r="J36">
        <v>58.007575745387356</v>
      </c>
      <c r="K36">
        <v>28.80127849075113</v>
      </c>
      <c r="L36">
        <v>13.191145763861513</v>
      </c>
    </row>
    <row r="37" spans="2:12" x14ac:dyDescent="0.2">
      <c r="B37" s="288" t="s">
        <v>188</v>
      </c>
      <c r="C37">
        <v>58.007575745387356</v>
      </c>
      <c r="D37">
        <v>28.80127849075113</v>
      </c>
      <c r="E37">
        <v>13.191145763861513</v>
      </c>
      <c r="I37" t="s">
        <v>189</v>
      </c>
      <c r="J37">
        <v>55.101124409429211</v>
      </c>
      <c r="K37">
        <v>27.176018674124769</v>
      </c>
      <c r="L37">
        <v>17.72285691644602</v>
      </c>
    </row>
    <row r="38" spans="2:12" x14ac:dyDescent="0.2">
      <c r="B38" s="288" t="s">
        <v>189</v>
      </c>
      <c r="C38">
        <v>55.101124409429211</v>
      </c>
      <c r="D38">
        <v>27.176018674124769</v>
      </c>
      <c r="E38">
        <v>17.72285691644602</v>
      </c>
      <c r="I38" t="s">
        <v>190</v>
      </c>
      <c r="J38">
        <v>54.403860093599327</v>
      </c>
      <c r="K38">
        <v>26.601198693663331</v>
      </c>
      <c r="L38">
        <v>18.994941212737341</v>
      </c>
    </row>
    <row r="39" spans="2:12" x14ac:dyDescent="0.2">
      <c r="B39" s="288" t="s">
        <v>190</v>
      </c>
      <c r="C39">
        <v>54.403860093599327</v>
      </c>
      <c r="D39">
        <v>26.601198693663331</v>
      </c>
      <c r="E39">
        <v>18.994941212737341</v>
      </c>
    </row>
    <row r="40" spans="2:12" ht="16" x14ac:dyDescent="0.25">
      <c r="B40" s="287" t="s">
        <v>193</v>
      </c>
      <c r="C40">
        <v>48.540245677732962</v>
      </c>
      <c r="D40">
        <v>27.365710971547788</v>
      </c>
      <c r="E40">
        <v>24.09404335071925</v>
      </c>
      <c r="J40" s="107" t="s">
        <v>219</v>
      </c>
      <c r="K40" s="107" t="s">
        <v>221</v>
      </c>
      <c r="L40" s="107" t="s">
        <v>220</v>
      </c>
    </row>
    <row r="41" spans="2:12" x14ac:dyDescent="0.2">
      <c r="B41" s="288" t="s">
        <v>188</v>
      </c>
      <c r="C41">
        <v>57.987458670286834</v>
      </c>
      <c r="D41">
        <v>26.87704475168379</v>
      </c>
      <c r="E41">
        <v>15.135496578029377</v>
      </c>
      <c r="H41" t="s">
        <v>193</v>
      </c>
      <c r="I41" t="s">
        <v>188</v>
      </c>
      <c r="J41">
        <v>57.987458670286834</v>
      </c>
      <c r="K41">
        <v>26.87704475168379</v>
      </c>
      <c r="L41">
        <v>15.135496578029377</v>
      </c>
    </row>
    <row r="42" spans="2:12" x14ac:dyDescent="0.2">
      <c r="B42" s="288" t="s">
        <v>189</v>
      </c>
      <c r="C42">
        <v>48.280566950200061</v>
      </c>
      <c r="D42">
        <v>29.807806330187361</v>
      </c>
      <c r="E42">
        <v>21.911626719612578</v>
      </c>
      <c r="I42" t="s">
        <v>189</v>
      </c>
      <c r="J42">
        <v>48.280566950200061</v>
      </c>
      <c r="K42">
        <v>29.807806330187361</v>
      </c>
      <c r="L42">
        <v>21.911626719612578</v>
      </c>
    </row>
    <row r="43" spans="2:12" x14ac:dyDescent="0.2">
      <c r="B43" s="288" t="s">
        <v>190</v>
      </c>
      <c r="C43">
        <v>39.352711412711976</v>
      </c>
      <c r="D43">
        <v>25.412281832772223</v>
      </c>
      <c r="E43">
        <v>35.235006754515801</v>
      </c>
      <c r="I43" t="s">
        <v>190</v>
      </c>
      <c r="J43">
        <v>39.352711412711976</v>
      </c>
      <c r="K43">
        <v>25.412281832772223</v>
      </c>
      <c r="L43">
        <v>35.235006754515801</v>
      </c>
    </row>
    <row r="44" spans="2:12" ht="16" x14ac:dyDescent="0.25">
      <c r="B44" s="287" t="s">
        <v>183</v>
      </c>
      <c r="C44">
        <v>52.188882880269126</v>
      </c>
      <c r="D44">
        <v>27.445938128863762</v>
      </c>
      <c r="E44">
        <v>20.365178990867104</v>
      </c>
      <c r="H44" s="108"/>
      <c r="I44" s="108"/>
      <c r="J44" s="108"/>
    </row>
  </sheetData>
  <pageMargins left="0.7" right="0.7" top="0.75" bottom="0.75" header="0.3" footer="0.3"/>
  <pageSetup paperSize="9" orientation="portrait" horizontalDpi="0" verticalDpi="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740E8-A333-DF41-BC84-E5F9B8F3D7CC}">
  <dimension ref="A2:T53"/>
  <sheetViews>
    <sheetView topLeftCell="A5" zoomScale="120" zoomScaleNormal="120" workbookViewId="0">
      <selection activeCell="A2" sqref="A2:Q18"/>
    </sheetView>
  </sheetViews>
  <sheetFormatPr baseColWidth="10" defaultColWidth="12.33203125" defaultRowHeight="15" x14ac:dyDescent="0.2"/>
  <sheetData>
    <row r="2" spans="1:17" ht="114" x14ac:dyDescent="0.2">
      <c r="A2" s="1" t="s">
        <v>58</v>
      </c>
      <c r="B2" s="1"/>
      <c r="C2" s="1"/>
      <c r="E2" s="5"/>
      <c r="F2" s="5"/>
      <c r="I2" s="1"/>
      <c r="N2" s="2" t="s">
        <v>34</v>
      </c>
    </row>
    <row r="3" spans="1:17" x14ac:dyDescent="0.2">
      <c r="A3" s="1"/>
      <c r="B3" s="1"/>
      <c r="C3" s="1"/>
      <c r="E3" s="5"/>
      <c r="F3" s="5"/>
      <c r="I3" s="1"/>
      <c r="N3" s="2"/>
    </row>
    <row r="4" spans="1:17" ht="30" customHeight="1" x14ac:dyDescent="0.2">
      <c r="F4" s="95"/>
      <c r="G4" s="95"/>
      <c r="H4" s="95"/>
      <c r="I4" s="95"/>
      <c r="J4" s="96"/>
      <c r="N4" s="5"/>
      <c r="O4" s="5"/>
      <c r="P4" s="2"/>
    </row>
    <row r="5" spans="1:17" ht="81" thickBot="1" x14ac:dyDescent="0.25">
      <c r="B5" s="2" t="s">
        <v>126</v>
      </c>
      <c r="E5" s="2"/>
      <c r="F5" s="2"/>
      <c r="H5" s="2"/>
      <c r="I5" s="2"/>
      <c r="J5" s="2"/>
      <c r="K5" s="2"/>
      <c r="L5" s="2"/>
      <c r="M5" s="2"/>
      <c r="N5" s="5"/>
      <c r="O5" s="99"/>
    </row>
    <row r="6" spans="1:17" ht="113" thickBot="1" x14ac:dyDescent="0.25">
      <c r="B6" s="100" t="s">
        <v>36</v>
      </c>
      <c r="C6" s="101" t="s">
        <v>44</v>
      </c>
      <c r="D6" s="101" t="s">
        <v>43</v>
      </c>
      <c r="E6" s="98" t="s">
        <v>129</v>
      </c>
      <c r="F6" s="98" t="s">
        <v>128</v>
      </c>
      <c r="G6" s="102" t="s">
        <v>123</v>
      </c>
      <c r="H6" s="103" t="s">
        <v>125</v>
      </c>
      <c r="I6" s="103" t="s">
        <v>121</v>
      </c>
      <c r="J6" s="104" t="s">
        <v>70</v>
      </c>
      <c r="K6" s="103" t="s">
        <v>71</v>
      </c>
      <c r="L6" s="103" t="s">
        <v>72</v>
      </c>
      <c r="M6" s="103" t="s">
        <v>73</v>
      </c>
      <c r="N6" s="63" t="s">
        <v>124</v>
      </c>
      <c r="O6" s="103" t="s">
        <v>119</v>
      </c>
      <c r="P6" s="105" t="s">
        <v>127</v>
      </c>
      <c r="Q6" s="63" t="s">
        <v>130</v>
      </c>
    </row>
    <row r="7" spans="1:17" ht="17" x14ac:dyDescent="0.25">
      <c r="B7" s="18">
        <v>1</v>
      </c>
      <c r="C7" s="315" t="s">
        <v>37</v>
      </c>
      <c r="D7" s="5" t="s">
        <v>188</v>
      </c>
      <c r="E7" s="5">
        <v>4.0350000000000001</v>
      </c>
      <c r="F7" s="316">
        <v>9.9924999999999997</v>
      </c>
      <c r="G7" s="5">
        <v>5.8142526369950902</v>
      </c>
      <c r="H7" s="5">
        <f t="shared" ref="H7:H18" si="0">E7/((G7/100)+1)</f>
        <v>3.8132859226841731</v>
      </c>
      <c r="I7" s="59">
        <v>1.0999999999999999</v>
      </c>
      <c r="J7" s="57">
        <v>0.1350873039237932</v>
      </c>
      <c r="K7" s="5">
        <v>0.63233845215192253</v>
      </c>
      <c r="L7" s="5">
        <v>0.68426785712881644</v>
      </c>
      <c r="M7" s="5">
        <v>9.0305975644197831E-3</v>
      </c>
      <c r="N7" s="59">
        <f>SUM(J7:M7)</f>
        <v>1.460724210768952</v>
      </c>
      <c r="O7" s="5">
        <f>((N7*I7)/H7)*1000</f>
        <v>421.36799191675158</v>
      </c>
      <c r="P7" s="317">
        <f>(I7/(F7/(G7/100+1)))*10</f>
        <v>1.1648304018083022</v>
      </c>
      <c r="Q7" s="59">
        <f>O7+P7</f>
        <v>422.53282231855985</v>
      </c>
    </row>
    <row r="8" spans="1:17" ht="17" x14ac:dyDescent="0.25">
      <c r="B8" s="18">
        <v>1</v>
      </c>
      <c r="C8" s="315" t="s">
        <v>37</v>
      </c>
      <c r="D8" s="5" t="s">
        <v>189</v>
      </c>
      <c r="E8" s="5">
        <v>4.4975000000000005</v>
      </c>
      <c r="F8" s="316">
        <v>10.149999999999999</v>
      </c>
      <c r="G8" s="5">
        <v>8.9567430025444796</v>
      </c>
      <c r="H8" s="5">
        <f t="shared" si="0"/>
        <v>4.1277849135917819</v>
      </c>
      <c r="I8" s="59">
        <v>1.1499999999999999</v>
      </c>
      <c r="J8" s="57">
        <v>0.11845390231323981</v>
      </c>
      <c r="K8" s="5">
        <v>0.64595461887192873</v>
      </c>
      <c r="L8" s="5">
        <v>1.0245240621445042</v>
      </c>
      <c r="M8" s="5">
        <v>1.1905279850609565E-2</v>
      </c>
      <c r="N8" s="59">
        <f t="shared" ref="N8:N18" si="1">SUM(J8:M8)</f>
        <v>1.8008378631802824</v>
      </c>
      <c r="O8" s="5">
        <f t="shared" ref="O8:O18" si="2">((N8*I8)/H8)*1000</f>
        <v>501.71304610328662</v>
      </c>
      <c r="P8" s="317">
        <f t="shared" ref="P8:P18" si="3">(I8/(F8/(G8/100+1)))*10</f>
        <v>1.2344852655460705</v>
      </c>
      <c r="Q8" s="59">
        <f t="shared" ref="Q8:Q18" si="4">O8+P8</f>
        <v>502.9475313688327</v>
      </c>
    </row>
    <row r="9" spans="1:17" ht="17" x14ac:dyDescent="0.25">
      <c r="B9" s="18">
        <v>1</v>
      </c>
      <c r="C9" s="315" t="s">
        <v>37</v>
      </c>
      <c r="D9" s="5" t="s">
        <v>190</v>
      </c>
      <c r="E9" s="5">
        <v>4.0975000000000001</v>
      </c>
      <c r="F9" s="316">
        <v>10.135</v>
      </c>
      <c r="G9" s="5">
        <v>13.810043668122271</v>
      </c>
      <c r="H9" s="5">
        <f t="shared" si="0"/>
        <v>3.6002973621103123</v>
      </c>
      <c r="I9" s="59">
        <v>0.8</v>
      </c>
      <c r="J9" s="57">
        <v>8.4358430279297444E-2</v>
      </c>
      <c r="K9" s="5">
        <v>0.63385758518835</v>
      </c>
      <c r="L9" s="5">
        <v>1.03362094607879</v>
      </c>
      <c r="M9" s="5">
        <v>1.6558580681170186E-2</v>
      </c>
      <c r="N9" s="59">
        <f t="shared" si="1"/>
        <v>1.7683955422276076</v>
      </c>
      <c r="O9" s="5">
        <f t="shared" si="2"/>
        <v>392.9443297297118</v>
      </c>
      <c r="P9" s="317">
        <f t="shared" si="3"/>
        <v>0.89835258938823703</v>
      </c>
      <c r="Q9" s="59">
        <f t="shared" si="4"/>
        <v>393.84268231910005</v>
      </c>
    </row>
    <row r="10" spans="1:17" ht="17" x14ac:dyDescent="0.25">
      <c r="B10" s="18">
        <v>1</v>
      </c>
      <c r="C10" s="315" t="s">
        <v>193</v>
      </c>
      <c r="D10" s="5" t="s">
        <v>188</v>
      </c>
      <c r="E10" s="5">
        <v>4.0649999999999995</v>
      </c>
      <c r="F10" s="316">
        <v>10.074999999999999</v>
      </c>
      <c r="G10" s="5">
        <v>9.2173017507724371</v>
      </c>
      <c r="H10" s="5">
        <f t="shared" si="0"/>
        <v>3.72193776520509</v>
      </c>
      <c r="I10" s="59">
        <v>1.2</v>
      </c>
      <c r="J10" s="57">
        <v>0.11305588872806693</v>
      </c>
      <c r="K10" s="5">
        <v>0.69646477556780995</v>
      </c>
      <c r="L10" s="5">
        <v>0.88313579235449802</v>
      </c>
      <c r="M10" s="5">
        <v>1.7134425308901566E-2</v>
      </c>
      <c r="N10" s="59">
        <f t="shared" si="1"/>
        <v>1.7097908819592764</v>
      </c>
      <c r="O10" s="5">
        <f t="shared" si="2"/>
        <v>551.25829279901291</v>
      </c>
      <c r="P10" s="317">
        <f t="shared" si="3"/>
        <v>1.3008512367337661</v>
      </c>
      <c r="Q10" s="59">
        <f t="shared" si="4"/>
        <v>552.55914403574673</v>
      </c>
    </row>
    <row r="11" spans="1:17" ht="17" x14ac:dyDescent="0.25">
      <c r="B11" s="18">
        <v>1</v>
      </c>
      <c r="C11" s="315" t="s">
        <v>193</v>
      </c>
      <c r="D11" s="5" t="s">
        <v>189</v>
      </c>
      <c r="E11" s="5">
        <v>4.0104500000000005</v>
      </c>
      <c r="F11" s="316">
        <v>10.051749999999998</v>
      </c>
      <c r="G11" s="5">
        <v>10.928961748633881</v>
      </c>
      <c r="H11" s="5">
        <f t="shared" si="0"/>
        <v>3.6153317733990149</v>
      </c>
      <c r="I11" s="59">
        <v>0.85000000000000009</v>
      </c>
      <c r="J11" s="57">
        <v>4.6888316703520255E-2</v>
      </c>
      <c r="K11" s="5">
        <v>0.54338646824097747</v>
      </c>
      <c r="L11" s="5">
        <v>0.98684418142575714</v>
      </c>
      <c r="M11" s="5">
        <v>3.0343345219446996E-2</v>
      </c>
      <c r="N11" s="59">
        <f t="shared" si="1"/>
        <v>1.607462311589702</v>
      </c>
      <c r="O11" s="5">
        <f t="shared" si="2"/>
        <v>377.93017363013865</v>
      </c>
      <c r="P11" s="317">
        <f t="shared" si="3"/>
        <v>0.93804180850437802</v>
      </c>
      <c r="Q11" s="59">
        <f t="shared" si="4"/>
        <v>378.86821543864301</v>
      </c>
    </row>
    <row r="12" spans="1:17" ht="17" x14ac:dyDescent="0.25">
      <c r="B12" s="18">
        <v>1</v>
      </c>
      <c r="C12" s="315" t="s">
        <v>193</v>
      </c>
      <c r="D12" s="5" t="s">
        <v>190</v>
      </c>
      <c r="E12" s="5">
        <v>4.0233333333333325</v>
      </c>
      <c r="F12" s="316">
        <v>10.033333333333333</v>
      </c>
      <c r="G12" s="5">
        <v>11.202368979774333</v>
      </c>
      <c r="H12" s="5">
        <f t="shared" si="0"/>
        <v>3.6180284379239285</v>
      </c>
      <c r="I12" s="59">
        <v>3.6999999999999997</v>
      </c>
      <c r="J12" s="57">
        <v>3.9194165844879232E-2</v>
      </c>
      <c r="K12" s="5">
        <v>0.52775343062948543</v>
      </c>
      <c r="L12" s="5">
        <v>1.0600504196633029</v>
      </c>
      <c r="M12" s="5">
        <v>5.6394309722012197E-2</v>
      </c>
      <c r="N12" s="59">
        <f t="shared" si="1"/>
        <v>1.6833923258596797</v>
      </c>
      <c r="O12" s="5">
        <f>((N12*I12)/H12)*1000</f>
        <v>1721.5319648661573</v>
      </c>
      <c r="P12" s="317">
        <f t="shared" si="3"/>
        <v>4.1008182580581236</v>
      </c>
      <c r="Q12" s="59">
        <f t="shared" si="4"/>
        <v>1725.6327831242154</v>
      </c>
    </row>
    <row r="13" spans="1:17" ht="17" x14ac:dyDescent="0.25">
      <c r="B13" s="18">
        <v>2</v>
      </c>
      <c r="C13" s="315" t="s">
        <v>37</v>
      </c>
      <c r="D13" s="5" t="s">
        <v>188</v>
      </c>
      <c r="E13" s="5">
        <v>4.0179999999999998</v>
      </c>
      <c r="F13" s="316">
        <v>10.026</v>
      </c>
      <c r="G13" s="5">
        <v>4.093807858465369</v>
      </c>
      <c r="H13" s="5">
        <f t="shared" si="0"/>
        <v>3.859979841897232</v>
      </c>
      <c r="I13" s="59">
        <v>2.58</v>
      </c>
      <c r="J13" s="57">
        <v>7.3293515568402051E-2</v>
      </c>
      <c r="K13" s="5">
        <v>0.36999569048922731</v>
      </c>
      <c r="L13" s="5">
        <v>5.7202651052080521E-2</v>
      </c>
      <c r="M13" s="5">
        <v>6.2087842716597218E-3</v>
      </c>
      <c r="N13" s="59">
        <f t="shared" si="1"/>
        <v>0.50670064138136961</v>
      </c>
      <c r="O13" s="5">
        <f>((N13*I13)/H13)*1000</f>
        <v>338.67732690577577</v>
      </c>
      <c r="P13" s="317">
        <f t="shared" si="3"/>
        <v>2.6786557378300486</v>
      </c>
      <c r="Q13" s="59">
        <f t="shared" si="4"/>
        <v>341.35598264360584</v>
      </c>
    </row>
    <row r="14" spans="1:17" ht="17" x14ac:dyDescent="0.25">
      <c r="B14" s="18">
        <v>2</v>
      </c>
      <c r="C14" s="315" t="s">
        <v>37</v>
      </c>
      <c r="D14" s="5" t="s">
        <v>189</v>
      </c>
      <c r="E14" s="5">
        <v>3.9899999999999998</v>
      </c>
      <c r="F14" s="316">
        <v>10.257999999999999</v>
      </c>
      <c r="G14" s="5">
        <v>5.0049652432968994</v>
      </c>
      <c r="H14" s="5">
        <f t="shared" si="0"/>
        <v>3.7998203139776816</v>
      </c>
      <c r="I14" s="59">
        <v>3.72</v>
      </c>
      <c r="J14" s="57">
        <v>5.8318098205746259E-2</v>
      </c>
      <c r="K14" s="5">
        <v>0.28551359075427135</v>
      </c>
      <c r="L14" s="5">
        <v>3.9577298033054098E-2</v>
      </c>
      <c r="M14" s="5">
        <v>1.3026065935862353E-2</v>
      </c>
      <c r="N14" s="59">
        <f t="shared" si="1"/>
        <v>0.39643505292893405</v>
      </c>
      <c r="O14" s="5">
        <f t="shared" si="2"/>
        <v>388.10740378190854</v>
      </c>
      <c r="P14" s="317">
        <f t="shared" si="3"/>
        <v>3.8079398586962814</v>
      </c>
      <c r="Q14" s="59">
        <f t="shared" si="4"/>
        <v>391.91534364060482</v>
      </c>
    </row>
    <row r="15" spans="1:17" ht="17" x14ac:dyDescent="0.25">
      <c r="B15" s="18">
        <v>2</v>
      </c>
      <c r="C15" s="315" t="s">
        <v>37</v>
      </c>
      <c r="D15" s="5" t="s">
        <v>190</v>
      </c>
      <c r="E15" s="5">
        <v>4.0119999999999996</v>
      </c>
      <c r="F15" s="316">
        <v>10.053999999999998</v>
      </c>
      <c r="G15" s="5">
        <v>4.8476110393580401</v>
      </c>
      <c r="H15" s="5">
        <f t="shared" si="0"/>
        <v>3.8265058786069637</v>
      </c>
      <c r="I15" s="59">
        <v>1.8399999999999999</v>
      </c>
      <c r="J15" s="57">
        <v>4.3454173482778635E-2</v>
      </c>
      <c r="K15" s="5">
        <v>0.25383482407028146</v>
      </c>
      <c r="L15" s="5">
        <v>3.6653392165763278E-2</v>
      </c>
      <c r="M15" s="5">
        <v>1.1250288092784713E-2</v>
      </c>
      <c r="N15" s="59">
        <f t="shared" si="1"/>
        <v>0.34519267781160812</v>
      </c>
      <c r="O15" s="5">
        <f t="shared" si="2"/>
        <v>165.98812266939109</v>
      </c>
      <c r="P15" s="317">
        <f t="shared" si="3"/>
        <v>1.9188343377006047</v>
      </c>
      <c r="Q15" s="59">
        <f t="shared" si="4"/>
        <v>167.90695700709171</v>
      </c>
    </row>
    <row r="16" spans="1:17" ht="17" x14ac:dyDescent="0.25">
      <c r="B16" s="18">
        <v>2</v>
      </c>
      <c r="C16" s="315" t="s">
        <v>193</v>
      </c>
      <c r="D16" s="5" t="s">
        <v>188</v>
      </c>
      <c r="E16" s="5">
        <v>4.0630499999999996</v>
      </c>
      <c r="F16" s="316">
        <v>10.149099999999999</v>
      </c>
      <c r="G16" s="5">
        <v>4.3507139965835435</v>
      </c>
      <c r="H16" s="5">
        <f t="shared" si="0"/>
        <v>3.8936484901608099</v>
      </c>
      <c r="I16" s="59">
        <v>1.6166666666666665</v>
      </c>
      <c r="J16" s="57">
        <v>7.7590949145761826E-2</v>
      </c>
      <c r="K16" s="5">
        <v>0.57688333078472909</v>
      </c>
      <c r="L16" s="5">
        <v>0.16984728222189105</v>
      </c>
      <c r="M16" s="5">
        <v>1.3055788405776413E-2</v>
      </c>
      <c r="N16" s="59">
        <f t="shared" si="1"/>
        <v>0.83737735055815832</v>
      </c>
      <c r="O16" s="5">
        <f t="shared" si="2"/>
        <v>347.68419735113571</v>
      </c>
      <c r="P16" s="317">
        <f t="shared" si="3"/>
        <v>1.6622195166186495</v>
      </c>
      <c r="Q16" s="59">
        <f t="shared" si="4"/>
        <v>349.34641686775439</v>
      </c>
    </row>
    <row r="17" spans="2:17" ht="17" x14ac:dyDescent="0.25">
      <c r="B17" s="18">
        <v>2</v>
      </c>
      <c r="C17" s="315" t="s">
        <v>193</v>
      </c>
      <c r="D17" s="5" t="s">
        <v>189</v>
      </c>
      <c r="E17" s="5">
        <v>4.1672000000000002</v>
      </c>
      <c r="F17" s="316">
        <v>10.312833333333332</v>
      </c>
      <c r="G17" s="5">
        <v>5.4983408468951858</v>
      </c>
      <c r="H17" s="5">
        <f t="shared" si="0"/>
        <v>3.9500147268170438</v>
      </c>
      <c r="I17" s="59">
        <v>6.0333333333333341</v>
      </c>
      <c r="J17" s="57">
        <v>6.5946419937896308E-2</v>
      </c>
      <c r="K17" s="5">
        <v>0.2675723901719263</v>
      </c>
      <c r="L17" s="5">
        <v>0.17638942066458299</v>
      </c>
      <c r="M17" s="5">
        <v>1.7253636117686988E-2</v>
      </c>
      <c r="N17" s="59">
        <f t="shared" si="1"/>
        <v>0.52716186689209255</v>
      </c>
      <c r="O17" s="5">
        <f>((N17*I17)/H17)*1000</f>
        <v>805.19782419778505</v>
      </c>
      <c r="P17" s="317">
        <f t="shared" si="3"/>
        <v>6.1719862609008302</v>
      </c>
      <c r="Q17" s="59">
        <f t="shared" si="4"/>
        <v>811.36981045868583</v>
      </c>
    </row>
    <row r="18" spans="2:17" ht="18" thickBot="1" x14ac:dyDescent="0.3">
      <c r="B18" s="19">
        <v>2</v>
      </c>
      <c r="C18" s="318" t="s">
        <v>193</v>
      </c>
      <c r="D18" s="5" t="s">
        <v>190</v>
      </c>
      <c r="E18" s="21">
        <v>4.3149999999999995</v>
      </c>
      <c r="F18" s="319">
        <v>10.375</v>
      </c>
      <c r="G18" s="21">
        <v>5.498688339077221</v>
      </c>
      <c r="H18" s="21">
        <f t="shared" si="0"/>
        <v>4.0900982447586527</v>
      </c>
      <c r="I18" s="22">
        <v>2.2999999999999998</v>
      </c>
      <c r="J18" s="52">
        <v>8.0269003889640977E-2</v>
      </c>
      <c r="K18" s="21">
        <v>0.2631654001534135</v>
      </c>
      <c r="L18" s="21">
        <v>0.16979351467936421</v>
      </c>
      <c r="M18" s="21">
        <v>2.0230118147315741E-2</v>
      </c>
      <c r="N18" s="22">
        <f t="shared" si="1"/>
        <v>0.53345803686973448</v>
      </c>
      <c r="O18" s="21">
        <f t="shared" si="2"/>
        <v>299.98142131981695</v>
      </c>
      <c r="P18" s="320">
        <f t="shared" si="3"/>
        <v>2.3387661029385796</v>
      </c>
      <c r="Q18" s="22">
        <f t="shared" si="4"/>
        <v>302.32018742275551</v>
      </c>
    </row>
    <row r="19" spans="2:17" x14ac:dyDescent="0.2">
      <c r="F19" s="97"/>
      <c r="G19" s="97"/>
      <c r="H19" s="97"/>
      <c r="I19" s="97"/>
      <c r="J19" s="97"/>
      <c r="K19" s="97"/>
      <c r="L19" s="97"/>
      <c r="M19" s="97"/>
      <c r="N19" s="97"/>
      <c r="O19" s="97"/>
      <c r="P19" s="5"/>
      <c r="Q19" s="94"/>
    </row>
    <row r="20" spans="2:17" ht="30" customHeight="1" x14ac:dyDescent="0.2">
      <c r="F20" s="95"/>
      <c r="G20" s="95"/>
      <c r="H20" s="95"/>
      <c r="I20" s="95"/>
      <c r="J20" s="96"/>
      <c r="N20" s="5"/>
      <c r="O20" s="5"/>
      <c r="P20" s="2" t="s">
        <v>119</v>
      </c>
      <c r="Q20" t="s">
        <v>120</v>
      </c>
    </row>
    <row r="22" spans="2:17" ht="176" customHeight="1" x14ac:dyDescent="0.2">
      <c r="B22" s="331" t="s">
        <v>122</v>
      </c>
      <c r="C22" s="331"/>
      <c r="D22" s="331"/>
      <c r="E22" s="331"/>
      <c r="F22" s="331"/>
      <c r="G22" s="331"/>
      <c r="H22" s="331"/>
      <c r="I22" s="331"/>
      <c r="J22" s="331"/>
      <c r="K22" s="331"/>
      <c r="L22" s="331"/>
    </row>
    <row r="24" spans="2:17" ht="65" x14ac:dyDescent="0.25">
      <c r="B24" s="286" t="s">
        <v>182</v>
      </c>
      <c r="C24" t="s">
        <v>224</v>
      </c>
      <c r="D24" t="s">
        <v>223</v>
      </c>
      <c r="E24" t="s">
        <v>222</v>
      </c>
      <c r="H24" s="247"/>
      <c r="I24" t="s">
        <v>228</v>
      </c>
      <c r="J24" s="2" t="s">
        <v>230</v>
      </c>
      <c r="K24" s="2" t="s">
        <v>225</v>
      </c>
    </row>
    <row r="25" spans="2:17" x14ac:dyDescent="0.2">
      <c r="B25" s="287" t="s">
        <v>37</v>
      </c>
      <c r="C25">
        <v>368.1330368511376</v>
      </c>
      <c r="D25">
        <v>1.9505163651615909</v>
      </c>
      <c r="E25">
        <v>370.08355321629915</v>
      </c>
      <c r="G25" t="s">
        <v>37</v>
      </c>
      <c r="H25" t="s">
        <v>188</v>
      </c>
      <c r="I25">
        <v>380.0226594112637</v>
      </c>
      <c r="J25">
        <v>1.9217430698191755</v>
      </c>
      <c r="K25">
        <v>381.94440248108288</v>
      </c>
    </row>
    <row r="26" spans="2:17" x14ac:dyDescent="0.2">
      <c r="B26" s="288" t="s">
        <v>188</v>
      </c>
      <c r="C26">
        <v>380.0226594112637</v>
      </c>
      <c r="D26">
        <v>1.9217430698191755</v>
      </c>
      <c r="E26">
        <v>381.94440248108288</v>
      </c>
      <c r="H26" t="s">
        <v>189</v>
      </c>
      <c r="I26">
        <v>444.91022494259755</v>
      </c>
      <c r="J26">
        <v>2.5212125621211761</v>
      </c>
      <c r="K26">
        <v>447.43143750471876</v>
      </c>
    </row>
    <row r="27" spans="2:17" x14ac:dyDescent="0.2">
      <c r="B27" s="288" t="s">
        <v>189</v>
      </c>
      <c r="C27">
        <v>444.91022494259755</v>
      </c>
      <c r="D27">
        <v>2.5212125621211761</v>
      </c>
      <c r="E27">
        <v>447.43143750471876</v>
      </c>
      <c r="H27" t="s">
        <v>190</v>
      </c>
      <c r="I27">
        <v>279.46622619955144</v>
      </c>
      <c r="J27">
        <v>1.4085934635444208</v>
      </c>
      <c r="K27">
        <v>280.87481966309588</v>
      </c>
    </row>
    <row r="28" spans="2:17" x14ac:dyDescent="0.2">
      <c r="B28" s="288" t="s">
        <v>190</v>
      </c>
      <c r="C28">
        <v>279.46622619955144</v>
      </c>
      <c r="D28">
        <v>1.4085934635444208</v>
      </c>
      <c r="E28">
        <v>280.87481966309588</v>
      </c>
    </row>
    <row r="29" spans="2:17" ht="65" x14ac:dyDescent="0.25">
      <c r="B29" s="287" t="s">
        <v>193</v>
      </c>
      <c r="C29">
        <v>683.93064569400769</v>
      </c>
      <c r="D29">
        <v>2.7521138639590546</v>
      </c>
      <c r="E29">
        <v>686.68275955796673</v>
      </c>
      <c r="I29" s="107" t="s">
        <v>229</v>
      </c>
      <c r="J29" s="2" t="s">
        <v>227</v>
      </c>
      <c r="K29" s="2" t="s">
        <v>226</v>
      </c>
    </row>
    <row r="30" spans="2:17" x14ac:dyDescent="0.2">
      <c r="B30" s="288" t="s">
        <v>188</v>
      </c>
      <c r="C30">
        <v>449.47124507507431</v>
      </c>
      <c r="D30">
        <v>1.4815353766762078</v>
      </c>
      <c r="E30">
        <v>450.95278045175053</v>
      </c>
      <c r="G30" t="s">
        <v>193</v>
      </c>
      <c r="H30" t="s">
        <v>188</v>
      </c>
      <c r="I30">
        <v>591.56399891396188</v>
      </c>
      <c r="J30">
        <v>3.5550140347026042</v>
      </c>
      <c r="K30">
        <v>595.11901294866448</v>
      </c>
    </row>
    <row r="31" spans="2:17" x14ac:dyDescent="0.2">
      <c r="B31" s="288" t="s">
        <v>189</v>
      </c>
      <c r="C31">
        <v>591.56399891396188</v>
      </c>
      <c r="D31">
        <v>3.5550140347026042</v>
      </c>
      <c r="E31">
        <v>595.11901294866448</v>
      </c>
      <c r="H31" t="s">
        <v>189</v>
      </c>
      <c r="I31">
        <v>1010.7566930929871</v>
      </c>
      <c r="J31">
        <v>3.2197921804983514</v>
      </c>
      <c r="K31">
        <v>1013.9764852734854</v>
      </c>
    </row>
    <row r="32" spans="2:17" x14ac:dyDescent="0.2">
      <c r="B32" s="288" t="s">
        <v>190</v>
      </c>
      <c r="C32">
        <v>1010.7566930929871</v>
      </c>
      <c r="D32">
        <v>3.2197921804983514</v>
      </c>
      <c r="E32">
        <v>1013.9764852734854</v>
      </c>
      <c r="H32" t="s">
        <v>190</v>
      </c>
      <c r="I32">
        <v>526.03184127257271</v>
      </c>
      <c r="J32">
        <v>2.3513151145603226</v>
      </c>
      <c r="K32">
        <v>528.38315638713289</v>
      </c>
    </row>
    <row r="33" spans="2:6" x14ac:dyDescent="0.2">
      <c r="B33" s="287" t="s">
        <v>183</v>
      </c>
      <c r="C33">
        <v>526.03184127257271</v>
      </c>
      <c r="D33">
        <v>2.3513151145603226</v>
      </c>
      <c r="E33">
        <v>528.38315638713289</v>
      </c>
    </row>
    <row r="38" spans="2:6" x14ac:dyDescent="0.2">
      <c r="F38" t="s">
        <v>231</v>
      </c>
    </row>
    <row r="40" spans="2:6" x14ac:dyDescent="0.2">
      <c r="F40" t="s">
        <v>120</v>
      </c>
    </row>
    <row r="53" spans="20:20" x14ac:dyDescent="0.2">
      <c r="T53" s="305"/>
    </row>
  </sheetData>
  <mergeCells count="1">
    <mergeCell ref="B22:L22"/>
  </mergeCells>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8"/>
  <sheetViews>
    <sheetView topLeftCell="A3" zoomScale="110" zoomScaleNormal="110" workbookViewId="0">
      <selection activeCell="W61" sqref="W1:W1048576"/>
    </sheetView>
  </sheetViews>
  <sheetFormatPr baseColWidth="10" defaultColWidth="8.83203125" defaultRowHeight="15" x14ac:dyDescent="0.2"/>
  <cols>
    <col min="2" max="2" width="10.5" customWidth="1"/>
    <col min="3" max="21" width="11.5" customWidth="1"/>
    <col min="22" max="22" width="3.33203125" customWidth="1"/>
    <col min="23" max="23" width="88.6640625" customWidth="1"/>
  </cols>
  <sheetData>
    <row r="1" spans="1:28" x14ac:dyDescent="0.2">
      <c r="A1" s="1" t="s">
        <v>0</v>
      </c>
    </row>
    <row r="2" spans="1:28" x14ac:dyDescent="0.2">
      <c r="A2" s="1" t="s">
        <v>1</v>
      </c>
      <c r="B2" s="1"/>
    </row>
    <row r="3" spans="1:28" ht="147" thickBot="1" x14ac:dyDescent="0.25">
      <c r="B3" t="s">
        <v>2</v>
      </c>
      <c r="P3" s="2" t="s">
        <v>22</v>
      </c>
    </row>
    <row r="4" spans="1:28" ht="17" customHeight="1" thickBot="1" x14ac:dyDescent="0.3">
      <c r="B4" s="109" t="s">
        <v>4</v>
      </c>
      <c r="C4" s="321" t="s">
        <v>5</v>
      </c>
      <c r="D4" s="322"/>
      <c r="E4" s="321" t="s">
        <v>6</v>
      </c>
      <c r="F4" s="322"/>
      <c r="G4" s="321" t="s">
        <v>74</v>
      </c>
      <c r="H4" s="322"/>
      <c r="I4" s="321" t="s">
        <v>21</v>
      </c>
      <c r="J4" s="322"/>
      <c r="K4" s="321" t="s">
        <v>75</v>
      </c>
      <c r="L4" s="322"/>
      <c r="N4" t="s">
        <v>104</v>
      </c>
      <c r="X4" s="273" t="s">
        <v>173</v>
      </c>
      <c r="Y4" s="276" t="s">
        <v>170</v>
      </c>
      <c r="Z4" s="273" t="s">
        <v>169</v>
      </c>
      <c r="AA4" s="273" t="s">
        <v>171</v>
      </c>
      <c r="AB4" s="273" t="s">
        <v>172</v>
      </c>
    </row>
    <row r="5" spans="1:28" ht="33" thickBot="1" x14ac:dyDescent="0.3">
      <c r="B5" s="259"/>
      <c r="C5" s="112" t="s">
        <v>7</v>
      </c>
      <c r="D5" s="115" t="s">
        <v>147</v>
      </c>
      <c r="E5" s="112" t="s">
        <v>7</v>
      </c>
      <c r="F5" s="116" t="s">
        <v>147</v>
      </c>
      <c r="G5" s="110" t="s">
        <v>7</v>
      </c>
      <c r="H5" s="115" t="s">
        <v>147</v>
      </c>
      <c r="I5" s="112" t="s">
        <v>7</v>
      </c>
      <c r="J5" s="116" t="s">
        <v>147</v>
      </c>
      <c r="K5" s="113" t="s">
        <v>7</v>
      </c>
      <c r="L5" s="115" t="s">
        <v>147</v>
      </c>
      <c r="X5" s="274" t="s">
        <v>5</v>
      </c>
      <c r="Y5" s="275">
        <v>1.4023210831800001</v>
      </c>
      <c r="Z5" s="273">
        <v>0.35964010839712762</v>
      </c>
      <c r="AA5" s="273">
        <v>8</v>
      </c>
      <c r="AB5" s="273">
        <v>0.12715197971713696</v>
      </c>
    </row>
    <row r="6" spans="1:28" ht="32" x14ac:dyDescent="0.25">
      <c r="B6" s="260">
        <v>1</v>
      </c>
      <c r="C6" s="119">
        <v>6.2E-2</v>
      </c>
      <c r="D6" s="118">
        <f>C6*9.671179884*2</f>
        <v>1.1992263056160002</v>
      </c>
      <c r="E6" s="119">
        <v>0.03</v>
      </c>
      <c r="F6" s="120">
        <f>E6*9.671179884*2</f>
        <v>0.58027079304000007</v>
      </c>
      <c r="G6" s="117">
        <v>5.8000000000000003E-2</v>
      </c>
      <c r="H6" s="118">
        <f>G6*9.671179884*2</f>
        <v>1.1218568665440001</v>
      </c>
      <c r="I6" s="119">
        <v>2.1999999999999999E-2</v>
      </c>
      <c r="J6" s="120">
        <f>I6*9.671179884*2</f>
        <v>0.42553191489600001</v>
      </c>
      <c r="K6" s="270">
        <v>2.1999999999999999E-2</v>
      </c>
      <c r="L6" s="271">
        <f>K6*9.671179884*2</f>
        <v>0.42553191489600001</v>
      </c>
      <c r="N6" t="s">
        <v>3</v>
      </c>
      <c r="X6" s="274" t="s">
        <v>74</v>
      </c>
      <c r="Y6" s="273">
        <v>1.266924564804</v>
      </c>
      <c r="Z6" s="273">
        <v>0.3745631862890822</v>
      </c>
      <c r="AA6" s="273">
        <v>4</v>
      </c>
      <c r="AB6" s="273">
        <v>0.1872815931445411</v>
      </c>
    </row>
    <row r="7" spans="1:28" ht="33" thickBot="1" x14ac:dyDescent="0.3">
      <c r="B7" s="260">
        <v>2</v>
      </c>
      <c r="C7" s="119">
        <v>7.6999999999999999E-2</v>
      </c>
      <c r="D7" s="118">
        <f t="shared" ref="D7:F13" si="0">C7*9.671179884*2</f>
        <v>1.4893617021360002</v>
      </c>
      <c r="E7" s="119">
        <v>2.9000000000000001E-2</v>
      </c>
      <c r="F7" s="120">
        <f t="shared" si="0"/>
        <v>0.56092843327200004</v>
      </c>
      <c r="G7" s="117">
        <v>7.2999999999999995E-2</v>
      </c>
      <c r="H7" s="118">
        <f>G7*9.671179884*2</f>
        <v>1.4119922630640001</v>
      </c>
      <c r="I7" s="119">
        <v>4.2000000000000003E-2</v>
      </c>
      <c r="J7" s="120">
        <f>I7*9.671179884*2</f>
        <v>0.81237911025600007</v>
      </c>
      <c r="K7" s="117">
        <v>2.9000000000000001E-2</v>
      </c>
      <c r="L7" s="118">
        <f>K7*9.671179884*2</f>
        <v>0.56092843327200004</v>
      </c>
      <c r="N7" t="s">
        <v>83</v>
      </c>
      <c r="O7" t="s">
        <v>84</v>
      </c>
      <c r="S7" s="2"/>
      <c r="X7" s="274" t="s">
        <v>21</v>
      </c>
      <c r="Y7" s="273">
        <v>0.61895551257600001</v>
      </c>
      <c r="Z7" s="273">
        <v>0.27354227512205315</v>
      </c>
      <c r="AA7" s="273">
        <v>2</v>
      </c>
      <c r="AB7" s="273">
        <v>0.19342359768</v>
      </c>
    </row>
    <row r="8" spans="1:28" ht="33" thickBot="1" x14ac:dyDescent="0.3">
      <c r="B8" s="260">
        <v>3</v>
      </c>
      <c r="C8" s="119">
        <v>9.9000000000000005E-2</v>
      </c>
      <c r="D8" s="118">
        <f t="shared" si="0"/>
        <v>1.9148936170320003</v>
      </c>
      <c r="E8" s="119">
        <v>1.0999999999999999E-2</v>
      </c>
      <c r="F8" s="120">
        <f t="shared" si="0"/>
        <v>0.212765957448</v>
      </c>
      <c r="G8" s="117">
        <v>4.2999999999999997E-2</v>
      </c>
      <c r="H8" s="118">
        <f>G8*9.671179884*2</f>
        <v>0.83172147002399999</v>
      </c>
      <c r="I8" s="119"/>
      <c r="J8" s="120"/>
      <c r="K8" s="117">
        <v>2.7E-2</v>
      </c>
      <c r="L8" s="118">
        <f>K8*9.671179884*2</f>
        <v>0.52224371373599998</v>
      </c>
      <c r="N8" s="60" t="s">
        <v>106</v>
      </c>
      <c r="O8" s="61" t="s">
        <v>82</v>
      </c>
      <c r="X8" s="274" t="s">
        <v>75</v>
      </c>
      <c r="Y8" s="273">
        <v>0.47872340425799997</v>
      </c>
      <c r="Z8" s="273">
        <v>7.4704256778345773E-2</v>
      </c>
      <c r="AA8" s="273">
        <v>4</v>
      </c>
      <c r="AB8" s="273">
        <v>3.7352128389172887E-2</v>
      </c>
    </row>
    <row r="9" spans="1:28" ht="32" x14ac:dyDescent="0.25">
      <c r="B9" s="260">
        <v>4</v>
      </c>
      <c r="C9" s="119">
        <v>8.8999999999999996E-2</v>
      </c>
      <c r="D9" s="118">
        <f t="shared" si="0"/>
        <v>1.7214700193520001</v>
      </c>
      <c r="E9" s="119">
        <v>1.0999999999999999E-2</v>
      </c>
      <c r="F9" s="120">
        <f t="shared" si="0"/>
        <v>0.212765957448</v>
      </c>
      <c r="G9" s="117">
        <v>8.7999999999999995E-2</v>
      </c>
      <c r="H9" s="118">
        <f>G9*9.671179884*2</f>
        <v>1.702127659584</v>
      </c>
      <c r="I9" s="119"/>
      <c r="J9" s="120"/>
      <c r="K9" s="117">
        <v>2.1000000000000001E-2</v>
      </c>
      <c r="L9" s="118">
        <f>K9*9.671179884*2</f>
        <v>0.40618955512800003</v>
      </c>
      <c r="N9" s="16">
        <v>0</v>
      </c>
      <c r="O9" s="17">
        <v>0</v>
      </c>
      <c r="X9" s="274" t="s">
        <v>6</v>
      </c>
      <c r="Y9" s="273">
        <v>0.35976789168480006</v>
      </c>
      <c r="Z9" s="273">
        <v>0.19274542620383539</v>
      </c>
      <c r="AA9" s="273">
        <v>5</v>
      </c>
      <c r="AB9" s="273">
        <v>8.6198375068789024E-2</v>
      </c>
    </row>
    <row r="10" spans="1:28" x14ac:dyDescent="0.2">
      <c r="B10" s="260">
        <v>5</v>
      </c>
      <c r="C10" s="119">
        <v>4.4999999999999998E-2</v>
      </c>
      <c r="D10" s="118">
        <f t="shared" si="0"/>
        <v>0.87040618956000004</v>
      </c>
      <c r="E10" s="119">
        <v>1.2E-2</v>
      </c>
      <c r="F10" s="120">
        <f t="shared" si="0"/>
        <v>0.23210831721600003</v>
      </c>
      <c r="G10" s="117"/>
      <c r="H10" s="118"/>
      <c r="I10" s="119"/>
      <c r="J10" s="120"/>
      <c r="K10" s="117"/>
      <c r="L10" s="118"/>
      <c r="N10" s="3">
        <v>0.2</v>
      </c>
      <c r="O10" s="4">
        <v>2.8000000000000001E-2</v>
      </c>
    </row>
    <row r="11" spans="1:28" x14ac:dyDescent="0.2">
      <c r="B11" s="260">
        <v>6</v>
      </c>
      <c r="C11" s="119">
        <v>5.5E-2</v>
      </c>
      <c r="D11" s="118">
        <f t="shared" si="0"/>
        <v>1.06382978724</v>
      </c>
      <c r="E11" s="119"/>
      <c r="F11" s="120"/>
      <c r="G11" s="117"/>
      <c r="H11" s="118"/>
      <c r="I11" s="119"/>
      <c r="J11" s="120"/>
      <c r="K11" s="117"/>
      <c r="L11" s="118"/>
      <c r="N11" s="3">
        <v>0.5</v>
      </c>
      <c r="O11" s="4">
        <v>4.2999999999999997E-2</v>
      </c>
    </row>
    <row r="12" spans="1:28" x14ac:dyDescent="0.2">
      <c r="B12" s="260">
        <v>7</v>
      </c>
      <c r="C12" s="119">
        <v>8.6999999999999994E-2</v>
      </c>
      <c r="D12" s="118">
        <f t="shared" si="0"/>
        <v>1.682785299816</v>
      </c>
      <c r="E12" s="119"/>
      <c r="F12" s="120"/>
      <c r="G12" s="117"/>
      <c r="H12" s="118"/>
      <c r="I12" s="119"/>
      <c r="J12" s="120"/>
      <c r="K12" s="117"/>
      <c r="L12" s="118"/>
      <c r="N12" s="3">
        <v>1</v>
      </c>
      <c r="O12" s="4">
        <v>0.104</v>
      </c>
    </row>
    <row r="13" spans="1:28" ht="16" thickBot="1" x14ac:dyDescent="0.25">
      <c r="B13" s="260">
        <v>8</v>
      </c>
      <c r="C13" s="119">
        <v>6.6000000000000003E-2</v>
      </c>
      <c r="D13" s="118">
        <f t="shared" si="0"/>
        <v>1.2765957446880001</v>
      </c>
      <c r="E13" s="119"/>
      <c r="F13" s="120"/>
      <c r="G13" s="117"/>
      <c r="H13" s="118"/>
      <c r="I13" s="119"/>
      <c r="J13" s="120"/>
      <c r="K13" s="121"/>
      <c r="L13" s="122"/>
      <c r="N13" s="6">
        <v>2</v>
      </c>
      <c r="O13" s="8">
        <v>0.20799999999999999</v>
      </c>
    </row>
    <row r="14" spans="1:28" ht="16" x14ac:dyDescent="0.25">
      <c r="B14" s="261" t="s">
        <v>168</v>
      </c>
      <c r="C14" s="263">
        <f>AVERAGE(C6:C13)</f>
        <v>7.2500000000000009E-2</v>
      </c>
      <c r="D14" s="263">
        <f>AVERAGE(D6:D13)</f>
        <v>1.4023210831800001</v>
      </c>
      <c r="E14" s="264">
        <f>AVERAGE(E6:E10)</f>
        <v>1.8599999999999998E-2</v>
      </c>
      <c r="F14" s="272">
        <f>AVERAGE(F6:F10)</f>
        <v>0.35976789168480006</v>
      </c>
      <c r="G14" s="263">
        <f>AVERAGE(G6:G9)</f>
        <v>6.5500000000000003E-2</v>
      </c>
      <c r="H14" s="263">
        <f>AVERAGE(H6:H9)</f>
        <v>1.266924564804</v>
      </c>
      <c r="I14" s="264">
        <f>AVERAGE(I6:I7)</f>
        <v>3.2000000000000001E-2</v>
      </c>
      <c r="J14" s="265">
        <f>AVERAGE(J6:J7)</f>
        <v>0.61895551257600001</v>
      </c>
      <c r="K14" s="263">
        <f>AVERAGE(K6:K9)</f>
        <v>2.4750000000000001E-2</v>
      </c>
      <c r="L14" s="265">
        <f>AVERAGE(L6:L9)</f>
        <v>0.47872340425799997</v>
      </c>
    </row>
    <row r="15" spans="1:28" ht="16" x14ac:dyDescent="0.25">
      <c r="B15" s="268" t="s">
        <v>169</v>
      </c>
      <c r="C15" s="266">
        <f t="shared" ref="C15:L15" si="1">_xlfn.STDEV.S(C6:C13)</f>
        <v>1.8593393604027307E-2</v>
      </c>
      <c r="D15" s="266">
        <f t="shared" si="1"/>
        <v>0.35964010839712762</v>
      </c>
      <c r="E15" s="269">
        <f t="shared" si="1"/>
        <v>9.9649385346824958E-3</v>
      </c>
      <c r="F15" s="267">
        <f t="shared" si="1"/>
        <v>0.19274542620383539</v>
      </c>
      <c r="G15" s="266">
        <f t="shared" si="1"/>
        <v>1.9364916731037032E-2</v>
      </c>
      <c r="H15" s="266">
        <f t="shared" si="1"/>
        <v>0.3745631862890822</v>
      </c>
      <c r="I15" s="269">
        <f t="shared" si="1"/>
        <v>1.4142135623730954E-2</v>
      </c>
      <c r="J15" s="267">
        <f t="shared" si="1"/>
        <v>0.27354227512205315</v>
      </c>
      <c r="K15" s="266">
        <f t="shared" si="1"/>
        <v>3.8622100754188227E-3</v>
      </c>
      <c r="L15" s="267">
        <f t="shared" si="1"/>
        <v>7.4704256778345773E-2</v>
      </c>
    </row>
    <row r="16" spans="1:28" ht="16" x14ac:dyDescent="0.25">
      <c r="B16" s="268" t="s">
        <v>171</v>
      </c>
      <c r="C16" s="266">
        <f>COUNT(C6:C13)</f>
        <v>8</v>
      </c>
      <c r="D16" s="266">
        <f t="shared" ref="D16:L16" si="2">COUNT(D6:D13)</f>
        <v>8</v>
      </c>
      <c r="E16" s="269">
        <f t="shared" si="2"/>
        <v>5</v>
      </c>
      <c r="F16" s="267">
        <f>COUNT(F6:F13)</f>
        <v>5</v>
      </c>
      <c r="G16" s="266">
        <f t="shared" si="2"/>
        <v>4</v>
      </c>
      <c r="H16" s="266">
        <f t="shared" si="2"/>
        <v>4</v>
      </c>
      <c r="I16" s="269">
        <f t="shared" si="2"/>
        <v>2</v>
      </c>
      <c r="J16" s="267">
        <f t="shared" si="2"/>
        <v>2</v>
      </c>
      <c r="K16" s="266">
        <f t="shared" si="2"/>
        <v>4</v>
      </c>
      <c r="L16" s="267">
        <f t="shared" si="2"/>
        <v>4</v>
      </c>
      <c r="N16" t="s">
        <v>102</v>
      </c>
    </row>
    <row r="17" spans="1:21" ht="17" thickBot="1" x14ac:dyDescent="0.3">
      <c r="B17" s="262" t="s">
        <v>172</v>
      </c>
      <c r="C17" s="168">
        <f>C15/SQRT(C16)</f>
        <v>6.5737573513391439E-3</v>
      </c>
      <c r="D17" s="168">
        <f t="shared" ref="D17:L17" si="3">D15/SQRT(D16)</f>
        <v>0.12715197971713696</v>
      </c>
      <c r="E17" s="227">
        <f t="shared" si="3"/>
        <v>4.4564559910314407E-3</v>
      </c>
      <c r="F17" s="193">
        <f t="shared" si="3"/>
        <v>8.6198375068789024E-2</v>
      </c>
      <c r="G17" s="168">
        <f t="shared" si="3"/>
        <v>9.6824583655185162E-3</v>
      </c>
      <c r="H17" s="168">
        <f t="shared" si="3"/>
        <v>0.1872815931445411</v>
      </c>
      <c r="I17" s="227">
        <f t="shared" si="3"/>
        <v>1.0000000000000002E-2</v>
      </c>
      <c r="J17" s="193">
        <f t="shared" si="3"/>
        <v>0.19342359768</v>
      </c>
      <c r="K17" s="168">
        <f t="shared" si="3"/>
        <v>1.9311050377094113E-3</v>
      </c>
      <c r="L17" s="193">
        <f t="shared" si="3"/>
        <v>3.7352128389172887E-2</v>
      </c>
      <c r="N17" t="s">
        <v>103</v>
      </c>
    </row>
    <row r="18" spans="1:21" x14ac:dyDescent="0.2">
      <c r="C18" s="306"/>
      <c r="D18" s="306"/>
      <c r="E18" s="306"/>
      <c r="F18" s="306"/>
      <c r="G18" s="306"/>
      <c r="H18" s="30"/>
    </row>
    <row r="19" spans="1:21" x14ac:dyDescent="0.2">
      <c r="C19" s="306"/>
      <c r="D19" s="306"/>
      <c r="E19" s="306"/>
      <c r="F19" s="306"/>
      <c r="G19" s="306"/>
      <c r="H19" s="30"/>
    </row>
    <row r="20" spans="1:21" x14ac:dyDescent="0.2">
      <c r="C20" s="306"/>
      <c r="D20" s="306"/>
      <c r="E20" s="306"/>
      <c r="F20" s="306"/>
      <c r="G20" s="306"/>
      <c r="H20" s="30"/>
    </row>
    <row r="21" spans="1:21" x14ac:dyDescent="0.2">
      <c r="C21" s="306"/>
      <c r="D21" s="306"/>
      <c r="E21" s="306"/>
      <c r="F21" s="306"/>
      <c r="G21" s="306"/>
      <c r="H21" s="30"/>
    </row>
    <row r="22" spans="1:21" x14ac:dyDescent="0.2">
      <c r="C22" s="306"/>
      <c r="D22" s="306"/>
      <c r="E22" s="306"/>
      <c r="F22" s="306"/>
      <c r="G22" s="306"/>
      <c r="H22" s="30"/>
    </row>
    <row r="23" spans="1:21" x14ac:dyDescent="0.2">
      <c r="C23" s="306"/>
      <c r="D23" s="306"/>
      <c r="E23" s="306"/>
      <c r="F23" s="306"/>
      <c r="G23" s="306"/>
      <c r="H23" s="30"/>
    </row>
    <row r="27" spans="1:21" x14ac:dyDescent="0.2">
      <c r="A27" s="1" t="s">
        <v>8</v>
      </c>
    </row>
    <row r="28" spans="1:21" ht="195" thickBot="1" x14ac:dyDescent="0.25">
      <c r="B28" t="s">
        <v>23</v>
      </c>
      <c r="P28" s="2" t="s">
        <v>28</v>
      </c>
    </row>
    <row r="29" spans="1:21" ht="17" customHeight="1" thickBot="1" x14ac:dyDescent="0.25">
      <c r="B29" s="12" t="s">
        <v>4</v>
      </c>
      <c r="C29" s="13" t="s">
        <v>5</v>
      </c>
      <c r="D29" s="14"/>
      <c r="E29" s="324" t="s">
        <v>6</v>
      </c>
      <c r="F29" s="332"/>
      <c r="G29" s="15" t="s">
        <v>74</v>
      </c>
      <c r="H29" s="14"/>
      <c r="I29" s="324" t="s">
        <v>21</v>
      </c>
      <c r="J29" s="332"/>
      <c r="K29" s="324" t="s">
        <v>75</v>
      </c>
      <c r="L29" s="332"/>
      <c r="M29" s="2"/>
      <c r="N29" s="2"/>
      <c r="O29" s="2"/>
      <c r="P29" s="2"/>
      <c r="Q29" s="2"/>
      <c r="R29" s="2"/>
      <c r="S29" s="28"/>
      <c r="T29" s="28"/>
      <c r="U29" s="28"/>
    </row>
    <row r="30" spans="1:21" ht="33" customHeight="1" thickBot="1" x14ac:dyDescent="0.25">
      <c r="B30" s="41"/>
      <c r="C30" s="42" t="s">
        <v>30</v>
      </c>
      <c r="D30" s="43" t="s">
        <v>31</v>
      </c>
      <c r="E30" s="42" t="s">
        <v>30</v>
      </c>
      <c r="F30" s="43" t="s">
        <v>31</v>
      </c>
      <c r="G30" s="42" t="s">
        <v>30</v>
      </c>
      <c r="H30" s="43" t="s">
        <v>31</v>
      </c>
      <c r="I30" s="42" t="s">
        <v>30</v>
      </c>
      <c r="J30" s="43" t="s">
        <v>31</v>
      </c>
      <c r="K30" s="42" t="s">
        <v>30</v>
      </c>
      <c r="L30" s="43" t="s">
        <v>31</v>
      </c>
      <c r="M30" s="28"/>
      <c r="N30" s="28"/>
      <c r="O30" s="28"/>
      <c r="P30" s="28"/>
      <c r="Q30" s="28"/>
      <c r="R30" s="28"/>
      <c r="S30" s="30"/>
      <c r="T30" s="30"/>
      <c r="U30" s="30"/>
    </row>
    <row r="31" spans="1:21" x14ac:dyDescent="0.2">
      <c r="B31" s="16">
        <v>1</v>
      </c>
      <c r="C31" s="55">
        <v>9.5</v>
      </c>
      <c r="D31" s="39">
        <v>11.3</v>
      </c>
      <c r="E31" s="38">
        <v>0</v>
      </c>
      <c r="F31" s="38">
        <v>8.5</v>
      </c>
      <c r="G31" s="55">
        <v>15.9</v>
      </c>
      <c r="H31" s="39">
        <v>21.7</v>
      </c>
      <c r="I31" s="38">
        <v>11.5</v>
      </c>
      <c r="J31" s="38">
        <v>16.899999999999999</v>
      </c>
      <c r="K31" s="55">
        <v>13</v>
      </c>
      <c r="L31" s="39">
        <v>15.6</v>
      </c>
      <c r="M31" s="9"/>
      <c r="N31" s="9"/>
      <c r="O31" s="9"/>
      <c r="P31" s="9"/>
      <c r="Q31" s="9"/>
      <c r="R31" s="9"/>
      <c r="S31" s="30"/>
      <c r="T31" s="30"/>
      <c r="U31" s="30"/>
    </row>
    <row r="32" spans="1:21" x14ac:dyDescent="0.2">
      <c r="B32" s="3">
        <v>2</v>
      </c>
      <c r="C32" s="56">
        <v>31</v>
      </c>
      <c r="D32" s="10">
        <v>33</v>
      </c>
      <c r="E32" s="9">
        <v>2.8</v>
      </c>
      <c r="F32" s="9">
        <v>9.6</v>
      </c>
      <c r="G32" s="56">
        <v>3.5</v>
      </c>
      <c r="H32" s="10">
        <v>9.1999999999999993</v>
      </c>
      <c r="I32" s="9">
        <v>0</v>
      </c>
      <c r="J32" s="9">
        <v>4.3</v>
      </c>
      <c r="K32" s="56">
        <v>48.3</v>
      </c>
      <c r="L32" s="10">
        <v>50</v>
      </c>
      <c r="M32" s="9"/>
      <c r="N32" s="9"/>
      <c r="O32" s="9"/>
      <c r="P32" s="9"/>
      <c r="Q32" s="9"/>
      <c r="R32" s="9"/>
      <c r="S32" s="30"/>
      <c r="T32" s="30"/>
      <c r="U32" s="30"/>
    </row>
    <row r="33" spans="2:21" x14ac:dyDescent="0.2">
      <c r="B33" s="3">
        <v>3</v>
      </c>
      <c r="C33" s="56">
        <v>27</v>
      </c>
      <c r="D33" s="10">
        <v>29.4</v>
      </c>
      <c r="E33" s="9">
        <v>5.9</v>
      </c>
      <c r="F33" s="9">
        <v>12.45</v>
      </c>
      <c r="G33" s="56">
        <v>18.8</v>
      </c>
      <c r="H33" s="10">
        <v>23.2</v>
      </c>
      <c r="I33" s="9"/>
      <c r="J33" s="9"/>
      <c r="K33" s="56">
        <v>48.2</v>
      </c>
      <c r="L33" s="10">
        <v>50</v>
      </c>
      <c r="M33" s="9"/>
      <c r="N33" s="9"/>
      <c r="O33" s="9"/>
      <c r="P33" s="9"/>
      <c r="Q33" s="9"/>
      <c r="R33" s="9"/>
      <c r="S33" s="30"/>
      <c r="T33" s="30"/>
      <c r="U33" s="30"/>
    </row>
    <row r="34" spans="2:21" x14ac:dyDescent="0.2">
      <c r="B34" s="3">
        <v>4</v>
      </c>
      <c r="C34" s="56">
        <v>0</v>
      </c>
      <c r="D34" s="10">
        <v>3.7</v>
      </c>
      <c r="E34" s="9">
        <v>10</v>
      </c>
      <c r="F34" s="9">
        <v>17.3</v>
      </c>
      <c r="G34" s="56">
        <v>11.1</v>
      </c>
      <c r="H34" s="10">
        <v>16.600000000000001</v>
      </c>
      <c r="I34" s="9"/>
      <c r="J34" s="9"/>
      <c r="K34" s="56">
        <v>10.199999999999999</v>
      </c>
      <c r="L34" s="10">
        <v>13.7</v>
      </c>
      <c r="M34" s="9"/>
      <c r="N34" s="9"/>
      <c r="O34" s="9"/>
      <c r="P34" s="9"/>
      <c r="Q34" s="9"/>
      <c r="R34" s="9"/>
      <c r="S34" s="30"/>
      <c r="T34" s="30"/>
      <c r="U34" s="30"/>
    </row>
    <row r="35" spans="2:21" x14ac:dyDescent="0.2">
      <c r="B35" s="3">
        <v>5</v>
      </c>
      <c r="C35" s="56">
        <v>17.2</v>
      </c>
      <c r="D35" s="10">
        <v>19</v>
      </c>
      <c r="E35" s="9"/>
      <c r="F35" s="9"/>
      <c r="G35" s="56"/>
      <c r="H35" s="10"/>
      <c r="I35" s="9"/>
      <c r="J35" s="9"/>
      <c r="K35" s="56">
        <v>1.5</v>
      </c>
      <c r="L35" s="10">
        <v>4</v>
      </c>
      <c r="M35" s="9"/>
      <c r="N35" s="9"/>
      <c r="O35" s="9"/>
      <c r="P35" s="9"/>
      <c r="Q35" s="9"/>
      <c r="R35" s="9"/>
      <c r="S35" s="30"/>
      <c r="T35" s="30"/>
      <c r="U35" s="30"/>
    </row>
    <row r="36" spans="2:21" x14ac:dyDescent="0.2">
      <c r="B36" s="3">
        <v>6</v>
      </c>
      <c r="C36" s="56"/>
      <c r="D36" s="10"/>
      <c r="E36" s="9"/>
      <c r="F36" s="9"/>
      <c r="G36" s="56"/>
      <c r="H36" s="10"/>
      <c r="I36" s="9"/>
      <c r="J36" s="9"/>
      <c r="K36" s="56">
        <v>5.8</v>
      </c>
      <c r="L36" s="10">
        <v>8.74</v>
      </c>
      <c r="M36" s="9"/>
      <c r="N36" s="9"/>
      <c r="O36" s="9"/>
      <c r="P36" s="9"/>
      <c r="Q36" s="9"/>
      <c r="R36" s="9"/>
      <c r="S36" s="30"/>
      <c r="T36" s="30"/>
      <c r="U36" s="30"/>
    </row>
    <row r="37" spans="2:21" ht="16" thickBot="1" x14ac:dyDescent="0.25">
      <c r="B37" s="6">
        <v>7</v>
      </c>
      <c r="C37" s="58"/>
      <c r="D37" s="54"/>
      <c r="E37" s="11"/>
      <c r="F37" s="11"/>
      <c r="G37" s="58"/>
      <c r="H37" s="54"/>
      <c r="I37" s="11"/>
      <c r="J37" s="11"/>
      <c r="K37" s="58"/>
      <c r="L37" s="54"/>
      <c r="M37" s="9"/>
      <c r="N37" s="9"/>
      <c r="O37" s="9"/>
      <c r="P37" s="9"/>
      <c r="Q37" s="9"/>
      <c r="R37" s="9"/>
      <c r="S37" s="30"/>
      <c r="T37" s="30"/>
      <c r="U37" s="30"/>
    </row>
    <row r="38" spans="2:21" x14ac:dyDescent="0.2">
      <c r="C38" s="30"/>
      <c r="D38" s="30"/>
      <c r="E38" s="30"/>
      <c r="F38" s="30"/>
      <c r="G38" s="30"/>
      <c r="H38" s="30"/>
      <c r="J38" s="30"/>
      <c r="K38" s="30"/>
      <c r="L38" s="30"/>
      <c r="M38" s="30"/>
      <c r="N38" s="30"/>
      <c r="O38" s="30"/>
      <c r="P38" s="30"/>
      <c r="Q38" s="30"/>
      <c r="R38" s="30"/>
      <c r="S38" s="30"/>
      <c r="T38" s="30"/>
      <c r="U38" s="30"/>
    </row>
    <row r="39" spans="2:21" x14ac:dyDescent="0.2">
      <c r="C39" s="30"/>
      <c r="D39" s="30"/>
      <c r="E39" s="30"/>
      <c r="F39" s="30"/>
      <c r="G39" s="30"/>
      <c r="H39" s="30"/>
      <c r="J39" s="30"/>
      <c r="K39" s="30"/>
      <c r="L39" s="30"/>
      <c r="M39" s="30"/>
      <c r="N39" s="30"/>
      <c r="O39" s="30"/>
      <c r="P39" s="30"/>
      <c r="Q39" s="30"/>
      <c r="R39" s="30"/>
      <c r="S39" s="30"/>
      <c r="T39" s="30"/>
      <c r="U39" s="30"/>
    </row>
    <row r="40" spans="2:21" ht="16" thickBot="1" x14ac:dyDescent="0.25">
      <c r="B40" s="1" t="s">
        <v>76</v>
      </c>
      <c r="S40" s="30"/>
      <c r="T40" s="30"/>
      <c r="U40" s="30"/>
    </row>
    <row r="41" spans="2:21" ht="17" customHeight="1" thickBot="1" x14ac:dyDescent="0.25">
      <c r="B41" s="12" t="s">
        <v>4</v>
      </c>
      <c r="C41" s="13" t="s">
        <v>5</v>
      </c>
      <c r="D41" s="14"/>
      <c r="E41" s="324" t="s">
        <v>6</v>
      </c>
      <c r="F41" s="332"/>
      <c r="G41" s="15" t="s">
        <v>74</v>
      </c>
      <c r="H41" s="14"/>
      <c r="I41" s="324" t="s">
        <v>21</v>
      </c>
      <c r="J41" s="332"/>
      <c r="K41" s="60" t="s">
        <v>75</v>
      </c>
      <c r="L41" s="17"/>
      <c r="S41" s="30"/>
      <c r="T41" s="30"/>
      <c r="U41" s="30"/>
    </row>
    <row r="42" spans="2:21" ht="33" thickBot="1" x14ac:dyDescent="0.25">
      <c r="B42" s="41"/>
      <c r="C42" s="42" t="s">
        <v>30</v>
      </c>
      <c r="D42" s="43" t="s">
        <v>31</v>
      </c>
      <c r="E42" s="42" t="s">
        <v>30</v>
      </c>
      <c r="F42" s="43" t="s">
        <v>31</v>
      </c>
      <c r="G42" s="42" t="s">
        <v>30</v>
      </c>
      <c r="H42" s="43" t="s">
        <v>31</v>
      </c>
      <c r="I42" s="42" t="s">
        <v>30</v>
      </c>
      <c r="J42" s="43" t="s">
        <v>31</v>
      </c>
      <c r="K42" s="62" t="s">
        <v>30</v>
      </c>
      <c r="L42" s="20" t="s">
        <v>31</v>
      </c>
      <c r="M42" s="28"/>
      <c r="N42" s="28"/>
      <c r="O42" s="28"/>
      <c r="P42" s="28"/>
      <c r="Q42" s="28"/>
      <c r="R42" s="28"/>
      <c r="S42" s="30"/>
      <c r="T42" s="30"/>
      <c r="U42" s="30"/>
    </row>
    <row r="43" spans="2:21" x14ac:dyDescent="0.2">
      <c r="B43" s="16">
        <v>1</v>
      </c>
      <c r="C43" s="55">
        <v>0</v>
      </c>
      <c r="D43" s="39">
        <v>0</v>
      </c>
      <c r="E43" s="38">
        <v>3</v>
      </c>
      <c r="F43" s="38">
        <v>6.9</v>
      </c>
      <c r="G43" s="55">
        <v>11.3</v>
      </c>
      <c r="H43" s="39">
        <v>15.9</v>
      </c>
      <c r="I43" s="55">
        <v>17</v>
      </c>
      <c r="J43" s="39">
        <v>18.399999999999999</v>
      </c>
      <c r="K43" s="16">
        <v>15.6</v>
      </c>
      <c r="L43" s="17">
        <v>15.7</v>
      </c>
      <c r="S43" s="30"/>
      <c r="T43" s="30"/>
      <c r="U43" s="30"/>
    </row>
    <row r="44" spans="2:21" x14ac:dyDescent="0.2">
      <c r="B44" s="3">
        <v>2</v>
      </c>
      <c r="C44" s="56">
        <v>0</v>
      </c>
      <c r="D44" s="10">
        <v>0</v>
      </c>
      <c r="E44" s="9">
        <v>17</v>
      </c>
      <c r="F44" s="9">
        <v>21.1</v>
      </c>
      <c r="G44" s="56">
        <v>11.5</v>
      </c>
      <c r="H44" s="10">
        <v>14</v>
      </c>
      <c r="I44" s="56">
        <v>2.2999999999999998</v>
      </c>
      <c r="J44" s="10">
        <v>3.2</v>
      </c>
      <c r="K44" s="3">
        <v>47.6</v>
      </c>
      <c r="L44" s="4">
        <v>48.3</v>
      </c>
      <c r="S44" s="30"/>
      <c r="T44" s="30"/>
      <c r="U44" s="30"/>
    </row>
    <row r="45" spans="2:21" x14ac:dyDescent="0.2">
      <c r="B45" s="3">
        <v>3</v>
      </c>
      <c r="C45" s="56">
        <v>29.4</v>
      </c>
      <c r="D45" s="10">
        <v>29.7</v>
      </c>
      <c r="E45" s="9">
        <v>18</v>
      </c>
      <c r="F45" s="9">
        <v>21.5</v>
      </c>
      <c r="G45" s="56">
        <v>14.6</v>
      </c>
      <c r="H45" s="10">
        <v>18.8</v>
      </c>
      <c r="I45" s="56"/>
      <c r="J45" s="10"/>
      <c r="K45" s="3">
        <v>50</v>
      </c>
      <c r="L45" s="4">
        <v>50</v>
      </c>
      <c r="S45" s="30"/>
      <c r="T45" s="30"/>
      <c r="U45" s="30"/>
    </row>
    <row r="46" spans="2:21" x14ac:dyDescent="0.2">
      <c r="B46" s="3">
        <v>4</v>
      </c>
      <c r="C46" s="56">
        <v>0</v>
      </c>
      <c r="D46" s="10">
        <v>0</v>
      </c>
      <c r="E46" s="9">
        <v>12</v>
      </c>
      <c r="F46" s="9">
        <v>18</v>
      </c>
      <c r="G46" s="56">
        <v>16.600000000000001</v>
      </c>
      <c r="H46" s="10">
        <v>20.100000000000001</v>
      </c>
      <c r="I46" s="56"/>
      <c r="J46" s="10"/>
      <c r="K46" s="3">
        <v>13.7</v>
      </c>
      <c r="L46" s="4">
        <v>15.2</v>
      </c>
      <c r="S46" s="30"/>
      <c r="T46" s="30"/>
      <c r="U46" s="30"/>
    </row>
    <row r="47" spans="2:21" x14ac:dyDescent="0.2">
      <c r="B47" s="3">
        <v>5</v>
      </c>
      <c r="C47" s="3">
        <v>19</v>
      </c>
      <c r="D47" s="4">
        <v>20.6</v>
      </c>
      <c r="F47" s="4"/>
      <c r="G47" s="3"/>
      <c r="H47" s="4"/>
      <c r="I47" s="3"/>
      <c r="J47" s="4"/>
      <c r="K47" s="3">
        <v>4</v>
      </c>
      <c r="L47" s="4">
        <v>4</v>
      </c>
      <c r="S47" s="30"/>
      <c r="T47" s="30"/>
      <c r="U47" s="30"/>
    </row>
    <row r="48" spans="2:21" x14ac:dyDescent="0.2">
      <c r="B48" s="3">
        <v>6</v>
      </c>
      <c r="C48" s="3"/>
      <c r="D48" s="4"/>
      <c r="E48" s="9"/>
      <c r="F48" s="9"/>
      <c r="G48" s="3"/>
      <c r="H48" s="4"/>
      <c r="I48" s="3"/>
      <c r="J48" s="4"/>
      <c r="K48" s="3"/>
      <c r="L48" s="4"/>
      <c r="S48" s="30"/>
      <c r="T48" s="30"/>
      <c r="U48" s="30"/>
    </row>
    <row r="49" spans="1:21" x14ac:dyDescent="0.2">
      <c r="B49" s="3">
        <v>7</v>
      </c>
      <c r="C49" s="3"/>
      <c r="D49" s="4"/>
      <c r="G49" s="3"/>
      <c r="H49" s="4"/>
      <c r="I49" s="3"/>
      <c r="J49" s="4"/>
      <c r="K49" s="3"/>
      <c r="L49" s="4"/>
      <c r="S49" s="30"/>
      <c r="T49" s="30"/>
      <c r="U49" s="30"/>
    </row>
    <row r="50" spans="1:21" x14ac:dyDescent="0.2">
      <c r="B50" s="3">
        <v>8</v>
      </c>
      <c r="C50" s="3"/>
      <c r="D50" s="4"/>
      <c r="G50" s="3"/>
      <c r="H50" s="4"/>
      <c r="I50" s="3"/>
      <c r="J50" s="4"/>
      <c r="K50" s="3"/>
      <c r="L50" s="4"/>
      <c r="S50" s="30"/>
      <c r="T50" s="30"/>
      <c r="U50" s="30"/>
    </row>
    <row r="51" spans="1:21" x14ac:dyDescent="0.2">
      <c r="B51" s="3">
        <v>9</v>
      </c>
      <c r="C51" s="3"/>
      <c r="D51" s="4"/>
      <c r="G51" s="3"/>
      <c r="H51" s="4"/>
      <c r="I51" s="3"/>
      <c r="J51" s="4"/>
      <c r="K51" s="3"/>
      <c r="L51" s="4"/>
      <c r="S51" s="30"/>
      <c r="T51" s="30"/>
      <c r="U51" s="30"/>
    </row>
    <row r="52" spans="1:21" x14ac:dyDescent="0.2">
      <c r="B52" s="3">
        <v>10</v>
      </c>
      <c r="C52" s="3"/>
      <c r="D52" s="4"/>
      <c r="G52" s="3"/>
      <c r="H52" s="4"/>
      <c r="I52" s="3"/>
      <c r="J52" s="4"/>
      <c r="K52" s="3"/>
      <c r="L52" s="4"/>
      <c r="S52" s="30"/>
      <c r="T52" s="30"/>
      <c r="U52" s="30"/>
    </row>
    <row r="53" spans="1:21" x14ac:dyDescent="0.2">
      <c r="B53" s="3">
        <v>11</v>
      </c>
      <c r="C53" s="3"/>
      <c r="D53" s="4"/>
      <c r="G53" s="3"/>
      <c r="H53" s="4"/>
      <c r="I53" s="3"/>
      <c r="J53" s="4"/>
      <c r="K53" s="3"/>
      <c r="L53" s="4"/>
      <c r="S53" s="30"/>
      <c r="T53" s="30"/>
      <c r="U53" s="30"/>
    </row>
    <row r="54" spans="1:21" ht="16" thickBot="1" x14ac:dyDescent="0.25">
      <c r="B54" s="6">
        <v>12</v>
      </c>
      <c r="C54" s="6"/>
      <c r="D54" s="22"/>
      <c r="E54" s="7"/>
      <c r="F54" s="7"/>
      <c r="G54" s="6"/>
      <c r="H54" s="8"/>
      <c r="I54" s="6"/>
      <c r="J54" s="8"/>
      <c r="K54" s="6"/>
      <c r="L54" s="8"/>
      <c r="S54" s="30"/>
      <c r="T54" s="30"/>
      <c r="U54" s="30"/>
    </row>
    <row r="55" spans="1:21" x14ac:dyDescent="0.2">
      <c r="D55" s="5"/>
      <c r="S55" s="30"/>
      <c r="T55" s="30"/>
      <c r="U55" s="30"/>
    </row>
    <row r="56" spans="1:21" x14ac:dyDescent="0.2">
      <c r="D56" s="5"/>
      <c r="S56" s="30"/>
      <c r="T56" s="30"/>
      <c r="U56" s="30"/>
    </row>
    <row r="58" spans="1:21" x14ac:dyDescent="0.2">
      <c r="A58" s="1" t="s">
        <v>9</v>
      </c>
    </row>
    <row r="60" spans="1:21" ht="18" thickBot="1" x14ac:dyDescent="0.25">
      <c r="B60" t="s">
        <v>26</v>
      </c>
    </row>
    <row r="61" spans="1:21" ht="33" thickBot="1" x14ac:dyDescent="0.25">
      <c r="B61" s="44" t="s">
        <v>4</v>
      </c>
      <c r="C61" s="33" t="s">
        <v>5</v>
      </c>
      <c r="D61" s="33" t="s">
        <v>6</v>
      </c>
      <c r="E61" s="33" t="s">
        <v>74</v>
      </c>
      <c r="F61" s="33" t="s">
        <v>21</v>
      </c>
      <c r="G61" s="20" t="s">
        <v>75</v>
      </c>
      <c r="H61" s="28"/>
      <c r="I61" s="28"/>
      <c r="J61" s="28"/>
    </row>
    <row r="62" spans="1:21" x14ac:dyDescent="0.2">
      <c r="B62" s="32">
        <v>1</v>
      </c>
      <c r="C62" s="34">
        <v>21.69</v>
      </c>
      <c r="D62" s="34">
        <v>8.6690000000000005</v>
      </c>
      <c r="E62" s="34">
        <v>12.88</v>
      </c>
      <c r="F62" s="34">
        <v>22.32</v>
      </c>
      <c r="G62" s="35">
        <v>15.26</v>
      </c>
      <c r="H62" s="30"/>
      <c r="I62" s="30"/>
      <c r="J62" s="30"/>
    </row>
    <row r="63" spans="1:21" x14ac:dyDescent="0.2">
      <c r="B63" s="18">
        <v>2</v>
      </c>
      <c r="C63" s="30">
        <v>24.42</v>
      </c>
      <c r="D63" s="30">
        <v>13.35</v>
      </c>
      <c r="E63" s="30">
        <v>12.76</v>
      </c>
      <c r="F63" s="30">
        <v>20.69</v>
      </c>
      <c r="G63" s="25">
        <v>13.97</v>
      </c>
      <c r="H63" s="30"/>
      <c r="I63" s="30"/>
      <c r="J63" s="30"/>
    </row>
    <row r="64" spans="1:21" x14ac:dyDescent="0.2">
      <c r="B64" s="18">
        <v>3</v>
      </c>
      <c r="C64" s="30">
        <v>26.07</v>
      </c>
      <c r="D64" s="30">
        <v>13.71</v>
      </c>
      <c r="E64" s="30">
        <v>18.760000000000002</v>
      </c>
      <c r="F64" s="30"/>
      <c r="G64" s="25">
        <v>16</v>
      </c>
      <c r="H64" s="30"/>
      <c r="I64" s="30"/>
      <c r="J64" s="30"/>
    </row>
    <row r="65" spans="1:10" x14ac:dyDescent="0.2">
      <c r="B65" s="18">
        <v>4</v>
      </c>
      <c r="C65" s="30">
        <v>24.62</v>
      </c>
      <c r="D65" s="30">
        <v>15.3</v>
      </c>
      <c r="E65" s="30">
        <v>20.68</v>
      </c>
      <c r="F65" s="30"/>
      <c r="G65" s="25">
        <v>16.39</v>
      </c>
      <c r="H65" s="30"/>
      <c r="I65" s="30"/>
      <c r="J65" s="30"/>
    </row>
    <row r="66" spans="1:10" x14ac:dyDescent="0.2">
      <c r="B66" s="18">
        <v>5</v>
      </c>
      <c r="C66" s="30">
        <v>22.87</v>
      </c>
      <c r="D66" s="30"/>
      <c r="E66" s="30"/>
      <c r="F66" s="30"/>
      <c r="G66" s="25"/>
      <c r="H66" s="30"/>
      <c r="I66" s="30"/>
      <c r="J66" s="30"/>
    </row>
    <row r="67" spans="1:10" x14ac:dyDescent="0.2">
      <c r="B67" s="18">
        <v>6</v>
      </c>
      <c r="C67" s="30"/>
      <c r="D67" s="30"/>
      <c r="E67" s="30"/>
      <c r="F67" s="30"/>
      <c r="G67" s="25"/>
      <c r="H67" s="30"/>
      <c r="I67" s="30"/>
      <c r="J67" s="30"/>
    </row>
    <row r="68" spans="1:10" x14ac:dyDescent="0.2">
      <c r="B68" s="18">
        <v>7</v>
      </c>
      <c r="C68" s="30"/>
      <c r="D68" s="30"/>
      <c r="E68" s="30"/>
      <c r="F68" s="30"/>
      <c r="G68" s="25"/>
      <c r="H68" s="30"/>
      <c r="I68" s="30"/>
      <c r="J68" s="30"/>
    </row>
    <row r="69" spans="1:10" ht="16" thickBot="1" x14ac:dyDescent="0.25">
      <c r="B69" s="19">
        <v>8</v>
      </c>
      <c r="C69" s="23"/>
      <c r="D69" s="23"/>
      <c r="E69" s="23"/>
      <c r="F69" s="23"/>
      <c r="G69" s="24"/>
      <c r="H69" s="30"/>
      <c r="I69" s="30"/>
      <c r="J69" s="30"/>
    </row>
    <row r="70" spans="1:10" x14ac:dyDescent="0.2">
      <c r="C70" s="30"/>
      <c r="D70" s="30"/>
      <c r="E70" s="30"/>
      <c r="F70" s="30"/>
      <c r="G70" s="30"/>
      <c r="H70" s="30"/>
      <c r="I70" s="30"/>
      <c r="J70" s="30"/>
    </row>
    <row r="71" spans="1:10" x14ac:dyDescent="0.2">
      <c r="E71" s="9"/>
      <c r="F71" s="9"/>
      <c r="G71" s="9"/>
      <c r="H71" s="9"/>
    </row>
    <row r="72" spans="1:10" x14ac:dyDescent="0.2">
      <c r="A72" s="1" t="s">
        <v>24</v>
      </c>
      <c r="E72" s="9"/>
      <c r="F72" s="9"/>
      <c r="G72" s="9"/>
      <c r="H72" s="9"/>
    </row>
    <row r="73" spans="1:10" x14ac:dyDescent="0.2">
      <c r="E73" s="9"/>
      <c r="F73" s="9"/>
      <c r="G73" s="9"/>
      <c r="H73" s="9"/>
    </row>
    <row r="74" spans="1:10" ht="18" thickBot="1" x14ac:dyDescent="0.25">
      <c r="B74" t="s">
        <v>27</v>
      </c>
      <c r="E74" s="9"/>
      <c r="F74" s="9"/>
      <c r="G74" s="9"/>
      <c r="H74" s="9"/>
    </row>
    <row r="75" spans="1:10" ht="33" thickBot="1" x14ac:dyDescent="0.25">
      <c r="B75" s="44" t="s">
        <v>4</v>
      </c>
      <c r="C75" s="33" t="s">
        <v>5</v>
      </c>
      <c r="D75" s="33" t="s">
        <v>6</v>
      </c>
      <c r="E75" s="33" t="s">
        <v>74</v>
      </c>
      <c r="F75" s="33" t="s">
        <v>21</v>
      </c>
      <c r="G75" s="20" t="s">
        <v>75</v>
      </c>
      <c r="H75" s="28"/>
      <c r="I75" s="28"/>
      <c r="J75" s="28"/>
    </row>
    <row r="76" spans="1:10" x14ac:dyDescent="0.2">
      <c r="B76" s="32">
        <v>1</v>
      </c>
      <c r="C76" s="36">
        <v>0.98429999999999995</v>
      </c>
      <c r="D76" s="36">
        <v>0.41849999999999998</v>
      </c>
      <c r="E76" s="36">
        <v>0.56210000000000004</v>
      </c>
      <c r="F76" s="36">
        <v>0.84340000000000004</v>
      </c>
      <c r="G76" s="37">
        <v>0.79049999999999998</v>
      </c>
      <c r="H76" s="31"/>
      <c r="I76" s="31"/>
      <c r="J76" s="31"/>
    </row>
    <row r="77" spans="1:10" x14ac:dyDescent="0.2">
      <c r="B77" s="18">
        <v>2</v>
      </c>
      <c r="C77" s="31">
        <v>0.61890000000000001</v>
      </c>
      <c r="D77" s="31">
        <v>0.37030000000000002</v>
      </c>
      <c r="E77" s="31">
        <v>0.56069999999999998</v>
      </c>
      <c r="F77" s="31">
        <v>0.7651</v>
      </c>
      <c r="G77" s="40">
        <v>0.77070000000000005</v>
      </c>
      <c r="H77" s="31"/>
      <c r="I77" s="31"/>
      <c r="J77" s="31"/>
    </row>
    <row r="78" spans="1:10" x14ac:dyDescent="0.2">
      <c r="B78" s="18">
        <v>3</v>
      </c>
      <c r="C78" s="31">
        <v>0.62</v>
      </c>
      <c r="D78" s="31">
        <v>0.3745</v>
      </c>
      <c r="E78" s="31">
        <v>0.5534</v>
      </c>
      <c r="F78" s="31"/>
      <c r="G78" s="40">
        <v>0.75539999999999996</v>
      </c>
      <c r="H78" s="31"/>
      <c r="I78" s="31"/>
      <c r="J78" s="31"/>
    </row>
    <row r="79" spans="1:10" x14ac:dyDescent="0.2">
      <c r="B79" s="18">
        <v>4</v>
      </c>
      <c r="C79" s="31">
        <v>0.60619999999999996</v>
      </c>
      <c r="D79" s="31">
        <v>0.36570000000000003</v>
      </c>
      <c r="E79" s="31">
        <v>0.51580000000000004</v>
      </c>
      <c r="F79" s="31"/>
      <c r="G79" s="40">
        <v>0.73460000000000003</v>
      </c>
      <c r="H79" s="31"/>
      <c r="I79" s="31"/>
      <c r="J79" s="31"/>
    </row>
    <row r="80" spans="1:10" x14ac:dyDescent="0.2">
      <c r="B80" s="18">
        <v>5</v>
      </c>
      <c r="C80" s="31">
        <v>0.66049999999999998</v>
      </c>
      <c r="D80" s="31"/>
      <c r="E80" s="31"/>
      <c r="F80" s="31"/>
      <c r="G80" s="40"/>
      <c r="H80" s="31"/>
      <c r="I80" s="31"/>
      <c r="J80" s="31"/>
    </row>
    <row r="81" spans="1:21" x14ac:dyDescent="0.2">
      <c r="B81" s="18">
        <v>6</v>
      </c>
      <c r="C81" s="31"/>
      <c r="D81" s="31"/>
      <c r="E81" s="31"/>
      <c r="F81" s="31"/>
      <c r="G81" s="40"/>
      <c r="H81" s="31"/>
      <c r="I81" s="31"/>
      <c r="J81" s="31"/>
    </row>
    <row r="82" spans="1:21" x14ac:dyDescent="0.2">
      <c r="B82" s="18">
        <v>7</v>
      </c>
      <c r="C82" s="31"/>
      <c r="D82" s="31"/>
      <c r="E82" s="31"/>
      <c r="F82" s="31"/>
      <c r="G82" s="40"/>
      <c r="H82" s="31"/>
      <c r="I82" s="31"/>
      <c r="J82" s="31"/>
    </row>
    <row r="83" spans="1:21" ht="16" thickBot="1" x14ac:dyDescent="0.25">
      <c r="B83" s="19">
        <v>8</v>
      </c>
      <c r="C83" s="26"/>
      <c r="D83" s="26"/>
      <c r="E83" s="26"/>
      <c r="F83" s="26"/>
      <c r="G83" s="27"/>
      <c r="H83" s="31"/>
      <c r="I83" s="31"/>
      <c r="J83" s="31"/>
    </row>
    <row r="84" spans="1:21" x14ac:dyDescent="0.2">
      <c r="C84" s="31"/>
      <c r="D84" s="31"/>
      <c r="E84" s="31"/>
      <c r="F84" s="31"/>
      <c r="G84" s="31"/>
      <c r="H84" s="31"/>
      <c r="I84" s="31"/>
      <c r="J84" s="31"/>
    </row>
    <row r="86" spans="1:21" x14ac:dyDescent="0.2">
      <c r="A86" s="1" t="s">
        <v>25</v>
      </c>
    </row>
    <row r="88" spans="1:21" ht="18" thickBot="1" x14ac:dyDescent="0.25">
      <c r="B88" t="s">
        <v>11</v>
      </c>
      <c r="I88" t="s">
        <v>32</v>
      </c>
    </row>
    <row r="89" spans="1:21" ht="33" thickBot="1" x14ac:dyDescent="0.25">
      <c r="B89" s="44" t="s">
        <v>4</v>
      </c>
      <c r="C89" s="33" t="s">
        <v>5</v>
      </c>
      <c r="D89" s="33" t="s">
        <v>6</v>
      </c>
      <c r="E89" s="33" t="s">
        <v>77</v>
      </c>
      <c r="F89" s="33" t="s">
        <v>21</v>
      </c>
      <c r="G89" s="20" t="s">
        <v>75</v>
      </c>
      <c r="H89" s="28"/>
      <c r="I89" s="44" t="s">
        <v>4</v>
      </c>
      <c r="J89" s="33" t="s">
        <v>5</v>
      </c>
      <c r="K89" s="33" t="s">
        <v>6</v>
      </c>
      <c r="L89" s="33" t="s">
        <v>77</v>
      </c>
      <c r="M89" s="33"/>
      <c r="N89" s="33"/>
      <c r="O89" s="33"/>
      <c r="P89" s="33"/>
      <c r="Q89" s="33"/>
      <c r="R89" s="33"/>
      <c r="S89" s="33" t="s">
        <v>21</v>
      </c>
      <c r="T89" s="20" t="s">
        <v>75</v>
      </c>
      <c r="U89" s="28"/>
    </row>
    <row r="90" spans="1:21" x14ac:dyDescent="0.2">
      <c r="B90" s="32">
        <v>1</v>
      </c>
      <c r="C90" s="36">
        <v>8.14</v>
      </c>
      <c r="D90" s="36">
        <v>7.92</v>
      </c>
      <c r="E90" s="36">
        <v>7.73</v>
      </c>
      <c r="F90" s="36">
        <v>6.9</v>
      </c>
      <c r="G90" s="37">
        <v>7.95</v>
      </c>
      <c r="H90" s="31"/>
      <c r="I90" s="32">
        <v>1</v>
      </c>
      <c r="J90" s="45">
        <v>1381</v>
      </c>
      <c r="K90" s="45">
        <v>974</v>
      </c>
      <c r="L90" s="45">
        <v>1661</v>
      </c>
      <c r="M90" s="45"/>
      <c r="N90" s="45"/>
      <c r="O90" s="45"/>
      <c r="P90" s="45"/>
      <c r="Q90" s="45"/>
      <c r="R90" s="45"/>
      <c r="S90" s="45">
        <v>2310</v>
      </c>
      <c r="T90" s="46">
        <v>1947</v>
      </c>
      <c r="U90" s="47"/>
    </row>
    <row r="91" spans="1:21" x14ac:dyDescent="0.2">
      <c r="B91" s="18">
        <v>2</v>
      </c>
      <c r="C91" s="31">
        <v>8.2100000000000009</v>
      </c>
      <c r="D91" s="31">
        <v>7.88</v>
      </c>
      <c r="E91" s="31">
        <v>7.65</v>
      </c>
      <c r="F91" s="31">
        <v>6.91</v>
      </c>
      <c r="G91" s="40">
        <v>8</v>
      </c>
      <c r="H91" s="31"/>
      <c r="I91" s="18">
        <v>2</v>
      </c>
      <c r="J91" s="47">
        <v>1456</v>
      </c>
      <c r="K91" s="47">
        <v>1000</v>
      </c>
      <c r="L91" s="47">
        <v>1732</v>
      </c>
      <c r="M91" s="47"/>
      <c r="N91" s="47"/>
      <c r="O91" s="47"/>
      <c r="P91" s="47"/>
      <c r="Q91" s="47"/>
      <c r="R91" s="47"/>
      <c r="S91" s="47">
        <v>2329.1</v>
      </c>
      <c r="T91" s="48">
        <v>1841</v>
      </c>
      <c r="U91" s="47"/>
    </row>
    <row r="92" spans="1:21" x14ac:dyDescent="0.2">
      <c r="B92" s="18">
        <v>3</v>
      </c>
      <c r="C92" s="31">
        <v>8.23</v>
      </c>
      <c r="D92" s="31">
        <v>7.81</v>
      </c>
      <c r="E92" s="31">
        <v>7.87</v>
      </c>
      <c r="F92" s="31"/>
      <c r="G92" s="40">
        <v>7.97</v>
      </c>
      <c r="H92" s="31"/>
      <c r="I92" s="18">
        <v>3</v>
      </c>
      <c r="J92" s="47">
        <v>1462</v>
      </c>
      <c r="K92" s="47">
        <v>1052</v>
      </c>
      <c r="L92" s="47">
        <v>1733</v>
      </c>
      <c r="M92" s="47"/>
      <c r="N92" s="47"/>
      <c r="O92" s="47"/>
      <c r="P92" s="47"/>
      <c r="Q92" s="47"/>
      <c r="R92" s="47"/>
      <c r="S92" s="47"/>
      <c r="T92" s="48">
        <v>1805</v>
      </c>
      <c r="U92" s="47"/>
    </row>
    <row r="93" spans="1:21" x14ac:dyDescent="0.2">
      <c r="B93" s="18">
        <v>4</v>
      </c>
      <c r="C93" s="31">
        <v>8.1300000000000008</v>
      </c>
      <c r="D93" s="31">
        <v>7.92</v>
      </c>
      <c r="E93" s="31">
        <v>7.73</v>
      </c>
      <c r="F93" s="31"/>
      <c r="G93" s="40">
        <v>7.95</v>
      </c>
      <c r="H93" s="31"/>
      <c r="I93" s="18">
        <v>4</v>
      </c>
      <c r="J93" s="47">
        <v>1490</v>
      </c>
      <c r="K93" s="47">
        <v>1050</v>
      </c>
      <c r="L93" s="47">
        <v>1750</v>
      </c>
      <c r="M93" s="47"/>
      <c r="N93" s="47"/>
      <c r="O93" s="47"/>
      <c r="P93" s="47"/>
      <c r="Q93" s="47"/>
      <c r="R93" s="47"/>
      <c r="S93" s="47"/>
      <c r="T93" s="48">
        <v>1881</v>
      </c>
      <c r="U93" s="47"/>
    </row>
    <row r="94" spans="1:21" x14ac:dyDescent="0.2">
      <c r="B94" s="18">
        <v>5</v>
      </c>
      <c r="C94" s="31">
        <v>8.16</v>
      </c>
      <c r="D94" s="31">
        <v>7.95</v>
      </c>
      <c r="E94" s="31">
        <v>7.83</v>
      </c>
      <c r="F94" s="31"/>
      <c r="G94" s="40">
        <v>7.9</v>
      </c>
      <c r="H94" s="31"/>
      <c r="I94" s="18">
        <v>5</v>
      </c>
      <c r="J94" s="47">
        <v>1437</v>
      </c>
      <c r="K94" s="47">
        <v>1130</v>
      </c>
      <c r="L94" s="47">
        <v>1733</v>
      </c>
      <c r="M94" s="47"/>
      <c r="N94" s="47"/>
      <c r="O94" s="47"/>
      <c r="P94" s="47"/>
      <c r="Q94" s="47"/>
      <c r="R94" s="47"/>
      <c r="S94" s="47"/>
      <c r="T94" s="48">
        <v>1986</v>
      </c>
      <c r="U94" s="47"/>
    </row>
    <row r="95" spans="1:21" x14ac:dyDescent="0.2">
      <c r="B95" s="18">
        <v>6</v>
      </c>
      <c r="C95" s="31">
        <v>8.18</v>
      </c>
      <c r="D95" s="31">
        <v>7.92</v>
      </c>
      <c r="E95" s="31"/>
      <c r="F95" s="31"/>
      <c r="G95" s="40">
        <v>7.81</v>
      </c>
      <c r="H95" s="31"/>
      <c r="I95" s="18">
        <v>6</v>
      </c>
      <c r="J95" s="47">
        <v>1542</v>
      </c>
      <c r="K95" s="47">
        <v>1028</v>
      </c>
      <c r="L95" s="47"/>
      <c r="M95" s="47"/>
      <c r="N95" s="47"/>
      <c r="O95" s="47"/>
      <c r="P95" s="47"/>
      <c r="Q95" s="47"/>
      <c r="R95" s="47"/>
      <c r="S95" s="47"/>
      <c r="T95" s="48">
        <v>1812</v>
      </c>
      <c r="U95" s="47"/>
    </row>
    <row r="96" spans="1:21" x14ac:dyDescent="0.2">
      <c r="B96" s="18">
        <v>7</v>
      </c>
      <c r="C96" s="31">
        <v>8.18</v>
      </c>
      <c r="D96" s="31">
        <v>7.84</v>
      </c>
      <c r="E96" s="31"/>
      <c r="F96" s="31"/>
      <c r="G96" s="40">
        <v>7.99</v>
      </c>
      <c r="H96" s="31"/>
      <c r="I96" s="18">
        <v>7</v>
      </c>
      <c r="J96" s="47">
        <v>1552</v>
      </c>
      <c r="K96" s="47">
        <v>1006</v>
      </c>
      <c r="L96" s="47"/>
      <c r="M96" s="47"/>
      <c r="N96" s="47"/>
      <c r="O96" s="47"/>
      <c r="P96" s="47"/>
      <c r="Q96" s="47"/>
      <c r="R96" s="47"/>
      <c r="S96" s="47"/>
      <c r="T96" s="48">
        <v>1895</v>
      </c>
      <c r="U96" s="47"/>
    </row>
    <row r="97" spans="1:23" ht="16" thickBot="1" x14ac:dyDescent="0.25">
      <c r="B97" s="19">
        <v>8</v>
      </c>
      <c r="C97" s="26">
        <v>8.17</v>
      </c>
      <c r="D97" s="26">
        <v>7.95</v>
      </c>
      <c r="E97" s="26"/>
      <c r="F97" s="26"/>
      <c r="G97" s="27">
        <v>8.0299999999999994</v>
      </c>
      <c r="H97" s="31"/>
      <c r="I97" s="19">
        <v>8</v>
      </c>
      <c r="J97" s="49">
        <v>1539</v>
      </c>
      <c r="K97" s="49">
        <v>1123</v>
      </c>
      <c r="L97" s="49"/>
      <c r="M97" s="49"/>
      <c r="N97" s="49"/>
      <c r="O97" s="49"/>
      <c r="P97" s="49"/>
      <c r="Q97" s="49"/>
      <c r="R97" s="49"/>
      <c r="S97" s="49"/>
      <c r="T97" s="50">
        <v>2010</v>
      </c>
      <c r="U97" s="47"/>
    </row>
    <row r="98" spans="1:23" x14ac:dyDescent="0.2">
      <c r="C98" s="31"/>
      <c r="D98" s="31"/>
      <c r="E98" s="31"/>
      <c r="F98" s="31"/>
      <c r="G98" s="31"/>
      <c r="H98" s="31"/>
      <c r="I98" s="31"/>
      <c r="J98" s="31"/>
    </row>
    <row r="99" spans="1:23" x14ac:dyDescent="0.2">
      <c r="C99" s="31"/>
      <c r="D99" s="31"/>
      <c r="E99" s="31"/>
      <c r="F99" s="31"/>
      <c r="G99" s="31"/>
      <c r="H99" s="31"/>
      <c r="I99" s="31"/>
      <c r="J99" s="31"/>
    </row>
    <row r="101" spans="1:23" x14ac:dyDescent="0.2">
      <c r="A101" s="1" t="s">
        <v>12</v>
      </c>
    </row>
    <row r="103" spans="1:23" ht="16" thickBot="1" x14ac:dyDescent="0.25">
      <c r="B103" t="s">
        <v>13</v>
      </c>
    </row>
    <row r="104" spans="1:23" ht="17" thickBot="1" x14ac:dyDescent="0.25">
      <c r="B104" s="12" t="s">
        <v>4</v>
      </c>
      <c r="C104" s="13" t="s">
        <v>5</v>
      </c>
      <c r="D104" s="14"/>
      <c r="E104" s="324" t="s">
        <v>6</v>
      </c>
      <c r="F104" s="332"/>
      <c r="G104" s="15" t="s">
        <v>77</v>
      </c>
      <c r="H104" s="14"/>
      <c r="I104" s="324" t="s">
        <v>21</v>
      </c>
      <c r="J104" s="332"/>
      <c r="K104" s="324" t="s">
        <v>75</v>
      </c>
      <c r="L104" s="332"/>
      <c r="M104" s="2"/>
      <c r="N104" s="2"/>
      <c r="O104" s="2"/>
      <c r="P104" s="2"/>
      <c r="Q104" s="2"/>
      <c r="R104" s="2"/>
      <c r="W104" s="2"/>
    </row>
    <row r="105" spans="1:23" ht="33" thickBot="1" x14ac:dyDescent="0.25">
      <c r="B105" s="41"/>
      <c r="C105" s="42" t="s">
        <v>30</v>
      </c>
      <c r="D105" s="43" t="s">
        <v>31</v>
      </c>
      <c r="E105" s="42" t="s">
        <v>30</v>
      </c>
      <c r="F105" s="43" t="s">
        <v>31</v>
      </c>
      <c r="G105" s="42" t="s">
        <v>30</v>
      </c>
      <c r="H105" s="43" t="s">
        <v>31</v>
      </c>
      <c r="I105" s="42" t="s">
        <v>30</v>
      </c>
      <c r="J105" s="43" t="s">
        <v>31</v>
      </c>
      <c r="K105" s="42" t="s">
        <v>30</v>
      </c>
      <c r="L105" s="43" t="s">
        <v>31</v>
      </c>
      <c r="M105" s="28"/>
      <c r="N105" s="28"/>
      <c r="O105" s="28"/>
      <c r="P105" s="28"/>
      <c r="Q105" s="28"/>
      <c r="R105" s="28"/>
      <c r="S105" s="28"/>
    </row>
    <row r="106" spans="1:23" x14ac:dyDescent="0.2">
      <c r="B106" s="16">
        <v>1</v>
      </c>
      <c r="C106" s="55">
        <v>0</v>
      </c>
      <c r="D106" s="39">
        <v>19.3</v>
      </c>
      <c r="E106" s="38">
        <v>10.199999999999999</v>
      </c>
      <c r="F106" s="38">
        <v>25.5</v>
      </c>
      <c r="G106" s="55">
        <v>1.4</v>
      </c>
      <c r="H106" s="39">
        <v>17.7</v>
      </c>
      <c r="I106" s="38">
        <v>28.8</v>
      </c>
      <c r="J106" s="38">
        <v>35.299999999999997</v>
      </c>
      <c r="K106" s="55">
        <v>27</v>
      </c>
      <c r="L106" s="39">
        <v>40</v>
      </c>
      <c r="M106" s="9"/>
      <c r="N106" s="9"/>
      <c r="O106" s="9"/>
      <c r="P106" s="9"/>
      <c r="Q106" s="9"/>
      <c r="R106" s="9"/>
      <c r="S106" s="9"/>
    </row>
    <row r="107" spans="1:23" x14ac:dyDescent="0.2">
      <c r="B107" s="3">
        <v>2</v>
      </c>
      <c r="C107" s="56">
        <v>19.399999999999999</v>
      </c>
      <c r="D107" s="10">
        <v>38.799999999999997</v>
      </c>
      <c r="E107" s="9">
        <v>32.200000000000003</v>
      </c>
      <c r="F107" s="9">
        <v>47.5</v>
      </c>
      <c r="G107" s="56">
        <v>17.7</v>
      </c>
      <c r="H107" s="10">
        <v>33.5</v>
      </c>
      <c r="I107" s="9">
        <v>35.299999999999997</v>
      </c>
      <c r="J107" s="9">
        <v>41.9</v>
      </c>
      <c r="K107" s="56">
        <v>14.4</v>
      </c>
      <c r="L107" s="10">
        <v>27</v>
      </c>
      <c r="M107" s="9"/>
      <c r="N107" s="9"/>
      <c r="O107" s="9"/>
      <c r="P107" s="9"/>
      <c r="Q107" s="9"/>
      <c r="R107" s="9"/>
      <c r="S107" s="9"/>
    </row>
    <row r="108" spans="1:23" x14ac:dyDescent="0.2">
      <c r="B108" s="3">
        <v>3</v>
      </c>
      <c r="C108" s="56">
        <v>7</v>
      </c>
      <c r="D108" s="10">
        <v>26.8</v>
      </c>
      <c r="E108" s="9">
        <v>34.299999999999997</v>
      </c>
      <c r="F108" s="9">
        <v>46.9</v>
      </c>
      <c r="G108" s="56">
        <v>18.600000000000001</v>
      </c>
      <c r="H108" s="10">
        <v>35.700000000000003</v>
      </c>
      <c r="I108" s="9">
        <v>2</v>
      </c>
      <c r="J108" s="9">
        <v>9</v>
      </c>
      <c r="K108" s="56">
        <v>34.5</v>
      </c>
      <c r="L108" s="10">
        <v>45</v>
      </c>
      <c r="M108" s="9"/>
      <c r="N108" s="9"/>
      <c r="O108" s="9"/>
      <c r="P108" s="9"/>
      <c r="Q108" s="9"/>
      <c r="R108" s="9"/>
      <c r="S108" s="9"/>
    </row>
    <row r="109" spans="1:23" x14ac:dyDescent="0.2">
      <c r="B109" s="3">
        <v>4</v>
      </c>
      <c r="C109" s="56">
        <v>3.4</v>
      </c>
      <c r="D109" s="10">
        <v>23.2</v>
      </c>
      <c r="E109" s="9">
        <v>16.899999999999999</v>
      </c>
      <c r="F109" s="9">
        <v>34.299999999999997</v>
      </c>
      <c r="G109" s="56">
        <v>13.6</v>
      </c>
      <c r="H109" s="10">
        <v>31.9</v>
      </c>
      <c r="I109" s="9">
        <v>9</v>
      </c>
      <c r="J109" s="9">
        <v>15.9</v>
      </c>
      <c r="K109" s="56">
        <v>34.5</v>
      </c>
      <c r="L109" s="10">
        <v>46.3</v>
      </c>
      <c r="M109" s="9"/>
      <c r="N109" s="9"/>
      <c r="O109" s="9"/>
      <c r="P109" s="9"/>
      <c r="Q109" s="9"/>
      <c r="R109" s="9"/>
      <c r="S109" s="9"/>
    </row>
    <row r="110" spans="1:23" x14ac:dyDescent="0.2">
      <c r="B110" s="3">
        <v>5</v>
      </c>
      <c r="C110" s="56">
        <v>18.8</v>
      </c>
      <c r="D110" s="10">
        <v>38.700000000000003</v>
      </c>
      <c r="E110" s="9">
        <v>0</v>
      </c>
      <c r="F110" s="9">
        <v>13.9</v>
      </c>
      <c r="G110" s="56">
        <v>1.9</v>
      </c>
      <c r="H110" s="10">
        <v>19</v>
      </c>
      <c r="I110" s="9"/>
      <c r="J110" s="9"/>
      <c r="K110" s="56">
        <v>36.4</v>
      </c>
      <c r="L110" s="10">
        <v>50</v>
      </c>
      <c r="M110" s="9"/>
      <c r="N110" s="9"/>
      <c r="O110" s="9"/>
      <c r="P110" s="9"/>
      <c r="Q110" s="9"/>
      <c r="R110" s="9"/>
    </row>
    <row r="111" spans="1:23" x14ac:dyDescent="0.2">
      <c r="B111" s="3">
        <v>6</v>
      </c>
      <c r="C111" s="56">
        <v>17.3</v>
      </c>
      <c r="D111" s="10">
        <v>36.200000000000003</v>
      </c>
      <c r="E111" s="9">
        <v>13.9</v>
      </c>
      <c r="F111" s="9">
        <v>27.5</v>
      </c>
      <c r="G111" s="56">
        <v>19</v>
      </c>
      <c r="H111" s="10">
        <v>36.299999999999997</v>
      </c>
      <c r="I111" s="9"/>
      <c r="J111" s="9"/>
      <c r="K111" s="56">
        <v>37</v>
      </c>
      <c r="L111" s="10">
        <v>50</v>
      </c>
      <c r="M111" s="9"/>
      <c r="N111" s="9"/>
      <c r="O111" s="9"/>
      <c r="P111" s="9"/>
      <c r="Q111" s="9"/>
      <c r="R111" s="9"/>
    </row>
    <row r="112" spans="1:23" x14ac:dyDescent="0.2">
      <c r="B112" s="3">
        <v>7</v>
      </c>
      <c r="C112" s="56">
        <v>6.6</v>
      </c>
      <c r="D112" s="10">
        <v>24</v>
      </c>
      <c r="E112" s="9">
        <v>0</v>
      </c>
      <c r="F112" s="9">
        <v>14.5</v>
      </c>
      <c r="G112" s="56"/>
      <c r="H112" s="10"/>
      <c r="I112" s="9"/>
      <c r="J112" s="9"/>
      <c r="K112" s="56">
        <v>12.2</v>
      </c>
      <c r="L112" s="10">
        <v>23.2</v>
      </c>
      <c r="M112" s="9"/>
      <c r="N112" s="9"/>
      <c r="O112" s="9"/>
      <c r="P112" s="9"/>
      <c r="Q112" s="9"/>
      <c r="R112" s="9"/>
    </row>
    <row r="113" spans="2:18" x14ac:dyDescent="0.2">
      <c r="B113" s="3">
        <v>8</v>
      </c>
      <c r="C113" s="56">
        <v>24</v>
      </c>
      <c r="D113" s="10">
        <v>43.5</v>
      </c>
      <c r="E113" s="9">
        <v>14.5</v>
      </c>
      <c r="F113" s="9">
        <v>28.7</v>
      </c>
      <c r="G113" s="56"/>
      <c r="H113" s="10"/>
      <c r="I113" s="9"/>
      <c r="J113" s="9"/>
      <c r="K113" s="56">
        <v>0</v>
      </c>
      <c r="L113" s="10">
        <v>12.2</v>
      </c>
      <c r="M113" s="9"/>
      <c r="N113" s="9"/>
      <c r="O113" s="9"/>
      <c r="P113" s="9"/>
      <c r="Q113" s="9"/>
      <c r="R113" s="9"/>
    </row>
    <row r="114" spans="2:18" x14ac:dyDescent="0.2">
      <c r="B114" s="3">
        <v>9</v>
      </c>
      <c r="C114" s="56">
        <v>25.1</v>
      </c>
      <c r="D114" s="10">
        <v>44.9</v>
      </c>
      <c r="E114" s="9">
        <v>26.6</v>
      </c>
      <c r="F114" s="9">
        <v>41.4</v>
      </c>
      <c r="G114" s="56"/>
      <c r="H114" s="10"/>
      <c r="I114" s="9"/>
      <c r="J114" s="9"/>
      <c r="K114" s="56">
        <v>32.6</v>
      </c>
      <c r="L114" s="10">
        <v>45</v>
      </c>
      <c r="M114" s="9"/>
      <c r="N114" s="9"/>
      <c r="O114" s="9"/>
      <c r="P114" s="9"/>
      <c r="Q114" s="9"/>
      <c r="R114" s="9"/>
    </row>
    <row r="115" spans="2:18" x14ac:dyDescent="0.2">
      <c r="B115" s="3">
        <v>10</v>
      </c>
      <c r="C115" s="56">
        <v>4.7</v>
      </c>
      <c r="D115" s="10">
        <v>24</v>
      </c>
      <c r="E115" s="9">
        <v>7.47</v>
      </c>
      <c r="F115" s="9">
        <v>21.97</v>
      </c>
      <c r="G115" s="56"/>
      <c r="H115" s="10"/>
      <c r="I115" s="9"/>
      <c r="J115" s="9"/>
      <c r="K115" s="56">
        <v>31</v>
      </c>
      <c r="L115" s="10">
        <v>44</v>
      </c>
      <c r="M115" s="9"/>
      <c r="N115" s="9"/>
      <c r="O115" s="9"/>
      <c r="P115" s="9"/>
      <c r="Q115" s="9"/>
      <c r="R115" s="9"/>
    </row>
    <row r="116" spans="2:18" x14ac:dyDescent="0.2">
      <c r="B116" s="3">
        <v>11</v>
      </c>
      <c r="C116" s="56">
        <v>24</v>
      </c>
      <c r="D116" s="10">
        <v>42.6</v>
      </c>
      <c r="E116" s="9">
        <v>21.97</v>
      </c>
      <c r="F116" s="9">
        <v>36.67</v>
      </c>
      <c r="G116" s="56"/>
      <c r="H116" s="10"/>
      <c r="I116" s="9"/>
      <c r="J116" s="9"/>
      <c r="K116" s="56">
        <v>18</v>
      </c>
      <c r="L116" s="10">
        <v>31.7</v>
      </c>
      <c r="M116" s="9"/>
      <c r="N116" s="9"/>
      <c r="O116" s="9"/>
      <c r="P116" s="9"/>
      <c r="Q116" s="9"/>
      <c r="R116" s="9"/>
    </row>
    <row r="117" spans="2:18" ht="16" thickBot="1" x14ac:dyDescent="0.25">
      <c r="B117" s="6">
        <v>12</v>
      </c>
      <c r="C117" s="58">
        <v>23.4</v>
      </c>
      <c r="D117" s="54">
        <v>43.8</v>
      </c>
      <c r="E117" s="11"/>
      <c r="F117" s="11"/>
      <c r="G117" s="58"/>
      <c r="H117" s="54"/>
      <c r="I117" s="11"/>
      <c r="J117" s="11"/>
      <c r="K117" s="58">
        <v>31.7</v>
      </c>
      <c r="L117" s="54">
        <v>44.7</v>
      </c>
      <c r="M117" s="9"/>
      <c r="N117" s="9"/>
      <c r="O117" s="9"/>
      <c r="P117" s="9"/>
      <c r="Q117" s="9"/>
      <c r="R117" s="9"/>
    </row>
    <row r="118" spans="2:18" x14ac:dyDescent="0.2">
      <c r="D118" s="29"/>
    </row>
  </sheetData>
  <mergeCells count="13">
    <mergeCell ref="I104:J104"/>
    <mergeCell ref="K104:L104"/>
    <mergeCell ref="E104:F104"/>
    <mergeCell ref="E29:F29"/>
    <mergeCell ref="I29:J29"/>
    <mergeCell ref="K29:L29"/>
    <mergeCell ref="E41:F41"/>
    <mergeCell ref="I41:J41"/>
    <mergeCell ref="C4:D4"/>
    <mergeCell ref="E4:F4"/>
    <mergeCell ref="G4:H4"/>
    <mergeCell ref="I4:J4"/>
    <mergeCell ref="K4:L4"/>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5B39-E06E-D94E-AE8E-0AEAF2B7227E}">
  <dimension ref="A2:AI73"/>
  <sheetViews>
    <sheetView zoomScale="110" zoomScaleNormal="110" workbookViewId="0">
      <selection activeCell="S6" sqref="S6:AC44"/>
    </sheetView>
  </sheetViews>
  <sheetFormatPr baseColWidth="10" defaultColWidth="12" defaultRowHeight="15" x14ac:dyDescent="0.2"/>
  <cols>
    <col min="19" max="29" width="12.5" customWidth="1"/>
  </cols>
  <sheetData>
    <row r="2" spans="1:35" ht="17" x14ac:dyDescent="0.2">
      <c r="S2" s="79" t="s">
        <v>85</v>
      </c>
    </row>
    <row r="3" spans="1:35" ht="62" customHeight="1" x14ac:dyDescent="0.2">
      <c r="S3" s="326" t="s">
        <v>93</v>
      </c>
      <c r="T3" s="326"/>
      <c r="U3" s="326"/>
      <c r="V3" s="326"/>
      <c r="W3" s="326"/>
      <c r="X3" s="326"/>
      <c r="Y3" s="326"/>
      <c r="Z3" s="326"/>
      <c r="AB3">
        <f>0.025*32</f>
        <v>0.8</v>
      </c>
    </row>
    <row r="4" spans="1:35" ht="86" customHeight="1" x14ac:dyDescent="0.2">
      <c r="S4" s="326" t="s">
        <v>91</v>
      </c>
      <c r="T4" s="326"/>
      <c r="U4" s="326"/>
      <c r="V4" s="326"/>
      <c r="W4" s="326"/>
      <c r="X4" s="326"/>
      <c r="Y4" s="326"/>
      <c r="Z4" s="326"/>
    </row>
    <row r="5" spans="1:35" x14ac:dyDescent="0.2">
      <c r="S5" s="79"/>
    </row>
    <row r="6" spans="1:35" ht="16" thickBot="1" x14ac:dyDescent="0.25">
      <c r="A6" s="71"/>
      <c r="B6" s="73" t="s">
        <v>23</v>
      </c>
      <c r="C6" s="73"/>
      <c r="D6" s="73"/>
      <c r="E6" s="73"/>
      <c r="F6" s="73"/>
      <c r="G6" s="73"/>
      <c r="H6" s="73"/>
      <c r="I6" s="73"/>
      <c r="J6" s="73"/>
      <c r="K6" s="73"/>
      <c r="L6" s="73"/>
      <c r="M6" s="73"/>
      <c r="N6" s="73"/>
      <c r="O6" s="73"/>
      <c r="P6" s="73"/>
      <c r="Q6" s="73"/>
      <c r="R6" s="71"/>
      <c r="S6" s="80" t="s">
        <v>88</v>
      </c>
    </row>
    <row r="7" spans="1:35" ht="16" customHeight="1" thickBot="1" x14ac:dyDescent="0.3">
      <c r="A7" s="71"/>
      <c r="B7" s="73" t="s">
        <v>4</v>
      </c>
      <c r="C7" s="74" t="s">
        <v>5</v>
      </c>
      <c r="D7" s="74"/>
      <c r="E7" s="74"/>
      <c r="F7" s="327" t="s">
        <v>6</v>
      </c>
      <c r="G7" s="327"/>
      <c r="H7" s="74"/>
      <c r="I7" s="74" t="s">
        <v>74</v>
      </c>
      <c r="J7" s="74"/>
      <c r="K7" s="74"/>
      <c r="L7" s="327" t="s">
        <v>21</v>
      </c>
      <c r="M7" s="327"/>
      <c r="N7" s="74"/>
      <c r="O7" s="327" t="s">
        <v>75</v>
      </c>
      <c r="P7" s="327"/>
      <c r="Q7" s="74"/>
      <c r="R7" s="70"/>
      <c r="S7" s="123" t="s">
        <v>4</v>
      </c>
      <c r="T7" s="323" t="s">
        <v>5</v>
      </c>
      <c r="U7" s="323"/>
      <c r="V7" s="321" t="s">
        <v>6</v>
      </c>
      <c r="W7" s="322"/>
      <c r="X7" s="323" t="s">
        <v>74</v>
      </c>
      <c r="Y7" s="323"/>
      <c r="Z7" s="321" t="s">
        <v>21</v>
      </c>
      <c r="AA7" s="322"/>
      <c r="AB7" s="322" t="s">
        <v>75</v>
      </c>
      <c r="AC7" s="322"/>
      <c r="AE7" s="273" t="s">
        <v>173</v>
      </c>
      <c r="AF7" s="276" t="s">
        <v>176</v>
      </c>
      <c r="AG7" s="273" t="s">
        <v>169</v>
      </c>
      <c r="AH7" s="273" t="s">
        <v>171</v>
      </c>
      <c r="AI7" s="273" t="s">
        <v>172</v>
      </c>
    </row>
    <row r="8" spans="1:35" ht="49" thickBot="1" x14ac:dyDescent="0.3">
      <c r="A8" s="71"/>
      <c r="B8" s="75"/>
      <c r="C8" s="74" t="s">
        <v>30</v>
      </c>
      <c r="D8" s="74" t="s">
        <v>31</v>
      </c>
      <c r="E8" s="28" t="s">
        <v>86</v>
      </c>
      <c r="F8" s="74" t="s">
        <v>30</v>
      </c>
      <c r="G8" s="74" t="s">
        <v>31</v>
      </c>
      <c r="H8" s="28" t="s">
        <v>86</v>
      </c>
      <c r="I8" s="74" t="s">
        <v>30</v>
      </c>
      <c r="J8" s="74" t="s">
        <v>31</v>
      </c>
      <c r="K8" s="28" t="s">
        <v>86</v>
      </c>
      <c r="L8" s="74" t="s">
        <v>30</v>
      </c>
      <c r="M8" s="74" t="s">
        <v>31</v>
      </c>
      <c r="N8" s="28" t="s">
        <v>86</v>
      </c>
      <c r="O8" s="74" t="s">
        <v>30</v>
      </c>
      <c r="P8" s="74" t="s">
        <v>31</v>
      </c>
      <c r="Q8" s="28" t="s">
        <v>86</v>
      </c>
      <c r="R8" s="72"/>
      <c r="S8" s="124"/>
      <c r="T8" s="84" t="s">
        <v>87</v>
      </c>
      <c r="U8" s="116" t="s">
        <v>92</v>
      </c>
      <c r="V8" s="125" t="s">
        <v>87</v>
      </c>
      <c r="W8" s="115" t="s">
        <v>92</v>
      </c>
      <c r="X8" s="84" t="s">
        <v>87</v>
      </c>
      <c r="Y8" s="116" t="s">
        <v>92</v>
      </c>
      <c r="Z8" s="125" t="s">
        <v>87</v>
      </c>
      <c r="AA8" s="115" t="s">
        <v>92</v>
      </c>
      <c r="AB8" s="111" t="s">
        <v>87</v>
      </c>
      <c r="AC8" s="115" t="s">
        <v>92</v>
      </c>
      <c r="AE8" s="274" t="s">
        <v>74</v>
      </c>
      <c r="AF8" s="281">
        <v>7.3</v>
      </c>
      <c r="AG8" s="279">
        <v>2.1805962487356534</v>
      </c>
      <c r="AH8" s="279">
        <v>4</v>
      </c>
      <c r="AI8" s="280">
        <v>0.42622372841814804</v>
      </c>
    </row>
    <row r="9" spans="1:35" ht="16" x14ac:dyDescent="0.25">
      <c r="A9" s="71"/>
      <c r="B9" s="73">
        <v>1</v>
      </c>
      <c r="C9" s="76">
        <v>9.5</v>
      </c>
      <c r="D9" s="76">
        <v>11.3</v>
      </c>
      <c r="E9" s="9">
        <f t="shared" ref="E9:E14" si="0">D9-C9</f>
        <v>1.8000000000000007</v>
      </c>
      <c r="F9" s="76">
        <v>0</v>
      </c>
      <c r="G9" s="76">
        <v>8.5</v>
      </c>
      <c r="H9" s="9">
        <f t="shared" ref="H9:H14" si="1">G9-F9</f>
        <v>8.5</v>
      </c>
      <c r="I9" s="76">
        <v>15.9</v>
      </c>
      <c r="J9" s="76">
        <v>21.7</v>
      </c>
      <c r="K9" s="9">
        <f t="shared" ref="K9:K14" si="2">J9-I9</f>
        <v>5.7999999999999989</v>
      </c>
      <c r="L9" s="76">
        <v>11.5</v>
      </c>
      <c r="M9" s="76">
        <v>16.899999999999999</v>
      </c>
      <c r="N9" s="9">
        <f t="shared" ref="N9:N14" si="3">M9-L9</f>
        <v>5.3999999999999986</v>
      </c>
      <c r="O9" s="76">
        <v>13</v>
      </c>
      <c r="P9" s="76">
        <v>15.6</v>
      </c>
      <c r="Q9" s="9">
        <f t="shared" ref="Q9:Q14" si="4">P9-O9</f>
        <v>2.5999999999999996</v>
      </c>
      <c r="R9" s="72"/>
      <c r="S9" s="85">
        <v>1</v>
      </c>
      <c r="T9" s="278">
        <v>1.8000000000000007</v>
      </c>
      <c r="U9" s="53">
        <f xml:space="preserve"> (T9*0.8) / (0.8)</f>
        <v>1.8000000000000007</v>
      </c>
      <c r="V9" s="87">
        <v>8.5</v>
      </c>
      <c r="W9" s="5">
        <f xml:space="preserve"> (V9*0.8) / (0.8)</f>
        <v>8.5</v>
      </c>
      <c r="X9" s="278">
        <v>5.7999999999999989</v>
      </c>
      <c r="Y9" s="53">
        <f xml:space="preserve"> (X9*0.8) / (0.8)</f>
        <v>5.7999999999999989</v>
      </c>
      <c r="Z9" s="87">
        <v>5.3999999999999986</v>
      </c>
      <c r="AA9" s="5">
        <f xml:space="preserve"> (Z9*0.8) / (0.8)</f>
        <v>5.3999999999999986</v>
      </c>
      <c r="AB9" s="51">
        <v>2.5999999999999996</v>
      </c>
      <c r="AC9" s="277">
        <v>2.5999999999999996</v>
      </c>
      <c r="AE9" s="274" t="s">
        <v>21</v>
      </c>
      <c r="AF9" s="281">
        <v>5.35</v>
      </c>
      <c r="AG9" s="279">
        <v>1.8365728953678913</v>
      </c>
      <c r="AH9" s="279">
        <v>4</v>
      </c>
      <c r="AI9" s="280">
        <v>0.3227486121839514</v>
      </c>
    </row>
    <row r="10" spans="1:35" ht="16" x14ac:dyDescent="0.25">
      <c r="A10" s="71"/>
      <c r="B10" s="73">
        <v>2</v>
      </c>
      <c r="C10" s="76">
        <v>31</v>
      </c>
      <c r="D10" s="76">
        <v>33</v>
      </c>
      <c r="E10" s="9">
        <f t="shared" si="0"/>
        <v>2</v>
      </c>
      <c r="F10" s="76">
        <v>2.8</v>
      </c>
      <c r="G10" s="76">
        <v>9.6</v>
      </c>
      <c r="H10" s="9">
        <f t="shared" si="1"/>
        <v>6.8</v>
      </c>
      <c r="I10" s="76">
        <v>3.5</v>
      </c>
      <c r="J10" s="76">
        <v>9.1999999999999993</v>
      </c>
      <c r="K10" s="9">
        <f t="shared" si="2"/>
        <v>5.6999999999999993</v>
      </c>
      <c r="L10" s="76">
        <v>0</v>
      </c>
      <c r="M10" s="76">
        <v>4.3</v>
      </c>
      <c r="N10" s="9">
        <f t="shared" si="3"/>
        <v>4.3</v>
      </c>
      <c r="O10" s="76">
        <v>48.3</v>
      </c>
      <c r="P10" s="76">
        <v>50</v>
      </c>
      <c r="Q10" s="9">
        <f t="shared" si="4"/>
        <v>1.7000000000000028</v>
      </c>
      <c r="R10" s="72"/>
      <c r="S10" s="85">
        <v>2</v>
      </c>
      <c r="T10" s="126">
        <v>2</v>
      </c>
      <c r="U10" s="59">
        <f xml:space="preserve"> (T10*0.8) / (0.8)</f>
        <v>2</v>
      </c>
      <c r="V10" s="87">
        <v>6.8</v>
      </c>
      <c r="W10" s="5">
        <f xml:space="preserve"> (V10*0.8) / (0.8)</f>
        <v>6.8</v>
      </c>
      <c r="X10" s="126">
        <v>5.6999999999999993</v>
      </c>
      <c r="Y10" s="59">
        <f xml:space="preserve"> (X10*0.8) / (0.8)</f>
        <v>5.6999999999999993</v>
      </c>
      <c r="Z10" s="87">
        <v>4.3</v>
      </c>
      <c r="AA10" s="5">
        <f xml:space="preserve"> (Z10*0.8) / (0.8)</f>
        <v>4.3</v>
      </c>
      <c r="AB10" s="57">
        <v>1.7000000000000028</v>
      </c>
      <c r="AC10" s="88">
        <v>1.7000000000000028</v>
      </c>
      <c r="AE10" s="274" t="s">
        <v>75</v>
      </c>
      <c r="AF10" s="281">
        <v>4.8499999999999996</v>
      </c>
      <c r="AG10" s="279">
        <v>0.65421708935184453</v>
      </c>
      <c r="AH10" s="279">
        <v>2</v>
      </c>
      <c r="AI10" s="280">
        <v>0.54999999999999538</v>
      </c>
    </row>
    <row r="11" spans="1:35" ht="32" x14ac:dyDescent="0.25">
      <c r="A11" s="71"/>
      <c r="B11" s="73">
        <v>3</v>
      </c>
      <c r="C11" s="76">
        <v>27</v>
      </c>
      <c r="D11" s="76">
        <v>29.4</v>
      </c>
      <c r="E11" s="9">
        <f t="shared" si="0"/>
        <v>2.3999999999999986</v>
      </c>
      <c r="F11" s="76">
        <v>5.9</v>
      </c>
      <c r="G11" s="76">
        <v>12.5</v>
      </c>
      <c r="H11" s="9">
        <f t="shared" si="1"/>
        <v>6.6</v>
      </c>
      <c r="I11" s="76">
        <v>18.8</v>
      </c>
      <c r="J11" s="76">
        <v>23.2</v>
      </c>
      <c r="K11" s="9">
        <f t="shared" si="2"/>
        <v>4.3999999999999986</v>
      </c>
      <c r="L11" s="76"/>
      <c r="M11" s="76"/>
      <c r="N11" s="9">
        <f t="shared" si="3"/>
        <v>0</v>
      </c>
      <c r="O11" s="76">
        <v>48.2</v>
      </c>
      <c r="P11" s="76">
        <v>50</v>
      </c>
      <c r="Q11" s="9">
        <f t="shared" si="4"/>
        <v>1.7999999999999972</v>
      </c>
      <c r="R11" s="72"/>
      <c r="S11" s="85">
        <v>3</v>
      </c>
      <c r="T11" s="126">
        <v>2.3999999999999986</v>
      </c>
      <c r="U11" s="59">
        <f xml:space="preserve"> (T11*0.8) / (0.8)</f>
        <v>2.3999999999999986</v>
      </c>
      <c r="V11" s="87">
        <v>6.6</v>
      </c>
      <c r="W11" s="5">
        <f xml:space="preserve"> (V11*0.8) / (0.8)</f>
        <v>6.6</v>
      </c>
      <c r="X11" s="126">
        <v>4.3999999999999986</v>
      </c>
      <c r="Y11" s="59">
        <f xml:space="preserve"> (X11*0.8) / (0.8)</f>
        <v>4.3999999999999986</v>
      </c>
      <c r="Z11" s="87"/>
      <c r="AA11" s="5"/>
      <c r="AB11" s="57">
        <v>1.7999999999999972</v>
      </c>
      <c r="AC11" s="88">
        <v>1.7999999999999972</v>
      </c>
      <c r="AE11" s="274" t="s">
        <v>6</v>
      </c>
      <c r="AF11" s="281">
        <v>2.5</v>
      </c>
      <c r="AG11" s="279">
        <v>0.65038450166036377</v>
      </c>
      <c r="AH11" s="279">
        <v>6</v>
      </c>
      <c r="AI11" s="280">
        <v>0.276887462097269</v>
      </c>
    </row>
    <row r="12" spans="1:35" ht="16" x14ac:dyDescent="0.25">
      <c r="A12" s="71"/>
      <c r="B12" s="73">
        <v>4</v>
      </c>
      <c r="C12" s="76">
        <v>0</v>
      </c>
      <c r="D12" s="76">
        <v>3.7</v>
      </c>
      <c r="E12" s="9">
        <f t="shared" si="0"/>
        <v>3.7</v>
      </c>
      <c r="F12" s="76">
        <v>10</v>
      </c>
      <c r="G12" s="76">
        <v>17.3</v>
      </c>
      <c r="H12" s="9">
        <f t="shared" si="1"/>
        <v>7.3000000000000007</v>
      </c>
      <c r="I12" s="76">
        <v>11.1</v>
      </c>
      <c r="J12" s="76">
        <v>16.600000000000001</v>
      </c>
      <c r="K12" s="9">
        <f t="shared" si="2"/>
        <v>5.5000000000000018</v>
      </c>
      <c r="L12" s="76"/>
      <c r="M12" s="76"/>
      <c r="N12" s="9">
        <f t="shared" si="3"/>
        <v>0</v>
      </c>
      <c r="O12" s="76">
        <v>10.199999999999999</v>
      </c>
      <c r="P12" s="76">
        <v>13.7</v>
      </c>
      <c r="Q12" s="9">
        <f t="shared" si="4"/>
        <v>3.5</v>
      </c>
      <c r="R12" s="72"/>
      <c r="S12" s="85">
        <v>4</v>
      </c>
      <c r="T12" s="126">
        <v>3.7</v>
      </c>
      <c r="U12" s="59">
        <f xml:space="preserve"> (T12*0.8) / (0.8)</f>
        <v>3.7</v>
      </c>
      <c r="V12" s="87">
        <v>7.3000000000000007</v>
      </c>
      <c r="W12" s="5">
        <f xml:space="preserve"> (V12*0.8) / (0.8)</f>
        <v>7.3000000000000007</v>
      </c>
      <c r="X12" s="126">
        <v>5.5000000000000018</v>
      </c>
      <c r="Y12" s="59">
        <f xml:space="preserve"> (X12*0.8) / (0.8)</f>
        <v>5.5000000000000009</v>
      </c>
      <c r="Z12" s="87"/>
      <c r="AA12" s="5"/>
      <c r="AB12" s="57">
        <v>3.5</v>
      </c>
      <c r="AC12" s="88">
        <v>3.5</v>
      </c>
      <c r="AE12" s="274" t="s">
        <v>5</v>
      </c>
      <c r="AF12" s="281">
        <v>2.34</v>
      </c>
      <c r="AG12" s="279">
        <v>0.69426219830839186</v>
      </c>
      <c r="AH12" s="279">
        <v>5</v>
      </c>
      <c r="AI12" s="280">
        <v>0.35721142198983524</v>
      </c>
    </row>
    <row r="13" spans="1:35" x14ac:dyDescent="0.2">
      <c r="A13" s="71"/>
      <c r="B13" s="73">
        <v>5</v>
      </c>
      <c r="C13" s="76">
        <v>17.2</v>
      </c>
      <c r="D13" s="76">
        <v>19</v>
      </c>
      <c r="E13" s="9">
        <f t="shared" si="0"/>
        <v>1.8000000000000007</v>
      </c>
      <c r="F13" s="76"/>
      <c r="G13" s="76"/>
      <c r="H13" s="9">
        <f t="shared" si="1"/>
        <v>0</v>
      </c>
      <c r="I13" s="76"/>
      <c r="J13" s="76"/>
      <c r="K13" s="9">
        <f t="shared" si="2"/>
        <v>0</v>
      </c>
      <c r="L13" s="76"/>
      <c r="M13" s="76"/>
      <c r="N13" s="9">
        <f t="shared" si="3"/>
        <v>0</v>
      </c>
      <c r="O13" s="76">
        <v>1.5</v>
      </c>
      <c r="P13" s="76">
        <v>4</v>
      </c>
      <c r="Q13" s="9">
        <f t="shared" si="4"/>
        <v>2.5</v>
      </c>
      <c r="R13" s="72"/>
      <c r="S13" s="85">
        <v>5</v>
      </c>
      <c r="T13" s="126">
        <v>1.8000000000000007</v>
      </c>
      <c r="U13" s="59">
        <f xml:space="preserve"> (T13*0.8) / (0.8)</f>
        <v>1.8000000000000007</v>
      </c>
      <c r="V13" s="87"/>
      <c r="W13" s="5"/>
      <c r="X13" s="126"/>
      <c r="Y13" s="59"/>
      <c r="Z13" s="87"/>
      <c r="AA13" s="5"/>
      <c r="AB13" s="57">
        <v>2.5</v>
      </c>
      <c r="AC13" s="88">
        <v>2.5</v>
      </c>
    </row>
    <row r="14" spans="1:35" ht="16" thickBot="1" x14ac:dyDescent="0.25">
      <c r="A14" s="71"/>
      <c r="B14" s="73">
        <v>6</v>
      </c>
      <c r="C14" s="76"/>
      <c r="D14" s="76"/>
      <c r="E14" s="9">
        <f t="shared" si="0"/>
        <v>0</v>
      </c>
      <c r="F14" s="76"/>
      <c r="G14" s="76"/>
      <c r="H14" s="9">
        <f t="shared" si="1"/>
        <v>0</v>
      </c>
      <c r="I14" s="76"/>
      <c r="J14" s="76"/>
      <c r="K14" s="9">
        <f t="shared" si="2"/>
        <v>0</v>
      </c>
      <c r="L14" s="76"/>
      <c r="M14" s="76"/>
      <c r="N14" s="9">
        <f t="shared" si="3"/>
        <v>0</v>
      </c>
      <c r="O14" s="76">
        <v>5.8</v>
      </c>
      <c r="P14" s="76">
        <v>8.6999999999999993</v>
      </c>
      <c r="Q14" s="9">
        <f t="shared" si="4"/>
        <v>2.8999999999999995</v>
      </c>
      <c r="R14" s="72"/>
      <c r="S14" s="86">
        <v>6</v>
      </c>
      <c r="T14" s="127"/>
      <c r="U14" s="22"/>
      <c r="V14" s="89"/>
      <c r="W14" s="21"/>
      <c r="X14" s="127"/>
      <c r="Y14" s="22"/>
      <c r="Z14" s="89"/>
      <c r="AA14" s="21"/>
      <c r="AB14" s="52">
        <v>2.8999999999999995</v>
      </c>
      <c r="AC14" s="90">
        <v>2.8999999999999995</v>
      </c>
    </row>
    <row r="15" spans="1:35" ht="16" x14ac:dyDescent="0.25">
      <c r="A15" s="71"/>
      <c r="B15" s="73"/>
      <c r="C15" s="76"/>
      <c r="D15" s="76"/>
      <c r="E15" s="9"/>
      <c r="F15" s="76"/>
      <c r="G15" s="76"/>
      <c r="H15" s="9"/>
      <c r="I15" s="76"/>
      <c r="J15" s="76"/>
      <c r="K15" s="9"/>
      <c r="L15" s="76"/>
      <c r="M15" s="76"/>
      <c r="N15" s="9"/>
      <c r="O15" s="76"/>
      <c r="P15" s="76"/>
      <c r="Q15" s="9"/>
      <c r="R15" s="72"/>
      <c r="S15" s="261" t="s">
        <v>168</v>
      </c>
      <c r="T15" s="264">
        <f>AVERAGE(T9:T14)</f>
        <v>2.34</v>
      </c>
      <c r="U15" s="264">
        <f t="shared" ref="U15:AC15" si="5">AVERAGE(U9:U14)</f>
        <v>2.34</v>
      </c>
      <c r="V15" s="264">
        <f t="shared" si="5"/>
        <v>7.3</v>
      </c>
      <c r="W15" s="264">
        <f t="shared" si="5"/>
        <v>7.3</v>
      </c>
      <c r="X15" s="264">
        <f>AVERAGE(X9:X12)</f>
        <v>5.35</v>
      </c>
      <c r="Y15" s="264">
        <f>AVERAGE(Y9:Y12)</f>
        <v>5.35</v>
      </c>
      <c r="Z15" s="264">
        <f>AVERAGE(Z9:Z10)</f>
        <v>4.8499999999999996</v>
      </c>
      <c r="AA15" s="264">
        <f>AVERAGE(AA9:AA14)</f>
        <v>4.8499999999999996</v>
      </c>
      <c r="AB15" s="264">
        <f t="shared" si="5"/>
        <v>2.5</v>
      </c>
      <c r="AC15" s="264">
        <f t="shared" si="5"/>
        <v>2.5</v>
      </c>
    </row>
    <row r="16" spans="1:35" ht="16" x14ac:dyDescent="0.25">
      <c r="A16" s="71"/>
      <c r="B16" s="73"/>
      <c r="C16" s="76"/>
      <c r="D16" s="76"/>
      <c r="E16" s="9"/>
      <c r="F16" s="76"/>
      <c r="G16" s="76"/>
      <c r="H16" s="9"/>
      <c r="I16" s="76"/>
      <c r="J16" s="76"/>
      <c r="K16" s="9"/>
      <c r="L16" s="76"/>
      <c r="M16" s="76"/>
      <c r="N16" s="9"/>
      <c r="O16" s="76"/>
      <c r="P16" s="76"/>
      <c r="Q16" s="9"/>
      <c r="R16" s="72"/>
      <c r="S16" s="268" t="s">
        <v>169</v>
      </c>
      <c r="T16" s="269">
        <f>_xlfn.STDEV.S(T9:T14)</f>
        <v>0.79874902190863484</v>
      </c>
      <c r="U16" s="269">
        <f t="shared" ref="U16:AC16" si="6">_xlfn.STDEV.S(U9:U14)</f>
        <v>0.79874902190863484</v>
      </c>
      <c r="V16" s="269">
        <f t="shared" si="6"/>
        <v>0.85244745683629608</v>
      </c>
      <c r="W16" s="269">
        <f t="shared" si="6"/>
        <v>0.85244745683629608</v>
      </c>
      <c r="X16" s="269">
        <f>_xlfn.STDEV.S(X9:X12)</f>
        <v>0.6454972243679028</v>
      </c>
      <c r="Y16" s="269">
        <f>_xlfn.STDEV.S(Y9:Y12)</f>
        <v>0.6454972243679028</v>
      </c>
      <c r="Z16" s="269">
        <f>_xlfn.STDEV.S(Z9:Z10)</f>
        <v>0.77781745930519575</v>
      </c>
      <c r="AA16" s="269">
        <f>_xlfn.STDEV.S(AA9:AA14)</f>
        <v>0.77781745930519575</v>
      </c>
      <c r="AB16" s="269">
        <f t="shared" si="6"/>
        <v>0.67823299831252637</v>
      </c>
      <c r="AC16" s="269">
        <f t="shared" si="6"/>
        <v>0.67823299831252637</v>
      </c>
    </row>
    <row r="17" spans="1:35" ht="16" x14ac:dyDescent="0.25">
      <c r="A17" s="71"/>
      <c r="B17" s="73"/>
      <c r="C17" s="76"/>
      <c r="D17" s="76"/>
      <c r="E17" s="9"/>
      <c r="F17" s="76"/>
      <c r="G17" s="76"/>
      <c r="H17" s="9"/>
      <c r="I17" s="76"/>
      <c r="J17" s="76"/>
      <c r="K17" s="9"/>
      <c r="L17" s="76"/>
      <c r="M17" s="76"/>
      <c r="N17" s="9"/>
      <c r="O17" s="76"/>
      <c r="P17" s="76"/>
      <c r="Q17" s="9"/>
      <c r="R17" s="72"/>
      <c r="S17" s="268" t="s">
        <v>171</v>
      </c>
      <c r="T17" s="269">
        <f>COUNT(T9:T13)</f>
        <v>5</v>
      </c>
      <c r="U17" s="269">
        <f t="shared" ref="U17:AC17" si="7">COUNT(U9:U13)</f>
        <v>5</v>
      </c>
      <c r="V17" s="269">
        <f t="shared" si="7"/>
        <v>4</v>
      </c>
      <c r="W17" s="269">
        <f t="shared" si="7"/>
        <v>4</v>
      </c>
      <c r="X17" s="269">
        <f>COUNT(X9:X12)</f>
        <v>4</v>
      </c>
      <c r="Y17" s="269">
        <f>COUNT(Y9:Y12)</f>
        <v>4</v>
      </c>
      <c r="Z17" s="269">
        <f>COUNT(Z9:Z10)</f>
        <v>2</v>
      </c>
      <c r="AA17" s="269">
        <f t="shared" si="7"/>
        <v>2</v>
      </c>
      <c r="AB17" s="269">
        <f t="shared" si="7"/>
        <v>5</v>
      </c>
      <c r="AC17" s="269">
        <f t="shared" si="7"/>
        <v>5</v>
      </c>
    </row>
    <row r="18" spans="1:35" ht="17" thickBot="1" x14ac:dyDescent="0.3">
      <c r="A18" s="71"/>
      <c r="B18" s="73"/>
      <c r="C18" s="76"/>
      <c r="D18" s="76"/>
      <c r="E18" s="9"/>
      <c r="F18" s="76"/>
      <c r="G18" s="76"/>
      <c r="H18" s="9"/>
      <c r="I18" s="76"/>
      <c r="J18" s="76"/>
      <c r="K18" s="9"/>
      <c r="L18" s="76"/>
      <c r="M18" s="76"/>
      <c r="N18" s="9"/>
      <c r="O18" s="76"/>
      <c r="P18" s="76"/>
      <c r="Q18" s="9"/>
      <c r="R18" s="72"/>
      <c r="S18" s="262" t="s">
        <v>172</v>
      </c>
      <c r="T18" s="227">
        <f>T16/SQRT(T17)</f>
        <v>0.35721142198983524</v>
      </c>
      <c r="U18" s="227">
        <f t="shared" ref="U18:AC18" si="8">U16/SQRT(U17)</f>
        <v>0.35721142198983524</v>
      </c>
      <c r="V18" s="227">
        <f t="shared" si="8"/>
        <v>0.42622372841814804</v>
      </c>
      <c r="W18" s="227">
        <f t="shared" si="8"/>
        <v>0.42622372841814804</v>
      </c>
      <c r="X18" s="227">
        <f t="shared" si="8"/>
        <v>0.3227486121839514</v>
      </c>
      <c r="Y18" s="227">
        <f t="shared" si="8"/>
        <v>0.3227486121839514</v>
      </c>
      <c r="Z18" s="227">
        <f t="shared" si="8"/>
        <v>0.54999999999999538</v>
      </c>
      <c r="AA18" s="227">
        <f t="shared" si="8"/>
        <v>0.54999999999999538</v>
      </c>
      <c r="AB18" s="227">
        <f t="shared" si="8"/>
        <v>0.30331501776206182</v>
      </c>
      <c r="AC18" s="227">
        <f t="shared" si="8"/>
        <v>0.30331501776206182</v>
      </c>
    </row>
    <row r="19" spans="1:35" x14ac:dyDescent="0.2">
      <c r="A19" s="71"/>
      <c r="B19" s="73"/>
      <c r="C19" s="76"/>
      <c r="D19" s="76"/>
      <c r="E19" s="9"/>
      <c r="F19" s="76"/>
      <c r="G19" s="76"/>
      <c r="H19" s="9"/>
      <c r="I19" s="76"/>
      <c r="J19" s="76"/>
      <c r="K19" s="9"/>
      <c r="L19" s="76"/>
      <c r="M19" s="76"/>
      <c r="N19" s="9"/>
      <c r="O19" s="76"/>
      <c r="P19" s="76"/>
      <c r="Q19" s="9"/>
      <c r="R19" s="72"/>
      <c r="S19" s="81"/>
      <c r="T19" s="87"/>
      <c r="U19" s="5"/>
      <c r="V19" s="87"/>
      <c r="W19" s="5"/>
      <c r="X19" s="87"/>
      <c r="Y19" s="5"/>
      <c r="Z19" s="87"/>
      <c r="AA19" s="5"/>
      <c r="AB19" s="5"/>
      <c r="AC19" s="87"/>
    </row>
    <row r="20" spans="1:35" ht="16" thickBot="1" x14ac:dyDescent="0.25">
      <c r="A20" s="71"/>
      <c r="B20" s="73"/>
      <c r="C20" s="76"/>
      <c r="D20" s="76"/>
      <c r="E20" s="9"/>
      <c r="F20" s="76"/>
      <c r="G20" s="76"/>
      <c r="H20" s="9"/>
      <c r="I20" s="76"/>
      <c r="J20" s="76"/>
      <c r="K20" s="9"/>
      <c r="L20" s="76"/>
      <c r="M20" s="76"/>
      <c r="N20" s="9"/>
      <c r="O20" s="76"/>
      <c r="P20" s="76"/>
      <c r="Q20" s="9"/>
      <c r="R20" s="72"/>
      <c r="S20" s="78" t="s">
        <v>89</v>
      </c>
    </row>
    <row r="21" spans="1:35" ht="17" thickBot="1" x14ac:dyDescent="0.3">
      <c r="A21" s="71"/>
      <c r="B21" s="73"/>
      <c r="C21" s="76"/>
      <c r="D21" s="76"/>
      <c r="E21" s="9"/>
      <c r="F21" s="76"/>
      <c r="G21" s="76"/>
      <c r="H21" s="9"/>
      <c r="I21" s="76"/>
      <c r="J21" s="76"/>
      <c r="K21" s="9"/>
      <c r="L21" s="76"/>
      <c r="M21" s="76"/>
      <c r="N21" s="9"/>
      <c r="O21" s="76"/>
      <c r="P21" s="76"/>
      <c r="Q21" s="9"/>
      <c r="R21" s="72"/>
      <c r="S21" s="109" t="s">
        <v>4</v>
      </c>
      <c r="T21" s="110" t="s">
        <v>5</v>
      </c>
      <c r="U21" s="111"/>
      <c r="V21" s="112" t="s">
        <v>6</v>
      </c>
      <c r="W21" s="112"/>
      <c r="X21" s="110" t="s">
        <v>74</v>
      </c>
      <c r="Y21" s="111"/>
      <c r="Z21" s="112" t="s">
        <v>21</v>
      </c>
      <c r="AA21" s="112"/>
      <c r="AB21" s="113" t="s">
        <v>75</v>
      </c>
      <c r="AC21" s="111"/>
      <c r="AE21" s="273" t="s">
        <v>173</v>
      </c>
      <c r="AF21" s="276" t="s">
        <v>175</v>
      </c>
      <c r="AG21" s="273" t="s">
        <v>169</v>
      </c>
      <c r="AH21" s="273" t="s">
        <v>171</v>
      </c>
      <c r="AI21" s="273" t="s">
        <v>172</v>
      </c>
    </row>
    <row r="22" spans="1:35" ht="49" thickBot="1" x14ac:dyDescent="0.3">
      <c r="A22" s="71"/>
      <c r="B22" s="73"/>
      <c r="C22" s="76"/>
      <c r="D22" s="76"/>
      <c r="E22" s="76"/>
      <c r="F22" s="76"/>
      <c r="G22" s="76"/>
      <c r="H22" s="76"/>
      <c r="I22" s="76"/>
      <c r="J22" s="76"/>
      <c r="K22" s="76"/>
      <c r="L22" s="76"/>
      <c r="M22" s="76"/>
      <c r="N22" s="76"/>
      <c r="O22" s="76"/>
      <c r="P22" s="76"/>
      <c r="Q22" s="77"/>
      <c r="R22" s="72"/>
      <c r="S22" s="114"/>
      <c r="T22" s="125" t="s">
        <v>87</v>
      </c>
      <c r="U22" s="115" t="s">
        <v>92</v>
      </c>
      <c r="V22" s="84" t="s">
        <v>87</v>
      </c>
      <c r="W22" s="116" t="s">
        <v>92</v>
      </c>
      <c r="X22" s="125" t="s">
        <v>87</v>
      </c>
      <c r="Y22" s="115" t="s">
        <v>92</v>
      </c>
      <c r="Z22" s="84" t="s">
        <v>87</v>
      </c>
      <c r="AA22" s="116" t="s">
        <v>92</v>
      </c>
      <c r="AB22" s="113" t="s">
        <v>87</v>
      </c>
      <c r="AC22" s="115" t="s">
        <v>92</v>
      </c>
      <c r="AE22" s="274" t="s">
        <v>21</v>
      </c>
      <c r="AF22" s="281">
        <v>3.5000000000000009</v>
      </c>
      <c r="AG22" s="279">
        <v>2.1805962487356534</v>
      </c>
      <c r="AH22" s="279">
        <v>5</v>
      </c>
      <c r="AI22" s="280">
        <v>0.97519228873079211</v>
      </c>
    </row>
    <row r="23" spans="1:35" ht="16" x14ac:dyDescent="0.25">
      <c r="A23" s="71"/>
      <c r="B23" s="78" t="s">
        <v>76</v>
      </c>
      <c r="C23" s="78"/>
      <c r="D23" s="73"/>
      <c r="E23" s="73"/>
      <c r="F23" s="73"/>
      <c r="G23" s="73"/>
      <c r="H23" s="73"/>
      <c r="I23" s="73"/>
      <c r="J23" s="73"/>
      <c r="K23" s="73"/>
      <c r="L23" s="73"/>
      <c r="M23" s="73"/>
      <c r="N23" s="73"/>
      <c r="O23" s="73"/>
      <c r="P23" s="73"/>
      <c r="Q23" s="77"/>
      <c r="R23" s="72"/>
      <c r="S23" s="82">
        <v>1</v>
      </c>
      <c r="T23" s="68">
        <v>0</v>
      </c>
      <c r="U23" s="59">
        <f xml:space="preserve"> (T23*0.8) / (0.8)</f>
        <v>0</v>
      </c>
      <c r="V23">
        <v>3.9000000000000004</v>
      </c>
      <c r="W23" s="5">
        <f xml:space="preserve"> (V23*0.8) / (0.8)</f>
        <v>3.9000000000000004</v>
      </c>
      <c r="X23" s="3">
        <v>4.5999999999999996</v>
      </c>
      <c r="Y23" s="59">
        <f xml:space="preserve"> (X23*0.8) / (0.8)</f>
        <v>4.5999999999999996</v>
      </c>
      <c r="Z23">
        <v>1.3999999999999986</v>
      </c>
      <c r="AA23" s="5">
        <f xml:space="preserve"> (Z23*0.8) / (0.8)</f>
        <v>1.3999999999999986</v>
      </c>
      <c r="AB23" s="3">
        <v>9.9999999999999645E-2</v>
      </c>
      <c r="AC23" s="59">
        <f xml:space="preserve"> (AB23*0.8) / (0.8)</f>
        <v>9.9999999999999645E-2</v>
      </c>
      <c r="AE23" s="274" t="s">
        <v>75</v>
      </c>
      <c r="AF23" s="281">
        <v>2.96</v>
      </c>
      <c r="AG23" s="279">
        <v>1.8365728953678913</v>
      </c>
      <c r="AH23" s="279">
        <v>5</v>
      </c>
      <c r="AI23" s="280">
        <v>0.82134036793524268</v>
      </c>
    </row>
    <row r="24" spans="1:35" ht="32" x14ac:dyDescent="0.25">
      <c r="A24" s="71"/>
      <c r="B24" s="73" t="s">
        <v>4</v>
      </c>
      <c r="C24" s="74" t="s">
        <v>5</v>
      </c>
      <c r="D24" s="74"/>
      <c r="E24" s="74"/>
      <c r="F24" s="327" t="s">
        <v>6</v>
      </c>
      <c r="G24" s="327"/>
      <c r="H24" s="74"/>
      <c r="I24" s="74" t="s">
        <v>74</v>
      </c>
      <c r="J24" s="74"/>
      <c r="K24" s="74"/>
      <c r="L24" s="327" t="s">
        <v>21</v>
      </c>
      <c r="M24" s="327"/>
      <c r="N24" s="74"/>
      <c r="O24" s="78" t="s">
        <v>75</v>
      </c>
      <c r="P24" s="73"/>
      <c r="Q24" s="77"/>
      <c r="R24" s="72"/>
      <c r="S24" s="82">
        <v>2</v>
      </c>
      <c r="T24" s="68">
        <v>0</v>
      </c>
      <c r="U24" s="59">
        <f t="shared" ref="U24:W27" si="9" xml:space="preserve"> (T24*0.8) / (0.8)</f>
        <v>0</v>
      </c>
      <c r="V24">
        <v>4.1000000000000014</v>
      </c>
      <c r="W24" s="5">
        <f t="shared" si="9"/>
        <v>4.1000000000000014</v>
      </c>
      <c r="X24" s="3">
        <v>2.5</v>
      </c>
      <c r="Y24" s="59">
        <f xml:space="preserve"> (X24*0.8) / (0.8)</f>
        <v>2.5</v>
      </c>
      <c r="Z24">
        <v>0.90000000000000036</v>
      </c>
      <c r="AA24" s="5">
        <f xml:space="preserve"> (Z24*0.8) / (0.8)</f>
        <v>0.90000000000000036</v>
      </c>
      <c r="AB24" s="3">
        <v>0.69999999999999574</v>
      </c>
      <c r="AC24" s="59">
        <f xml:space="preserve"> (AB24*0.8) / (0.8)</f>
        <v>0.69999999999999574</v>
      </c>
      <c r="AE24" s="274" t="s">
        <v>6</v>
      </c>
      <c r="AF24" s="281">
        <v>1.1499999999999995</v>
      </c>
      <c r="AG24" s="279">
        <v>0.35355339059327251</v>
      </c>
      <c r="AH24" s="279">
        <v>2</v>
      </c>
      <c r="AI24" s="280">
        <v>0.24999999999999908</v>
      </c>
    </row>
    <row r="25" spans="1:35" ht="33" x14ac:dyDescent="0.25">
      <c r="A25" s="71"/>
      <c r="B25" s="75"/>
      <c r="C25" s="74" t="s">
        <v>30</v>
      </c>
      <c r="D25" s="74" t="s">
        <v>31</v>
      </c>
      <c r="E25" s="28" t="s">
        <v>86</v>
      </c>
      <c r="F25" s="74" t="s">
        <v>30</v>
      </c>
      <c r="G25" s="74" t="s">
        <v>31</v>
      </c>
      <c r="H25" s="28" t="s">
        <v>86</v>
      </c>
      <c r="I25" s="74" t="s">
        <v>30</v>
      </c>
      <c r="J25" s="74" t="s">
        <v>31</v>
      </c>
      <c r="K25" s="28" t="s">
        <v>86</v>
      </c>
      <c r="L25" s="74" t="s">
        <v>30</v>
      </c>
      <c r="M25" s="74" t="s">
        <v>31</v>
      </c>
      <c r="N25" s="28" t="s">
        <v>86</v>
      </c>
      <c r="O25" s="74" t="s">
        <v>30</v>
      </c>
      <c r="P25" s="74" t="s">
        <v>31</v>
      </c>
      <c r="Q25" s="28" t="s">
        <v>86</v>
      </c>
      <c r="R25" s="72"/>
      <c r="S25" s="82">
        <v>3</v>
      </c>
      <c r="T25" s="68">
        <v>0.30000000000000071</v>
      </c>
      <c r="U25" s="59">
        <f t="shared" si="9"/>
        <v>0.30000000000000071</v>
      </c>
      <c r="V25">
        <v>3.5</v>
      </c>
      <c r="W25" s="5">
        <f t="shared" si="9"/>
        <v>3.5</v>
      </c>
      <c r="X25" s="3">
        <v>4.2000000000000011</v>
      </c>
      <c r="Y25" s="59">
        <f xml:space="preserve"> (X25*0.8) / (0.8)</f>
        <v>4.2000000000000011</v>
      </c>
      <c r="AA25" s="5"/>
      <c r="AB25" s="3">
        <v>0</v>
      </c>
      <c r="AC25" s="59">
        <f xml:space="preserve"> (AB25*0.8) / (0.8)</f>
        <v>0</v>
      </c>
      <c r="AE25" s="274" t="s">
        <v>5</v>
      </c>
      <c r="AF25" s="281">
        <v>0.45999999999999908</v>
      </c>
      <c r="AG25" s="279">
        <v>0.65038450166036377</v>
      </c>
      <c r="AH25" s="279">
        <v>5</v>
      </c>
      <c r="AI25" s="280">
        <v>0.29086079144497962</v>
      </c>
    </row>
    <row r="26" spans="1:35" ht="16" x14ac:dyDescent="0.25">
      <c r="A26" s="71"/>
      <c r="B26" s="73">
        <v>1</v>
      </c>
      <c r="C26" s="76">
        <v>0</v>
      </c>
      <c r="D26" s="76">
        <v>0</v>
      </c>
      <c r="E26" s="9">
        <f>D26-C26</f>
        <v>0</v>
      </c>
      <c r="F26" s="76">
        <v>3</v>
      </c>
      <c r="G26" s="76">
        <v>6.9</v>
      </c>
      <c r="H26" s="9">
        <f>G26-F26</f>
        <v>3.9000000000000004</v>
      </c>
      <c r="I26" s="76">
        <v>11.3</v>
      </c>
      <c r="J26" s="76">
        <v>15.9</v>
      </c>
      <c r="K26" s="9">
        <f>J26-I26</f>
        <v>4.5999999999999996</v>
      </c>
      <c r="L26" s="76">
        <v>17</v>
      </c>
      <c r="M26" s="76">
        <v>18.399999999999999</v>
      </c>
      <c r="N26" s="9">
        <f>M26-L26</f>
        <v>1.3999999999999986</v>
      </c>
      <c r="O26" s="73">
        <v>15.6</v>
      </c>
      <c r="P26" s="73">
        <v>15.7</v>
      </c>
      <c r="Q26" s="9">
        <f>P26-O26</f>
        <v>9.9999999999999645E-2</v>
      </c>
      <c r="R26" s="72"/>
      <c r="S26" s="82">
        <v>4</v>
      </c>
      <c r="T26" s="68">
        <v>0</v>
      </c>
      <c r="U26" s="59">
        <f t="shared" si="9"/>
        <v>0</v>
      </c>
      <c r="V26">
        <v>6</v>
      </c>
      <c r="W26" s="5">
        <f t="shared" si="9"/>
        <v>6.0000000000000009</v>
      </c>
      <c r="X26" s="3">
        <v>3.5</v>
      </c>
      <c r="Y26" s="59">
        <f xml:space="preserve"> (X26*0.8) / (0.8)</f>
        <v>3.5</v>
      </c>
      <c r="AA26" s="5"/>
      <c r="AB26" s="3">
        <v>1.5</v>
      </c>
      <c r="AC26" s="59">
        <f xml:space="preserve"> (AB26*0.8) / (0.8)</f>
        <v>1.5000000000000002</v>
      </c>
      <c r="AE26" s="274" t="s">
        <v>74</v>
      </c>
      <c r="AF26" s="281">
        <v>0.38000000000000045</v>
      </c>
      <c r="AG26" s="279">
        <v>0.69426219830839186</v>
      </c>
      <c r="AH26" s="279">
        <v>5</v>
      </c>
      <c r="AI26" s="280">
        <v>0.31048349392520075</v>
      </c>
    </row>
    <row r="27" spans="1:35" ht="16" thickBot="1" x14ac:dyDescent="0.25">
      <c r="A27" s="71"/>
      <c r="B27" s="73">
        <v>2</v>
      </c>
      <c r="C27" s="76">
        <v>0</v>
      </c>
      <c r="D27" s="76">
        <v>0</v>
      </c>
      <c r="E27" s="9">
        <f>D27-C27</f>
        <v>0</v>
      </c>
      <c r="F27" s="76">
        <v>17</v>
      </c>
      <c r="G27" s="76">
        <v>21.1</v>
      </c>
      <c r="H27" s="9">
        <f>G27-F27</f>
        <v>4.1000000000000014</v>
      </c>
      <c r="I27" s="76">
        <v>11.5</v>
      </c>
      <c r="J27" s="76">
        <v>14</v>
      </c>
      <c r="K27" s="9">
        <f>J27-I27</f>
        <v>2.5</v>
      </c>
      <c r="L27" s="76">
        <v>2.2999999999999998</v>
      </c>
      <c r="M27" s="76">
        <v>3.2</v>
      </c>
      <c r="N27" s="9">
        <f>M27-L27</f>
        <v>0.90000000000000036</v>
      </c>
      <c r="O27" s="73">
        <v>47.6</v>
      </c>
      <c r="P27" s="73">
        <v>48.3</v>
      </c>
      <c r="Q27" s="9">
        <f>P27-O27</f>
        <v>0.69999999999999574</v>
      </c>
      <c r="R27" s="72"/>
      <c r="S27" s="83">
        <v>5</v>
      </c>
      <c r="T27" s="69">
        <v>1.6000000000000014</v>
      </c>
      <c r="U27" s="22">
        <f t="shared" si="9"/>
        <v>1.6000000000000014</v>
      </c>
      <c r="V27" s="7">
        <v>0</v>
      </c>
      <c r="W27" s="21">
        <f t="shared" si="9"/>
        <v>0</v>
      </c>
      <c r="X27" s="6">
        <v>0</v>
      </c>
      <c r="Y27" s="22">
        <f xml:space="preserve"> (X27*0.8) / (0.8)</f>
        <v>0</v>
      </c>
      <c r="Z27" s="7"/>
      <c r="AA27" s="21"/>
      <c r="AB27" s="6">
        <v>0</v>
      </c>
      <c r="AC27" s="22">
        <f xml:space="preserve"> (AB27*0.8) / (0.8)</f>
        <v>0</v>
      </c>
    </row>
    <row r="28" spans="1:35" ht="16" x14ac:dyDescent="0.25">
      <c r="A28" s="71"/>
      <c r="B28" s="73">
        <v>3</v>
      </c>
      <c r="C28" s="76">
        <v>29.4</v>
      </c>
      <c r="D28" s="76">
        <v>29.7</v>
      </c>
      <c r="E28" s="9">
        <f>D28-C28</f>
        <v>0.30000000000000071</v>
      </c>
      <c r="F28" s="76">
        <v>18</v>
      </c>
      <c r="G28" s="76">
        <v>21.5</v>
      </c>
      <c r="H28" s="9">
        <f>G28-F28</f>
        <v>3.5</v>
      </c>
      <c r="I28" s="76">
        <v>14.6</v>
      </c>
      <c r="J28" s="76">
        <v>18.8</v>
      </c>
      <c r="K28" s="9">
        <f>J28-I28</f>
        <v>4.2000000000000011</v>
      </c>
      <c r="L28" s="76"/>
      <c r="M28" s="76"/>
      <c r="N28" s="9">
        <f>M28-L28</f>
        <v>0</v>
      </c>
      <c r="O28" s="73">
        <v>50</v>
      </c>
      <c r="P28" s="73">
        <v>50</v>
      </c>
      <c r="Q28" s="9">
        <f>P28-O28</f>
        <v>0</v>
      </c>
      <c r="R28" s="72"/>
      <c r="S28" s="261" t="s">
        <v>168</v>
      </c>
      <c r="T28" s="264">
        <f>AVERAGE(T23:T27)</f>
        <v>0.38000000000000045</v>
      </c>
      <c r="U28" s="264">
        <f t="shared" ref="U28:AC28" si="10">AVERAGE(U23:U27)</f>
        <v>0.38000000000000045</v>
      </c>
      <c r="V28" s="264">
        <f t="shared" si="10"/>
        <v>3.5</v>
      </c>
      <c r="W28" s="264">
        <f t="shared" si="10"/>
        <v>3.5000000000000009</v>
      </c>
      <c r="X28" s="264">
        <f t="shared" si="10"/>
        <v>2.96</v>
      </c>
      <c r="Y28" s="264">
        <f t="shared" si="10"/>
        <v>2.96</v>
      </c>
      <c r="Z28" s="264">
        <f t="shared" si="10"/>
        <v>1.1499999999999995</v>
      </c>
      <c r="AA28" s="264">
        <f t="shared" si="10"/>
        <v>1.1499999999999995</v>
      </c>
      <c r="AB28" s="264">
        <f t="shared" si="10"/>
        <v>0.45999999999999908</v>
      </c>
      <c r="AC28" s="264">
        <f t="shared" si="10"/>
        <v>0.45999999999999908</v>
      </c>
    </row>
    <row r="29" spans="1:35" ht="16" x14ac:dyDescent="0.25">
      <c r="A29" s="71"/>
      <c r="B29" s="73">
        <v>4</v>
      </c>
      <c r="C29" s="76">
        <v>0</v>
      </c>
      <c r="D29" s="76">
        <v>0</v>
      </c>
      <c r="E29" s="9">
        <f>D29-C29</f>
        <v>0</v>
      </c>
      <c r="F29" s="76">
        <v>12</v>
      </c>
      <c r="G29" s="76">
        <v>18</v>
      </c>
      <c r="H29" s="9">
        <f>G29-F29</f>
        <v>6</v>
      </c>
      <c r="I29" s="76">
        <v>16.600000000000001</v>
      </c>
      <c r="J29" s="76">
        <v>20.100000000000001</v>
      </c>
      <c r="K29" s="9">
        <f>J29-I29</f>
        <v>3.5</v>
      </c>
      <c r="L29" s="76"/>
      <c r="M29" s="76"/>
      <c r="N29" s="9">
        <f>M29-L29</f>
        <v>0</v>
      </c>
      <c r="O29" s="73">
        <v>13.7</v>
      </c>
      <c r="P29" s="73">
        <v>15.2</v>
      </c>
      <c r="Q29" s="9">
        <f>P29-O29</f>
        <v>1.5</v>
      </c>
      <c r="R29" s="72"/>
      <c r="S29" s="268" t="s">
        <v>169</v>
      </c>
      <c r="T29" s="269">
        <f>_xlfn.STDEV.S(T23:T27)</f>
        <v>0.69426219830839186</v>
      </c>
      <c r="U29" s="269">
        <f t="shared" ref="U29:AC29" si="11">_xlfn.STDEV.S(U23:U27)</f>
        <v>0.69426219830839186</v>
      </c>
      <c r="V29" s="269">
        <f t="shared" si="11"/>
        <v>2.1805962487356529</v>
      </c>
      <c r="W29" s="269">
        <f t="shared" si="11"/>
        <v>2.1805962487356534</v>
      </c>
      <c r="X29" s="269">
        <f t="shared" si="11"/>
        <v>1.8365728953678913</v>
      </c>
      <c r="Y29" s="269">
        <f t="shared" si="11"/>
        <v>1.8365728953678913</v>
      </c>
      <c r="Z29" s="269">
        <f t="shared" si="11"/>
        <v>0.35355339059327251</v>
      </c>
      <c r="AA29" s="269">
        <f t="shared" si="11"/>
        <v>0.35355339059327251</v>
      </c>
      <c r="AB29" s="269">
        <f t="shared" si="11"/>
        <v>0.65038450166036355</v>
      </c>
      <c r="AC29" s="269">
        <f t="shared" si="11"/>
        <v>0.65038450166036377</v>
      </c>
    </row>
    <row r="30" spans="1:35" ht="16" x14ac:dyDescent="0.25">
      <c r="A30" s="71"/>
      <c r="B30" s="73">
        <v>5</v>
      </c>
      <c r="C30" s="73">
        <v>19</v>
      </c>
      <c r="D30" s="73">
        <v>20.6</v>
      </c>
      <c r="E30" s="9">
        <f>D30-C30</f>
        <v>1.6000000000000014</v>
      </c>
      <c r="F30" s="73"/>
      <c r="G30" s="73"/>
      <c r="H30" s="9">
        <f>G30-F30</f>
        <v>0</v>
      </c>
      <c r="I30" s="73"/>
      <c r="J30" s="73"/>
      <c r="K30" s="9">
        <f>J30-I30</f>
        <v>0</v>
      </c>
      <c r="L30" s="73"/>
      <c r="M30" s="73"/>
      <c r="N30" s="9">
        <f>M30-L30</f>
        <v>0</v>
      </c>
      <c r="O30" s="73">
        <v>4</v>
      </c>
      <c r="P30" s="73">
        <v>4</v>
      </c>
      <c r="Q30" s="9">
        <f>P30-O30</f>
        <v>0</v>
      </c>
      <c r="R30" s="72"/>
      <c r="S30" s="268" t="s">
        <v>171</v>
      </c>
      <c r="T30" s="269">
        <f>COUNT(T23:T27)</f>
        <v>5</v>
      </c>
      <c r="U30" s="269">
        <f t="shared" ref="U30:AC30" si="12">COUNT(U23:U27)</f>
        <v>5</v>
      </c>
      <c r="V30" s="269">
        <f t="shared" si="12"/>
        <v>5</v>
      </c>
      <c r="W30" s="269">
        <f t="shared" si="12"/>
        <v>5</v>
      </c>
      <c r="X30" s="269">
        <f t="shared" si="12"/>
        <v>5</v>
      </c>
      <c r="Y30" s="269">
        <f t="shared" si="12"/>
        <v>5</v>
      </c>
      <c r="Z30" s="269">
        <f>COUNT(Z23:Z27)</f>
        <v>2</v>
      </c>
      <c r="AA30" s="269">
        <f t="shared" si="12"/>
        <v>2</v>
      </c>
      <c r="AB30" s="269">
        <f t="shared" si="12"/>
        <v>5</v>
      </c>
      <c r="AC30" s="269">
        <f t="shared" si="12"/>
        <v>5</v>
      </c>
    </row>
    <row r="31" spans="1:35" ht="17" thickBot="1" x14ac:dyDescent="0.3">
      <c r="A31" s="71"/>
      <c r="B31" s="73"/>
      <c r="C31" s="73"/>
      <c r="D31" s="73"/>
      <c r="E31" s="9"/>
      <c r="F31" s="73"/>
      <c r="G31" s="73"/>
      <c r="H31" s="9"/>
      <c r="I31" s="73"/>
      <c r="J31" s="73"/>
      <c r="K31" s="9"/>
      <c r="L31" s="73"/>
      <c r="M31" s="73"/>
      <c r="N31" s="9"/>
      <c r="O31" s="73"/>
      <c r="P31" s="73"/>
      <c r="Q31" s="9"/>
      <c r="R31" s="72"/>
      <c r="S31" s="262" t="s">
        <v>172</v>
      </c>
      <c r="T31" s="227">
        <f>T29/SQRT(T30)</f>
        <v>0.31048349392520075</v>
      </c>
      <c r="U31" s="227">
        <f t="shared" ref="U31:AC31" si="13">U29/SQRT(U30)</f>
        <v>0.31048349392520075</v>
      </c>
      <c r="V31" s="227">
        <f t="shared" si="13"/>
        <v>0.97519228873079189</v>
      </c>
      <c r="W31" s="227">
        <f t="shared" si="13"/>
        <v>0.97519228873079211</v>
      </c>
      <c r="X31" s="227">
        <f t="shared" si="13"/>
        <v>0.82134036793524268</v>
      </c>
      <c r="Y31" s="227">
        <f t="shared" si="13"/>
        <v>0.82134036793524268</v>
      </c>
      <c r="Z31" s="227">
        <f t="shared" si="13"/>
        <v>0.24999999999999908</v>
      </c>
      <c r="AA31" s="227">
        <f t="shared" si="13"/>
        <v>0.24999999999999908</v>
      </c>
      <c r="AB31" s="227">
        <f t="shared" si="13"/>
        <v>0.29086079144497951</v>
      </c>
      <c r="AC31" s="227">
        <f t="shared" si="13"/>
        <v>0.29086079144497962</v>
      </c>
    </row>
    <row r="32" spans="1:35" x14ac:dyDescent="0.2">
      <c r="A32" s="71"/>
      <c r="B32" s="73"/>
      <c r="C32" s="73"/>
      <c r="D32" s="73"/>
      <c r="E32" s="9"/>
      <c r="F32" s="73"/>
      <c r="G32" s="73"/>
      <c r="H32" s="9"/>
      <c r="I32" s="73"/>
      <c r="J32" s="73"/>
      <c r="K32" s="9"/>
      <c r="L32" s="73"/>
      <c r="M32" s="73"/>
      <c r="N32" s="9"/>
      <c r="O32" s="73"/>
      <c r="P32" s="73"/>
      <c r="Q32" s="9"/>
      <c r="R32" s="72"/>
    </row>
    <row r="34" spans="19:35" ht="16" thickBot="1" x14ac:dyDescent="0.25">
      <c r="S34" t="s">
        <v>90</v>
      </c>
    </row>
    <row r="35" spans="19:35" ht="16" thickBot="1" x14ac:dyDescent="0.25">
      <c r="S35" s="93" t="s">
        <v>4</v>
      </c>
      <c r="T35" s="66" t="s">
        <v>5</v>
      </c>
      <c r="U35" s="67" t="s">
        <v>6</v>
      </c>
      <c r="V35" s="66" t="s">
        <v>74</v>
      </c>
      <c r="W35" s="67" t="s">
        <v>21</v>
      </c>
      <c r="X35" s="66" t="s">
        <v>75</v>
      </c>
      <c r="AE35" t="s">
        <v>90</v>
      </c>
    </row>
    <row r="36" spans="19:35" x14ac:dyDescent="0.2">
      <c r="S36" s="64">
        <v>1</v>
      </c>
      <c r="T36" s="128">
        <f t="shared" ref="T36:X40" si="14">T9-T23</f>
        <v>1.8000000000000007</v>
      </c>
      <c r="U36" s="91">
        <f t="shared" si="14"/>
        <v>1.8000000000000007</v>
      </c>
      <c r="V36" s="128">
        <f t="shared" si="14"/>
        <v>4.5999999999999996</v>
      </c>
      <c r="W36" s="91">
        <f t="shared" si="14"/>
        <v>4.5999999999999996</v>
      </c>
      <c r="X36" s="128">
        <f t="shared" si="14"/>
        <v>1.1999999999999993</v>
      </c>
      <c r="AF36" t="s">
        <v>174</v>
      </c>
      <c r="AG36" t="s">
        <v>169</v>
      </c>
      <c r="AH36" t="s">
        <v>171</v>
      </c>
      <c r="AI36" t="s">
        <v>172</v>
      </c>
    </row>
    <row r="37" spans="19:35" x14ac:dyDescent="0.2">
      <c r="S37" s="64">
        <v>2</v>
      </c>
      <c r="T37" s="128">
        <f t="shared" si="14"/>
        <v>2</v>
      </c>
      <c r="U37" s="91">
        <f t="shared" si="14"/>
        <v>2</v>
      </c>
      <c r="V37" s="128">
        <f t="shared" si="14"/>
        <v>2.6999999999999984</v>
      </c>
      <c r="W37" s="91">
        <f t="shared" si="14"/>
        <v>2.6999999999999984</v>
      </c>
      <c r="X37" s="128">
        <f t="shared" si="14"/>
        <v>3.1999999999999993</v>
      </c>
      <c r="AE37" t="s">
        <v>74</v>
      </c>
      <c r="AF37">
        <v>2.34</v>
      </c>
      <c r="AG37">
        <v>1.7586926962946081</v>
      </c>
      <c r="AH37">
        <v>5</v>
      </c>
      <c r="AI37">
        <v>0.78651128408942717</v>
      </c>
    </row>
    <row r="38" spans="19:35" x14ac:dyDescent="0.2">
      <c r="S38" s="64">
        <v>3</v>
      </c>
      <c r="T38" s="128">
        <f t="shared" si="14"/>
        <v>2.0999999999999979</v>
      </c>
      <c r="U38" s="91">
        <f t="shared" si="14"/>
        <v>2.0999999999999979</v>
      </c>
      <c r="V38" s="128">
        <f t="shared" si="14"/>
        <v>3.0999999999999996</v>
      </c>
      <c r="W38" s="91">
        <f t="shared" si="14"/>
        <v>3.0999999999999996</v>
      </c>
      <c r="X38" s="128">
        <f t="shared" si="14"/>
        <v>0.19999999999999751</v>
      </c>
      <c r="AE38" t="s">
        <v>21</v>
      </c>
      <c r="AF38">
        <v>2.34</v>
      </c>
      <c r="AG38">
        <v>1.7586926962946077</v>
      </c>
      <c r="AH38">
        <v>5</v>
      </c>
      <c r="AI38">
        <v>0.78651128408942705</v>
      </c>
    </row>
    <row r="39" spans="19:35" x14ac:dyDescent="0.2">
      <c r="S39" s="64">
        <v>4</v>
      </c>
      <c r="T39" s="128">
        <f t="shared" si="14"/>
        <v>3.7</v>
      </c>
      <c r="U39" s="91">
        <f t="shared" si="14"/>
        <v>3.7</v>
      </c>
      <c r="V39" s="128">
        <f t="shared" si="14"/>
        <v>1.3000000000000007</v>
      </c>
      <c r="W39" s="91">
        <f t="shared" si="14"/>
        <v>1.2999999999999998</v>
      </c>
      <c r="X39" s="128">
        <f t="shared" si="14"/>
        <v>2.0000000000000018</v>
      </c>
      <c r="AE39" t="s">
        <v>5</v>
      </c>
      <c r="AF39">
        <v>1.9599999999999995</v>
      </c>
      <c r="AG39">
        <v>1.2421755109484331</v>
      </c>
      <c r="AH39">
        <v>5</v>
      </c>
      <c r="AI39">
        <v>0.55551777649324618</v>
      </c>
    </row>
    <row r="40" spans="19:35" ht="16" thickBot="1" x14ac:dyDescent="0.25">
      <c r="S40" s="65">
        <v>5</v>
      </c>
      <c r="T40" s="129">
        <f t="shared" si="14"/>
        <v>0.19999999999999929</v>
      </c>
      <c r="U40" s="92">
        <f t="shared" si="14"/>
        <v>0.19999999999999929</v>
      </c>
      <c r="V40" s="129">
        <f t="shared" si="14"/>
        <v>0</v>
      </c>
      <c r="W40" s="92">
        <f t="shared" si="14"/>
        <v>0</v>
      </c>
      <c r="X40" s="129">
        <f t="shared" si="14"/>
        <v>0</v>
      </c>
      <c r="AE40" t="s">
        <v>6</v>
      </c>
      <c r="AF40">
        <v>1.9599999999999995</v>
      </c>
      <c r="AG40">
        <v>1.2421755109484331</v>
      </c>
      <c r="AH40">
        <v>5</v>
      </c>
      <c r="AI40">
        <v>0.55551777649324618</v>
      </c>
    </row>
    <row r="41" spans="19:35" ht="16" x14ac:dyDescent="0.25">
      <c r="S41" s="261" t="s">
        <v>168</v>
      </c>
      <c r="T41" s="264">
        <f>AVERAGE(T36:T40)</f>
        <v>1.9599999999999995</v>
      </c>
      <c r="U41" s="264">
        <f>AVERAGE(U36:U40)</f>
        <v>1.9599999999999995</v>
      </c>
      <c r="V41" s="264">
        <f>AVERAGE(V36:V40)</f>
        <v>2.34</v>
      </c>
      <c r="W41" s="264">
        <f>AVERAGE(W36:W40)</f>
        <v>2.34</v>
      </c>
      <c r="X41" s="264">
        <f>AVERAGE(X36:X40)</f>
        <v>1.3199999999999996</v>
      </c>
      <c r="AE41" t="s">
        <v>75</v>
      </c>
      <c r="AF41">
        <v>1.3199999999999996</v>
      </c>
      <c r="AG41">
        <v>1.3236313686219443</v>
      </c>
      <c r="AH41">
        <v>5</v>
      </c>
      <c r="AI41">
        <v>0.59194594347794993</v>
      </c>
    </row>
    <row r="42" spans="19:35" ht="16" x14ac:dyDescent="0.25">
      <c r="S42" s="268" t="s">
        <v>169</v>
      </c>
      <c r="T42" s="269">
        <f>_xlfn.STDEV.S(T36:T40)</f>
        <v>1.2421755109484331</v>
      </c>
      <c r="U42" s="269">
        <f>_xlfn.STDEV.S(U36:U40)</f>
        <v>1.2421755109484331</v>
      </c>
      <c r="V42" s="269">
        <f>_xlfn.STDEV.S(V36:V40)</f>
        <v>1.7586926962946081</v>
      </c>
      <c r="W42" s="269">
        <f>_xlfn.STDEV.S(W36:W40)</f>
        <v>1.7586926962946077</v>
      </c>
      <c r="X42" s="269">
        <f>_xlfn.STDEV.S(X36:X40)</f>
        <v>1.3236313686219443</v>
      </c>
    </row>
    <row r="43" spans="19:35" ht="16" x14ac:dyDescent="0.25">
      <c r="S43" s="268" t="s">
        <v>171</v>
      </c>
      <c r="T43" s="269">
        <f>COUNT(T36:T40)</f>
        <v>5</v>
      </c>
      <c r="U43" s="269">
        <f>COUNT(U36:U40)</f>
        <v>5</v>
      </c>
      <c r="V43" s="269">
        <f>COUNT(V36:V40)</f>
        <v>5</v>
      </c>
      <c r="W43" s="269">
        <f>COUNT(W36:W40)</f>
        <v>5</v>
      </c>
      <c r="X43" s="269">
        <f>COUNT(X36:X40)</f>
        <v>5</v>
      </c>
    </row>
    <row r="44" spans="19:35" ht="17" thickBot="1" x14ac:dyDescent="0.3">
      <c r="S44" s="262" t="s">
        <v>172</v>
      </c>
      <c r="T44" s="227">
        <f>T42/SQRT(T43)</f>
        <v>0.55551777649324618</v>
      </c>
      <c r="U44" s="227">
        <f>U42/SQRT(U43)</f>
        <v>0.55551777649324618</v>
      </c>
      <c r="V44" s="227">
        <f>V42/SQRT(V43)</f>
        <v>0.78651128408942717</v>
      </c>
      <c r="W44" s="227">
        <f>W42/SQRT(W43)</f>
        <v>0.78651128408942705</v>
      </c>
      <c r="X44" s="227">
        <f>X42/SQRT(X43)</f>
        <v>0.59194594347794993</v>
      </c>
    </row>
    <row r="46" spans="19:35" x14ac:dyDescent="0.2">
      <c r="S46" s="71"/>
      <c r="T46" s="71"/>
      <c r="U46" s="71"/>
      <c r="V46" s="71"/>
      <c r="W46" s="71"/>
    </row>
    <row r="47" spans="19:35" ht="16" x14ac:dyDescent="0.25">
      <c r="S47" s="275" t="s">
        <v>173</v>
      </c>
      <c r="T47" s="307" t="s">
        <v>176</v>
      </c>
      <c r="U47" s="308" t="s">
        <v>169</v>
      </c>
      <c r="V47" s="308" t="s">
        <v>171</v>
      </c>
      <c r="W47" s="308" t="s">
        <v>172</v>
      </c>
    </row>
    <row r="48" spans="19:35" ht="16" x14ac:dyDescent="0.25">
      <c r="S48" s="309" t="s">
        <v>74</v>
      </c>
      <c r="T48" s="310">
        <v>7.3</v>
      </c>
      <c r="U48" s="311">
        <v>2.181</v>
      </c>
      <c r="V48" s="311">
        <v>4</v>
      </c>
      <c r="W48" s="312">
        <v>0.42599999999999999</v>
      </c>
    </row>
    <row r="49" spans="19:26" ht="16" x14ac:dyDescent="0.25">
      <c r="S49" s="309" t="s">
        <v>21</v>
      </c>
      <c r="T49" s="310">
        <v>5.35</v>
      </c>
      <c r="U49" s="311">
        <v>1.837</v>
      </c>
      <c r="V49" s="311">
        <v>4</v>
      </c>
      <c r="W49" s="312">
        <v>0.32300000000000001</v>
      </c>
    </row>
    <row r="50" spans="19:26" ht="16" x14ac:dyDescent="0.25">
      <c r="S50" s="309" t="s">
        <v>75</v>
      </c>
      <c r="T50" s="310">
        <v>4.8499999999999996</v>
      </c>
      <c r="U50" s="311">
        <v>0.65400000000000003</v>
      </c>
      <c r="V50" s="311">
        <v>2</v>
      </c>
      <c r="W50" s="312">
        <v>0.55000000000000004</v>
      </c>
    </row>
    <row r="51" spans="19:26" ht="16" x14ac:dyDescent="0.25">
      <c r="S51" s="309" t="s">
        <v>6</v>
      </c>
      <c r="T51" s="310">
        <v>2.5</v>
      </c>
      <c r="U51" s="311">
        <v>0.65</v>
      </c>
      <c r="V51" s="311">
        <v>6</v>
      </c>
      <c r="W51" s="312">
        <v>0.27700000000000002</v>
      </c>
    </row>
    <row r="52" spans="19:26" ht="16" x14ac:dyDescent="0.25">
      <c r="S52" s="309" t="s">
        <v>5</v>
      </c>
      <c r="T52" s="310">
        <v>2.34</v>
      </c>
      <c r="U52" s="311">
        <v>0.69399999999999995</v>
      </c>
      <c r="V52" s="311">
        <v>5</v>
      </c>
      <c r="W52" s="312">
        <v>0.35699999999999998</v>
      </c>
    </row>
    <row r="53" spans="19:26" x14ac:dyDescent="0.2">
      <c r="S53" s="71"/>
      <c r="T53" s="71"/>
      <c r="U53" s="71"/>
      <c r="V53" s="71"/>
      <c r="W53" s="71"/>
    </row>
    <row r="54" spans="19:26" x14ac:dyDescent="0.2">
      <c r="S54" s="71"/>
      <c r="T54" s="71"/>
      <c r="U54" s="71"/>
      <c r="V54" s="71" t="s">
        <v>90</v>
      </c>
      <c r="W54" s="71"/>
      <c r="X54" s="71"/>
      <c r="Y54" s="71"/>
      <c r="Z54" s="71"/>
    </row>
    <row r="55" spans="19:26" x14ac:dyDescent="0.2">
      <c r="S55" s="71"/>
      <c r="T55" s="71"/>
      <c r="U55" s="71"/>
      <c r="V55" s="71"/>
      <c r="W55" s="71" t="s">
        <v>174</v>
      </c>
      <c r="X55" s="71" t="s">
        <v>169</v>
      </c>
      <c r="Y55" s="71" t="s">
        <v>171</v>
      </c>
      <c r="Z55" s="71" t="s">
        <v>172</v>
      </c>
    </row>
    <row r="56" spans="19:26" x14ac:dyDescent="0.2">
      <c r="S56" s="71"/>
      <c r="T56" s="71"/>
      <c r="U56" s="71"/>
      <c r="V56" s="71" t="s">
        <v>74</v>
      </c>
      <c r="W56" s="71">
        <v>2.34</v>
      </c>
      <c r="X56" s="71">
        <v>1.758692696</v>
      </c>
      <c r="Y56" s="71">
        <v>5</v>
      </c>
      <c r="Z56" s="71">
        <v>0.78651128400000003</v>
      </c>
    </row>
    <row r="57" spans="19:26" x14ac:dyDescent="0.2">
      <c r="S57" s="71"/>
      <c r="T57" s="71"/>
      <c r="U57" s="71"/>
      <c r="V57" s="71" t="s">
        <v>21</v>
      </c>
      <c r="W57" s="71">
        <v>2.34</v>
      </c>
      <c r="X57" s="71">
        <v>1.758692696</v>
      </c>
      <c r="Y57" s="71">
        <v>5</v>
      </c>
      <c r="Z57" s="71">
        <v>0.78651128400000003</v>
      </c>
    </row>
    <row r="58" spans="19:26" x14ac:dyDescent="0.2">
      <c r="S58" s="71"/>
      <c r="T58" s="71"/>
      <c r="U58" s="71"/>
      <c r="V58" s="71" t="s">
        <v>5</v>
      </c>
      <c r="W58" s="71">
        <v>1.96</v>
      </c>
      <c r="X58" s="71">
        <v>1.2421755109999999</v>
      </c>
      <c r="Y58" s="71">
        <v>5</v>
      </c>
      <c r="Z58" s="71">
        <v>0.55551777599999996</v>
      </c>
    </row>
    <row r="59" spans="19:26" x14ac:dyDescent="0.2">
      <c r="S59" s="71"/>
      <c r="T59" s="71"/>
      <c r="U59" s="71"/>
      <c r="V59" s="71" t="s">
        <v>6</v>
      </c>
      <c r="W59" s="71">
        <v>1.96</v>
      </c>
      <c r="X59" s="71">
        <v>1.2421755109999999</v>
      </c>
      <c r="Y59" s="71">
        <v>5</v>
      </c>
      <c r="Z59" s="71">
        <v>0.55551777599999996</v>
      </c>
    </row>
    <row r="60" spans="19:26" x14ac:dyDescent="0.2">
      <c r="S60" s="71"/>
      <c r="T60" s="71"/>
      <c r="U60" s="71"/>
      <c r="V60" s="71" t="s">
        <v>75</v>
      </c>
      <c r="W60" s="71">
        <v>1.32</v>
      </c>
      <c r="X60" s="71">
        <v>1.3236313689999999</v>
      </c>
      <c r="Y60" s="71">
        <v>5</v>
      </c>
      <c r="Z60" s="71">
        <v>0.59194594300000003</v>
      </c>
    </row>
    <row r="61" spans="19:26" x14ac:dyDescent="0.2">
      <c r="S61" s="71"/>
      <c r="T61" s="71"/>
      <c r="U61" s="71"/>
      <c r="V61" s="71"/>
      <c r="W61" s="71"/>
      <c r="X61" s="71"/>
      <c r="Y61" s="71"/>
      <c r="Z61" s="71"/>
    </row>
    <row r="62" spans="19:26" x14ac:dyDescent="0.2">
      <c r="S62" s="71"/>
      <c r="T62" s="71"/>
      <c r="U62" s="71"/>
      <c r="V62" s="71"/>
      <c r="W62" s="71"/>
      <c r="X62" s="71"/>
      <c r="Y62" s="71"/>
      <c r="Z62" s="71"/>
    </row>
    <row r="63" spans="19:26" x14ac:dyDescent="0.2">
      <c r="S63" s="71"/>
      <c r="T63" s="71"/>
      <c r="U63" s="71"/>
      <c r="V63" s="71"/>
      <c r="W63" s="71"/>
      <c r="X63" s="71"/>
      <c r="Y63" s="71"/>
      <c r="Z63" s="71"/>
    </row>
    <row r="65" spans="29:35" x14ac:dyDescent="0.2">
      <c r="AC65" s="71"/>
    </row>
    <row r="73" spans="29:35" x14ac:dyDescent="0.2">
      <c r="AD73" s="71"/>
      <c r="AE73" s="71"/>
      <c r="AF73" s="71"/>
      <c r="AG73" s="71"/>
      <c r="AH73" s="71"/>
      <c r="AI73" s="71"/>
    </row>
  </sheetData>
  <sortState xmlns:xlrd2="http://schemas.microsoft.com/office/spreadsheetml/2017/richdata2" ref="AE37:AI41">
    <sortCondition descending="1" ref="AF37:AF41"/>
  </sortState>
  <mergeCells count="12">
    <mergeCell ref="AB7:AC7"/>
    <mergeCell ref="F7:G7"/>
    <mergeCell ref="L7:M7"/>
    <mergeCell ref="O7:P7"/>
    <mergeCell ref="F24:G24"/>
    <mergeCell ref="L24:M24"/>
    <mergeCell ref="S3:Z3"/>
    <mergeCell ref="S4:Z4"/>
    <mergeCell ref="T7:U7"/>
    <mergeCell ref="V7:W7"/>
    <mergeCell ref="X7:Y7"/>
    <mergeCell ref="Z7:AA7"/>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C28A-277B-DA4D-A8D3-D5F2EDEBD0CD}">
  <dimension ref="B2:N26"/>
  <sheetViews>
    <sheetView workbookViewId="0">
      <selection activeCell="B2" sqref="B2:G26"/>
    </sheetView>
  </sheetViews>
  <sheetFormatPr baseColWidth="10" defaultRowHeight="15" x14ac:dyDescent="0.2"/>
  <sheetData>
    <row r="2" spans="2:14" x14ac:dyDescent="0.2">
      <c r="B2" s="1" t="s">
        <v>9</v>
      </c>
    </row>
    <row r="3" spans="2:14" ht="18" thickBot="1" x14ac:dyDescent="0.25">
      <c r="B3" t="s">
        <v>26</v>
      </c>
    </row>
    <row r="4" spans="2:14" ht="34" thickBot="1" x14ac:dyDescent="0.3">
      <c r="B4" s="44" t="s">
        <v>4</v>
      </c>
      <c r="C4" s="33" t="s">
        <v>5</v>
      </c>
      <c r="D4" s="33" t="s">
        <v>6</v>
      </c>
      <c r="E4" s="33" t="s">
        <v>74</v>
      </c>
      <c r="F4" s="33" t="s">
        <v>21</v>
      </c>
      <c r="G4" s="20" t="s">
        <v>75</v>
      </c>
      <c r="H4" s="28"/>
      <c r="I4" s="2"/>
      <c r="J4" s="107" t="s">
        <v>177</v>
      </c>
      <c r="K4" s="107" t="s">
        <v>169</v>
      </c>
      <c r="L4" s="107" t="s">
        <v>171</v>
      </c>
      <c r="M4" s="107" t="s">
        <v>172</v>
      </c>
    </row>
    <row r="5" spans="2:14" ht="17" x14ac:dyDescent="0.25">
      <c r="B5" s="32">
        <v>1</v>
      </c>
      <c r="C5" s="34">
        <v>21.69</v>
      </c>
      <c r="D5" s="34">
        <v>8.6690000000000005</v>
      </c>
      <c r="E5" s="34">
        <v>12.88</v>
      </c>
      <c r="F5" s="34">
        <v>22.32</v>
      </c>
      <c r="G5" s="35">
        <v>15.26</v>
      </c>
      <c r="H5" s="30"/>
      <c r="I5" s="28" t="s">
        <v>5</v>
      </c>
      <c r="J5" s="282">
        <f ca="1">AVERAGE(J5:N5)</f>
        <v>23.934000000000005</v>
      </c>
      <c r="K5" s="282">
        <f ca="1">_xlfn.STDEV.S(J5:N5)</f>
        <v>1.6909257819313062</v>
      </c>
      <c r="L5" s="282">
        <f ca="1">COUNT(J5:N5)</f>
        <v>5</v>
      </c>
      <c r="M5" s="180">
        <f ca="1">K5/SQRT(L5)</f>
        <v>0.75620499866107715</v>
      </c>
      <c r="N5" s="30"/>
    </row>
    <row r="6" spans="2:14" ht="33" x14ac:dyDescent="0.25">
      <c r="B6" s="18">
        <v>2</v>
      </c>
      <c r="C6" s="30">
        <v>24.42</v>
      </c>
      <c r="D6" s="30">
        <v>13.35</v>
      </c>
      <c r="E6" s="30">
        <v>12.76</v>
      </c>
      <c r="F6" s="30">
        <v>20.69</v>
      </c>
      <c r="G6" s="25">
        <v>13.97</v>
      </c>
      <c r="H6" s="30"/>
      <c r="I6" s="28" t="s">
        <v>21</v>
      </c>
      <c r="J6" s="282">
        <f ca="1">AVERAGE(J6:N6)</f>
        <v>21.505000000000003</v>
      </c>
      <c r="K6" s="282">
        <f ca="1">_xlfn.STDEV.S(J6:N6)</f>
        <v>1.1525840533340717</v>
      </c>
      <c r="L6" s="282">
        <f ca="1">COUNT(J6:N6)</f>
        <v>2</v>
      </c>
      <c r="M6" s="180">
        <f ca="1">K6/SQRT(L6)</f>
        <v>0.81499999999999939</v>
      </c>
      <c r="N6" s="30"/>
    </row>
    <row r="7" spans="2:14" ht="17" x14ac:dyDescent="0.25">
      <c r="B7" s="18">
        <v>3</v>
      </c>
      <c r="C7" s="30">
        <v>26.07</v>
      </c>
      <c r="D7" s="30">
        <v>13.71</v>
      </c>
      <c r="E7" s="30">
        <v>18.760000000000002</v>
      </c>
      <c r="F7" s="30"/>
      <c r="G7" s="25">
        <v>16</v>
      </c>
      <c r="H7" s="30"/>
      <c r="I7" s="28" t="s">
        <v>74</v>
      </c>
      <c r="J7" s="282">
        <f ca="1">AVERAGE(J7:N7)</f>
        <v>16.270000000000003</v>
      </c>
      <c r="K7" s="282">
        <f ca="1">_xlfn.STDEV.S(J7:N7)</f>
        <v>4.0603940695454463</v>
      </c>
      <c r="L7" s="282">
        <f ca="1">COUNT(J7:N7)</f>
        <v>4</v>
      </c>
      <c r="M7" s="180">
        <f ca="1">K7/SQRT(L7)</f>
        <v>2.0301970347727232</v>
      </c>
      <c r="N7" s="30"/>
    </row>
    <row r="8" spans="2:14" ht="33" x14ac:dyDescent="0.25">
      <c r="B8" s="18">
        <v>4</v>
      </c>
      <c r="C8" s="30">
        <v>24.62</v>
      </c>
      <c r="D8" s="30">
        <v>15.3</v>
      </c>
      <c r="E8" s="30">
        <v>20.68</v>
      </c>
      <c r="F8" s="30"/>
      <c r="G8" s="25">
        <v>16.39</v>
      </c>
      <c r="H8" s="30"/>
      <c r="I8" s="28" t="s">
        <v>75</v>
      </c>
      <c r="J8" s="282">
        <f ca="1">AVERAGE(J8:N8)</f>
        <v>15.405000000000001</v>
      </c>
      <c r="K8" s="282">
        <f ca="1">_xlfn.STDEV.S(J8:N8)</f>
        <v>1.0652855642189718</v>
      </c>
      <c r="L8" s="282">
        <f ca="1">COUNT(J8:N8)</f>
        <v>4</v>
      </c>
      <c r="M8" s="180">
        <f ca="1">K8/SQRT(L8)</f>
        <v>0.5326427821094859</v>
      </c>
      <c r="N8" s="30"/>
    </row>
    <row r="9" spans="2:14" ht="34" thickBot="1" x14ac:dyDescent="0.3">
      <c r="B9" s="18">
        <v>5</v>
      </c>
      <c r="C9" s="30">
        <v>22.87</v>
      </c>
      <c r="D9" s="30"/>
      <c r="E9" s="30"/>
      <c r="F9" s="30"/>
      <c r="G9" s="25"/>
      <c r="H9" s="30"/>
      <c r="I9" s="28" t="s">
        <v>6</v>
      </c>
      <c r="J9" s="282">
        <f ca="1">AVERAGE(J9:N9)</f>
        <v>12.757249999999999</v>
      </c>
      <c r="K9" s="282">
        <f ca="1">_xlfn.STDEV.S(J9:N9)</f>
        <v>2.8541461507778543</v>
      </c>
      <c r="L9" s="282">
        <f ca="1">COUNT(J9:N9)</f>
        <v>4</v>
      </c>
      <c r="M9" s="180">
        <f ca="1">K9/SQRT(L9)</f>
        <v>1.4270730753889271</v>
      </c>
      <c r="N9" s="30"/>
    </row>
    <row r="10" spans="2:14" ht="16" x14ac:dyDescent="0.25">
      <c r="B10" s="261" t="s">
        <v>168</v>
      </c>
      <c r="C10" s="264">
        <f>AVERAGE(C5:C9)</f>
        <v>23.934000000000005</v>
      </c>
      <c r="D10" s="264">
        <f>AVERAGE(D5:D9)</f>
        <v>12.757249999999999</v>
      </c>
      <c r="E10" s="264">
        <f>AVERAGE(E5:E9)</f>
        <v>16.270000000000003</v>
      </c>
      <c r="F10" s="264">
        <f>AVERAGE(F5:F9)</f>
        <v>21.505000000000003</v>
      </c>
      <c r="G10" s="264">
        <f>AVERAGE(G5:G9)</f>
        <v>15.405000000000001</v>
      </c>
      <c r="H10" s="30"/>
      <c r="I10" s="30"/>
    </row>
    <row r="11" spans="2:14" ht="16" x14ac:dyDescent="0.25">
      <c r="B11" s="268" t="s">
        <v>169</v>
      </c>
      <c r="C11" s="269">
        <f>_xlfn.STDEV.S(C5:C9)</f>
        <v>1.6909257819313062</v>
      </c>
      <c r="D11" s="269">
        <f>_xlfn.STDEV.S(D5:D9)</f>
        <v>2.8541461507778543</v>
      </c>
      <c r="E11" s="269">
        <f>_xlfn.STDEV.S(E5:E9)</f>
        <v>4.0603940695454463</v>
      </c>
      <c r="F11" s="269">
        <f>_xlfn.STDEV.S(F5:F9)</f>
        <v>1.1525840533340717</v>
      </c>
      <c r="G11" s="269">
        <f>_xlfn.STDEV.S(G5:G9)</f>
        <v>1.0652855642189718</v>
      </c>
      <c r="H11" s="30"/>
      <c r="I11" s="30"/>
    </row>
    <row r="12" spans="2:14" ht="16" x14ac:dyDescent="0.25">
      <c r="B12" s="268" t="s">
        <v>171</v>
      </c>
      <c r="C12" s="269">
        <f>COUNT(C5:C9)</f>
        <v>5</v>
      </c>
      <c r="D12" s="269">
        <f>COUNT(D5:D9)</f>
        <v>4</v>
      </c>
      <c r="E12" s="269">
        <f>COUNT(E5:E9)</f>
        <v>4</v>
      </c>
      <c r="F12" s="269">
        <f>COUNT(F5:F9)</f>
        <v>2</v>
      </c>
      <c r="G12" s="269">
        <f>COUNT(G5:G9)</f>
        <v>4</v>
      </c>
      <c r="H12" s="30"/>
      <c r="I12" s="30"/>
    </row>
    <row r="13" spans="2:14" ht="17" thickBot="1" x14ac:dyDescent="0.3">
      <c r="B13" s="262" t="s">
        <v>172</v>
      </c>
      <c r="C13" s="227">
        <f>C11/SQRT(C12)</f>
        <v>0.75620499866107715</v>
      </c>
      <c r="D13" s="227">
        <f>D11/SQRT(D12)</f>
        <v>1.4270730753889271</v>
      </c>
      <c r="E13" s="227">
        <f>E11/SQRT(E12)</f>
        <v>2.0301970347727232</v>
      </c>
      <c r="F13" s="227">
        <f>F11/SQRT(F12)</f>
        <v>0.81499999999999939</v>
      </c>
      <c r="G13" s="227">
        <f>G11/SQRT(G12)</f>
        <v>0.5326427821094859</v>
      </c>
      <c r="H13" s="30"/>
      <c r="I13" s="30"/>
    </row>
    <row r="14" spans="2:14" x14ac:dyDescent="0.2">
      <c r="H14" s="9"/>
    </row>
    <row r="15" spans="2:14" x14ac:dyDescent="0.2">
      <c r="B15" s="1" t="s">
        <v>24</v>
      </c>
      <c r="H15" s="9"/>
    </row>
    <row r="16" spans="2:14" ht="18" thickBot="1" x14ac:dyDescent="0.25">
      <c r="B16" t="s">
        <v>27</v>
      </c>
      <c r="E16" s="9"/>
      <c r="F16" s="9"/>
      <c r="G16" s="9"/>
      <c r="H16" s="9"/>
    </row>
    <row r="17" spans="2:14" ht="34" thickBot="1" x14ac:dyDescent="0.3">
      <c r="B17" s="44" t="s">
        <v>4</v>
      </c>
      <c r="C17" s="33" t="s">
        <v>5</v>
      </c>
      <c r="D17" s="33" t="s">
        <v>6</v>
      </c>
      <c r="E17" s="33" t="s">
        <v>74</v>
      </c>
      <c r="F17" s="33" t="s">
        <v>21</v>
      </c>
      <c r="G17" s="20" t="s">
        <v>75</v>
      </c>
      <c r="H17" s="9"/>
      <c r="I17" s="2"/>
      <c r="J17" s="107" t="s">
        <v>178</v>
      </c>
      <c r="K17" s="107" t="s">
        <v>169</v>
      </c>
      <c r="L17" s="107" t="s">
        <v>171</v>
      </c>
      <c r="M17" s="107" t="s">
        <v>172</v>
      </c>
    </row>
    <row r="18" spans="2:14" ht="33" x14ac:dyDescent="0.25">
      <c r="B18" s="32">
        <v>1</v>
      </c>
      <c r="C18" s="36">
        <v>0.98429999999999995</v>
      </c>
      <c r="D18" s="36">
        <v>0.41849999999999998</v>
      </c>
      <c r="E18" s="36">
        <v>0.56210000000000004</v>
      </c>
      <c r="F18" s="36">
        <v>0.84340000000000004</v>
      </c>
      <c r="G18" s="37">
        <v>0.79049999999999998</v>
      </c>
      <c r="H18" s="28"/>
      <c r="I18" s="28" t="s">
        <v>21</v>
      </c>
      <c r="J18" s="266">
        <f ca="1">AVERAGE(J18:N18)</f>
        <v>0.80425000000000002</v>
      </c>
      <c r="K18" s="266">
        <f ca="1">_xlfn.STDEV.S(J18:N18)</f>
        <v>5.53664609669067E-2</v>
      </c>
      <c r="L18" s="266">
        <f ca="1">COUNT(J18:N18)</f>
        <v>2</v>
      </c>
      <c r="M18" s="161">
        <f ca="1">K18/SQRT(L18)</f>
        <v>3.9150000000000018E-2</v>
      </c>
      <c r="N18" s="31"/>
    </row>
    <row r="19" spans="2:14" ht="33" x14ac:dyDescent="0.25">
      <c r="B19" s="18">
        <v>2</v>
      </c>
      <c r="C19" s="31">
        <v>0.61890000000000001</v>
      </c>
      <c r="D19" s="31">
        <v>0.37030000000000002</v>
      </c>
      <c r="E19" s="31">
        <v>0.56069999999999998</v>
      </c>
      <c r="F19" s="31">
        <v>0.7651</v>
      </c>
      <c r="G19" s="40">
        <v>0.77070000000000005</v>
      </c>
      <c r="H19" s="31"/>
      <c r="I19" s="28" t="s">
        <v>75</v>
      </c>
      <c r="J19" s="266">
        <f ca="1">AVERAGE(J19:N19)</f>
        <v>0.76279999999999992</v>
      </c>
      <c r="K19" s="266">
        <f ca="1">_xlfn.STDEV.S(J19:N19)</f>
        <v>2.3662206152427961E-2</v>
      </c>
      <c r="L19" s="266">
        <f ca="1">COUNT(J19:N19)</f>
        <v>4</v>
      </c>
      <c r="M19" s="161">
        <f ca="1">K19/SQRT(L19)</f>
        <v>1.183110307621398E-2</v>
      </c>
      <c r="N19" s="31"/>
    </row>
    <row r="20" spans="2:14" ht="17" x14ac:dyDescent="0.25">
      <c r="B20" s="18">
        <v>3</v>
      </c>
      <c r="C20" s="31">
        <v>0.62</v>
      </c>
      <c r="D20" s="31">
        <v>0.3745</v>
      </c>
      <c r="E20" s="31">
        <v>0.5534</v>
      </c>
      <c r="F20" s="31"/>
      <c r="G20" s="40">
        <v>0.75539999999999996</v>
      </c>
      <c r="H20" s="31"/>
      <c r="I20" s="28" t="s">
        <v>5</v>
      </c>
      <c r="J20" s="266">
        <f ca="1">AVERAGE(J20:N20)</f>
        <v>0.69797999999999993</v>
      </c>
      <c r="K20" s="266">
        <f ca="1">_xlfn.STDEV.S(J20:N20)</f>
        <v>0.16135518894662196</v>
      </c>
      <c r="L20" s="266">
        <f ca="1">COUNT(J20:N20)</f>
        <v>5</v>
      </c>
      <c r="M20" s="161">
        <f ca="1">K20/SQRT(L20)</f>
        <v>7.2160234201393877E-2</v>
      </c>
      <c r="N20" s="31"/>
    </row>
    <row r="21" spans="2:14" ht="17" x14ac:dyDescent="0.25">
      <c r="B21" s="18">
        <v>4</v>
      </c>
      <c r="C21" s="31">
        <v>0.60619999999999996</v>
      </c>
      <c r="D21" s="31">
        <v>0.36570000000000003</v>
      </c>
      <c r="E21" s="31">
        <v>0.51580000000000004</v>
      </c>
      <c r="F21" s="31"/>
      <c r="G21" s="40">
        <v>0.73460000000000003</v>
      </c>
      <c r="H21" s="31"/>
      <c r="I21" s="28" t="s">
        <v>74</v>
      </c>
      <c r="J21" s="266">
        <f ca="1">AVERAGE(J21:N21)</f>
        <v>0.54800000000000004</v>
      </c>
      <c r="K21" s="266">
        <f ca="1">_xlfn.STDEV.S(J21:N21)</f>
        <v>2.1802905005220429E-2</v>
      </c>
      <c r="L21" s="266">
        <f ca="1">COUNT(J21:N21)</f>
        <v>4</v>
      </c>
      <c r="M21" s="161">
        <f ca="1">K21/SQRT(L21)</f>
        <v>1.0901452502610215E-2</v>
      </c>
      <c r="N21" s="31"/>
    </row>
    <row r="22" spans="2:14" ht="34" thickBot="1" x14ac:dyDescent="0.3">
      <c r="B22" s="18">
        <v>5</v>
      </c>
      <c r="C22" s="31">
        <v>0.66049999999999998</v>
      </c>
      <c r="D22" s="31"/>
      <c r="E22" s="31"/>
      <c r="F22" s="31"/>
      <c r="G22" s="40"/>
      <c r="H22" s="31"/>
      <c r="I22" s="28" t="s">
        <v>6</v>
      </c>
      <c r="J22" s="266">
        <f ca="1">AVERAGE(J22:N22)</f>
        <v>0.38224999999999998</v>
      </c>
      <c r="K22" s="266">
        <f ca="1">_xlfn.STDEV.S(J22:N22)</f>
        <v>2.4432423812084887E-2</v>
      </c>
      <c r="L22" s="266">
        <f ca="1">COUNT(J22:N22)</f>
        <v>4</v>
      </c>
      <c r="M22" s="161">
        <f ca="1">K22/SQRT(L22)</f>
        <v>1.2216211906042444E-2</v>
      </c>
      <c r="N22" s="31"/>
    </row>
    <row r="23" spans="2:14" ht="16" x14ac:dyDescent="0.25">
      <c r="B23" s="261" t="s">
        <v>168</v>
      </c>
      <c r="C23" s="264">
        <f>AVERAGE(C18:C22)</f>
        <v>0.69797999999999993</v>
      </c>
      <c r="D23" s="264">
        <f>AVERAGE(D18:D22)</f>
        <v>0.38224999999999998</v>
      </c>
      <c r="E23" s="264">
        <f>AVERAGE(E18:E22)</f>
        <v>0.54800000000000004</v>
      </c>
      <c r="F23" s="264">
        <f>AVERAGE(F18:F22)</f>
        <v>0.80425000000000002</v>
      </c>
      <c r="G23" s="264">
        <f>AVERAGE(G18:G22)</f>
        <v>0.76279999999999992</v>
      </c>
      <c r="H23" s="31"/>
      <c r="I23" s="31"/>
    </row>
    <row r="24" spans="2:14" ht="16" x14ac:dyDescent="0.25">
      <c r="B24" s="268" t="s">
        <v>169</v>
      </c>
      <c r="C24" s="269">
        <f>_xlfn.STDEV.S(C18:C22)</f>
        <v>0.16135518894662196</v>
      </c>
      <c r="D24" s="269">
        <f>_xlfn.STDEV.S(D18:D22)</f>
        <v>2.4432423812084887E-2</v>
      </c>
      <c r="E24" s="269">
        <f>_xlfn.STDEV.S(E18:E22)</f>
        <v>2.1802905005220429E-2</v>
      </c>
      <c r="F24" s="269">
        <f>_xlfn.STDEV.S(F18:F22)</f>
        <v>5.53664609669067E-2</v>
      </c>
      <c r="G24" s="269">
        <f>_xlfn.STDEV.S(G18:G22)</f>
        <v>2.3662206152427961E-2</v>
      </c>
      <c r="H24" s="31"/>
      <c r="I24" s="31"/>
    </row>
    <row r="25" spans="2:14" ht="16" x14ac:dyDescent="0.25">
      <c r="B25" s="268" t="s">
        <v>171</v>
      </c>
      <c r="C25" s="269">
        <f>COUNT(C18:C22)</f>
        <v>5</v>
      </c>
      <c r="D25" s="269">
        <f>COUNT(D18:D22)</f>
        <v>4</v>
      </c>
      <c r="E25" s="269">
        <f>COUNT(E18:E22)</f>
        <v>4</v>
      </c>
      <c r="F25" s="269">
        <f>COUNT(F18:F22)</f>
        <v>2</v>
      </c>
      <c r="G25" s="269">
        <f>COUNT(G18:G22)</f>
        <v>4</v>
      </c>
      <c r="H25" s="31"/>
      <c r="I25" s="31"/>
      <c r="J25" s="31"/>
    </row>
    <row r="26" spans="2:14" ht="17" thickBot="1" x14ac:dyDescent="0.3">
      <c r="B26" s="262" t="s">
        <v>172</v>
      </c>
      <c r="C26" s="227">
        <f>C24/SQRT(C25)</f>
        <v>7.2160234201393877E-2</v>
      </c>
      <c r="D26" s="227">
        <f>D24/SQRT(D25)</f>
        <v>1.2216211906042444E-2</v>
      </c>
      <c r="E26" s="227">
        <f>E24/SQRT(E25)</f>
        <v>1.0901452502610215E-2</v>
      </c>
      <c r="F26" s="227">
        <f>F24/SQRT(F25)</f>
        <v>3.9150000000000018E-2</v>
      </c>
      <c r="G26" s="227">
        <f>G24/SQRT(G25)</f>
        <v>1.183110307621398E-2</v>
      </c>
      <c r="H26" s="31"/>
      <c r="I26" s="31"/>
      <c r="J26" s="31"/>
    </row>
  </sheetData>
  <sortState xmlns:xlrd2="http://schemas.microsoft.com/office/spreadsheetml/2017/richdata2" ref="I18:M22">
    <sortCondition descending="1" ref="J18:J22"/>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73793-EE89-B642-9931-860770F630F3}">
  <dimension ref="A2:X30"/>
  <sheetViews>
    <sheetView workbookViewId="0">
      <selection activeCell="N4" sqref="N4:X22"/>
    </sheetView>
  </sheetViews>
  <sheetFormatPr baseColWidth="10" defaultRowHeight="15" x14ac:dyDescent="0.2"/>
  <cols>
    <col min="15" max="24" width="11.6640625" customWidth="1"/>
  </cols>
  <sheetData>
    <row r="2" spans="1:24" ht="17" x14ac:dyDescent="0.2">
      <c r="A2" s="1" t="s">
        <v>12</v>
      </c>
      <c r="M2" t="s">
        <v>29</v>
      </c>
    </row>
    <row r="3" spans="1:24" ht="280" customHeight="1" x14ac:dyDescent="0.2">
      <c r="M3" s="328" t="s">
        <v>95</v>
      </c>
      <c r="N3" s="328"/>
      <c r="O3" s="328"/>
      <c r="P3" s="328"/>
      <c r="Q3" s="328"/>
      <c r="R3" s="328"/>
      <c r="S3" s="328"/>
      <c r="T3" s="328"/>
      <c r="U3" s="328"/>
    </row>
    <row r="4" spans="1:24" ht="16" thickBot="1" x14ac:dyDescent="0.25">
      <c r="B4" t="s">
        <v>13</v>
      </c>
      <c r="N4" t="s">
        <v>13</v>
      </c>
    </row>
    <row r="5" spans="1:24" ht="17" customHeight="1" thickBot="1" x14ac:dyDescent="0.3">
      <c r="B5" s="12" t="s">
        <v>4</v>
      </c>
      <c r="C5" s="13" t="s">
        <v>5</v>
      </c>
      <c r="D5" s="14"/>
      <c r="E5" s="324" t="s">
        <v>6</v>
      </c>
      <c r="F5" s="325"/>
      <c r="G5" s="15" t="s">
        <v>77</v>
      </c>
      <c r="H5" s="14"/>
      <c r="I5" s="324" t="s">
        <v>21</v>
      </c>
      <c r="J5" s="325"/>
      <c r="K5" s="324" t="s">
        <v>75</v>
      </c>
      <c r="L5" s="325"/>
      <c r="N5" s="138" t="s">
        <v>4</v>
      </c>
      <c r="O5" s="139" t="s">
        <v>5</v>
      </c>
      <c r="P5" s="140"/>
      <c r="Q5" s="141" t="s">
        <v>6</v>
      </c>
      <c r="R5" s="142"/>
      <c r="S5" s="143" t="s">
        <v>77</v>
      </c>
      <c r="T5" s="144"/>
      <c r="U5" s="141" t="s">
        <v>21</v>
      </c>
      <c r="V5" s="142"/>
      <c r="W5" s="143" t="s">
        <v>75</v>
      </c>
      <c r="X5" s="145"/>
    </row>
    <row r="6" spans="1:24" ht="34" thickBot="1" x14ac:dyDescent="0.3">
      <c r="B6" s="41"/>
      <c r="C6" s="42" t="s">
        <v>30</v>
      </c>
      <c r="D6" s="43" t="s">
        <v>31</v>
      </c>
      <c r="E6" s="42" t="s">
        <v>30</v>
      </c>
      <c r="F6" s="43" t="s">
        <v>31</v>
      </c>
      <c r="G6" s="42" t="s">
        <v>30</v>
      </c>
      <c r="H6" s="43" t="s">
        <v>31</v>
      </c>
      <c r="I6" s="42" t="s">
        <v>30</v>
      </c>
      <c r="J6" s="43" t="s">
        <v>31</v>
      </c>
      <c r="K6" s="42" t="s">
        <v>30</v>
      </c>
      <c r="L6" s="43" t="s">
        <v>31</v>
      </c>
      <c r="M6" s="28"/>
      <c r="N6" s="146"/>
      <c r="O6" s="139" t="s">
        <v>86</v>
      </c>
      <c r="P6" s="140" t="s">
        <v>94</v>
      </c>
      <c r="Q6" s="147" t="s">
        <v>86</v>
      </c>
      <c r="R6" s="147" t="s">
        <v>94</v>
      </c>
      <c r="S6" s="139" t="s">
        <v>86</v>
      </c>
      <c r="T6" s="140" t="s">
        <v>94</v>
      </c>
      <c r="U6" s="147" t="s">
        <v>86</v>
      </c>
      <c r="V6" s="147" t="s">
        <v>94</v>
      </c>
      <c r="W6" s="139" t="s">
        <v>86</v>
      </c>
      <c r="X6" s="140" t="s">
        <v>94</v>
      </c>
    </row>
    <row r="7" spans="1:24" ht="16" x14ac:dyDescent="0.25">
      <c r="B7" s="16">
        <v>1</v>
      </c>
      <c r="C7" s="55">
        <v>0</v>
      </c>
      <c r="D7" s="39">
        <v>19.3</v>
      </c>
      <c r="E7" s="38">
        <v>10.199999999999999</v>
      </c>
      <c r="F7" s="38">
        <v>25.5</v>
      </c>
      <c r="G7" s="55">
        <v>1.4</v>
      </c>
      <c r="H7" s="39">
        <v>17.7</v>
      </c>
      <c r="I7" s="38">
        <v>28.8</v>
      </c>
      <c r="J7" s="38">
        <v>35.299999999999997</v>
      </c>
      <c r="K7" s="55">
        <v>27</v>
      </c>
      <c r="L7" s="39">
        <v>40</v>
      </c>
      <c r="M7" s="9"/>
      <c r="N7" s="148">
        <v>1</v>
      </c>
      <c r="O7" s="149">
        <f>D7-C7</f>
        <v>19.3</v>
      </c>
      <c r="P7" s="150">
        <f xml:space="preserve"> O7*0.02/0.05</f>
        <v>7.72</v>
      </c>
      <c r="Q7" s="149">
        <f>F7-E7</f>
        <v>15.3</v>
      </c>
      <c r="R7" s="150">
        <f t="shared" ref="R7:R18" si="0" xml:space="preserve"> Q7*0.02/0.05</f>
        <v>6.1199999999999992</v>
      </c>
      <c r="S7" s="149">
        <f>H7-G7</f>
        <v>16.3</v>
      </c>
      <c r="T7" s="150">
        <f t="shared" ref="T7:T18" si="1" xml:space="preserve"> S7*0.02/0.05</f>
        <v>6.52</v>
      </c>
      <c r="U7" s="149">
        <f>J7-I7</f>
        <v>6.4999999999999964</v>
      </c>
      <c r="V7" s="150">
        <f t="shared" ref="V7:V18" si="2" xml:space="preserve"> U7*0.02/0.05</f>
        <v>2.5999999999999983</v>
      </c>
      <c r="W7" s="149">
        <f>L7-K7</f>
        <v>13</v>
      </c>
      <c r="X7" s="150">
        <f t="shared" ref="X7:X18" si="3" xml:space="preserve"> W7*0.02/0.05</f>
        <v>5.2</v>
      </c>
    </row>
    <row r="8" spans="1:24" ht="16" x14ac:dyDescent="0.25">
      <c r="B8" s="3">
        <v>2</v>
      </c>
      <c r="C8" s="56">
        <v>19.399999999999999</v>
      </c>
      <c r="D8" s="10">
        <v>38.799999999999997</v>
      </c>
      <c r="E8" s="9">
        <v>32.200000000000003</v>
      </c>
      <c r="F8" s="9">
        <v>47.5</v>
      </c>
      <c r="G8" s="56">
        <v>17.7</v>
      </c>
      <c r="H8" s="10">
        <v>33.5</v>
      </c>
      <c r="I8" s="9">
        <v>35.299999999999997</v>
      </c>
      <c r="J8" s="9">
        <v>41.9</v>
      </c>
      <c r="K8" s="56">
        <v>14.4</v>
      </c>
      <c r="L8" s="10">
        <v>27</v>
      </c>
      <c r="M8" s="9"/>
      <c r="N8" s="148">
        <v>2</v>
      </c>
      <c r="O8" s="149">
        <f t="shared" ref="O8:O18" si="4">D8-C8</f>
        <v>19.399999999999999</v>
      </c>
      <c r="P8" s="150">
        <f t="shared" ref="P8:P18" si="5" xml:space="preserve"> O8*0.02/0.05</f>
        <v>7.7599999999999989</v>
      </c>
      <c r="Q8" s="149">
        <f t="shared" ref="Q8:Q18" si="6">F8-E8</f>
        <v>15.299999999999997</v>
      </c>
      <c r="R8" s="150">
        <f t="shared" si="0"/>
        <v>6.1199999999999983</v>
      </c>
      <c r="S8" s="149">
        <f t="shared" ref="S8:S18" si="7">H8-G8</f>
        <v>15.8</v>
      </c>
      <c r="T8" s="150">
        <f t="shared" si="1"/>
        <v>6.3199999999999994</v>
      </c>
      <c r="U8" s="149">
        <f t="shared" ref="U8:U18" si="8">J8-I8</f>
        <v>6.6000000000000014</v>
      </c>
      <c r="V8" s="150">
        <f t="shared" si="2"/>
        <v>2.6400000000000006</v>
      </c>
      <c r="W8" s="149">
        <f t="shared" ref="W8:W18" si="9">L8-K8</f>
        <v>12.6</v>
      </c>
      <c r="X8" s="150">
        <f t="shared" si="3"/>
        <v>5.04</v>
      </c>
    </row>
    <row r="9" spans="1:24" ht="16" x14ac:dyDescent="0.25">
      <c r="B9" s="3">
        <v>3</v>
      </c>
      <c r="C9" s="56">
        <v>7</v>
      </c>
      <c r="D9" s="10">
        <v>26.8</v>
      </c>
      <c r="E9" s="9">
        <v>34.299999999999997</v>
      </c>
      <c r="F9" s="9">
        <v>46.9</v>
      </c>
      <c r="G9" s="56">
        <v>18.600000000000001</v>
      </c>
      <c r="H9" s="10">
        <v>35.700000000000003</v>
      </c>
      <c r="I9" s="9">
        <v>2</v>
      </c>
      <c r="J9" s="9">
        <v>9</v>
      </c>
      <c r="K9" s="56">
        <v>34.5</v>
      </c>
      <c r="L9" s="10">
        <v>45</v>
      </c>
      <c r="M9" s="9"/>
      <c r="N9" s="148">
        <v>3</v>
      </c>
      <c r="O9" s="149">
        <f t="shared" si="4"/>
        <v>19.8</v>
      </c>
      <c r="P9" s="150">
        <f t="shared" si="5"/>
        <v>7.92</v>
      </c>
      <c r="Q9" s="149">
        <f t="shared" si="6"/>
        <v>12.600000000000001</v>
      </c>
      <c r="R9" s="150">
        <f t="shared" si="0"/>
        <v>5.0400000000000009</v>
      </c>
      <c r="S9" s="149">
        <f t="shared" si="7"/>
        <v>17.100000000000001</v>
      </c>
      <c r="T9" s="150">
        <f t="shared" si="1"/>
        <v>6.84</v>
      </c>
      <c r="U9" s="149">
        <f t="shared" si="8"/>
        <v>7</v>
      </c>
      <c r="V9" s="150">
        <f t="shared" si="2"/>
        <v>2.8000000000000003</v>
      </c>
      <c r="W9" s="149">
        <f t="shared" si="9"/>
        <v>10.5</v>
      </c>
      <c r="X9" s="150">
        <f t="shared" si="3"/>
        <v>4.1999999999999993</v>
      </c>
    </row>
    <row r="10" spans="1:24" ht="16" x14ac:dyDescent="0.25">
      <c r="B10" s="3">
        <v>4</v>
      </c>
      <c r="C10" s="56">
        <v>3.4</v>
      </c>
      <c r="D10" s="10">
        <v>23.2</v>
      </c>
      <c r="E10" s="9">
        <v>16.899999999999999</v>
      </c>
      <c r="F10" s="9">
        <v>34.299999999999997</v>
      </c>
      <c r="G10" s="56">
        <v>13.6</v>
      </c>
      <c r="H10" s="10">
        <v>31.9</v>
      </c>
      <c r="I10" s="9">
        <v>9</v>
      </c>
      <c r="J10" s="9">
        <v>15.9</v>
      </c>
      <c r="K10" s="56">
        <v>34.5</v>
      </c>
      <c r="L10" s="10">
        <v>46.3</v>
      </c>
      <c r="M10" s="9"/>
      <c r="N10" s="148">
        <v>4</v>
      </c>
      <c r="O10" s="149">
        <f t="shared" si="4"/>
        <v>19.8</v>
      </c>
      <c r="P10" s="150">
        <f t="shared" si="5"/>
        <v>7.92</v>
      </c>
      <c r="Q10" s="149">
        <f t="shared" si="6"/>
        <v>17.399999999999999</v>
      </c>
      <c r="R10" s="150">
        <f t="shared" si="0"/>
        <v>6.9599999999999991</v>
      </c>
      <c r="S10" s="149">
        <f t="shared" si="7"/>
        <v>18.299999999999997</v>
      </c>
      <c r="T10" s="150">
        <f t="shared" si="1"/>
        <v>7.3199999999999985</v>
      </c>
      <c r="U10" s="149">
        <f t="shared" si="8"/>
        <v>6.9</v>
      </c>
      <c r="V10" s="150">
        <f t="shared" si="2"/>
        <v>2.7600000000000002</v>
      </c>
      <c r="W10" s="149">
        <f t="shared" si="9"/>
        <v>11.799999999999997</v>
      </c>
      <c r="X10" s="150">
        <f t="shared" si="3"/>
        <v>4.7199999999999989</v>
      </c>
    </row>
    <row r="11" spans="1:24" ht="16" x14ac:dyDescent="0.25">
      <c r="B11" s="3">
        <v>5</v>
      </c>
      <c r="C11" s="56">
        <v>18.8</v>
      </c>
      <c r="D11" s="10">
        <v>38.700000000000003</v>
      </c>
      <c r="E11" s="9">
        <v>0</v>
      </c>
      <c r="F11" s="9">
        <v>13.9</v>
      </c>
      <c r="G11" s="56">
        <v>1.9</v>
      </c>
      <c r="H11" s="10">
        <v>19</v>
      </c>
      <c r="I11" s="9"/>
      <c r="J11" s="9"/>
      <c r="K11" s="56">
        <v>36.4</v>
      </c>
      <c r="L11" s="10">
        <v>50</v>
      </c>
      <c r="N11" s="148">
        <v>5</v>
      </c>
      <c r="O11" s="149">
        <f t="shared" si="4"/>
        <v>19.900000000000002</v>
      </c>
      <c r="P11" s="150">
        <f t="shared" si="5"/>
        <v>7.9600000000000009</v>
      </c>
      <c r="Q11" s="149">
        <f t="shared" si="6"/>
        <v>13.9</v>
      </c>
      <c r="R11" s="150">
        <f t="shared" si="0"/>
        <v>5.5600000000000005</v>
      </c>
      <c r="S11" s="149">
        <f t="shared" si="7"/>
        <v>17.100000000000001</v>
      </c>
      <c r="T11" s="150">
        <f t="shared" si="1"/>
        <v>6.84</v>
      </c>
      <c r="U11" s="149">
        <f t="shared" si="8"/>
        <v>0</v>
      </c>
      <c r="V11" s="150">
        <f t="shared" si="2"/>
        <v>0</v>
      </c>
      <c r="W11" s="149">
        <f t="shared" si="9"/>
        <v>13.600000000000001</v>
      </c>
      <c r="X11" s="150">
        <f t="shared" si="3"/>
        <v>5.44</v>
      </c>
    </row>
    <row r="12" spans="1:24" ht="16" x14ac:dyDescent="0.25">
      <c r="B12" s="3">
        <v>6</v>
      </c>
      <c r="C12" s="56">
        <v>17.3</v>
      </c>
      <c r="D12" s="10">
        <v>36.200000000000003</v>
      </c>
      <c r="E12" s="9">
        <v>13.9</v>
      </c>
      <c r="F12" s="9">
        <v>27.5</v>
      </c>
      <c r="G12" s="56">
        <v>19</v>
      </c>
      <c r="H12" s="10">
        <v>36.299999999999997</v>
      </c>
      <c r="I12" s="9"/>
      <c r="J12" s="9"/>
      <c r="K12" s="56">
        <v>37</v>
      </c>
      <c r="L12" s="10">
        <v>50</v>
      </c>
      <c r="N12" s="148">
        <v>6</v>
      </c>
      <c r="O12" s="149">
        <f t="shared" si="4"/>
        <v>18.900000000000002</v>
      </c>
      <c r="P12" s="150">
        <f t="shared" si="5"/>
        <v>7.5600000000000005</v>
      </c>
      <c r="Q12" s="149">
        <f t="shared" si="6"/>
        <v>13.6</v>
      </c>
      <c r="R12" s="150">
        <f t="shared" si="0"/>
        <v>5.44</v>
      </c>
      <c r="S12" s="149">
        <f t="shared" si="7"/>
        <v>17.299999999999997</v>
      </c>
      <c r="T12" s="150">
        <f t="shared" si="1"/>
        <v>6.919999999999999</v>
      </c>
      <c r="U12" s="149">
        <f t="shared" si="8"/>
        <v>0</v>
      </c>
      <c r="V12" s="150">
        <f t="shared" si="2"/>
        <v>0</v>
      </c>
      <c r="W12" s="149">
        <f t="shared" si="9"/>
        <v>13</v>
      </c>
      <c r="X12" s="150">
        <f t="shared" si="3"/>
        <v>5.2</v>
      </c>
    </row>
    <row r="13" spans="1:24" ht="16" x14ac:dyDescent="0.25">
      <c r="B13" s="3">
        <v>7</v>
      </c>
      <c r="C13" s="56">
        <v>6.6</v>
      </c>
      <c r="D13" s="10">
        <v>24</v>
      </c>
      <c r="E13" s="9">
        <v>0</v>
      </c>
      <c r="F13" s="9">
        <v>14.5</v>
      </c>
      <c r="G13" s="56"/>
      <c r="H13" s="10"/>
      <c r="I13" s="9"/>
      <c r="J13" s="9"/>
      <c r="K13" s="56">
        <v>12.2</v>
      </c>
      <c r="L13" s="10">
        <v>23.2</v>
      </c>
      <c r="N13" s="148">
        <v>7</v>
      </c>
      <c r="O13" s="149">
        <f t="shared" si="4"/>
        <v>17.399999999999999</v>
      </c>
      <c r="P13" s="150">
        <f t="shared" si="5"/>
        <v>6.9599999999999991</v>
      </c>
      <c r="Q13" s="149">
        <f t="shared" si="6"/>
        <v>14.5</v>
      </c>
      <c r="R13" s="150">
        <f t="shared" si="0"/>
        <v>5.7999999999999989</v>
      </c>
      <c r="S13" s="149">
        <f t="shared" si="7"/>
        <v>0</v>
      </c>
      <c r="T13" s="150">
        <f t="shared" si="1"/>
        <v>0</v>
      </c>
      <c r="U13" s="149">
        <f t="shared" si="8"/>
        <v>0</v>
      </c>
      <c r="V13" s="150">
        <f t="shared" si="2"/>
        <v>0</v>
      </c>
      <c r="W13" s="149">
        <f t="shared" si="9"/>
        <v>11</v>
      </c>
      <c r="X13" s="150">
        <f t="shared" si="3"/>
        <v>4.3999999999999995</v>
      </c>
    </row>
    <row r="14" spans="1:24" ht="16" x14ac:dyDescent="0.25">
      <c r="B14" s="3">
        <v>8</v>
      </c>
      <c r="C14" s="56">
        <v>24</v>
      </c>
      <c r="D14" s="10">
        <v>43.5</v>
      </c>
      <c r="E14" s="9">
        <v>14.5</v>
      </c>
      <c r="F14" s="9">
        <v>28.7</v>
      </c>
      <c r="G14" s="56"/>
      <c r="H14" s="10"/>
      <c r="I14" s="9"/>
      <c r="J14" s="9"/>
      <c r="K14" s="56">
        <v>0</v>
      </c>
      <c r="L14" s="10">
        <v>12.2</v>
      </c>
      <c r="N14" s="148">
        <v>8</v>
      </c>
      <c r="O14" s="149">
        <f t="shared" si="4"/>
        <v>19.5</v>
      </c>
      <c r="P14" s="150">
        <f t="shared" si="5"/>
        <v>7.8</v>
      </c>
      <c r="Q14" s="149">
        <f t="shared" si="6"/>
        <v>14.2</v>
      </c>
      <c r="R14" s="150">
        <f t="shared" si="0"/>
        <v>5.6799999999999988</v>
      </c>
      <c r="S14" s="149">
        <f t="shared" si="7"/>
        <v>0</v>
      </c>
      <c r="T14" s="150">
        <f t="shared" si="1"/>
        <v>0</v>
      </c>
      <c r="U14" s="149">
        <f t="shared" si="8"/>
        <v>0</v>
      </c>
      <c r="V14" s="150">
        <f t="shared" si="2"/>
        <v>0</v>
      </c>
      <c r="W14" s="149">
        <f t="shared" si="9"/>
        <v>12.2</v>
      </c>
      <c r="X14" s="150">
        <f t="shared" si="3"/>
        <v>4.88</v>
      </c>
    </row>
    <row r="15" spans="1:24" ht="16" x14ac:dyDescent="0.25">
      <c r="B15" s="3">
        <v>9</v>
      </c>
      <c r="C15" s="56">
        <v>25.1</v>
      </c>
      <c r="D15" s="10">
        <v>44.9</v>
      </c>
      <c r="E15" s="9">
        <v>26.6</v>
      </c>
      <c r="F15" s="9">
        <v>41.4</v>
      </c>
      <c r="G15" s="56"/>
      <c r="H15" s="10"/>
      <c r="I15" s="9"/>
      <c r="J15" s="9"/>
      <c r="K15" s="56">
        <v>32.6</v>
      </c>
      <c r="L15" s="10">
        <v>45</v>
      </c>
      <c r="N15" s="148">
        <v>9</v>
      </c>
      <c r="O15" s="149">
        <f t="shared" si="4"/>
        <v>19.799999999999997</v>
      </c>
      <c r="P15" s="150">
        <f t="shared" si="5"/>
        <v>7.919999999999999</v>
      </c>
      <c r="Q15" s="149">
        <f t="shared" si="6"/>
        <v>14.799999999999997</v>
      </c>
      <c r="R15" s="150">
        <f t="shared" si="0"/>
        <v>5.9199999999999982</v>
      </c>
      <c r="S15" s="149">
        <f t="shared" si="7"/>
        <v>0</v>
      </c>
      <c r="T15" s="150">
        <f t="shared" si="1"/>
        <v>0</v>
      </c>
      <c r="U15" s="149">
        <f t="shared" si="8"/>
        <v>0</v>
      </c>
      <c r="V15" s="150">
        <f t="shared" si="2"/>
        <v>0</v>
      </c>
      <c r="W15" s="149">
        <f t="shared" si="9"/>
        <v>12.399999999999999</v>
      </c>
      <c r="X15" s="150">
        <f t="shared" si="3"/>
        <v>4.9599999999999991</v>
      </c>
    </row>
    <row r="16" spans="1:24" ht="16" x14ac:dyDescent="0.25">
      <c r="B16" s="3">
        <v>10</v>
      </c>
      <c r="C16" s="56">
        <v>4.7</v>
      </c>
      <c r="D16" s="10">
        <v>24</v>
      </c>
      <c r="E16" s="9">
        <v>7.47</v>
      </c>
      <c r="F16" s="9">
        <v>21.97</v>
      </c>
      <c r="G16" s="56"/>
      <c r="H16" s="10"/>
      <c r="I16" s="9"/>
      <c r="J16" s="9"/>
      <c r="K16" s="56">
        <v>31</v>
      </c>
      <c r="L16" s="10">
        <v>44</v>
      </c>
      <c r="N16" s="148">
        <v>10</v>
      </c>
      <c r="O16" s="149">
        <f t="shared" si="4"/>
        <v>19.3</v>
      </c>
      <c r="P16" s="150">
        <f t="shared" si="5"/>
        <v>7.72</v>
      </c>
      <c r="Q16" s="149">
        <f t="shared" si="6"/>
        <v>14.5</v>
      </c>
      <c r="R16" s="150">
        <f t="shared" si="0"/>
        <v>5.7999999999999989</v>
      </c>
      <c r="S16" s="149">
        <f t="shared" si="7"/>
        <v>0</v>
      </c>
      <c r="T16" s="150">
        <f t="shared" si="1"/>
        <v>0</v>
      </c>
      <c r="U16" s="149">
        <f t="shared" si="8"/>
        <v>0</v>
      </c>
      <c r="V16" s="150">
        <f t="shared" si="2"/>
        <v>0</v>
      </c>
      <c r="W16" s="149">
        <f t="shared" si="9"/>
        <v>13</v>
      </c>
      <c r="X16" s="150">
        <f t="shared" si="3"/>
        <v>5.2</v>
      </c>
    </row>
    <row r="17" spans="2:24" ht="16" x14ac:dyDescent="0.25">
      <c r="B17" s="3">
        <v>11</v>
      </c>
      <c r="C17" s="56">
        <v>24</v>
      </c>
      <c r="D17" s="10">
        <v>42.6</v>
      </c>
      <c r="E17" s="9">
        <v>21.97</v>
      </c>
      <c r="F17" s="9">
        <v>36.67</v>
      </c>
      <c r="G17" s="56"/>
      <c r="H17" s="10"/>
      <c r="I17" s="9"/>
      <c r="J17" s="9"/>
      <c r="K17" s="56">
        <v>18</v>
      </c>
      <c r="L17" s="10">
        <v>31.7</v>
      </c>
      <c r="N17" s="148">
        <v>11</v>
      </c>
      <c r="O17" s="149">
        <f t="shared" si="4"/>
        <v>18.600000000000001</v>
      </c>
      <c r="P17" s="150">
        <f t="shared" si="5"/>
        <v>7.44</v>
      </c>
      <c r="Q17" s="149">
        <f t="shared" si="6"/>
        <v>14.700000000000003</v>
      </c>
      <c r="R17" s="150">
        <f t="shared" si="0"/>
        <v>5.8800000000000008</v>
      </c>
      <c r="S17" s="149">
        <f t="shared" si="7"/>
        <v>0</v>
      </c>
      <c r="T17" s="150">
        <f t="shared" si="1"/>
        <v>0</v>
      </c>
      <c r="U17" s="149">
        <f t="shared" si="8"/>
        <v>0</v>
      </c>
      <c r="V17" s="150">
        <f t="shared" si="2"/>
        <v>0</v>
      </c>
      <c r="W17" s="149">
        <f t="shared" si="9"/>
        <v>13.7</v>
      </c>
      <c r="X17" s="150">
        <f t="shared" si="3"/>
        <v>5.4799999999999986</v>
      </c>
    </row>
    <row r="18" spans="2:24" ht="17" thickBot="1" x14ac:dyDescent="0.3">
      <c r="B18" s="6">
        <v>12</v>
      </c>
      <c r="C18" s="58">
        <v>23.4</v>
      </c>
      <c r="D18" s="54">
        <v>43.8</v>
      </c>
      <c r="E18" s="11"/>
      <c r="F18" s="11"/>
      <c r="G18" s="58"/>
      <c r="H18" s="54"/>
      <c r="I18" s="11"/>
      <c r="J18" s="11"/>
      <c r="K18" s="58">
        <v>31.7</v>
      </c>
      <c r="L18" s="54">
        <v>44.7</v>
      </c>
      <c r="N18" s="151">
        <v>12</v>
      </c>
      <c r="O18" s="152">
        <f t="shared" si="4"/>
        <v>20.399999999999999</v>
      </c>
      <c r="P18" s="153">
        <f t="shared" si="5"/>
        <v>8.1599999999999984</v>
      </c>
      <c r="Q18" s="152">
        <f t="shared" si="6"/>
        <v>0</v>
      </c>
      <c r="R18" s="153">
        <f t="shared" si="0"/>
        <v>0</v>
      </c>
      <c r="S18" s="152">
        <f t="shared" si="7"/>
        <v>0</v>
      </c>
      <c r="T18" s="153">
        <f t="shared" si="1"/>
        <v>0</v>
      </c>
      <c r="U18" s="152">
        <f t="shared" si="8"/>
        <v>0</v>
      </c>
      <c r="V18" s="153">
        <f t="shared" si="2"/>
        <v>0</v>
      </c>
      <c r="W18" s="152">
        <f t="shared" si="9"/>
        <v>13.000000000000004</v>
      </c>
      <c r="X18" s="153">
        <f t="shared" si="3"/>
        <v>5.2000000000000011</v>
      </c>
    </row>
    <row r="19" spans="2:24" ht="16" x14ac:dyDescent="0.25">
      <c r="B19" s="261" t="s">
        <v>168</v>
      </c>
      <c r="C19" s="264">
        <f>AVERAGE(C7:C18)</f>
        <v>14.475000000000001</v>
      </c>
      <c r="D19" s="264">
        <f t="shared" ref="D19:K19" si="10">AVERAGE(D7:D18)</f>
        <v>33.81666666666667</v>
      </c>
      <c r="E19" s="264">
        <f t="shared" si="10"/>
        <v>16.185454545454544</v>
      </c>
      <c r="F19" s="264">
        <f t="shared" si="10"/>
        <v>30.803636363636361</v>
      </c>
      <c r="G19" s="264">
        <f t="shared" si="10"/>
        <v>12.033333333333333</v>
      </c>
      <c r="H19" s="264">
        <f t="shared" si="10"/>
        <v>29.016666666666669</v>
      </c>
      <c r="I19" s="264">
        <f t="shared" si="10"/>
        <v>18.774999999999999</v>
      </c>
      <c r="J19" s="264">
        <f t="shared" si="10"/>
        <v>25.524999999999999</v>
      </c>
      <c r="K19" s="264">
        <f t="shared" si="10"/>
        <v>25.775000000000002</v>
      </c>
      <c r="L19" s="264">
        <f>AVERAGE(L7:L18)</f>
        <v>38.258333333333333</v>
      </c>
      <c r="N19" s="261" t="s">
        <v>168</v>
      </c>
      <c r="O19" s="264">
        <f>AVERAGE(O7:O18)</f>
        <v>19.341666666666669</v>
      </c>
      <c r="P19" s="264">
        <f t="shared" ref="P19" si="11">AVERAGE(P7:P18)</f>
        <v>7.7366666666666655</v>
      </c>
      <c r="Q19" s="264">
        <f t="shared" ref="Q19" si="12">AVERAGE(Q7:Q18)</f>
        <v>13.4</v>
      </c>
      <c r="R19" s="264">
        <f t="shared" ref="R19" si="13">AVERAGE(R7:R18)</f>
        <v>5.3599999999999994</v>
      </c>
      <c r="S19" s="264">
        <f t="shared" ref="S19" si="14">AVERAGE(S7:S18)</f>
        <v>8.4916666666666654</v>
      </c>
      <c r="T19" s="264">
        <f t="shared" ref="T19" si="15">AVERAGE(T7:T18)</f>
        <v>3.3966666666666669</v>
      </c>
      <c r="U19" s="264">
        <f t="shared" ref="U19" si="16">AVERAGE(U7:U18)</f>
        <v>2.25</v>
      </c>
      <c r="V19" s="264">
        <f t="shared" ref="V19" si="17">AVERAGE(V7:V18)</f>
        <v>0.89999999999999991</v>
      </c>
      <c r="W19" s="264">
        <f t="shared" ref="W19" si="18">AVERAGE(W7:W18)</f>
        <v>12.483333333333333</v>
      </c>
      <c r="X19" s="264">
        <f t="shared" ref="X19" si="19">AVERAGE(X7:X18)</f>
        <v>4.9933333333333332</v>
      </c>
    </row>
    <row r="20" spans="2:24" ht="16" x14ac:dyDescent="0.25">
      <c r="B20" s="268" t="s">
        <v>169</v>
      </c>
      <c r="C20" s="269">
        <f>_xlfn.STDEV.S(C7:C18)</f>
        <v>9.3932398322120232</v>
      </c>
      <c r="D20" s="269">
        <f t="shared" ref="D20:L20" si="20">_xlfn.STDEV.S(D7:D18)</f>
        <v>9.5973323313714562</v>
      </c>
      <c r="E20" s="269">
        <f t="shared" si="20"/>
        <v>11.708217083430224</v>
      </c>
      <c r="F20" s="269">
        <f t="shared" si="20"/>
        <v>11.703955120152568</v>
      </c>
      <c r="G20" s="269">
        <f t="shared" si="20"/>
        <v>8.2701068110796907</v>
      </c>
      <c r="H20" s="269">
        <f t="shared" si="20"/>
        <v>8.4205502591378405</v>
      </c>
      <c r="I20" s="269">
        <f t="shared" si="20"/>
        <v>15.816947661711893</v>
      </c>
      <c r="J20" s="269">
        <f t="shared" si="20"/>
        <v>15.592813515633841</v>
      </c>
      <c r="K20" s="269">
        <f t="shared" si="20"/>
        <v>11.832553324697848</v>
      </c>
      <c r="L20" s="269">
        <f t="shared" si="20"/>
        <v>12.001322528131755</v>
      </c>
      <c r="N20" s="268" t="s">
        <v>169</v>
      </c>
      <c r="O20" s="269">
        <f>_xlfn.STDEV.S(O7:O18)</f>
        <v>0.77513439694889896</v>
      </c>
      <c r="P20" s="269">
        <f t="shared" ref="P20:X20" si="21">_xlfn.STDEV.S(P7:P18)</f>
        <v>0.31005375877955954</v>
      </c>
      <c r="Q20" s="269">
        <f t="shared" si="21"/>
        <v>4.3736816195387282</v>
      </c>
      <c r="R20" s="269">
        <f t="shared" si="21"/>
        <v>1.7494726478154936</v>
      </c>
      <c r="S20" s="269">
        <f t="shared" si="21"/>
        <v>8.8883435754448374</v>
      </c>
      <c r="T20" s="269">
        <f t="shared" si="21"/>
        <v>3.5553374301779335</v>
      </c>
      <c r="U20" s="269">
        <f t="shared" si="21"/>
        <v>3.3257945052136173</v>
      </c>
      <c r="V20" s="269">
        <f t="shared" si="21"/>
        <v>1.3303178020854469</v>
      </c>
      <c r="W20" s="269">
        <f t="shared" si="21"/>
        <v>0.97685332790671553</v>
      </c>
      <c r="X20" s="269">
        <f t="shared" si="21"/>
        <v>0.39074133116268628</v>
      </c>
    </row>
    <row r="21" spans="2:24" ht="16" x14ac:dyDescent="0.25">
      <c r="B21" s="268" t="s">
        <v>171</v>
      </c>
      <c r="C21" s="269">
        <f>COUNT(C7:C18)</f>
        <v>12</v>
      </c>
      <c r="D21" s="269">
        <f t="shared" ref="D21:L21" si="22">COUNT(D7:D18)</f>
        <v>12</v>
      </c>
      <c r="E21" s="269">
        <f t="shared" si="22"/>
        <v>11</v>
      </c>
      <c r="F21" s="269">
        <f t="shared" si="22"/>
        <v>11</v>
      </c>
      <c r="G21" s="269">
        <f t="shared" si="22"/>
        <v>6</v>
      </c>
      <c r="H21" s="269">
        <f t="shared" si="22"/>
        <v>6</v>
      </c>
      <c r="I21" s="269">
        <f t="shared" si="22"/>
        <v>4</v>
      </c>
      <c r="J21" s="269">
        <f t="shared" si="22"/>
        <v>4</v>
      </c>
      <c r="K21" s="269">
        <f t="shared" si="22"/>
        <v>12</v>
      </c>
      <c r="L21" s="269">
        <f t="shared" si="22"/>
        <v>12</v>
      </c>
      <c r="N21" s="268" t="s">
        <v>171</v>
      </c>
      <c r="O21" s="269">
        <f>COUNT(O7:O18)</f>
        <v>12</v>
      </c>
      <c r="P21" s="269">
        <f t="shared" ref="P21:X21" si="23">COUNT(P7:P18)</f>
        <v>12</v>
      </c>
      <c r="Q21" s="269">
        <f t="shared" si="23"/>
        <v>12</v>
      </c>
      <c r="R21" s="269">
        <f t="shared" si="23"/>
        <v>12</v>
      </c>
      <c r="S21" s="269">
        <f t="shared" si="23"/>
        <v>12</v>
      </c>
      <c r="T21" s="269">
        <f t="shared" si="23"/>
        <v>12</v>
      </c>
      <c r="U21" s="269">
        <f t="shared" si="23"/>
        <v>12</v>
      </c>
      <c r="V21" s="269">
        <f t="shared" si="23"/>
        <v>12</v>
      </c>
      <c r="W21" s="269">
        <f t="shared" si="23"/>
        <v>12</v>
      </c>
      <c r="X21" s="269">
        <f t="shared" si="23"/>
        <v>12</v>
      </c>
    </row>
    <row r="22" spans="2:24" ht="17" thickBot="1" x14ac:dyDescent="0.3">
      <c r="B22" s="262" t="s">
        <v>172</v>
      </c>
      <c r="C22" s="227">
        <f>C20/SQRT(C21)</f>
        <v>2.7115947728451637</v>
      </c>
      <c r="D22" s="227">
        <f t="shared" ref="D22:L22" si="24">D20/SQRT(D21)</f>
        <v>2.7705112025098044</v>
      </c>
      <c r="E22" s="227">
        <f t="shared" si="24"/>
        <v>3.530160275433389</v>
      </c>
      <c r="F22" s="227">
        <f t="shared" si="24"/>
        <v>3.5288752451550018</v>
      </c>
      <c r="G22" s="227">
        <f t="shared" si="24"/>
        <v>3.3762569675768339</v>
      </c>
      <c r="H22" s="227">
        <f t="shared" si="24"/>
        <v>3.4376752480580626</v>
      </c>
      <c r="I22" s="227">
        <f t="shared" si="24"/>
        <v>7.9084738308559466</v>
      </c>
      <c r="J22" s="227">
        <f t="shared" si="24"/>
        <v>7.7964067578169205</v>
      </c>
      <c r="K22" s="227">
        <f t="shared" si="24"/>
        <v>3.415763923607452</v>
      </c>
      <c r="L22" s="227">
        <f t="shared" si="24"/>
        <v>3.4644833961241948</v>
      </c>
      <c r="N22" s="262" t="s">
        <v>172</v>
      </c>
      <c r="O22" s="227">
        <f>O20/SQRT(O21)</f>
        <v>0.22376202636829254</v>
      </c>
      <c r="P22" s="227">
        <f t="shared" ref="P22" si="25">P20/SQRT(P21)</f>
        <v>8.9504810547317001E-2</v>
      </c>
      <c r="Q22" s="227">
        <f t="shared" ref="Q22" si="26">Q20/SQRT(Q21)</f>
        <v>1.2625731301952017</v>
      </c>
      <c r="R22" s="227">
        <f t="shared" ref="R22" si="27">R20/SQRT(R21)</f>
        <v>0.50502925207808136</v>
      </c>
      <c r="S22" s="227">
        <f t="shared" ref="S22" si="28">S20/SQRT(S21)</f>
        <v>2.5658437779664789</v>
      </c>
      <c r="T22" s="227">
        <f t="shared" ref="T22" si="29">T20/SQRT(T21)</f>
        <v>1.0263375111865911</v>
      </c>
      <c r="U22" s="227">
        <f t="shared" ref="U22" si="30">U20/SQRT(U21)</f>
        <v>0.96007417642723014</v>
      </c>
      <c r="V22" s="227">
        <f t="shared" ref="V22" si="31">V20/SQRT(V21)</f>
        <v>0.38402967057089205</v>
      </c>
      <c r="W22" s="227">
        <f t="shared" ref="W22" si="32">W20/SQRT(W21)</f>
        <v>0.281993265912862</v>
      </c>
      <c r="X22" s="227">
        <f t="shared" ref="X22" si="33">X20/SQRT(X21)</f>
        <v>0.11279730636514482</v>
      </c>
    </row>
    <row r="25" spans="2:24" x14ac:dyDescent="0.2">
      <c r="N25" s="5"/>
      <c r="O25" s="5" t="s">
        <v>181</v>
      </c>
      <c r="P25" s="5" t="s">
        <v>172</v>
      </c>
    </row>
    <row r="26" spans="2:24" ht="33" x14ac:dyDescent="0.25">
      <c r="N26" s="284" t="s">
        <v>21</v>
      </c>
      <c r="O26" s="266">
        <v>7.7366666666666655</v>
      </c>
      <c r="P26">
        <v>8.9504810547317001E-2</v>
      </c>
    </row>
    <row r="27" spans="2:24" ht="33" x14ac:dyDescent="0.25">
      <c r="N27" s="284" t="s">
        <v>75</v>
      </c>
      <c r="O27" s="266">
        <v>5.3599999999999994</v>
      </c>
      <c r="P27">
        <v>0.50502925207808136</v>
      </c>
    </row>
    <row r="28" spans="2:24" ht="33" x14ac:dyDescent="0.25">
      <c r="N28" s="284" t="s">
        <v>6</v>
      </c>
      <c r="O28" s="266">
        <v>4.9933333333333332</v>
      </c>
      <c r="P28">
        <v>0.11279730636514482</v>
      </c>
    </row>
    <row r="29" spans="2:24" ht="17" x14ac:dyDescent="0.25">
      <c r="N29" s="284" t="s">
        <v>77</v>
      </c>
      <c r="O29" s="266">
        <v>3.3966666666666669</v>
      </c>
      <c r="P29">
        <v>1.0263375111865911</v>
      </c>
    </row>
    <row r="30" spans="2:24" ht="17" x14ac:dyDescent="0.25">
      <c r="N30" s="284" t="s">
        <v>5</v>
      </c>
      <c r="O30" s="266">
        <v>0.89999999999999991</v>
      </c>
      <c r="P30">
        <v>0.38402967057089205</v>
      </c>
    </row>
  </sheetData>
  <sortState xmlns:xlrd2="http://schemas.microsoft.com/office/spreadsheetml/2017/richdata2" ref="N26:P30">
    <sortCondition descending="1" ref="O26:O30"/>
  </sortState>
  <mergeCells count="4">
    <mergeCell ref="E5:F5"/>
    <mergeCell ref="I5:J5"/>
    <mergeCell ref="K5:L5"/>
    <mergeCell ref="M3:U3"/>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1F248-91AE-E04C-BA07-FD211676F329}">
  <dimension ref="A1:L36"/>
  <sheetViews>
    <sheetView zoomScale="120" zoomScaleNormal="120" workbookViewId="0">
      <selection sqref="A1:G36"/>
    </sheetView>
  </sheetViews>
  <sheetFormatPr baseColWidth="10" defaultRowHeight="15" x14ac:dyDescent="0.2"/>
  <sheetData>
    <row r="1" spans="1:12" x14ac:dyDescent="0.2">
      <c r="A1" s="1" t="s">
        <v>25</v>
      </c>
    </row>
    <row r="3" spans="1:12" ht="16" thickBot="1" x14ac:dyDescent="0.25">
      <c r="B3" t="s">
        <v>11</v>
      </c>
    </row>
    <row r="4" spans="1:12" ht="33" thickBot="1" x14ac:dyDescent="0.25">
      <c r="B4" s="44" t="s">
        <v>4</v>
      </c>
      <c r="C4" s="33" t="s">
        <v>5</v>
      </c>
      <c r="D4" s="33" t="s">
        <v>6</v>
      </c>
      <c r="E4" s="33" t="s">
        <v>77</v>
      </c>
      <c r="F4" s="33" t="s">
        <v>21</v>
      </c>
      <c r="G4" s="20" t="s">
        <v>75</v>
      </c>
      <c r="H4" s="28"/>
      <c r="J4" s="9"/>
      <c r="K4" s="9" t="s">
        <v>179</v>
      </c>
      <c r="L4" s="9" t="s">
        <v>172</v>
      </c>
    </row>
    <row r="5" spans="1:12" ht="16" x14ac:dyDescent="0.2">
      <c r="B5" s="32">
        <v>1</v>
      </c>
      <c r="C5" s="36">
        <v>8.14</v>
      </c>
      <c r="D5" s="36">
        <v>7.92</v>
      </c>
      <c r="E5" s="36">
        <v>7.73</v>
      </c>
      <c r="F5" s="36">
        <v>6.9</v>
      </c>
      <c r="G5" s="37">
        <v>7.95</v>
      </c>
      <c r="H5" s="31"/>
      <c r="J5" s="285" t="s">
        <v>5</v>
      </c>
      <c r="K5" s="29">
        <v>8.1750000000000007</v>
      </c>
      <c r="L5" s="29">
        <v>1.1801936887041637E-2</v>
      </c>
    </row>
    <row r="6" spans="1:12" ht="32" x14ac:dyDescent="0.2">
      <c r="B6" s="18">
        <v>2</v>
      </c>
      <c r="C6" s="31">
        <v>8.2100000000000009</v>
      </c>
      <c r="D6" s="31">
        <v>7.88</v>
      </c>
      <c r="E6" s="31">
        <v>7.65</v>
      </c>
      <c r="F6" s="31">
        <v>6.91</v>
      </c>
      <c r="G6" s="40">
        <v>8</v>
      </c>
      <c r="H6" s="31"/>
      <c r="J6" s="285" t="s">
        <v>75</v>
      </c>
      <c r="K6" s="29">
        <v>7.95</v>
      </c>
      <c r="L6" s="29">
        <v>2.4275207811380605E-2</v>
      </c>
    </row>
    <row r="7" spans="1:12" ht="32" x14ac:dyDescent="0.2">
      <c r="B7" s="18">
        <v>3</v>
      </c>
      <c r="C7" s="31">
        <v>8.23</v>
      </c>
      <c r="D7" s="31">
        <v>7.81</v>
      </c>
      <c r="E7" s="31">
        <v>7.87</v>
      </c>
      <c r="F7" s="31"/>
      <c r="G7" s="40">
        <v>7.97</v>
      </c>
      <c r="H7" s="31"/>
      <c r="J7" s="285" t="s">
        <v>6</v>
      </c>
      <c r="K7" s="29">
        <v>7.8987500000000015</v>
      </c>
      <c r="L7" s="29">
        <v>1.8071040368501257E-2</v>
      </c>
    </row>
    <row r="8" spans="1:12" ht="16" x14ac:dyDescent="0.2">
      <c r="B8" s="18">
        <v>4</v>
      </c>
      <c r="C8" s="31">
        <v>8.1300000000000008</v>
      </c>
      <c r="D8" s="31">
        <v>7.92</v>
      </c>
      <c r="E8" s="31">
        <v>7.73</v>
      </c>
      <c r="F8" s="31"/>
      <c r="G8" s="40">
        <v>7.95</v>
      </c>
      <c r="H8" s="31"/>
      <c r="J8" s="285" t="s">
        <v>77</v>
      </c>
      <c r="K8" s="29">
        <v>7.7620000000000005</v>
      </c>
      <c r="L8" s="29">
        <v>3.9293765408776937E-2</v>
      </c>
    </row>
    <row r="9" spans="1:12" ht="32" x14ac:dyDescent="0.2">
      <c r="B9" s="18">
        <v>5</v>
      </c>
      <c r="C9" s="31">
        <v>8.16</v>
      </c>
      <c r="D9" s="31">
        <v>7.95</v>
      </c>
      <c r="E9" s="31">
        <v>7.83</v>
      </c>
      <c r="F9" s="31"/>
      <c r="G9" s="40">
        <v>7.9</v>
      </c>
      <c r="H9" s="31"/>
      <c r="J9" s="285" t="s">
        <v>21</v>
      </c>
      <c r="K9" s="29">
        <v>6.9050000000000002</v>
      </c>
      <c r="L9" s="29">
        <v>4.9999999999998934E-3</v>
      </c>
    </row>
    <row r="10" spans="1:12" x14ac:dyDescent="0.2">
      <c r="B10" s="18">
        <v>6</v>
      </c>
      <c r="C10" s="31">
        <v>8.18</v>
      </c>
      <c r="D10" s="31">
        <v>7.92</v>
      </c>
      <c r="E10" s="31"/>
      <c r="F10" s="31"/>
      <c r="G10" s="40">
        <v>7.81</v>
      </c>
      <c r="H10" s="31"/>
    </row>
    <row r="11" spans="1:12" x14ac:dyDescent="0.2">
      <c r="B11" s="18">
        <v>7</v>
      </c>
      <c r="C11" s="31">
        <v>8.18</v>
      </c>
      <c r="D11" s="31">
        <v>7.84</v>
      </c>
      <c r="E11" s="31"/>
      <c r="F11" s="31"/>
      <c r="G11" s="40">
        <v>7.99</v>
      </c>
      <c r="H11" s="31"/>
    </row>
    <row r="12" spans="1:12" ht="16" thickBot="1" x14ac:dyDescent="0.25">
      <c r="B12" s="19">
        <v>8</v>
      </c>
      <c r="C12" s="26">
        <v>8.17</v>
      </c>
      <c r="D12" s="26">
        <v>7.95</v>
      </c>
      <c r="E12" s="26"/>
      <c r="F12" s="26"/>
      <c r="G12" s="27">
        <v>8.0299999999999994</v>
      </c>
      <c r="H12" s="31"/>
    </row>
    <row r="13" spans="1:12" ht="16" x14ac:dyDescent="0.25">
      <c r="B13" s="261" t="s">
        <v>168</v>
      </c>
      <c r="C13" s="264">
        <f>AVERAGE(C5:C12)</f>
        <v>8.1750000000000007</v>
      </c>
      <c r="D13" s="264">
        <f>AVERAGE(D5:D12)</f>
        <v>7.8987500000000015</v>
      </c>
      <c r="E13" s="264">
        <f>AVERAGE(E5:E12)</f>
        <v>7.7620000000000005</v>
      </c>
      <c r="F13" s="264">
        <f>AVERAGE(F5:F12)</f>
        <v>6.9050000000000002</v>
      </c>
      <c r="G13" s="264">
        <f>AVERAGE(G5:G12)</f>
        <v>7.95</v>
      </c>
      <c r="H13" s="31"/>
    </row>
    <row r="14" spans="1:12" ht="16" x14ac:dyDescent="0.25">
      <c r="B14" s="268" t="s">
        <v>169</v>
      </c>
      <c r="C14" s="269">
        <f>_xlfn.STDEV.S(C5:C12)</f>
        <v>3.3380918415851182E-2</v>
      </c>
      <c r="D14" s="269">
        <f>_xlfn.STDEV.S(D5:D12)</f>
        <v>5.1112620750652343E-2</v>
      </c>
      <c r="E14" s="269">
        <f>_xlfn.STDEV.S(E5:E12)</f>
        <v>8.786353054595504E-2</v>
      </c>
      <c r="F14" s="269">
        <f>_xlfn.STDEV.S(F5:F6)</f>
        <v>7.0710678118653244E-3</v>
      </c>
      <c r="G14" s="269">
        <f>_xlfn.STDEV.S(G5:G12)</f>
        <v>6.86606562325595E-2</v>
      </c>
      <c r="H14" s="31"/>
    </row>
    <row r="15" spans="1:12" ht="16" x14ac:dyDescent="0.25">
      <c r="B15" s="268" t="s">
        <v>171</v>
      </c>
      <c r="C15" s="269">
        <f>COUNT(C5:C12)</f>
        <v>8</v>
      </c>
      <c r="D15" s="269">
        <f>COUNT(D5:D12)</f>
        <v>8</v>
      </c>
      <c r="E15" s="269">
        <f>COUNT(E5:E12)</f>
        <v>5</v>
      </c>
      <c r="F15" s="269">
        <f>COUNT(F5:F12)</f>
        <v>2</v>
      </c>
      <c r="G15" s="269">
        <f>COUNT(G5:G12)</f>
        <v>8</v>
      </c>
    </row>
    <row r="16" spans="1:12" ht="17" thickBot="1" x14ac:dyDescent="0.3">
      <c r="B16" s="262" t="s">
        <v>172</v>
      </c>
      <c r="C16" s="227">
        <f>C14/SQRT(C15)</f>
        <v>1.1801936887041637E-2</v>
      </c>
      <c r="D16" s="227">
        <f>D14/SQRT(D15)</f>
        <v>1.8071040368501257E-2</v>
      </c>
      <c r="E16" s="227">
        <f>E14/SQRT(E15)</f>
        <v>3.9293765408776937E-2</v>
      </c>
      <c r="F16" s="227">
        <f>F14/SQRT(F15)</f>
        <v>4.9999999999998934E-3</v>
      </c>
      <c r="G16" s="227">
        <f>G14/SQRT(G15)</f>
        <v>2.4275207811380605E-2</v>
      </c>
    </row>
    <row r="23" spans="2:12" ht="18" thickBot="1" x14ac:dyDescent="0.25">
      <c r="B23" t="s">
        <v>32</v>
      </c>
    </row>
    <row r="24" spans="2:12" ht="33" thickBot="1" x14ac:dyDescent="0.25">
      <c r="B24" s="44" t="s">
        <v>4</v>
      </c>
      <c r="C24" s="33" t="s">
        <v>5</v>
      </c>
      <c r="D24" s="33" t="s">
        <v>6</v>
      </c>
      <c r="E24" s="33" t="s">
        <v>77</v>
      </c>
      <c r="F24" s="33" t="s">
        <v>21</v>
      </c>
      <c r="G24" s="20" t="s">
        <v>75</v>
      </c>
      <c r="J24" s="5"/>
      <c r="K24" s="5" t="s">
        <v>180</v>
      </c>
      <c r="L24" s="5" t="s">
        <v>172</v>
      </c>
    </row>
    <row r="25" spans="2:12" ht="32" x14ac:dyDescent="0.2">
      <c r="B25" s="32">
        <v>1</v>
      </c>
      <c r="C25" s="45">
        <v>1381</v>
      </c>
      <c r="D25" s="45">
        <v>974</v>
      </c>
      <c r="E25" s="45">
        <v>1661</v>
      </c>
      <c r="F25" s="45">
        <v>2310</v>
      </c>
      <c r="G25" s="46">
        <v>1947</v>
      </c>
      <c r="J25" s="284" t="s">
        <v>21</v>
      </c>
      <c r="K25" s="29">
        <v>2319.5500000000002</v>
      </c>
      <c r="L25" s="29">
        <v>9.5499999999999545</v>
      </c>
    </row>
    <row r="26" spans="2:12" ht="32" x14ac:dyDescent="0.2">
      <c r="B26" s="18">
        <v>2</v>
      </c>
      <c r="C26" s="47">
        <v>1456</v>
      </c>
      <c r="D26" s="47">
        <v>1000</v>
      </c>
      <c r="E26" s="47">
        <v>1732</v>
      </c>
      <c r="F26" s="47">
        <v>2329.1</v>
      </c>
      <c r="G26" s="48">
        <v>1841</v>
      </c>
      <c r="J26" s="284" t="s">
        <v>75</v>
      </c>
      <c r="K26" s="29">
        <v>1897.125</v>
      </c>
      <c r="L26" s="29">
        <v>27.475597939678345</v>
      </c>
    </row>
    <row r="27" spans="2:12" ht="16" x14ac:dyDescent="0.2">
      <c r="B27" s="18">
        <v>3</v>
      </c>
      <c r="C27" s="47">
        <v>1462</v>
      </c>
      <c r="D27" s="47">
        <v>1052</v>
      </c>
      <c r="E27" s="47">
        <v>1733</v>
      </c>
      <c r="F27" s="47"/>
      <c r="G27" s="48">
        <v>1805</v>
      </c>
      <c r="J27" s="284" t="s">
        <v>77</v>
      </c>
      <c r="K27" s="29">
        <v>1721.8</v>
      </c>
      <c r="L27" s="29">
        <v>15.567273364337121</v>
      </c>
    </row>
    <row r="28" spans="2:12" ht="16" x14ac:dyDescent="0.2">
      <c r="B28" s="18">
        <v>4</v>
      </c>
      <c r="C28" s="47">
        <v>1490</v>
      </c>
      <c r="D28" s="47">
        <v>1050</v>
      </c>
      <c r="E28" s="47">
        <v>1750</v>
      </c>
      <c r="F28" s="47"/>
      <c r="G28" s="48">
        <v>1881</v>
      </c>
      <c r="J28" s="284" t="s">
        <v>5</v>
      </c>
      <c r="K28" s="29">
        <v>1482.375</v>
      </c>
      <c r="L28" s="29">
        <v>21.17692266528422</v>
      </c>
    </row>
    <row r="29" spans="2:12" ht="32" x14ac:dyDescent="0.2">
      <c r="B29" s="18">
        <v>5</v>
      </c>
      <c r="C29" s="47">
        <v>1437</v>
      </c>
      <c r="D29" s="47">
        <v>1130</v>
      </c>
      <c r="E29" s="47">
        <v>1733</v>
      </c>
      <c r="F29" s="47"/>
      <c r="G29" s="48">
        <v>1986</v>
      </c>
      <c r="J29" s="284" t="s">
        <v>6</v>
      </c>
      <c r="K29" s="29">
        <v>1045.375</v>
      </c>
      <c r="L29" s="29">
        <v>19.936450375416094</v>
      </c>
    </row>
    <row r="30" spans="2:12" x14ac:dyDescent="0.2">
      <c r="B30" s="18">
        <v>6</v>
      </c>
      <c r="C30" s="47">
        <v>1542</v>
      </c>
      <c r="D30" s="47">
        <v>1028</v>
      </c>
      <c r="E30" s="47"/>
      <c r="F30" s="47"/>
      <c r="G30" s="48">
        <v>1812</v>
      </c>
    </row>
    <row r="31" spans="2:12" x14ac:dyDescent="0.2">
      <c r="B31" s="18">
        <v>7</v>
      </c>
      <c r="C31" s="47">
        <v>1552</v>
      </c>
      <c r="D31" s="47">
        <v>1006</v>
      </c>
      <c r="E31" s="47"/>
      <c r="F31" s="47"/>
      <c r="G31" s="48">
        <v>1895</v>
      </c>
    </row>
    <row r="32" spans="2:12" ht="16" thickBot="1" x14ac:dyDescent="0.25">
      <c r="B32" s="19">
        <v>8</v>
      </c>
      <c r="C32" s="49">
        <v>1539</v>
      </c>
      <c r="D32" s="49">
        <v>1123</v>
      </c>
      <c r="E32" s="49"/>
      <c r="F32" s="49"/>
      <c r="G32" s="50">
        <v>2010</v>
      </c>
    </row>
    <row r="33" spans="2:7" ht="16" x14ac:dyDescent="0.25">
      <c r="B33" s="261" t="s">
        <v>168</v>
      </c>
      <c r="C33" s="264">
        <f>AVERAGE(C25:C32)</f>
        <v>1482.375</v>
      </c>
      <c r="D33" s="264">
        <f>AVERAGE(D25:D32)</f>
        <v>1045.375</v>
      </c>
      <c r="E33" s="264">
        <f>AVERAGE(E25:E32)</f>
        <v>1721.8</v>
      </c>
      <c r="F33" s="264">
        <f>AVERAGE(F25:F32)</f>
        <v>2319.5500000000002</v>
      </c>
      <c r="G33" s="264">
        <f>AVERAGE(G25:G32)</f>
        <v>1897.125</v>
      </c>
    </row>
    <row r="34" spans="2:7" ht="16" x14ac:dyDescent="0.25">
      <c r="B34" s="268" t="s">
        <v>169</v>
      </c>
      <c r="C34" s="269">
        <f>_xlfn.STDEV.S(C25:C32)</f>
        <v>59.897382485142273</v>
      </c>
      <c r="D34" s="269">
        <f>_xlfn.STDEV.S(D25:D32)</f>
        <v>56.388797012983247</v>
      </c>
      <c r="E34" s="269">
        <f>_xlfn.STDEV.S(E25:E32)</f>
        <v>34.809481466979655</v>
      </c>
      <c r="F34" s="269">
        <f>_xlfn.STDEV.S(F25:F32)</f>
        <v>13.505739520662994</v>
      </c>
      <c r="G34" s="269">
        <f>_xlfn.STDEV.S(G25:G32)</f>
        <v>77.712726481206772</v>
      </c>
    </row>
    <row r="35" spans="2:7" ht="16" x14ac:dyDescent="0.25">
      <c r="B35" s="268" t="s">
        <v>171</v>
      </c>
      <c r="C35" s="269">
        <f>COUNT(C25:C32)</f>
        <v>8</v>
      </c>
      <c r="D35" s="269">
        <f>COUNT(D25:D32)</f>
        <v>8</v>
      </c>
      <c r="E35" s="269">
        <f>COUNT(E25:E32)</f>
        <v>5</v>
      </c>
      <c r="F35" s="269">
        <f>COUNT(F25:F32)</f>
        <v>2</v>
      </c>
      <c r="G35" s="269">
        <f>COUNT(G25:G32)</f>
        <v>8</v>
      </c>
    </row>
    <row r="36" spans="2:7" ht="17" thickBot="1" x14ac:dyDescent="0.3">
      <c r="B36" s="262" t="s">
        <v>172</v>
      </c>
      <c r="C36" s="227">
        <f>C34/SQRT(C35)</f>
        <v>21.17692266528422</v>
      </c>
      <c r="D36" s="227">
        <f>D34/SQRT(D35)</f>
        <v>19.936450375416094</v>
      </c>
      <c r="E36" s="227">
        <f>E34/SQRT(E35)</f>
        <v>15.567273364337121</v>
      </c>
      <c r="F36" s="227">
        <f>F34/SQRT(F35)</f>
        <v>9.5499999999999545</v>
      </c>
      <c r="G36" s="227">
        <f>G34/SQRT(G35)</f>
        <v>27.475597939678345</v>
      </c>
    </row>
  </sheetData>
  <sortState xmlns:xlrd2="http://schemas.microsoft.com/office/spreadsheetml/2017/richdata2" ref="J25:L29">
    <sortCondition descending="1" ref="K25:K29"/>
  </sortState>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1DB8-65FE-2B44-A8FB-7B0A695729C9}">
  <dimension ref="A1"/>
  <sheetViews>
    <sheetView workbookViewId="0">
      <selection activeCell="W4" sqref="W4"/>
    </sheetView>
  </sheetViews>
  <sheetFormatPr baseColWidth="10" defaultRowHeight="1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AD65-9AD0-4039-B2D7-EBE7FB56EF32}">
  <dimension ref="A1:AR153"/>
  <sheetViews>
    <sheetView zoomScaleNormal="100" workbookViewId="0">
      <selection activeCell="J39" sqref="J39"/>
    </sheetView>
  </sheetViews>
  <sheetFormatPr baseColWidth="10" defaultColWidth="8.83203125" defaultRowHeight="16" x14ac:dyDescent="0.25"/>
  <cols>
    <col min="1" max="1" width="8.83203125" style="108"/>
    <col min="2" max="2" width="14.5" style="108" customWidth="1"/>
    <col min="3" max="3" width="12.33203125" style="108" customWidth="1"/>
    <col min="4" max="4" width="8.83203125" style="108"/>
    <col min="5" max="5" width="11.6640625" style="108" bestFit="1" customWidth="1"/>
    <col min="6" max="6" width="12.33203125" style="108" customWidth="1"/>
    <col min="7" max="7" width="16.1640625" style="108" customWidth="1"/>
    <col min="8" max="8" width="15.33203125" style="108" customWidth="1"/>
    <col min="9" max="9" width="15.6640625" style="108" customWidth="1"/>
    <col min="10" max="11" width="13.33203125" style="108" customWidth="1"/>
    <col min="12" max="12" width="12.83203125" style="108" customWidth="1"/>
    <col min="13" max="13" width="15.6640625" style="108" customWidth="1"/>
    <col min="14" max="14" width="69.5" style="108" customWidth="1"/>
    <col min="15" max="15" width="9" style="108" bestFit="1" customWidth="1"/>
    <col min="16" max="17" width="8.83203125" style="108" bestFit="1"/>
    <col min="18" max="19" width="8.6640625" style="108"/>
    <col min="20" max="20" width="13.6640625" style="108" customWidth="1"/>
    <col min="21" max="27" width="8.6640625" style="108"/>
    <col min="28" max="28" width="11.1640625" style="108" customWidth="1"/>
    <col min="29" max="29" width="8.6640625" style="108"/>
    <col min="30" max="30" width="16.5" style="108" customWidth="1"/>
    <col min="31" max="31" width="10.83203125" style="108" customWidth="1"/>
    <col min="32" max="36" width="8.6640625" style="108"/>
    <col min="37" max="16384" width="8.83203125" style="108"/>
  </cols>
  <sheetData>
    <row r="1" spans="1:30" x14ac:dyDescent="0.25">
      <c r="A1" s="154" t="s">
        <v>14</v>
      </c>
      <c r="N1" s="154" t="s">
        <v>15</v>
      </c>
    </row>
    <row r="2" spans="1:30" ht="17" x14ac:dyDescent="0.25">
      <c r="A2" s="154" t="s">
        <v>42</v>
      </c>
      <c r="N2" s="155" t="s">
        <v>33</v>
      </c>
    </row>
    <row r="3" spans="1:30" ht="103" thickBot="1" x14ac:dyDescent="0.3">
      <c r="B3" s="108" t="s">
        <v>78</v>
      </c>
      <c r="N3" s="155" t="s">
        <v>148</v>
      </c>
    </row>
    <row r="4" spans="1:30" ht="35" thickBot="1" x14ac:dyDescent="0.3">
      <c r="B4" s="156" t="s">
        <v>36</v>
      </c>
      <c r="C4" s="198" t="s">
        <v>44</v>
      </c>
      <c r="D4" s="159" t="s">
        <v>43</v>
      </c>
      <c r="E4" s="158" t="s">
        <v>45</v>
      </c>
      <c r="F4" s="158" t="s">
        <v>46</v>
      </c>
      <c r="G4" s="158" t="s">
        <v>47</v>
      </c>
      <c r="H4" s="159" t="s">
        <v>118</v>
      </c>
      <c r="J4" s="154"/>
      <c r="K4" s="154"/>
      <c r="L4" s="154"/>
      <c r="M4" s="160"/>
      <c r="P4" s="154"/>
      <c r="Q4" s="154"/>
      <c r="R4" s="154"/>
      <c r="S4" s="154"/>
      <c r="T4" s="154"/>
      <c r="V4" s="154"/>
      <c r="W4" s="154"/>
      <c r="X4" s="154"/>
      <c r="Y4" s="154"/>
      <c r="AA4" s="154"/>
      <c r="AB4" s="154"/>
      <c r="AC4" s="154"/>
      <c r="AD4" s="154"/>
    </row>
    <row r="5" spans="1:30" x14ac:dyDescent="0.25">
      <c r="B5" s="134">
        <v>1</v>
      </c>
      <c r="C5" s="174" t="s">
        <v>37</v>
      </c>
      <c r="D5" s="135" t="s">
        <v>38</v>
      </c>
      <c r="E5" s="161">
        <v>39.572500000000005</v>
      </c>
      <c r="F5" s="161">
        <v>49.854999999999997</v>
      </c>
      <c r="G5" s="161">
        <v>49.29</v>
      </c>
      <c r="H5" s="190">
        <f>(F5-G5)/(G5-E5)*100</f>
        <v>5.814252636995092</v>
      </c>
      <c r="J5" s="161"/>
      <c r="M5" s="162"/>
      <c r="O5" s="162"/>
      <c r="T5" s="163"/>
      <c r="V5" s="154"/>
      <c r="Y5" s="163"/>
      <c r="AD5" s="163"/>
    </row>
    <row r="6" spans="1:30" x14ac:dyDescent="0.25">
      <c r="B6" s="134">
        <v>1</v>
      </c>
      <c r="C6" s="174" t="s">
        <v>37</v>
      </c>
      <c r="D6" s="210" t="s">
        <v>39</v>
      </c>
      <c r="E6" s="161">
        <v>47.924999999999997</v>
      </c>
      <c r="F6" s="161">
        <v>58.629999999999995</v>
      </c>
      <c r="G6" s="161">
        <v>57.75</v>
      </c>
      <c r="H6" s="190">
        <f t="shared" ref="H6:H16" si="0">(F6-G6)/(G6-E6)*100</f>
        <v>8.9567430025444796</v>
      </c>
      <c r="K6" s="164"/>
      <c r="L6" s="164"/>
      <c r="M6" s="162"/>
      <c r="O6" s="162"/>
      <c r="R6" s="164"/>
      <c r="T6" s="163"/>
      <c r="W6" s="164"/>
      <c r="Y6" s="163"/>
      <c r="AA6" s="164"/>
      <c r="AD6" s="163"/>
    </row>
    <row r="7" spans="1:30" x14ac:dyDescent="0.25">
      <c r="B7" s="134">
        <v>1</v>
      </c>
      <c r="C7" s="174" t="s">
        <v>37</v>
      </c>
      <c r="D7" s="135" t="s">
        <v>40</v>
      </c>
      <c r="E7" s="161">
        <v>46.1</v>
      </c>
      <c r="F7" s="161">
        <v>56.525000000000006</v>
      </c>
      <c r="G7" s="161">
        <v>55.260000000000005</v>
      </c>
      <c r="H7" s="190">
        <f>(F7-G7)/(G7-E7)*100</f>
        <v>13.810043668122271</v>
      </c>
      <c r="M7" s="162"/>
      <c r="O7" s="162"/>
      <c r="T7" s="163"/>
      <c r="Y7" s="163"/>
      <c r="AD7" s="163"/>
    </row>
    <row r="8" spans="1:30" x14ac:dyDescent="0.25">
      <c r="B8" s="134">
        <v>1</v>
      </c>
      <c r="C8" s="174" t="s">
        <v>41</v>
      </c>
      <c r="D8" s="135" t="s">
        <v>38</v>
      </c>
      <c r="E8" s="161">
        <v>42.980000000000004</v>
      </c>
      <c r="F8" s="161">
        <v>53.585000000000001</v>
      </c>
      <c r="G8" s="161">
        <v>52.69</v>
      </c>
      <c r="H8" s="190">
        <f t="shared" si="0"/>
        <v>9.2173017507724371</v>
      </c>
      <c r="K8" s="164"/>
      <c r="L8" s="164"/>
      <c r="M8" s="162"/>
      <c r="O8" s="162"/>
      <c r="T8" s="163"/>
      <c r="Y8" s="163"/>
      <c r="AD8" s="163"/>
    </row>
    <row r="9" spans="1:30" x14ac:dyDescent="0.25">
      <c r="B9" s="134">
        <v>1</v>
      </c>
      <c r="C9" s="174" t="s">
        <v>41</v>
      </c>
      <c r="D9" s="135" t="s">
        <v>39</v>
      </c>
      <c r="E9" s="161">
        <v>38.99</v>
      </c>
      <c r="F9" s="161">
        <v>49.14</v>
      </c>
      <c r="G9" s="161">
        <v>48.14</v>
      </c>
      <c r="H9" s="190">
        <f t="shared" si="0"/>
        <v>10.928961748633881</v>
      </c>
      <c r="M9" s="162"/>
      <c r="O9" s="162"/>
      <c r="T9" s="163"/>
      <c r="W9" s="164"/>
      <c r="Y9" s="163"/>
      <c r="AA9" s="164"/>
      <c r="AD9" s="163"/>
    </row>
    <row r="10" spans="1:30" x14ac:dyDescent="0.25">
      <c r="B10" s="134">
        <v>1</v>
      </c>
      <c r="C10" s="174" t="s">
        <v>41</v>
      </c>
      <c r="D10" s="135" t="s">
        <v>40</v>
      </c>
      <c r="E10" s="161">
        <v>45.473500000000001</v>
      </c>
      <c r="F10" s="161">
        <v>55.425000000000004</v>
      </c>
      <c r="G10" s="161">
        <v>54.422499999999999</v>
      </c>
      <c r="H10" s="190">
        <f t="shared" si="0"/>
        <v>11.202368979774333</v>
      </c>
      <c r="K10" s="164"/>
      <c r="L10" s="164"/>
      <c r="M10" s="162"/>
      <c r="O10" s="162"/>
      <c r="T10" s="163"/>
      <c r="Y10" s="163"/>
      <c r="AD10" s="163"/>
    </row>
    <row r="11" spans="1:30" x14ac:dyDescent="0.25">
      <c r="B11" s="134">
        <v>2</v>
      </c>
      <c r="C11" s="174" t="s">
        <v>37</v>
      </c>
      <c r="D11" s="210" t="s">
        <v>38</v>
      </c>
      <c r="E11" s="165">
        <v>42.055999999999997</v>
      </c>
      <c r="F11" s="161">
        <v>52.176000000000002</v>
      </c>
      <c r="G11" s="165">
        <v>51.777999999999999</v>
      </c>
      <c r="H11" s="190">
        <f t="shared" si="0"/>
        <v>4.093807858465369</v>
      </c>
      <c r="K11" s="164"/>
      <c r="L11" s="164"/>
      <c r="M11" s="162"/>
      <c r="O11" s="162"/>
      <c r="R11" s="164"/>
      <c r="T11" s="163"/>
      <c r="V11" s="154"/>
      <c r="Y11" s="163"/>
      <c r="AD11" s="163"/>
    </row>
    <row r="12" spans="1:30" x14ac:dyDescent="0.25">
      <c r="B12" s="134">
        <v>2</v>
      </c>
      <c r="C12" s="174" t="s">
        <v>37</v>
      </c>
      <c r="D12" s="135" t="s">
        <v>39</v>
      </c>
      <c r="E12" s="161">
        <v>43.78</v>
      </c>
      <c r="F12" s="161">
        <v>54.353999999999999</v>
      </c>
      <c r="G12" s="161">
        <v>53.85</v>
      </c>
      <c r="H12" s="190">
        <f t="shared" si="0"/>
        <v>5.0049652432968994</v>
      </c>
      <c r="M12" s="162"/>
      <c r="O12" s="162"/>
      <c r="T12" s="163"/>
      <c r="W12" s="164"/>
      <c r="Y12" s="163"/>
      <c r="AD12" s="163"/>
    </row>
    <row r="13" spans="1:30" x14ac:dyDescent="0.25">
      <c r="B13" s="134">
        <v>2</v>
      </c>
      <c r="C13" s="174" t="s">
        <v>37</v>
      </c>
      <c r="D13" s="135" t="s">
        <v>40</v>
      </c>
      <c r="E13" s="161">
        <v>37.314</v>
      </c>
      <c r="F13" s="161">
        <v>47.364000000000004</v>
      </c>
      <c r="G13" s="161">
        <v>46.899340000000002</v>
      </c>
      <c r="H13" s="190">
        <f t="shared" si="0"/>
        <v>4.8476110393580401</v>
      </c>
      <c r="M13" s="162"/>
      <c r="O13" s="162"/>
      <c r="T13" s="163"/>
      <c r="Y13" s="163"/>
      <c r="AD13" s="163"/>
    </row>
    <row r="14" spans="1:30" x14ac:dyDescent="0.25">
      <c r="B14" s="134">
        <v>2</v>
      </c>
      <c r="C14" s="174" t="s">
        <v>41</v>
      </c>
      <c r="D14" s="135" t="s">
        <v>38</v>
      </c>
      <c r="E14" s="161">
        <v>37.972299999999997</v>
      </c>
      <c r="F14" s="161">
        <v>49.100416666666668</v>
      </c>
      <c r="G14" s="161">
        <v>48.636450000000004</v>
      </c>
      <c r="H14" s="190">
        <f t="shared" si="0"/>
        <v>4.3507139965835435</v>
      </c>
      <c r="M14" s="162"/>
      <c r="O14" s="162"/>
      <c r="T14" s="163"/>
      <c r="Y14" s="163"/>
      <c r="AD14" s="163"/>
    </row>
    <row r="15" spans="1:30" x14ac:dyDescent="0.25">
      <c r="B15" s="134">
        <v>2</v>
      </c>
      <c r="C15" s="174" t="s">
        <v>41</v>
      </c>
      <c r="D15" s="135" t="s">
        <v>39</v>
      </c>
      <c r="E15" s="161">
        <v>33.856666666666669</v>
      </c>
      <c r="F15" s="161">
        <v>44.49666666666667</v>
      </c>
      <c r="G15" s="161">
        <v>43.942133333333338</v>
      </c>
      <c r="H15" s="190">
        <f t="shared" si="0"/>
        <v>5.4983408468951858</v>
      </c>
      <c r="M15" s="162"/>
      <c r="O15" s="162"/>
      <c r="T15" s="163"/>
      <c r="W15" s="164"/>
      <c r="Y15" s="163"/>
      <c r="AD15" s="163"/>
    </row>
    <row r="16" spans="1:30" ht="17" thickBot="1" x14ac:dyDescent="0.3">
      <c r="B16" s="136">
        <v>2</v>
      </c>
      <c r="C16" s="175" t="s">
        <v>41</v>
      </c>
      <c r="D16" s="211" t="s">
        <v>40</v>
      </c>
      <c r="E16" s="168">
        <v>30.655000000000001</v>
      </c>
      <c r="F16" s="168">
        <v>40.910000000000004</v>
      </c>
      <c r="G16" s="168">
        <v>40.375500000000002</v>
      </c>
      <c r="H16" s="193">
        <f t="shared" si="0"/>
        <v>5.498688339077221</v>
      </c>
      <c r="M16" s="162"/>
      <c r="O16" s="162"/>
      <c r="R16" s="164"/>
      <c r="T16" s="163"/>
      <c r="Y16" s="163"/>
      <c r="AD16" s="163"/>
    </row>
    <row r="17" spans="1:28" x14ac:dyDescent="0.25">
      <c r="B17" s="154"/>
      <c r="C17" s="154"/>
      <c r="E17" s="162"/>
      <c r="F17" s="162"/>
      <c r="G17" s="162"/>
      <c r="I17" s="154"/>
      <c r="M17" s="162"/>
    </row>
    <row r="18" spans="1:28" x14ac:dyDescent="0.25">
      <c r="B18" s="154"/>
      <c r="C18" s="154"/>
      <c r="E18" s="162"/>
      <c r="F18" s="162"/>
      <c r="G18" s="162"/>
    </row>
    <row r="19" spans="1:28" ht="17" x14ac:dyDescent="0.25">
      <c r="A19" s="154" t="s">
        <v>48</v>
      </c>
      <c r="N19" s="108" t="s">
        <v>149</v>
      </c>
    </row>
    <row r="20" spans="1:28" ht="171" thickBot="1" x14ac:dyDescent="0.3">
      <c r="B20" s="108" t="s">
        <v>79</v>
      </c>
      <c r="J20" s="154"/>
      <c r="K20" s="108" t="s">
        <v>97</v>
      </c>
      <c r="N20" s="155" t="s">
        <v>150</v>
      </c>
    </row>
    <row r="21" spans="1:28" ht="52" thickBot="1" x14ac:dyDescent="0.3">
      <c r="B21" s="156" t="s">
        <v>36</v>
      </c>
      <c r="C21" s="198" t="s">
        <v>44</v>
      </c>
      <c r="D21" s="157" t="s">
        <v>43</v>
      </c>
      <c r="E21" s="133" t="s">
        <v>16</v>
      </c>
      <c r="F21" s="133" t="s">
        <v>17</v>
      </c>
      <c r="G21" s="133" t="s">
        <v>49</v>
      </c>
      <c r="H21" s="157" t="s">
        <v>96</v>
      </c>
      <c r="I21" s="159" t="s">
        <v>160</v>
      </c>
      <c r="J21" s="154"/>
      <c r="K21" s="160"/>
      <c r="N21" s="154"/>
      <c r="O21" s="154"/>
      <c r="P21" s="154"/>
      <c r="Q21" s="154"/>
      <c r="R21" s="154"/>
      <c r="T21" s="154"/>
      <c r="U21" s="154"/>
      <c r="V21" s="154"/>
      <c r="W21" s="154"/>
      <c r="Y21" s="154"/>
      <c r="Z21" s="154"/>
      <c r="AA21" s="154"/>
      <c r="AB21" s="154"/>
    </row>
    <row r="22" spans="1:28" x14ac:dyDescent="0.25">
      <c r="B22" s="171">
        <v>1</v>
      </c>
      <c r="C22" s="108" t="s">
        <v>37</v>
      </c>
      <c r="D22" s="108" t="s">
        <v>38</v>
      </c>
      <c r="E22" s="161">
        <v>26.970233333333329</v>
      </c>
      <c r="F22" s="161">
        <v>4.5089666666666668</v>
      </c>
      <c r="G22" s="161">
        <v>31.134499999999999</v>
      </c>
      <c r="H22" s="161">
        <f>(F22+E22-G22)/F22</f>
        <v>7.6447670937168755E-2</v>
      </c>
      <c r="I22" s="190">
        <f>H22*0.45*100</f>
        <v>3.4401451921725936</v>
      </c>
      <c r="K22" s="173"/>
      <c r="R22" s="163"/>
      <c r="T22" s="154"/>
      <c r="W22" s="163"/>
      <c r="AB22" s="163"/>
    </row>
    <row r="23" spans="1:28" x14ac:dyDescent="0.25">
      <c r="B23" s="134">
        <v>1</v>
      </c>
      <c r="C23" s="108" t="s">
        <v>37</v>
      </c>
      <c r="D23" s="164" t="s">
        <v>39</v>
      </c>
      <c r="E23" s="161">
        <v>27.71363333333333</v>
      </c>
      <c r="F23" s="161">
        <v>4.9967333333333332</v>
      </c>
      <c r="G23" s="161">
        <v>32.462566666666667</v>
      </c>
      <c r="H23" s="161">
        <f t="shared" ref="H23:H33" si="1">(F23+E23-G23)/F23</f>
        <v>4.959240036824019E-2</v>
      </c>
      <c r="I23" s="190">
        <f t="shared" ref="I23:I33" si="2">H23*0.45*100</f>
        <v>2.2316580165708086</v>
      </c>
      <c r="K23" s="162"/>
      <c r="P23" s="164"/>
      <c r="R23" s="163"/>
      <c r="U23" s="164"/>
      <c r="W23" s="163"/>
      <c r="Y23" s="164"/>
      <c r="AB23" s="163"/>
    </row>
    <row r="24" spans="1:28" x14ac:dyDescent="0.25">
      <c r="B24" s="134">
        <v>1</v>
      </c>
      <c r="C24" s="108" t="s">
        <v>37</v>
      </c>
      <c r="D24" s="108" t="s">
        <v>40</v>
      </c>
      <c r="E24" s="161">
        <v>30.43</v>
      </c>
      <c r="F24" s="161">
        <v>4.84</v>
      </c>
      <c r="G24" s="161">
        <v>35.019999999999996</v>
      </c>
      <c r="H24" s="161">
        <f t="shared" si="1"/>
        <v>5.1652892561983473E-2</v>
      </c>
      <c r="I24" s="190">
        <f t="shared" si="2"/>
        <v>2.3243801652892566</v>
      </c>
      <c r="K24" s="162"/>
      <c r="R24" s="163"/>
      <c r="W24" s="163"/>
      <c r="AB24" s="163"/>
    </row>
    <row r="25" spans="1:28" x14ac:dyDescent="0.25">
      <c r="B25" s="134">
        <v>1</v>
      </c>
      <c r="C25" s="108" t="s">
        <v>41</v>
      </c>
      <c r="D25" s="108" t="s">
        <v>38</v>
      </c>
      <c r="E25" s="161">
        <v>28.359850000000002</v>
      </c>
      <c r="F25" s="161">
        <v>5.4211</v>
      </c>
      <c r="G25" s="161">
        <v>32.860699999999994</v>
      </c>
      <c r="H25" s="161">
        <f t="shared" si="1"/>
        <v>0.1697533710870506</v>
      </c>
      <c r="I25" s="190">
        <f t="shared" si="2"/>
        <v>7.6389016989172775</v>
      </c>
      <c r="K25" s="162"/>
      <c r="R25" s="163"/>
      <c r="W25" s="163"/>
      <c r="AB25" s="163"/>
    </row>
    <row r="26" spans="1:28" x14ac:dyDescent="0.25">
      <c r="B26" s="134">
        <v>1</v>
      </c>
      <c r="C26" s="108" t="s">
        <v>41</v>
      </c>
      <c r="D26" s="108" t="s">
        <v>39</v>
      </c>
      <c r="E26" s="161">
        <v>26.826000000000001</v>
      </c>
      <c r="F26" s="161">
        <v>4.6119000000000003</v>
      </c>
      <c r="G26" s="161">
        <v>30.727799999999998</v>
      </c>
      <c r="H26" s="161">
        <f t="shared" si="1"/>
        <v>0.15397124829246092</v>
      </c>
      <c r="I26" s="190">
        <f t="shared" si="2"/>
        <v>6.9287061731607409</v>
      </c>
      <c r="K26" s="162"/>
      <c r="R26" s="163"/>
      <c r="U26" s="164"/>
      <c r="W26" s="163"/>
      <c r="Y26" s="164"/>
      <c r="AB26" s="163"/>
    </row>
    <row r="27" spans="1:28" x14ac:dyDescent="0.25">
      <c r="B27" s="134">
        <v>1</v>
      </c>
      <c r="C27" s="108" t="s">
        <v>41</v>
      </c>
      <c r="D27" s="108" t="s">
        <v>40</v>
      </c>
      <c r="E27" s="161">
        <v>25.973199999999999</v>
      </c>
      <c r="F27" s="161">
        <v>4.7638499999999997</v>
      </c>
      <c r="G27" s="161">
        <v>30.26005</v>
      </c>
      <c r="H27" s="161">
        <f t="shared" si="1"/>
        <v>0.10012909726376708</v>
      </c>
      <c r="I27" s="190">
        <f t="shared" si="2"/>
        <v>4.505809376869518</v>
      </c>
      <c r="K27" s="162"/>
      <c r="R27" s="163"/>
      <c r="W27" s="163"/>
      <c r="AB27" s="163"/>
    </row>
    <row r="28" spans="1:28" x14ac:dyDescent="0.25">
      <c r="B28" s="134">
        <v>2</v>
      </c>
      <c r="C28" s="108" t="s">
        <v>37</v>
      </c>
      <c r="D28" s="164" t="s">
        <v>38</v>
      </c>
      <c r="E28" s="161">
        <v>28.565679999999997</v>
      </c>
      <c r="F28" s="161">
        <v>5.0268600000000001</v>
      </c>
      <c r="G28" s="161">
        <v>33.319159999999997</v>
      </c>
      <c r="H28" s="161">
        <f t="shared" si="1"/>
        <v>5.4383849958026094E-2</v>
      </c>
      <c r="I28" s="190">
        <f t="shared" si="2"/>
        <v>2.4472732481111743</v>
      </c>
      <c r="K28" s="162"/>
      <c r="P28" s="164"/>
      <c r="R28" s="163"/>
      <c r="T28" s="154"/>
      <c r="W28" s="163"/>
      <c r="AB28" s="163"/>
    </row>
    <row r="29" spans="1:28" x14ac:dyDescent="0.25">
      <c r="B29" s="134">
        <v>2</v>
      </c>
      <c r="C29" s="108" t="s">
        <v>37</v>
      </c>
      <c r="D29" s="108" t="s">
        <v>39</v>
      </c>
      <c r="E29" s="161">
        <v>27.380200000000002</v>
      </c>
      <c r="F29" s="161">
        <v>5.1013666666666673</v>
      </c>
      <c r="G29" s="161">
        <v>32.277666666666669</v>
      </c>
      <c r="H29" s="161">
        <f t="shared" si="1"/>
        <v>3.9969681327225504E-2</v>
      </c>
      <c r="I29" s="190">
        <f t="shared" si="2"/>
        <v>1.7986356597251476</v>
      </c>
      <c r="K29" s="162"/>
      <c r="R29" s="163"/>
      <c r="U29" s="164"/>
      <c r="W29" s="163"/>
      <c r="AB29" s="163"/>
    </row>
    <row r="30" spans="1:28" x14ac:dyDescent="0.25">
      <c r="B30" s="134">
        <v>2</v>
      </c>
      <c r="C30" s="108" t="s">
        <v>37</v>
      </c>
      <c r="D30" s="108" t="s">
        <v>40</v>
      </c>
      <c r="E30" s="161">
        <v>28.8124</v>
      </c>
      <c r="F30" s="161">
        <v>4.5232999999999999</v>
      </c>
      <c r="G30" s="161">
        <v>33.094200000000001</v>
      </c>
      <c r="H30" s="161">
        <f t="shared" si="1"/>
        <v>5.3390223951540257E-2</v>
      </c>
      <c r="I30" s="190">
        <f t="shared" si="2"/>
        <v>2.4025600778193117</v>
      </c>
      <c r="K30" s="162"/>
      <c r="R30" s="163"/>
      <c r="W30" s="163"/>
      <c r="AB30" s="163"/>
    </row>
    <row r="31" spans="1:28" x14ac:dyDescent="0.25">
      <c r="B31" s="134">
        <v>2</v>
      </c>
      <c r="C31" s="108" t="s">
        <v>41</v>
      </c>
      <c r="D31" s="108" t="s">
        <v>38</v>
      </c>
      <c r="E31" s="161">
        <v>27.999320000000001</v>
      </c>
      <c r="F31" s="161">
        <v>5.0282400000000003</v>
      </c>
      <c r="G31" s="161">
        <v>32.622140000000002</v>
      </c>
      <c r="H31" s="161">
        <f t="shared" si="1"/>
        <v>8.0628609612906188E-2</v>
      </c>
      <c r="I31" s="190">
        <f t="shared" si="2"/>
        <v>3.6282874325807781</v>
      </c>
      <c r="K31" s="162"/>
      <c r="R31" s="163"/>
      <c r="W31" s="163"/>
      <c r="AB31" s="163"/>
    </row>
    <row r="32" spans="1:28" x14ac:dyDescent="0.25">
      <c r="B32" s="134">
        <v>2</v>
      </c>
      <c r="C32" s="108" t="s">
        <v>41</v>
      </c>
      <c r="D32" s="108" t="s">
        <v>39</v>
      </c>
      <c r="E32" s="161">
        <v>29.3933</v>
      </c>
      <c r="F32" s="161">
        <v>4.5392000000000001</v>
      </c>
      <c r="G32" s="161">
        <v>33.592599999999997</v>
      </c>
      <c r="H32" s="161">
        <f t="shared" si="1"/>
        <v>7.4881036305957022E-2</v>
      </c>
      <c r="I32" s="190">
        <f t="shared" si="2"/>
        <v>3.3696466337680664</v>
      </c>
      <c r="K32" s="162"/>
      <c r="R32" s="163"/>
      <c r="U32" s="164"/>
      <c r="W32" s="163"/>
      <c r="AB32" s="163"/>
    </row>
    <row r="33" spans="1:29" ht="17" thickBot="1" x14ac:dyDescent="0.3">
      <c r="B33" s="136">
        <v>2</v>
      </c>
      <c r="C33" s="166" t="s">
        <v>41</v>
      </c>
      <c r="D33" s="167" t="s">
        <v>40</v>
      </c>
      <c r="E33" s="168">
        <v>29.456733333333332</v>
      </c>
      <c r="F33" s="168">
        <v>4.8013666666666666</v>
      </c>
      <c r="G33" s="168">
        <v>34.115333333333332</v>
      </c>
      <c r="H33" s="168">
        <f t="shared" si="1"/>
        <v>2.9734589457168455E-2</v>
      </c>
      <c r="I33" s="193">
        <f t="shared" si="2"/>
        <v>1.3380565255725805</v>
      </c>
      <c r="K33" s="162"/>
      <c r="P33" s="164"/>
      <c r="R33" s="163"/>
      <c r="W33" s="163"/>
      <c r="AB33" s="163"/>
    </row>
    <row r="34" spans="1:29" x14ac:dyDescent="0.25">
      <c r="B34" s="154"/>
      <c r="C34" s="154"/>
      <c r="E34" s="162"/>
      <c r="F34" s="162"/>
      <c r="G34" s="162"/>
      <c r="M34" s="162"/>
    </row>
    <row r="35" spans="1:29" x14ac:dyDescent="0.25">
      <c r="B35" s="154"/>
      <c r="C35" s="154"/>
      <c r="E35" s="162"/>
      <c r="F35" s="162"/>
      <c r="I35" s="154"/>
      <c r="N35" s="108" t="s">
        <v>105</v>
      </c>
    </row>
    <row r="36" spans="1:29" x14ac:dyDescent="0.25">
      <c r="B36" s="154"/>
      <c r="C36" s="154"/>
      <c r="N36" s="155"/>
    </row>
    <row r="37" spans="1:29" x14ac:dyDescent="0.25">
      <c r="A37" s="154" t="s">
        <v>50</v>
      </c>
      <c r="B37" s="154"/>
      <c r="C37" s="154"/>
    </row>
    <row r="38" spans="1:29" ht="69" thickBot="1" x14ac:dyDescent="0.3">
      <c r="B38" s="108" t="s">
        <v>80</v>
      </c>
      <c r="F38" s="108" t="s">
        <v>98</v>
      </c>
      <c r="H38" s="108" t="s">
        <v>110</v>
      </c>
      <c r="J38" s="108" t="s">
        <v>81</v>
      </c>
      <c r="N38" s="155" t="s">
        <v>109</v>
      </c>
    </row>
    <row r="39" spans="1:29" ht="409.6" thickBot="1" x14ac:dyDescent="0.3">
      <c r="B39" s="156" t="s">
        <v>36</v>
      </c>
      <c r="C39" s="198" t="s">
        <v>44</v>
      </c>
      <c r="D39" s="159" t="s">
        <v>43</v>
      </c>
      <c r="E39" s="133" t="s">
        <v>51</v>
      </c>
      <c r="F39" s="133" t="s">
        <v>7</v>
      </c>
      <c r="G39" s="188" t="s">
        <v>113</v>
      </c>
      <c r="H39" s="159" t="s">
        <v>112</v>
      </c>
      <c r="J39" s="198" t="s">
        <v>161</v>
      </c>
      <c r="K39" s="159" t="s">
        <v>7</v>
      </c>
      <c r="L39" s="160"/>
      <c r="M39" s="155" t="s">
        <v>152</v>
      </c>
      <c r="O39" s="154"/>
      <c r="P39" s="154"/>
      <c r="Q39" s="154"/>
      <c r="R39" s="154"/>
      <c r="S39" s="154"/>
      <c r="U39" s="154"/>
      <c r="V39" s="154"/>
      <c r="W39" s="154"/>
      <c r="X39" s="154"/>
      <c r="Z39" s="154"/>
      <c r="AA39" s="154"/>
      <c r="AB39" s="154"/>
      <c r="AC39" s="154"/>
    </row>
    <row r="40" spans="1:29" x14ac:dyDescent="0.25">
      <c r="B40" s="134">
        <v>1</v>
      </c>
      <c r="C40" s="174" t="s">
        <v>37</v>
      </c>
      <c r="D40" s="135" t="s">
        <v>38</v>
      </c>
      <c r="E40" s="161">
        <v>0.50390000000000001</v>
      </c>
      <c r="F40" s="161">
        <v>0.45250000000000001</v>
      </c>
      <c r="G40" s="161">
        <f>F40*18.6356</f>
        <v>8.4326090000000011</v>
      </c>
      <c r="H40" s="190">
        <f>G40*(25/1000)/E40</f>
        <v>0.41836718594959327</v>
      </c>
      <c r="J40" s="174">
        <v>1</v>
      </c>
      <c r="K40" s="135">
        <v>0.04</v>
      </c>
      <c r="L40" s="173"/>
      <c r="S40" s="161"/>
      <c r="U40" s="154"/>
      <c r="X40" s="162"/>
      <c r="AC40" s="161"/>
    </row>
    <row r="41" spans="1:29" x14ac:dyDescent="0.25">
      <c r="B41" s="134">
        <v>1</v>
      </c>
      <c r="C41" s="174" t="s">
        <v>37</v>
      </c>
      <c r="D41" s="210" t="s">
        <v>39</v>
      </c>
      <c r="E41" s="161">
        <v>0.50792499999999996</v>
      </c>
      <c r="F41" s="161">
        <v>0.2515</v>
      </c>
      <c r="G41" s="161">
        <f t="shared" ref="G41:G51" si="3">F41*18.6356</f>
        <v>4.6868534000000004</v>
      </c>
      <c r="H41" s="190">
        <f t="shared" ref="H41:H51" si="4">G41*(25/1000)/E41</f>
        <v>0.23068629226755924</v>
      </c>
      <c r="J41" s="174">
        <v>2</v>
      </c>
      <c r="K41" s="135">
        <v>0.12</v>
      </c>
      <c r="L41" s="162"/>
      <c r="Q41" s="164"/>
      <c r="S41" s="161"/>
      <c r="V41" s="164"/>
      <c r="X41" s="162"/>
      <c r="Z41" s="164"/>
      <c r="AC41" s="161"/>
    </row>
    <row r="42" spans="1:29" ht="17" thickBot="1" x14ac:dyDescent="0.3">
      <c r="B42" s="134">
        <v>1</v>
      </c>
      <c r="C42" s="174" t="s">
        <v>37</v>
      </c>
      <c r="D42" s="135" t="s">
        <v>40</v>
      </c>
      <c r="E42" s="161">
        <v>0.51232500000000003</v>
      </c>
      <c r="F42" s="161">
        <v>0.20674999999999999</v>
      </c>
      <c r="G42" s="161">
        <f t="shared" si="3"/>
        <v>3.8529103</v>
      </c>
      <c r="H42" s="190">
        <f t="shared" si="4"/>
        <v>0.18801104279510078</v>
      </c>
      <c r="J42" s="175">
        <v>4</v>
      </c>
      <c r="K42" s="137">
        <v>0.21</v>
      </c>
      <c r="L42" s="162"/>
      <c r="S42" s="161"/>
      <c r="X42" s="162"/>
      <c r="AC42" s="161"/>
    </row>
    <row r="43" spans="1:29" x14ac:dyDescent="0.25">
      <c r="B43" s="134">
        <v>1</v>
      </c>
      <c r="C43" s="174" t="s">
        <v>41</v>
      </c>
      <c r="D43" s="135" t="s">
        <v>38</v>
      </c>
      <c r="E43" s="161">
        <v>0.5</v>
      </c>
      <c r="F43" s="161">
        <v>0.26500000000000001</v>
      </c>
      <c r="G43" s="161">
        <f t="shared" si="3"/>
        <v>4.938434</v>
      </c>
      <c r="H43" s="190">
        <f t="shared" si="4"/>
        <v>0.24692170000000002</v>
      </c>
      <c r="L43" s="162"/>
      <c r="S43" s="161"/>
      <c r="X43" s="162"/>
      <c r="AC43" s="161"/>
    </row>
    <row r="44" spans="1:29" x14ac:dyDescent="0.25">
      <c r="B44" s="134">
        <v>1</v>
      </c>
      <c r="C44" s="174" t="s">
        <v>41</v>
      </c>
      <c r="D44" s="135" t="s">
        <v>39</v>
      </c>
      <c r="E44" s="161">
        <v>0.50459999999999994</v>
      </c>
      <c r="F44" s="161">
        <v>0.23449999999999999</v>
      </c>
      <c r="G44" s="161">
        <f t="shared" si="3"/>
        <v>4.3700481999999994</v>
      </c>
      <c r="H44" s="190">
        <f t="shared" si="4"/>
        <v>0.21651051327784385</v>
      </c>
      <c r="J44" s="108" t="s">
        <v>111</v>
      </c>
      <c r="L44" s="162"/>
      <c r="S44" s="161"/>
      <c r="V44" s="164"/>
      <c r="X44" s="162"/>
      <c r="Z44" s="164"/>
      <c r="AC44" s="161"/>
    </row>
    <row r="45" spans="1:29" ht="48" customHeight="1" x14ac:dyDescent="0.25">
      <c r="B45" s="134">
        <v>1</v>
      </c>
      <c r="C45" s="174" t="s">
        <v>41</v>
      </c>
      <c r="D45" s="135" t="s">
        <v>40</v>
      </c>
      <c r="E45" s="161">
        <v>0.50009999999999999</v>
      </c>
      <c r="F45" s="161">
        <v>3.2000000000000001E-2</v>
      </c>
      <c r="G45" s="161">
        <f t="shared" si="3"/>
        <v>0.59633920000000007</v>
      </c>
      <c r="H45" s="190">
        <f t="shared" si="4"/>
        <v>2.9810997800439915E-2</v>
      </c>
      <c r="J45" s="329" t="s">
        <v>108</v>
      </c>
      <c r="K45" s="329"/>
      <c r="L45" s="162"/>
      <c r="S45" s="161"/>
      <c r="X45" s="162"/>
      <c r="AC45" s="161"/>
    </row>
    <row r="46" spans="1:29" x14ac:dyDescent="0.25">
      <c r="B46" s="134">
        <v>2</v>
      </c>
      <c r="C46" s="174" t="s">
        <v>37</v>
      </c>
      <c r="D46" s="210" t="s">
        <v>38</v>
      </c>
      <c r="E46" s="161">
        <v>0.54169999999999996</v>
      </c>
      <c r="F46" s="161">
        <v>0.4403333333333333</v>
      </c>
      <c r="G46" s="161">
        <f t="shared" si="3"/>
        <v>8.2058758666666662</v>
      </c>
      <c r="H46" s="190">
        <f t="shared" si="4"/>
        <v>0.37870942711217775</v>
      </c>
      <c r="J46" s="154">
        <v>18.6356</v>
      </c>
      <c r="L46" s="162"/>
      <c r="Q46" s="164"/>
      <c r="S46" s="161"/>
      <c r="U46" s="154"/>
      <c r="X46" s="162"/>
      <c r="AC46" s="161"/>
    </row>
    <row r="47" spans="1:29" x14ac:dyDescent="0.25">
      <c r="B47" s="134">
        <v>2</v>
      </c>
      <c r="C47" s="174" t="s">
        <v>37</v>
      </c>
      <c r="D47" s="135" t="s">
        <v>39</v>
      </c>
      <c r="E47" s="161">
        <v>0.51026666666666665</v>
      </c>
      <c r="F47" s="161">
        <v>0.23666666666666666</v>
      </c>
      <c r="G47" s="161">
        <f t="shared" si="3"/>
        <v>4.4104253333333334</v>
      </c>
      <c r="H47" s="190">
        <f t="shared" si="4"/>
        <v>0.21608433498824148</v>
      </c>
      <c r="L47" s="162"/>
      <c r="S47" s="161"/>
      <c r="V47" s="164"/>
      <c r="X47" s="162"/>
      <c r="AC47" s="161"/>
    </row>
    <row r="48" spans="1:29" x14ac:dyDescent="0.25">
      <c r="B48" s="134">
        <v>2</v>
      </c>
      <c r="C48" s="174" t="s">
        <v>37</v>
      </c>
      <c r="D48" s="135" t="s">
        <v>40</v>
      </c>
      <c r="E48" s="161">
        <v>0.50129999999999997</v>
      </c>
      <c r="F48" s="161">
        <v>0.13566666666666669</v>
      </c>
      <c r="G48" s="161">
        <f t="shared" si="3"/>
        <v>2.5282297333333337</v>
      </c>
      <c r="H48" s="190">
        <f t="shared" si="4"/>
        <v>0.12608366912693666</v>
      </c>
      <c r="I48" s="154"/>
      <c r="L48" s="162"/>
      <c r="S48" s="161"/>
      <c r="X48" s="162"/>
      <c r="AC48" s="161"/>
    </row>
    <row r="49" spans="1:44" x14ac:dyDescent="0.25">
      <c r="B49" s="134">
        <v>2</v>
      </c>
      <c r="C49" s="174" t="s">
        <v>41</v>
      </c>
      <c r="D49" s="135" t="s">
        <v>38</v>
      </c>
      <c r="E49" s="161">
        <v>0.51916000000000007</v>
      </c>
      <c r="F49" s="161">
        <v>0.19400000000000001</v>
      </c>
      <c r="G49" s="161">
        <f t="shared" si="3"/>
        <v>3.6153064000000001</v>
      </c>
      <c r="H49" s="190">
        <f t="shared" si="4"/>
        <v>0.17409403652053315</v>
      </c>
      <c r="I49" s="154"/>
      <c r="L49" s="162"/>
      <c r="S49" s="161"/>
      <c r="X49" s="162"/>
      <c r="AC49" s="161"/>
    </row>
    <row r="50" spans="1:44" x14ac:dyDescent="0.25">
      <c r="B50" s="134">
        <v>2</v>
      </c>
      <c r="C50" s="174" t="s">
        <v>41</v>
      </c>
      <c r="D50" s="135" t="s">
        <v>39</v>
      </c>
      <c r="E50" s="161">
        <v>0.54356666666666664</v>
      </c>
      <c r="F50" s="161">
        <v>0.126</v>
      </c>
      <c r="G50" s="161">
        <f t="shared" si="3"/>
        <v>2.3480856000000001</v>
      </c>
      <c r="H50" s="190">
        <f t="shared" si="4"/>
        <v>0.10799437051572947</v>
      </c>
      <c r="I50" s="154"/>
      <c r="L50" s="162"/>
      <c r="S50" s="161"/>
      <c r="V50" s="164"/>
      <c r="X50" s="162"/>
      <c r="AC50" s="161"/>
    </row>
    <row r="51" spans="1:44" ht="17" thickBot="1" x14ac:dyDescent="0.3">
      <c r="B51" s="136">
        <v>2</v>
      </c>
      <c r="C51" s="175" t="s">
        <v>41</v>
      </c>
      <c r="D51" s="211" t="s">
        <v>40</v>
      </c>
      <c r="E51" s="168">
        <v>0.52424999999999999</v>
      </c>
      <c r="F51" s="168">
        <v>9.7925000000000012E-2</v>
      </c>
      <c r="G51" s="168">
        <f t="shared" si="3"/>
        <v>1.8248911300000001</v>
      </c>
      <c r="H51" s="193">
        <f t="shared" si="4"/>
        <v>8.7023897472579895E-2</v>
      </c>
      <c r="L51" s="162"/>
      <c r="Q51" s="164"/>
      <c r="S51" s="161"/>
      <c r="X51" s="162"/>
      <c r="AC51" s="161"/>
    </row>
    <row r="52" spans="1:44" x14ac:dyDescent="0.25">
      <c r="B52" s="154"/>
      <c r="C52" s="154"/>
      <c r="E52" s="162"/>
      <c r="F52" s="162"/>
      <c r="I52" s="154"/>
      <c r="M52" s="162"/>
    </row>
    <row r="53" spans="1:44" x14ac:dyDescent="0.25">
      <c r="B53" s="154"/>
      <c r="C53" s="154"/>
      <c r="E53" s="162"/>
      <c r="F53" s="162"/>
      <c r="I53" s="154"/>
      <c r="M53" s="162"/>
    </row>
    <row r="55" spans="1:44" ht="34" x14ac:dyDescent="0.25">
      <c r="A55" s="160" t="s">
        <v>52</v>
      </c>
      <c r="B55" s="155"/>
      <c r="C55" s="155"/>
      <c r="D55" s="155"/>
      <c r="E55" s="155"/>
      <c r="F55" s="155"/>
      <c r="G55" s="155"/>
      <c r="H55" s="155"/>
      <c r="I55" s="155"/>
      <c r="J55" s="155"/>
      <c r="K55" s="155"/>
    </row>
    <row r="56" spans="1:44" ht="35" thickBot="1" x14ac:dyDescent="0.3">
      <c r="A56" s="155"/>
      <c r="B56" s="155" t="s">
        <v>18</v>
      </c>
      <c r="C56" s="155"/>
      <c r="D56" s="155"/>
      <c r="E56" s="155"/>
      <c r="F56" s="155"/>
      <c r="G56" s="155"/>
      <c r="H56" s="155"/>
      <c r="I56" s="155"/>
      <c r="J56" s="160"/>
      <c r="K56" s="160"/>
      <c r="L56" s="154"/>
    </row>
    <row r="57" spans="1:44" ht="35" thickBot="1" x14ac:dyDescent="0.3">
      <c r="A57" s="155"/>
      <c r="B57" s="187" t="s">
        <v>36</v>
      </c>
      <c r="C57" s="133" t="s">
        <v>44</v>
      </c>
      <c r="D57" s="133" t="s">
        <v>43</v>
      </c>
      <c r="E57" s="176" t="s">
        <v>10</v>
      </c>
      <c r="F57" s="214" t="s">
        <v>153</v>
      </c>
      <c r="G57" s="155"/>
      <c r="H57" s="160"/>
      <c r="I57" s="155"/>
      <c r="J57" s="155"/>
      <c r="K57" s="155"/>
      <c r="L57" s="160"/>
      <c r="O57" s="154"/>
      <c r="P57" s="154"/>
      <c r="Q57" s="154"/>
      <c r="R57" s="154"/>
      <c r="S57" s="154"/>
      <c r="T57" s="154"/>
      <c r="Z57" s="154"/>
      <c r="AA57" s="154"/>
      <c r="AB57" s="154"/>
      <c r="AC57" s="154"/>
      <c r="AD57" s="154"/>
      <c r="AH57" s="154"/>
      <c r="AI57" s="154"/>
      <c r="AJ57" s="154"/>
      <c r="AK57" s="154"/>
      <c r="AL57" s="154"/>
      <c r="AO57" s="154"/>
      <c r="AP57" s="154"/>
      <c r="AQ57" s="154"/>
      <c r="AR57" s="154"/>
    </row>
    <row r="58" spans="1:44" ht="17" x14ac:dyDescent="0.25">
      <c r="A58" s="155"/>
      <c r="B58" s="215">
        <v>1</v>
      </c>
      <c r="C58" s="216" t="s">
        <v>37</v>
      </c>
      <c r="D58" s="216" t="s">
        <v>38</v>
      </c>
      <c r="E58" s="234">
        <v>5.1025</v>
      </c>
      <c r="F58" s="235">
        <v>115.125</v>
      </c>
      <c r="G58" s="155"/>
      <c r="H58" s="160"/>
      <c r="I58" s="155"/>
      <c r="J58" s="217"/>
      <c r="K58" s="217"/>
      <c r="L58" s="173"/>
      <c r="S58" s="162"/>
      <c r="T58" s="180"/>
      <c r="AC58" s="162"/>
      <c r="AD58" s="180"/>
      <c r="AH58" s="154"/>
      <c r="AK58" s="163"/>
      <c r="AL58" s="180"/>
      <c r="AQ58" s="163"/>
      <c r="AR58" s="180"/>
    </row>
    <row r="59" spans="1:44" ht="17" x14ac:dyDescent="0.25">
      <c r="A59" s="155"/>
      <c r="B59" s="205">
        <v>1</v>
      </c>
      <c r="C59" s="155" t="s">
        <v>37</v>
      </c>
      <c r="D59" s="217" t="s">
        <v>39</v>
      </c>
      <c r="E59" s="236">
        <v>6.79</v>
      </c>
      <c r="F59" s="230">
        <v>76.849999999999994</v>
      </c>
      <c r="G59" s="155"/>
      <c r="H59" s="160"/>
      <c r="I59" s="155"/>
      <c r="J59" s="155"/>
      <c r="K59" s="155"/>
      <c r="L59" s="162"/>
      <c r="Q59" s="164"/>
      <c r="S59" s="162"/>
      <c r="T59" s="180"/>
      <c r="Z59" s="164"/>
      <c r="AC59" s="162"/>
      <c r="AD59" s="180"/>
      <c r="AI59" s="164"/>
      <c r="AK59" s="163"/>
      <c r="AL59" s="180"/>
      <c r="AO59" s="164"/>
      <c r="AQ59" s="163"/>
      <c r="AR59" s="180"/>
    </row>
    <row r="60" spans="1:44" ht="17" x14ac:dyDescent="0.25">
      <c r="A60" s="155"/>
      <c r="B60" s="205">
        <v>1</v>
      </c>
      <c r="C60" s="155" t="s">
        <v>37</v>
      </c>
      <c r="D60" s="155" t="s">
        <v>40</v>
      </c>
      <c r="E60" s="236">
        <v>6.85</v>
      </c>
      <c r="F60" s="230">
        <v>74.05</v>
      </c>
      <c r="G60" s="155"/>
      <c r="H60" s="160"/>
      <c r="I60" s="155"/>
      <c r="J60" s="155"/>
      <c r="K60" s="155"/>
      <c r="L60" s="162"/>
      <c r="S60" s="162"/>
      <c r="T60" s="180"/>
      <c r="AC60" s="162"/>
      <c r="AD60" s="180"/>
      <c r="AK60" s="163"/>
      <c r="AL60" s="180"/>
      <c r="AQ60" s="163"/>
      <c r="AR60" s="180"/>
    </row>
    <row r="61" spans="1:44" ht="17" x14ac:dyDescent="0.25">
      <c r="A61" s="155"/>
      <c r="B61" s="205">
        <v>1</v>
      </c>
      <c r="C61" s="155" t="s">
        <v>41</v>
      </c>
      <c r="D61" s="155" t="s">
        <v>38</v>
      </c>
      <c r="E61" s="236">
        <v>6.4849999999999994</v>
      </c>
      <c r="F61" s="230">
        <v>64.25</v>
      </c>
      <c r="G61" s="155"/>
      <c r="H61" s="160"/>
      <c r="I61" s="155"/>
      <c r="J61" s="155"/>
      <c r="K61" s="155"/>
      <c r="L61" s="162"/>
      <c r="S61" s="162"/>
      <c r="T61" s="180"/>
      <c r="AC61" s="162"/>
      <c r="AD61" s="180"/>
      <c r="AK61" s="163"/>
      <c r="AL61" s="180"/>
      <c r="AQ61" s="163"/>
      <c r="AR61" s="180"/>
    </row>
    <row r="62" spans="1:44" ht="17" x14ac:dyDescent="0.25">
      <c r="A62" s="155"/>
      <c r="B62" s="205">
        <v>1</v>
      </c>
      <c r="C62" s="155" t="s">
        <v>41</v>
      </c>
      <c r="D62" s="155" t="s">
        <v>39</v>
      </c>
      <c r="E62" s="236">
        <v>6.3</v>
      </c>
      <c r="F62" s="230">
        <v>141.15</v>
      </c>
      <c r="G62" s="155"/>
      <c r="H62" s="160"/>
      <c r="I62" s="155"/>
      <c r="J62" s="155"/>
      <c r="K62" s="155"/>
      <c r="L62" s="162"/>
      <c r="S62" s="162"/>
      <c r="T62" s="180"/>
      <c r="Z62" s="164"/>
      <c r="AC62" s="162"/>
      <c r="AD62" s="180"/>
      <c r="AI62" s="164"/>
      <c r="AK62" s="163"/>
      <c r="AL62" s="180"/>
      <c r="AO62" s="164"/>
      <c r="AQ62" s="163"/>
      <c r="AR62" s="180"/>
    </row>
    <row r="63" spans="1:44" ht="17" x14ac:dyDescent="0.25">
      <c r="A63" s="155"/>
      <c r="B63" s="205">
        <v>1</v>
      </c>
      <c r="C63" s="155" t="s">
        <v>41</v>
      </c>
      <c r="D63" s="155" t="s">
        <v>40</v>
      </c>
      <c r="E63" s="236">
        <v>6.0975000000000001</v>
      </c>
      <c r="F63" s="230">
        <v>165.5</v>
      </c>
      <c r="G63" s="155"/>
      <c r="H63" s="160"/>
      <c r="I63" s="155"/>
      <c r="J63" s="217"/>
      <c r="K63" s="217"/>
      <c r="L63" s="162"/>
      <c r="S63" s="162"/>
      <c r="T63" s="180"/>
      <c r="AC63" s="162"/>
      <c r="AD63" s="180"/>
      <c r="AK63" s="163"/>
      <c r="AL63" s="180"/>
      <c r="AQ63" s="163"/>
      <c r="AR63" s="180"/>
    </row>
    <row r="64" spans="1:44" ht="17" x14ac:dyDescent="0.25">
      <c r="A64" s="155"/>
      <c r="B64" s="205">
        <v>2</v>
      </c>
      <c r="C64" s="155" t="s">
        <v>37</v>
      </c>
      <c r="D64" s="217" t="s">
        <v>38</v>
      </c>
      <c r="E64" s="236">
        <v>5.58</v>
      </c>
      <c r="F64" s="230">
        <v>108.96</v>
      </c>
      <c r="G64" s="155"/>
      <c r="H64" s="160"/>
      <c r="I64" s="155"/>
      <c r="J64" s="155"/>
      <c r="K64" s="155"/>
      <c r="L64" s="162"/>
      <c r="Q64" s="164"/>
      <c r="S64" s="162"/>
      <c r="T64" s="180"/>
      <c r="AC64" s="162"/>
      <c r="AD64" s="180"/>
      <c r="AH64" s="154"/>
      <c r="AK64" s="163"/>
      <c r="AL64" s="180"/>
    </row>
    <row r="65" spans="1:38" ht="17" x14ac:dyDescent="0.25">
      <c r="A65" s="155"/>
      <c r="B65" s="205">
        <v>2</v>
      </c>
      <c r="C65" s="155" t="s">
        <v>37</v>
      </c>
      <c r="D65" s="155" t="s">
        <v>39</v>
      </c>
      <c r="E65" s="236">
        <v>5.7936666666666667</v>
      </c>
      <c r="F65" s="230">
        <v>93.3</v>
      </c>
      <c r="G65" s="155"/>
      <c r="H65" s="160"/>
      <c r="I65" s="155"/>
      <c r="J65" s="155"/>
      <c r="K65" s="155"/>
      <c r="L65" s="162"/>
      <c r="S65" s="162"/>
      <c r="T65" s="180"/>
      <c r="AC65" s="162"/>
      <c r="AD65" s="180"/>
      <c r="AI65" s="164"/>
      <c r="AK65" s="163"/>
      <c r="AL65" s="180"/>
    </row>
    <row r="66" spans="1:38" ht="17" x14ac:dyDescent="0.25">
      <c r="A66" s="155"/>
      <c r="B66" s="205">
        <v>2</v>
      </c>
      <c r="C66" s="155" t="s">
        <v>37</v>
      </c>
      <c r="D66" s="155" t="s">
        <v>40</v>
      </c>
      <c r="E66" s="236">
        <v>5.6519999999999992</v>
      </c>
      <c r="F66" s="230">
        <v>153.65</v>
      </c>
      <c r="G66" s="155"/>
      <c r="H66" s="160"/>
      <c r="I66" s="155"/>
      <c r="J66" s="155"/>
      <c r="K66" s="155"/>
      <c r="L66" s="162"/>
      <c r="S66" s="162"/>
      <c r="T66" s="180"/>
      <c r="AC66" s="162"/>
      <c r="AD66" s="180"/>
      <c r="AK66" s="163"/>
      <c r="AL66" s="180"/>
    </row>
    <row r="67" spans="1:38" ht="17" x14ac:dyDescent="0.25">
      <c r="A67" s="155"/>
      <c r="B67" s="205">
        <v>2</v>
      </c>
      <c r="C67" s="155" t="s">
        <v>41</v>
      </c>
      <c r="D67" s="155" t="s">
        <v>38</v>
      </c>
      <c r="E67" s="236">
        <v>5.9375</v>
      </c>
      <c r="F67" s="230">
        <v>96.85</v>
      </c>
      <c r="G67" s="155"/>
      <c r="H67" s="160"/>
      <c r="I67" s="155"/>
      <c r="J67" s="155"/>
      <c r="K67" s="155"/>
      <c r="L67" s="162"/>
      <c r="S67" s="162"/>
      <c r="T67" s="180"/>
      <c r="AC67" s="162"/>
      <c r="AD67" s="180"/>
      <c r="AK67" s="163"/>
      <c r="AL67" s="180"/>
    </row>
    <row r="68" spans="1:38" ht="17" x14ac:dyDescent="0.25">
      <c r="A68" s="155"/>
      <c r="B68" s="205">
        <v>2</v>
      </c>
      <c r="C68" s="155" t="s">
        <v>41</v>
      </c>
      <c r="D68" s="155" t="s">
        <v>39</v>
      </c>
      <c r="E68" s="236">
        <v>5.83</v>
      </c>
      <c r="F68" s="230">
        <v>188</v>
      </c>
      <c r="G68" s="155"/>
      <c r="H68" s="160"/>
      <c r="I68" s="155"/>
      <c r="J68" s="155"/>
      <c r="K68" s="155"/>
      <c r="L68" s="162"/>
      <c r="S68" s="162"/>
      <c r="T68" s="180"/>
      <c r="AC68" s="162"/>
      <c r="AD68" s="180"/>
      <c r="AK68" s="163"/>
      <c r="AL68" s="180"/>
    </row>
    <row r="69" spans="1:38" ht="18" thickBot="1" x14ac:dyDescent="0.3">
      <c r="A69" s="155"/>
      <c r="B69" s="207">
        <v>2</v>
      </c>
      <c r="C69" s="209" t="s">
        <v>41</v>
      </c>
      <c r="D69" s="218" t="s">
        <v>40</v>
      </c>
      <c r="E69" s="237">
        <v>5.5649999999999995</v>
      </c>
      <c r="F69" s="233">
        <v>287.35000000000002</v>
      </c>
      <c r="G69" s="155"/>
      <c r="H69" s="160"/>
      <c r="I69" s="155"/>
      <c r="J69" s="155"/>
      <c r="K69" s="155"/>
      <c r="L69" s="162"/>
      <c r="Q69" s="164"/>
      <c r="S69" s="162"/>
      <c r="T69" s="180"/>
      <c r="AC69" s="162"/>
      <c r="AD69" s="180"/>
      <c r="AK69" s="163"/>
      <c r="AL69" s="180"/>
    </row>
    <row r="70" spans="1:38" ht="51" x14ac:dyDescent="0.25">
      <c r="A70" s="160" t="s">
        <v>53</v>
      </c>
      <c r="B70" s="155"/>
      <c r="C70" s="155"/>
      <c r="D70" s="155"/>
      <c r="E70" s="155"/>
      <c r="F70" s="155"/>
      <c r="G70" s="155"/>
      <c r="H70" s="155"/>
      <c r="I70" s="155"/>
      <c r="J70" s="155"/>
      <c r="K70" s="155"/>
    </row>
    <row r="71" spans="1:38" ht="52" thickBot="1" x14ac:dyDescent="0.3">
      <c r="A71" s="155"/>
      <c r="B71" s="155" t="s">
        <v>54</v>
      </c>
      <c r="C71" s="155"/>
      <c r="D71" s="155"/>
      <c r="E71" s="155"/>
      <c r="F71" s="155"/>
      <c r="G71" s="155"/>
      <c r="H71" s="155"/>
      <c r="I71" s="155"/>
      <c r="J71" s="155"/>
      <c r="K71" s="155"/>
      <c r="L71" s="154"/>
      <c r="N71" s="155" t="s">
        <v>99</v>
      </c>
    </row>
    <row r="72" spans="1:38" ht="173" customHeight="1" thickBot="1" x14ac:dyDescent="0.35">
      <c r="A72" s="155"/>
      <c r="B72" s="187" t="s">
        <v>36</v>
      </c>
      <c r="C72" s="131" t="s">
        <v>44</v>
      </c>
      <c r="D72" s="132" t="s">
        <v>43</v>
      </c>
      <c r="E72" s="131" t="s">
        <v>19</v>
      </c>
      <c r="F72" s="133" t="s">
        <v>154</v>
      </c>
      <c r="G72" s="133" t="s">
        <v>155</v>
      </c>
      <c r="H72" s="157" t="s">
        <v>118</v>
      </c>
      <c r="I72" s="133" t="s">
        <v>142</v>
      </c>
      <c r="J72" s="132" t="s">
        <v>101</v>
      </c>
      <c r="K72" s="155"/>
      <c r="L72" s="160"/>
      <c r="M72" s="329" t="s">
        <v>100</v>
      </c>
      <c r="N72" s="329"/>
      <c r="O72" s="329"/>
      <c r="P72" s="329"/>
      <c r="Q72" s="329"/>
      <c r="R72" s="329"/>
      <c r="S72" s="329"/>
      <c r="U72" s="154"/>
      <c r="V72" s="154"/>
      <c r="W72" s="154"/>
      <c r="X72" s="154"/>
      <c r="Z72" s="154"/>
      <c r="AA72" s="154"/>
      <c r="AB72" s="154"/>
      <c r="AC72" s="154"/>
    </row>
    <row r="73" spans="1:38" ht="17" x14ac:dyDescent="0.25">
      <c r="A73" s="155"/>
      <c r="B73" s="205">
        <v>1</v>
      </c>
      <c r="C73" s="206" t="s">
        <v>37</v>
      </c>
      <c r="D73" s="219" t="s">
        <v>38</v>
      </c>
      <c r="E73" s="228">
        <v>15.1</v>
      </c>
      <c r="F73" s="229">
        <v>4.4290000000000003</v>
      </c>
      <c r="G73" s="229">
        <v>2.9155000000000002</v>
      </c>
      <c r="H73" s="229">
        <v>5.8142526369950902</v>
      </c>
      <c r="I73" s="229">
        <f t="shared" ref="I73:I84" si="5">E73/((H73/100)+1)</f>
        <v>14.270289326525653</v>
      </c>
      <c r="J73" s="230">
        <f t="shared" ref="J73:J84" si="6">(F73+G73)*40/I73</f>
        <v>20.586828569335374</v>
      </c>
      <c r="K73" s="155"/>
      <c r="L73" s="162"/>
      <c r="S73" s="163"/>
      <c r="U73" s="154"/>
      <c r="X73" s="163"/>
      <c r="AC73" s="163"/>
    </row>
    <row r="74" spans="1:38" ht="17" x14ac:dyDescent="0.25">
      <c r="A74" s="155"/>
      <c r="B74" s="205">
        <v>1</v>
      </c>
      <c r="C74" s="206" t="s">
        <v>37</v>
      </c>
      <c r="D74" s="220" t="s">
        <v>39</v>
      </c>
      <c r="E74" s="228">
        <v>15.02</v>
      </c>
      <c r="F74" s="229">
        <v>3.5407000000000002</v>
      </c>
      <c r="G74" s="229">
        <v>1.3285</v>
      </c>
      <c r="H74" s="229">
        <v>8.9567430025444796</v>
      </c>
      <c r="I74" s="229">
        <f t="shared" si="5"/>
        <v>13.785287248949096</v>
      </c>
      <c r="J74" s="230">
        <f t="shared" si="6"/>
        <v>14.128686365592266</v>
      </c>
      <c r="K74" s="155"/>
      <c r="L74" s="162"/>
      <c r="Q74" s="164"/>
      <c r="S74" s="163"/>
      <c r="V74" s="164"/>
      <c r="X74" s="163"/>
      <c r="Z74" s="164"/>
      <c r="AC74" s="163"/>
    </row>
    <row r="75" spans="1:38" ht="17" x14ac:dyDescent="0.25">
      <c r="A75" s="155"/>
      <c r="B75" s="205">
        <v>1</v>
      </c>
      <c r="C75" s="206" t="s">
        <v>37</v>
      </c>
      <c r="D75" s="219" t="s">
        <v>40</v>
      </c>
      <c r="E75" s="228">
        <v>15.1554</v>
      </c>
      <c r="F75" s="229">
        <v>2.4166750000000001</v>
      </c>
      <c r="G75" s="229">
        <v>1.5036750000000001</v>
      </c>
      <c r="H75" s="229">
        <v>13.810043668122271</v>
      </c>
      <c r="I75" s="229">
        <f t="shared" si="5"/>
        <v>13.316399424460434</v>
      </c>
      <c r="J75" s="230">
        <f t="shared" si="6"/>
        <v>11.776006035982503</v>
      </c>
      <c r="K75" s="155"/>
      <c r="L75" s="162"/>
      <c r="S75" s="163"/>
      <c r="X75" s="163"/>
      <c r="AC75" s="163"/>
    </row>
    <row r="76" spans="1:38" ht="17" x14ac:dyDescent="0.25">
      <c r="A76" s="155"/>
      <c r="B76" s="205">
        <v>1</v>
      </c>
      <c r="C76" s="206" t="s">
        <v>41</v>
      </c>
      <c r="D76" s="219" t="s">
        <v>38</v>
      </c>
      <c r="E76" s="228">
        <v>15</v>
      </c>
      <c r="F76" s="229">
        <v>3.2080000000000002</v>
      </c>
      <c r="G76" s="229">
        <v>1.8486</v>
      </c>
      <c r="H76" s="229">
        <v>9.2173017507724371</v>
      </c>
      <c r="I76" s="229">
        <f t="shared" si="5"/>
        <v>13.734087694483728</v>
      </c>
      <c r="J76" s="230">
        <f t="shared" si="6"/>
        <v>14.727152214212159</v>
      </c>
      <c r="K76" s="155"/>
      <c r="L76" s="162"/>
      <c r="S76" s="163"/>
      <c r="X76" s="163"/>
      <c r="AC76" s="163"/>
    </row>
    <row r="77" spans="1:38" ht="17" x14ac:dyDescent="0.25">
      <c r="A77" s="155"/>
      <c r="B77" s="205">
        <v>1</v>
      </c>
      <c r="C77" s="206" t="s">
        <v>41</v>
      </c>
      <c r="D77" s="219" t="s">
        <v>39</v>
      </c>
      <c r="E77" s="228">
        <v>15.37</v>
      </c>
      <c r="F77" s="229">
        <v>0.99680000000000002</v>
      </c>
      <c r="G77" s="229">
        <v>1.2450000000000001</v>
      </c>
      <c r="H77" s="229">
        <v>10.928961748633881</v>
      </c>
      <c r="I77" s="229">
        <f t="shared" si="5"/>
        <v>13.855714285714283</v>
      </c>
      <c r="J77" s="230">
        <f t="shared" si="6"/>
        <v>6.4718424579853604</v>
      </c>
      <c r="K77" s="155"/>
      <c r="L77" s="162"/>
      <c r="S77" s="163"/>
      <c r="V77" s="164"/>
      <c r="X77" s="163"/>
      <c r="Z77" s="164"/>
      <c r="AC77" s="163"/>
    </row>
    <row r="78" spans="1:38" ht="17" x14ac:dyDescent="0.25">
      <c r="A78" s="155"/>
      <c r="B78" s="205">
        <v>1</v>
      </c>
      <c r="C78" s="206" t="s">
        <v>41</v>
      </c>
      <c r="D78" s="219" t="s">
        <v>40</v>
      </c>
      <c r="E78" s="228">
        <v>15.042999999999999</v>
      </c>
      <c r="F78" s="229">
        <v>2.0254333333333334</v>
      </c>
      <c r="G78" s="229">
        <v>1.0010666666666668</v>
      </c>
      <c r="H78" s="229">
        <v>11.202368979774333</v>
      </c>
      <c r="I78" s="229">
        <f t="shared" si="5"/>
        <v>13.52758950911922</v>
      </c>
      <c r="J78" s="230">
        <f t="shared" si="6"/>
        <v>8.9491183864199186</v>
      </c>
      <c r="K78" s="155"/>
      <c r="L78" s="162"/>
      <c r="S78" s="163"/>
      <c r="X78" s="163"/>
      <c r="AC78" s="163"/>
    </row>
    <row r="79" spans="1:38" ht="17" x14ac:dyDescent="0.25">
      <c r="A79" s="155"/>
      <c r="B79" s="205">
        <v>2</v>
      </c>
      <c r="C79" s="206" t="s">
        <v>37</v>
      </c>
      <c r="D79" s="220" t="s">
        <v>38</v>
      </c>
      <c r="E79" s="228">
        <v>14.8034</v>
      </c>
      <c r="F79" s="229">
        <v>8.1189749999999989</v>
      </c>
      <c r="G79" s="229">
        <v>11.438099999999999</v>
      </c>
      <c r="H79" s="229">
        <v>4.093807858465369</v>
      </c>
      <c r="I79" s="229">
        <f t="shared" si="5"/>
        <v>14.221210948616598</v>
      </c>
      <c r="J79" s="230">
        <f t="shared" si="6"/>
        <v>55.008184804128675</v>
      </c>
      <c r="K79" s="155"/>
      <c r="L79" s="162"/>
      <c r="Q79" s="164"/>
      <c r="S79" s="163"/>
      <c r="U79" s="154"/>
      <c r="X79" s="163"/>
      <c r="AC79" s="163"/>
    </row>
    <row r="80" spans="1:38" ht="17" x14ac:dyDescent="0.25">
      <c r="A80" s="155"/>
      <c r="B80" s="205">
        <v>2</v>
      </c>
      <c r="C80" s="206" t="s">
        <v>37</v>
      </c>
      <c r="D80" s="219" t="s">
        <v>39</v>
      </c>
      <c r="E80" s="228">
        <v>14.899480000000001</v>
      </c>
      <c r="F80" s="229">
        <v>4.6547200000000002</v>
      </c>
      <c r="G80" s="229">
        <v>11.4353</v>
      </c>
      <c r="H80" s="229">
        <v>5.0049652432968994</v>
      </c>
      <c r="I80" s="229">
        <f t="shared" si="5"/>
        <v>14.189309967845663</v>
      </c>
      <c r="J80" s="230">
        <f t="shared" si="6"/>
        <v>45.358146481996734</v>
      </c>
      <c r="K80" s="155"/>
      <c r="L80" s="162"/>
      <c r="S80" s="163"/>
      <c r="U80" s="154"/>
      <c r="X80" s="163"/>
      <c r="AC80" s="163"/>
    </row>
    <row r="81" spans="1:30" ht="17" x14ac:dyDescent="0.25">
      <c r="A81" s="155"/>
      <c r="B81" s="205">
        <v>2</v>
      </c>
      <c r="C81" s="206" t="s">
        <v>37</v>
      </c>
      <c r="D81" s="219" t="s">
        <v>40</v>
      </c>
      <c r="E81" s="228">
        <v>15.240539999999999</v>
      </c>
      <c r="F81" s="229">
        <v>2.2480399999999996</v>
      </c>
      <c r="G81" s="229">
        <v>9.8773400000000002</v>
      </c>
      <c r="H81" s="229">
        <v>4.8476110393580401</v>
      </c>
      <c r="I81" s="229">
        <f t="shared" si="5"/>
        <v>14.535896286925368</v>
      </c>
      <c r="J81" s="230">
        <f t="shared" si="6"/>
        <v>33.366721282695003</v>
      </c>
      <c r="K81" s="155"/>
      <c r="L81" s="162"/>
      <c r="S81" s="163"/>
      <c r="U81" s="154"/>
      <c r="X81" s="163"/>
      <c r="AC81" s="163"/>
    </row>
    <row r="82" spans="1:30" ht="17" x14ac:dyDescent="0.25">
      <c r="A82" s="155"/>
      <c r="B82" s="205">
        <v>2</v>
      </c>
      <c r="C82" s="206" t="s">
        <v>41</v>
      </c>
      <c r="D82" s="219" t="s">
        <v>38</v>
      </c>
      <c r="E82" s="228">
        <v>15.263316666666666</v>
      </c>
      <c r="F82" s="229">
        <v>4.8741166666666667</v>
      </c>
      <c r="G82" s="229">
        <v>3.1392500000000005</v>
      </c>
      <c r="H82" s="229">
        <v>4.3507139965835435</v>
      </c>
      <c r="I82" s="229">
        <f t="shared" si="5"/>
        <v>14.626940326605135</v>
      </c>
      <c r="J82" s="230">
        <f t="shared" si="6"/>
        <v>21.913992913722492</v>
      </c>
      <c r="K82" s="155"/>
      <c r="L82" s="162"/>
      <c r="S82" s="163"/>
      <c r="U82" s="154"/>
      <c r="X82" s="163"/>
      <c r="AC82" s="163"/>
    </row>
    <row r="83" spans="1:30" ht="17" x14ac:dyDescent="0.25">
      <c r="A83" s="155"/>
      <c r="B83" s="205">
        <v>2</v>
      </c>
      <c r="C83" s="206" t="s">
        <v>41</v>
      </c>
      <c r="D83" s="219" t="s">
        <v>39</v>
      </c>
      <c r="E83" s="228">
        <v>15.0176</v>
      </c>
      <c r="F83" s="229">
        <v>2.5468000000000002</v>
      </c>
      <c r="G83" s="229">
        <v>0.28565000000000002</v>
      </c>
      <c r="H83" s="229">
        <v>5.4983408468951858</v>
      </c>
      <c r="I83" s="229">
        <f t="shared" si="5"/>
        <v>14.234915809523812</v>
      </c>
      <c r="J83" s="230">
        <f t="shared" si="6"/>
        <v>7.9591619308488246</v>
      </c>
      <c r="K83" s="155"/>
      <c r="L83" s="162"/>
      <c r="S83" s="163"/>
      <c r="U83" s="154"/>
      <c r="X83" s="163"/>
      <c r="AC83" s="163"/>
    </row>
    <row r="84" spans="1:30" ht="18" thickBot="1" x14ac:dyDescent="0.3">
      <c r="A84" s="155"/>
      <c r="B84" s="207">
        <v>2</v>
      </c>
      <c r="C84" s="208" t="s">
        <v>41</v>
      </c>
      <c r="D84" s="221" t="s">
        <v>40</v>
      </c>
      <c r="E84" s="231">
        <v>15.02</v>
      </c>
      <c r="F84" s="232">
        <v>2.6836500000000001</v>
      </c>
      <c r="G84" s="232">
        <v>0.54415000000000002</v>
      </c>
      <c r="H84" s="232">
        <v>5.498688339077221</v>
      </c>
      <c r="I84" s="232">
        <f t="shared" si="5"/>
        <v>14.237143832276935</v>
      </c>
      <c r="J84" s="233">
        <f t="shared" si="6"/>
        <v>9.0686728687316531</v>
      </c>
      <c r="K84" s="155"/>
      <c r="L84" s="162"/>
      <c r="Q84" s="164"/>
      <c r="S84" s="163"/>
      <c r="U84" s="154"/>
      <c r="X84" s="163"/>
      <c r="AC84" s="163"/>
    </row>
    <row r="85" spans="1:30" x14ac:dyDescent="0.25">
      <c r="D85" s="164"/>
      <c r="F85" s="163"/>
      <c r="G85" s="162"/>
      <c r="H85" s="162"/>
      <c r="I85" s="162"/>
      <c r="M85" s="162"/>
      <c r="R85" s="164"/>
      <c r="T85" s="163"/>
      <c r="V85" s="154"/>
      <c r="Y85" s="163"/>
      <c r="AD85" s="163"/>
    </row>
    <row r="86" spans="1:30" ht="35" x14ac:dyDescent="0.25">
      <c r="B86" s="154"/>
      <c r="C86" s="154"/>
      <c r="E86" s="162"/>
      <c r="F86" s="162"/>
      <c r="G86" s="162"/>
      <c r="I86" s="154"/>
      <c r="M86" s="162"/>
      <c r="N86" s="155" t="s">
        <v>156</v>
      </c>
    </row>
    <row r="87" spans="1:30" x14ac:dyDescent="0.25">
      <c r="A87" s="154" t="s">
        <v>55</v>
      </c>
      <c r="I87" s="154"/>
      <c r="M87" s="162"/>
      <c r="N87" s="108" t="s">
        <v>107</v>
      </c>
    </row>
    <row r="88" spans="1:30" ht="188" thickBot="1" x14ac:dyDescent="0.3">
      <c r="B88" s="108" t="s">
        <v>56</v>
      </c>
      <c r="M88" s="162"/>
      <c r="N88" s="155" t="s">
        <v>157</v>
      </c>
    </row>
    <row r="89" spans="1:30" ht="52" thickBot="1" x14ac:dyDescent="0.3">
      <c r="B89" s="156" t="s">
        <v>36</v>
      </c>
      <c r="C89" s="157" t="s">
        <v>44</v>
      </c>
      <c r="D89" s="157" t="s">
        <v>43</v>
      </c>
      <c r="E89" s="159"/>
      <c r="F89" s="222" t="s">
        <v>19</v>
      </c>
      <c r="G89" s="223" t="s">
        <v>116</v>
      </c>
      <c r="H89" s="224" t="s">
        <v>113</v>
      </c>
      <c r="I89" s="225" t="s">
        <v>118</v>
      </c>
      <c r="J89" s="222" t="s">
        <v>142</v>
      </c>
      <c r="K89" s="223" t="s">
        <v>117</v>
      </c>
      <c r="M89" s="108" t="s">
        <v>57</v>
      </c>
      <c r="P89" s="154"/>
      <c r="Q89" s="154"/>
      <c r="R89" s="154"/>
      <c r="S89" s="154"/>
      <c r="T89" s="154"/>
      <c r="V89" s="154"/>
      <c r="W89" s="154"/>
      <c r="X89" s="154"/>
      <c r="Y89" s="154"/>
      <c r="AA89" s="154"/>
      <c r="AB89" s="154"/>
      <c r="AC89" s="154"/>
      <c r="AD89" s="154"/>
    </row>
    <row r="90" spans="1:30" ht="18" thickBot="1" x14ac:dyDescent="0.3">
      <c r="B90" s="134">
        <v>1</v>
      </c>
      <c r="C90" s="108" t="s">
        <v>37</v>
      </c>
      <c r="D90" s="108" t="s">
        <v>38</v>
      </c>
      <c r="F90" s="189">
        <v>3.01</v>
      </c>
      <c r="G90" s="190">
        <v>0.58499999999999996</v>
      </c>
      <c r="H90" s="161">
        <f>G90*13.587</f>
        <v>7.9483949999999997</v>
      </c>
      <c r="I90" s="226">
        <v>5.8142526369950902</v>
      </c>
      <c r="J90" s="161">
        <f t="shared" ref="J90:J101" si="7">F90/((I90/100)+1)</f>
        <v>2.8446073425723322</v>
      </c>
      <c r="K90" s="190">
        <f t="shared" ref="K90:K101" si="8">H90*20/J90</f>
        <v>55.883951932799235</v>
      </c>
      <c r="M90" s="177" t="s">
        <v>151</v>
      </c>
      <c r="N90" s="130" t="s">
        <v>7</v>
      </c>
      <c r="T90" s="163"/>
      <c r="V90" s="154"/>
      <c r="Y90" s="163"/>
      <c r="AD90" s="163"/>
    </row>
    <row r="91" spans="1:30" x14ac:dyDescent="0.25">
      <c r="B91" s="134">
        <v>1</v>
      </c>
      <c r="C91" s="108" t="s">
        <v>37</v>
      </c>
      <c r="D91" s="164" t="s">
        <v>39</v>
      </c>
      <c r="F91" s="189">
        <v>3.0066666666666664</v>
      </c>
      <c r="G91" s="190">
        <v>0.23766666666666669</v>
      </c>
      <c r="H91" s="161">
        <f t="shared" ref="H91:H101" si="9">G91*13.587</f>
        <v>3.2291770000000004</v>
      </c>
      <c r="I91" s="226">
        <v>8.9567430025444796</v>
      </c>
      <c r="J91" s="161">
        <f t="shared" si="7"/>
        <v>2.7595049042503512</v>
      </c>
      <c r="K91" s="190">
        <f t="shared" si="8"/>
        <v>23.404031607454169</v>
      </c>
      <c r="M91" s="174">
        <v>0.2</v>
      </c>
      <c r="N91" s="134">
        <v>1.2E-2</v>
      </c>
      <c r="R91" s="164"/>
      <c r="T91" s="163"/>
      <c r="W91" s="164"/>
      <c r="Y91" s="163"/>
      <c r="AA91" s="164"/>
      <c r="AD91" s="163"/>
    </row>
    <row r="92" spans="1:30" x14ac:dyDescent="0.25">
      <c r="B92" s="134">
        <v>1</v>
      </c>
      <c r="C92" s="108" t="s">
        <v>37</v>
      </c>
      <c r="D92" s="108" t="s">
        <v>40</v>
      </c>
      <c r="F92" s="189">
        <v>3.058325</v>
      </c>
      <c r="G92" s="190">
        <v>0.10250000000000001</v>
      </c>
      <c r="H92" s="161">
        <f t="shared" si="9"/>
        <v>1.3926675000000002</v>
      </c>
      <c r="I92" s="226">
        <v>13.810043668122271</v>
      </c>
      <c r="J92" s="161">
        <f t="shared" si="7"/>
        <v>2.6872188968824942</v>
      </c>
      <c r="K92" s="190">
        <f t="shared" si="8"/>
        <v>10.365121364810783</v>
      </c>
      <c r="M92" s="174">
        <v>0.5</v>
      </c>
      <c r="N92" s="134">
        <v>3.6999999999999998E-2</v>
      </c>
      <c r="T92" s="163"/>
      <c r="Y92" s="163"/>
      <c r="AD92" s="163"/>
    </row>
    <row r="93" spans="1:30" x14ac:dyDescent="0.25">
      <c r="B93" s="134">
        <v>1</v>
      </c>
      <c r="C93" s="108" t="s">
        <v>41</v>
      </c>
      <c r="D93" s="108" t="s">
        <v>38</v>
      </c>
      <c r="F93" s="189">
        <v>3</v>
      </c>
      <c r="G93" s="190">
        <v>4.3999999999999997E-2</v>
      </c>
      <c r="H93" s="161">
        <f t="shared" si="9"/>
        <v>0.59782799999999992</v>
      </c>
      <c r="I93" s="226">
        <v>9.2173017507724371</v>
      </c>
      <c r="J93" s="161">
        <f t="shared" si="7"/>
        <v>2.7468175388967455</v>
      </c>
      <c r="K93" s="190">
        <f t="shared" si="8"/>
        <v>4.3528774047373853</v>
      </c>
      <c r="M93" s="174">
        <v>1</v>
      </c>
      <c r="N93" s="134">
        <v>7.8E-2</v>
      </c>
      <c r="T93" s="163"/>
      <c r="Y93" s="163"/>
      <c r="AD93" s="163"/>
    </row>
    <row r="94" spans="1:30" ht="17" thickBot="1" x14ac:dyDescent="0.3">
      <c r="B94" s="134">
        <v>1</v>
      </c>
      <c r="C94" s="108" t="s">
        <v>41</v>
      </c>
      <c r="D94" s="108" t="s">
        <v>39</v>
      </c>
      <c r="F94" s="189">
        <v>3.0449999999999999</v>
      </c>
      <c r="G94" s="190">
        <v>2.5500000000000002E-2</v>
      </c>
      <c r="H94" s="161">
        <f t="shared" si="9"/>
        <v>0.34646850000000001</v>
      </c>
      <c r="I94" s="226">
        <v>10.928961748633881</v>
      </c>
      <c r="J94" s="161">
        <f t="shared" si="7"/>
        <v>2.7449999999999997</v>
      </c>
      <c r="K94" s="190">
        <f t="shared" si="8"/>
        <v>2.5243606557377052</v>
      </c>
      <c r="M94" s="175">
        <v>2</v>
      </c>
      <c r="N94" s="136">
        <v>0.14499999999999999</v>
      </c>
      <c r="T94" s="163"/>
      <c r="W94" s="164"/>
      <c r="Y94" s="163"/>
      <c r="AA94" s="164"/>
      <c r="AD94" s="163"/>
    </row>
    <row r="95" spans="1:30" x14ac:dyDescent="0.25">
      <c r="B95" s="134">
        <v>1</v>
      </c>
      <c r="C95" s="108" t="s">
        <v>41</v>
      </c>
      <c r="D95" s="108" t="s">
        <v>40</v>
      </c>
      <c r="F95" s="189">
        <v>3.0152000000000001</v>
      </c>
      <c r="G95" s="190">
        <v>2.5500000000000002E-2</v>
      </c>
      <c r="H95" s="161">
        <f t="shared" si="9"/>
        <v>0.34646850000000001</v>
      </c>
      <c r="I95" s="226">
        <v>11.202368979774333</v>
      </c>
      <c r="J95" s="161">
        <f t="shared" si="7"/>
        <v>2.7114530271818307</v>
      </c>
      <c r="K95" s="190">
        <f t="shared" si="8"/>
        <v>2.55559286129404</v>
      </c>
      <c r="T95" s="163"/>
      <c r="Y95" s="163"/>
      <c r="AD95" s="163"/>
    </row>
    <row r="96" spans="1:30" x14ac:dyDescent="0.25">
      <c r="B96" s="134">
        <v>2</v>
      </c>
      <c r="C96" s="108" t="s">
        <v>37</v>
      </c>
      <c r="D96" s="164" t="s">
        <v>38</v>
      </c>
      <c r="F96" s="189">
        <v>3.0343600000000004</v>
      </c>
      <c r="G96" s="190">
        <v>0.69400000000000006</v>
      </c>
      <c r="H96" s="161">
        <f t="shared" si="9"/>
        <v>9.4293779999999998</v>
      </c>
      <c r="I96" s="226">
        <v>4.093807858465369</v>
      </c>
      <c r="J96" s="161">
        <f t="shared" si="7"/>
        <v>2.915024498023715</v>
      </c>
      <c r="K96" s="190">
        <f t="shared" si="8"/>
        <v>64.695017186941584</v>
      </c>
      <c r="M96" s="191" t="s">
        <v>114</v>
      </c>
      <c r="R96" s="164"/>
      <c r="T96" s="163"/>
      <c r="V96" s="154"/>
      <c r="Y96" s="163"/>
      <c r="AD96" s="163"/>
    </row>
    <row r="97" spans="1:33" x14ac:dyDescent="0.25">
      <c r="B97" s="134">
        <v>2</v>
      </c>
      <c r="C97" s="108" t="s">
        <v>37</v>
      </c>
      <c r="D97" s="108" t="s">
        <v>39</v>
      </c>
      <c r="F97" s="189">
        <v>3.0744199999999999</v>
      </c>
      <c r="G97" s="190">
        <v>0.47020000000000001</v>
      </c>
      <c r="H97" s="161">
        <f t="shared" si="9"/>
        <v>6.3886073999999997</v>
      </c>
      <c r="I97" s="226">
        <v>5.0049652432968994</v>
      </c>
      <c r="J97" s="161">
        <f t="shared" si="7"/>
        <v>2.92788059390959</v>
      </c>
      <c r="K97" s="190">
        <f t="shared" si="8"/>
        <v>43.639808353450036</v>
      </c>
      <c r="M97" s="191" t="s">
        <v>115</v>
      </c>
      <c r="N97" s="108" t="s">
        <v>163</v>
      </c>
      <c r="T97" s="163"/>
      <c r="W97" s="164"/>
      <c r="Y97" s="163"/>
      <c r="AD97" s="163"/>
    </row>
    <row r="98" spans="1:33" x14ac:dyDescent="0.25">
      <c r="B98" s="134">
        <v>2</v>
      </c>
      <c r="C98" s="108" t="s">
        <v>37</v>
      </c>
      <c r="D98" s="108" t="s">
        <v>40</v>
      </c>
      <c r="F98" s="189">
        <v>3.0296725000000002</v>
      </c>
      <c r="G98" s="190">
        <v>0.17499999999999999</v>
      </c>
      <c r="H98" s="161">
        <f t="shared" si="9"/>
        <v>2.3777249999999999</v>
      </c>
      <c r="I98" s="226">
        <v>4.8476110393580401</v>
      </c>
      <c r="J98" s="161">
        <f t="shared" si="7"/>
        <v>2.8895961195174125</v>
      </c>
      <c r="K98" s="190">
        <f t="shared" si="8"/>
        <v>16.45714419354287</v>
      </c>
      <c r="L98" s="164"/>
      <c r="M98" s="162"/>
      <c r="T98" s="163"/>
      <c r="Y98" s="163"/>
      <c r="AD98" s="163"/>
    </row>
    <row r="99" spans="1:33" x14ac:dyDescent="0.25">
      <c r="B99" s="134">
        <v>2</v>
      </c>
      <c r="C99" s="108" t="s">
        <v>41</v>
      </c>
      <c r="D99" s="108" t="s">
        <v>38</v>
      </c>
      <c r="F99" s="189">
        <v>3.0667500000000003</v>
      </c>
      <c r="G99" s="190">
        <v>0.15766666666666665</v>
      </c>
      <c r="H99" s="161">
        <f t="shared" si="9"/>
        <v>2.1422169999999996</v>
      </c>
      <c r="I99" s="226">
        <v>4.3507139965835435</v>
      </c>
      <c r="J99" s="161">
        <f t="shared" si="7"/>
        <v>2.938887413937969</v>
      </c>
      <c r="K99" s="190">
        <f t="shared" si="8"/>
        <v>14.578421683255506</v>
      </c>
      <c r="L99" s="164"/>
      <c r="M99" s="162"/>
      <c r="T99" s="163"/>
      <c r="Y99" s="163"/>
      <c r="AD99" s="163"/>
    </row>
    <row r="100" spans="1:33" x14ac:dyDescent="0.25">
      <c r="B100" s="134">
        <v>2</v>
      </c>
      <c r="C100" s="108" t="s">
        <v>41</v>
      </c>
      <c r="D100" s="108" t="s">
        <v>39</v>
      </c>
      <c r="F100" s="189">
        <v>3.13</v>
      </c>
      <c r="G100" s="190">
        <v>0.155</v>
      </c>
      <c r="H100" s="161">
        <f t="shared" si="9"/>
        <v>2.105985</v>
      </c>
      <c r="I100" s="226">
        <v>5.4983408468951858</v>
      </c>
      <c r="J100" s="161">
        <f t="shared" si="7"/>
        <v>2.966871303258146</v>
      </c>
      <c r="K100" s="190">
        <f t="shared" si="8"/>
        <v>14.196672418431218</v>
      </c>
      <c r="L100" s="164"/>
      <c r="M100" s="162"/>
      <c r="T100" s="163"/>
      <c r="Y100" s="163"/>
      <c r="AD100" s="163"/>
    </row>
    <row r="101" spans="1:33" ht="17" thickBot="1" x14ac:dyDescent="0.3">
      <c r="B101" s="136">
        <v>2</v>
      </c>
      <c r="C101" s="166" t="s">
        <v>41</v>
      </c>
      <c r="D101" s="166" t="s">
        <v>40</v>
      </c>
      <c r="E101" s="166"/>
      <c r="F101" s="192">
        <v>3.1150000000000002</v>
      </c>
      <c r="G101" s="193">
        <v>1.9000000000000003E-2</v>
      </c>
      <c r="H101" s="168">
        <f t="shared" si="9"/>
        <v>0.25815300000000002</v>
      </c>
      <c r="I101" s="227">
        <v>5.498688339077221</v>
      </c>
      <c r="J101" s="168">
        <f t="shared" si="7"/>
        <v>2.9526433447098972</v>
      </c>
      <c r="K101" s="193">
        <f t="shared" si="8"/>
        <v>1.7486229785423952</v>
      </c>
      <c r="L101" s="164"/>
      <c r="M101" s="162"/>
      <c r="T101" s="163"/>
      <c r="Y101" s="163"/>
      <c r="AD101" s="163"/>
    </row>
    <row r="102" spans="1:33" ht="35" x14ac:dyDescent="0.25">
      <c r="B102" s="154"/>
      <c r="C102" s="154"/>
      <c r="E102" s="162"/>
      <c r="F102" s="162"/>
      <c r="I102" s="154"/>
      <c r="N102" s="155" t="s">
        <v>158</v>
      </c>
    </row>
    <row r="103" spans="1:33" x14ac:dyDescent="0.25">
      <c r="A103" s="154" t="s">
        <v>58</v>
      </c>
      <c r="B103" s="154"/>
      <c r="C103" s="154"/>
      <c r="E103" s="162"/>
      <c r="F103" s="162"/>
      <c r="I103" s="154"/>
      <c r="M103" s="162"/>
      <c r="N103" s="155"/>
    </row>
    <row r="104" spans="1:33" ht="18" thickBot="1" x14ac:dyDescent="0.3">
      <c r="B104" s="108" t="s">
        <v>59</v>
      </c>
      <c r="I104" s="154"/>
      <c r="M104" s="162"/>
      <c r="N104" s="160" t="s">
        <v>131</v>
      </c>
    </row>
    <row r="105" spans="1:33" ht="52" thickBot="1" x14ac:dyDescent="0.3">
      <c r="B105" s="156" t="s">
        <v>36</v>
      </c>
      <c r="C105" s="157" t="s">
        <v>44</v>
      </c>
      <c r="D105" s="157" t="s">
        <v>43</v>
      </c>
      <c r="E105" s="159"/>
      <c r="F105" s="169" t="s">
        <v>60</v>
      </c>
      <c r="G105" s="176" t="s">
        <v>61</v>
      </c>
      <c r="H105" s="169" t="s">
        <v>62</v>
      </c>
      <c r="I105" s="194" t="s">
        <v>70</v>
      </c>
      <c r="J105" s="169" t="s">
        <v>71</v>
      </c>
      <c r="K105" s="169" t="s">
        <v>72</v>
      </c>
      <c r="L105" s="170" t="s">
        <v>73</v>
      </c>
      <c r="N105" s="173"/>
      <c r="P105" s="154"/>
      <c r="Q105" s="154"/>
      <c r="R105" s="154"/>
      <c r="S105" s="154"/>
      <c r="T105" s="154"/>
      <c r="U105" s="154"/>
      <c r="W105" s="154"/>
      <c r="X105" s="154"/>
      <c r="Y105" s="154"/>
      <c r="Z105" s="154"/>
      <c r="AA105" s="154"/>
      <c r="AB105" s="154"/>
      <c r="AC105" s="154"/>
      <c r="AD105" s="154"/>
      <c r="AE105" s="154"/>
      <c r="AF105" s="154"/>
      <c r="AG105" s="154"/>
    </row>
    <row r="106" spans="1:33" x14ac:dyDescent="0.25">
      <c r="B106" s="171">
        <v>1</v>
      </c>
      <c r="C106" s="172" t="s">
        <v>37</v>
      </c>
      <c r="D106" s="172" t="s">
        <v>38</v>
      </c>
      <c r="E106" s="172"/>
      <c r="F106" s="195">
        <v>4.0350000000000001</v>
      </c>
      <c r="G106" s="178">
        <v>9.9924999999999997</v>
      </c>
      <c r="H106" s="179">
        <v>1.0999999999999999</v>
      </c>
      <c r="I106" s="196">
        <v>0.1350873039237932</v>
      </c>
      <c r="J106" s="196">
        <v>0.63233845215192253</v>
      </c>
      <c r="K106" s="196">
        <v>0.68426785712881644</v>
      </c>
      <c r="L106" s="197">
        <v>9.0305975644197831E-3</v>
      </c>
      <c r="N106" s="162"/>
      <c r="T106" s="180"/>
      <c r="U106" s="163"/>
      <c r="W106" s="154"/>
      <c r="Z106" s="180"/>
      <c r="AD106" s="162"/>
      <c r="AE106" s="161"/>
      <c r="AF106" s="180"/>
      <c r="AG106" s="180"/>
    </row>
    <row r="107" spans="1:33" x14ac:dyDescent="0.25">
      <c r="B107" s="134">
        <v>1</v>
      </c>
      <c r="C107" s="108" t="s">
        <v>37</v>
      </c>
      <c r="D107" s="164" t="s">
        <v>39</v>
      </c>
      <c r="F107" s="185">
        <v>4.4975000000000005</v>
      </c>
      <c r="G107" s="181">
        <v>10.149999999999999</v>
      </c>
      <c r="H107" s="182">
        <v>1.1499999999999999</v>
      </c>
      <c r="I107" s="161">
        <v>0.11845390231323981</v>
      </c>
      <c r="J107" s="161">
        <v>0.64595461887192873</v>
      </c>
      <c r="K107" s="161">
        <v>1.0245240621445042</v>
      </c>
      <c r="L107" s="190">
        <v>1.1905279850609565E-2</v>
      </c>
      <c r="N107" s="162"/>
      <c r="R107" s="164"/>
      <c r="T107" s="180"/>
      <c r="U107" s="163"/>
      <c r="X107" s="164"/>
      <c r="Z107" s="180"/>
      <c r="AA107" s="164"/>
      <c r="AD107" s="162"/>
      <c r="AE107" s="161"/>
      <c r="AF107" s="180"/>
      <c r="AG107" s="180"/>
    </row>
    <row r="108" spans="1:33" x14ac:dyDescent="0.25">
      <c r="B108" s="134">
        <v>1</v>
      </c>
      <c r="C108" s="108" t="s">
        <v>37</v>
      </c>
      <c r="D108" s="108" t="s">
        <v>40</v>
      </c>
      <c r="F108" s="185">
        <v>4.0975000000000001</v>
      </c>
      <c r="G108" s="181">
        <v>10.135</v>
      </c>
      <c r="H108" s="182">
        <v>0.8</v>
      </c>
      <c r="I108" s="161">
        <v>8.4358430279297444E-2</v>
      </c>
      <c r="J108" s="161">
        <v>0.63385758518835</v>
      </c>
      <c r="K108" s="161">
        <v>1.03362094607879</v>
      </c>
      <c r="L108" s="190">
        <v>1.6558580681170186E-2</v>
      </c>
      <c r="N108" s="162"/>
      <c r="T108" s="180"/>
      <c r="U108" s="163"/>
      <c r="Z108" s="180"/>
      <c r="AD108" s="162"/>
      <c r="AE108" s="161"/>
      <c r="AF108" s="180"/>
      <c r="AG108" s="180"/>
    </row>
    <row r="109" spans="1:33" x14ac:dyDescent="0.25">
      <c r="B109" s="134">
        <v>1</v>
      </c>
      <c r="C109" s="108" t="s">
        <v>41</v>
      </c>
      <c r="D109" s="108" t="s">
        <v>38</v>
      </c>
      <c r="F109" s="185">
        <v>4.0649999999999995</v>
      </c>
      <c r="G109" s="181">
        <v>10.074999999999999</v>
      </c>
      <c r="H109" s="182">
        <v>1.2</v>
      </c>
      <c r="I109" s="161">
        <v>0.11305588872806693</v>
      </c>
      <c r="J109" s="161">
        <v>0.69646477556780995</v>
      </c>
      <c r="K109" s="161">
        <v>0.88313579235449802</v>
      </c>
      <c r="L109" s="190">
        <v>1.7134425308901566E-2</v>
      </c>
      <c r="N109" s="162"/>
      <c r="T109" s="180"/>
      <c r="U109" s="163"/>
      <c r="Z109" s="180"/>
      <c r="AD109" s="162"/>
      <c r="AE109" s="161"/>
      <c r="AF109" s="180"/>
      <c r="AG109" s="180"/>
    </row>
    <row r="110" spans="1:33" x14ac:dyDescent="0.25">
      <c r="B110" s="134">
        <v>1</v>
      </c>
      <c r="C110" s="108" t="s">
        <v>41</v>
      </c>
      <c r="D110" s="108" t="s">
        <v>39</v>
      </c>
      <c r="F110" s="185">
        <v>4.0104500000000005</v>
      </c>
      <c r="G110" s="181">
        <v>10.051749999999998</v>
      </c>
      <c r="H110" s="182">
        <v>0.85000000000000009</v>
      </c>
      <c r="I110" s="161">
        <v>4.6888316703520255E-2</v>
      </c>
      <c r="J110" s="161">
        <v>0.54338646824097747</v>
      </c>
      <c r="K110" s="161">
        <v>0.98684418142575714</v>
      </c>
      <c r="L110" s="190">
        <v>3.0343345219446996E-2</v>
      </c>
      <c r="N110" s="162"/>
      <c r="T110" s="180"/>
      <c r="U110" s="163"/>
      <c r="X110" s="164"/>
      <c r="Z110" s="180"/>
      <c r="AA110" s="164"/>
      <c r="AD110" s="162"/>
      <c r="AE110" s="161"/>
      <c r="AF110" s="180"/>
      <c r="AG110" s="180"/>
    </row>
    <row r="111" spans="1:33" x14ac:dyDescent="0.25">
      <c r="B111" s="134">
        <v>1</v>
      </c>
      <c r="C111" s="108" t="s">
        <v>41</v>
      </c>
      <c r="D111" s="108" t="s">
        <v>40</v>
      </c>
      <c r="F111" s="185">
        <v>4.0233333333333325</v>
      </c>
      <c r="G111" s="181">
        <v>10.033333333333333</v>
      </c>
      <c r="H111" s="182">
        <v>3.6999999999999997</v>
      </c>
      <c r="I111" s="161">
        <v>3.9194165844879232E-2</v>
      </c>
      <c r="J111" s="161">
        <v>0.52775343062948543</v>
      </c>
      <c r="K111" s="161">
        <v>1.0600504196633029</v>
      </c>
      <c r="L111" s="190">
        <v>5.6394309722012197E-2</v>
      </c>
      <c r="N111" s="162"/>
      <c r="T111" s="180"/>
      <c r="U111" s="163"/>
      <c r="Z111" s="180"/>
      <c r="AD111" s="162"/>
      <c r="AE111" s="161"/>
      <c r="AF111" s="180"/>
      <c r="AG111" s="180"/>
    </row>
    <row r="112" spans="1:33" x14ac:dyDescent="0.25">
      <c r="B112" s="134">
        <v>2</v>
      </c>
      <c r="C112" s="108" t="s">
        <v>37</v>
      </c>
      <c r="D112" s="164" t="s">
        <v>38</v>
      </c>
      <c r="F112" s="185">
        <v>4.0179999999999998</v>
      </c>
      <c r="G112" s="181">
        <v>10.026</v>
      </c>
      <c r="H112" s="182">
        <v>2.58</v>
      </c>
      <c r="I112" s="161">
        <v>7.3293515568402051E-2</v>
      </c>
      <c r="J112" s="161">
        <v>0.36999569048922731</v>
      </c>
      <c r="K112" s="161">
        <v>5.7202651052080521E-2</v>
      </c>
      <c r="L112" s="190">
        <v>6.2087842716597218E-3</v>
      </c>
      <c r="N112" s="162"/>
      <c r="R112" s="164"/>
      <c r="T112" s="180"/>
      <c r="U112" s="163"/>
      <c r="W112" s="154"/>
      <c r="Z112" s="180"/>
      <c r="AD112" s="162"/>
      <c r="AE112" s="161"/>
    </row>
    <row r="113" spans="1:37" x14ac:dyDescent="0.25">
      <c r="B113" s="134">
        <v>2</v>
      </c>
      <c r="C113" s="108" t="s">
        <v>37</v>
      </c>
      <c r="D113" s="108" t="s">
        <v>39</v>
      </c>
      <c r="F113" s="185">
        <v>3.9899999999999998</v>
      </c>
      <c r="G113" s="181">
        <v>10.257999999999999</v>
      </c>
      <c r="H113" s="182">
        <v>3.72</v>
      </c>
      <c r="I113" s="161">
        <v>5.8318098205746259E-2</v>
      </c>
      <c r="J113" s="161">
        <v>0.28551359075427135</v>
      </c>
      <c r="K113" s="161">
        <v>3.9577298033054098E-2</v>
      </c>
      <c r="L113" s="190">
        <v>1.3026065935862353E-2</v>
      </c>
      <c r="N113" s="162"/>
      <c r="T113" s="180"/>
      <c r="U113" s="163"/>
      <c r="X113" s="164"/>
      <c r="Z113" s="180"/>
      <c r="AD113" s="162"/>
      <c r="AE113" s="161"/>
    </row>
    <row r="114" spans="1:37" x14ac:dyDescent="0.25">
      <c r="B114" s="134">
        <v>2</v>
      </c>
      <c r="C114" s="108" t="s">
        <v>37</v>
      </c>
      <c r="D114" s="108" t="s">
        <v>40</v>
      </c>
      <c r="F114" s="185">
        <v>4.0119999999999996</v>
      </c>
      <c r="G114" s="181">
        <v>10.053999999999998</v>
      </c>
      <c r="H114" s="182">
        <v>1.8399999999999999</v>
      </c>
      <c r="I114" s="161">
        <v>4.3454173482778635E-2</v>
      </c>
      <c r="J114" s="161">
        <v>0.25383482407028146</v>
      </c>
      <c r="K114" s="161">
        <v>3.6653392165763278E-2</v>
      </c>
      <c r="L114" s="190">
        <v>1.1250288092784713E-2</v>
      </c>
      <c r="N114" s="162"/>
      <c r="T114" s="180"/>
      <c r="U114" s="163"/>
      <c r="X114" s="164"/>
      <c r="Z114" s="180"/>
      <c r="AD114" s="162"/>
      <c r="AE114" s="161"/>
    </row>
    <row r="115" spans="1:37" x14ac:dyDescent="0.25">
      <c r="B115" s="134">
        <v>2</v>
      </c>
      <c r="C115" s="108" t="s">
        <v>41</v>
      </c>
      <c r="D115" s="108" t="s">
        <v>38</v>
      </c>
      <c r="F115" s="185">
        <v>4.0630499999999996</v>
      </c>
      <c r="G115" s="181">
        <v>10.149099999999999</v>
      </c>
      <c r="H115" s="182">
        <v>1.6166666666666665</v>
      </c>
      <c r="I115" s="161">
        <v>7.7590949145761826E-2</v>
      </c>
      <c r="J115" s="161">
        <v>0.57688333078472909</v>
      </c>
      <c r="K115" s="161">
        <v>0.16984728222189105</v>
      </c>
      <c r="L115" s="190">
        <v>1.3055788405776413E-2</v>
      </c>
      <c r="N115" s="162"/>
      <c r="T115" s="180"/>
      <c r="U115" s="163"/>
      <c r="X115" s="164"/>
      <c r="Z115" s="180"/>
      <c r="AD115" s="162"/>
      <c r="AE115" s="161"/>
    </row>
    <row r="116" spans="1:37" x14ac:dyDescent="0.25">
      <c r="B116" s="134">
        <v>2</v>
      </c>
      <c r="C116" s="108" t="s">
        <v>41</v>
      </c>
      <c r="D116" s="108" t="s">
        <v>39</v>
      </c>
      <c r="F116" s="185">
        <v>4.1672000000000002</v>
      </c>
      <c r="G116" s="181">
        <v>10.312833333333332</v>
      </c>
      <c r="H116" s="182">
        <v>6.0333333333333341</v>
      </c>
      <c r="I116" s="161">
        <v>6.5946419937896308E-2</v>
      </c>
      <c r="J116" s="161">
        <v>0.2675723901719263</v>
      </c>
      <c r="K116" s="161">
        <v>0.17638942066458299</v>
      </c>
      <c r="L116" s="190">
        <v>1.7253636117686988E-2</v>
      </c>
      <c r="N116" s="162"/>
      <c r="T116" s="180"/>
      <c r="U116" s="163"/>
      <c r="X116" s="164"/>
      <c r="Z116" s="180"/>
      <c r="AD116" s="162"/>
      <c r="AE116" s="161"/>
    </row>
    <row r="117" spans="1:37" ht="17" thickBot="1" x14ac:dyDescent="0.3">
      <c r="B117" s="136">
        <v>2</v>
      </c>
      <c r="C117" s="166" t="s">
        <v>41</v>
      </c>
      <c r="D117" s="166" t="s">
        <v>40</v>
      </c>
      <c r="E117" s="166"/>
      <c r="F117" s="186">
        <v>4.3149999999999995</v>
      </c>
      <c r="G117" s="183">
        <v>10.375</v>
      </c>
      <c r="H117" s="184">
        <v>2.2999999999999998</v>
      </c>
      <c r="I117" s="168">
        <v>8.0269003889640977E-2</v>
      </c>
      <c r="J117" s="168">
        <v>0.2631654001534135</v>
      </c>
      <c r="K117" s="168">
        <v>0.16979351467936421</v>
      </c>
      <c r="L117" s="193">
        <v>2.0230118147315741E-2</v>
      </c>
      <c r="T117" s="180"/>
      <c r="U117" s="163"/>
      <c r="X117" s="164"/>
      <c r="Z117" s="180"/>
      <c r="AD117" s="162"/>
      <c r="AE117" s="161"/>
    </row>
    <row r="118" spans="1:37" x14ac:dyDescent="0.25">
      <c r="B118" s="154"/>
      <c r="C118" s="154"/>
      <c r="E118" s="162"/>
      <c r="F118" s="162"/>
      <c r="G118" s="162"/>
      <c r="H118" s="163"/>
      <c r="I118" s="180"/>
      <c r="J118" s="163"/>
      <c r="K118" s="163"/>
      <c r="L118" s="163"/>
    </row>
    <row r="119" spans="1:37" x14ac:dyDescent="0.25">
      <c r="B119" s="154"/>
      <c r="C119" s="154"/>
      <c r="E119" s="162"/>
      <c r="F119" s="162"/>
      <c r="G119" s="162"/>
      <c r="H119" s="163"/>
      <c r="I119" s="180"/>
      <c r="J119" s="163"/>
      <c r="K119" s="163"/>
      <c r="L119" s="163"/>
    </row>
    <row r="120" spans="1:37" ht="17" thickBot="1" x14ac:dyDescent="0.3">
      <c r="A120" s="154" t="s">
        <v>63</v>
      </c>
      <c r="B120" s="154"/>
      <c r="C120" s="154"/>
      <c r="E120" s="162"/>
      <c r="F120" s="162"/>
      <c r="G120" s="162"/>
      <c r="H120" s="163"/>
      <c r="I120" s="180"/>
      <c r="J120" s="163"/>
      <c r="L120" s="163"/>
      <c r="M120" s="108" t="s">
        <v>65</v>
      </c>
    </row>
    <row r="121" spans="1:37" ht="52" thickBot="1" x14ac:dyDescent="0.3">
      <c r="B121" s="108" t="s">
        <v>64</v>
      </c>
      <c r="J121" s="108" t="s">
        <v>133</v>
      </c>
      <c r="M121" s="132" t="s">
        <v>136</v>
      </c>
      <c r="N121" s="133" t="s">
        <v>20</v>
      </c>
    </row>
    <row r="122" spans="1:37" ht="120" thickBot="1" x14ac:dyDescent="0.3">
      <c r="B122" s="156" t="s">
        <v>36</v>
      </c>
      <c r="C122" s="157" t="s">
        <v>44</v>
      </c>
      <c r="D122" s="198" t="s">
        <v>43</v>
      </c>
      <c r="E122" s="131" t="s">
        <v>19</v>
      </c>
      <c r="F122" s="133" t="s">
        <v>66</v>
      </c>
      <c r="G122" s="133" t="s">
        <v>134</v>
      </c>
      <c r="H122" s="133" t="s">
        <v>138</v>
      </c>
      <c r="I122" s="133" t="s">
        <v>67</v>
      </c>
      <c r="J122" s="133" t="s">
        <v>135</v>
      </c>
      <c r="K122" s="133" t="s">
        <v>139</v>
      </c>
      <c r="L122" s="133" t="s">
        <v>68</v>
      </c>
      <c r="M122" s="182">
        <f t="shared" ref="M122:M133" si="10">L123+0.4</f>
        <v>23.65</v>
      </c>
      <c r="N122" s="163">
        <v>0.75</v>
      </c>
      <c r="O122" s="133"/>
      <c r="P122" s="133" t="s">
        <v>69</v>
      </c>
      <c r="Q122" s="132" t="s">
        <v>137</v>
      </c>
      <c r="R122" s="154"/>
      <c r="S122" s="154"/>
      <c r="T122" s="154"/>
      <c r="U122" s="154"/>
      <c r="V122" s="154"/>
      <c r="W122" s="154"/>
      <c r="X122" s="154"/>
      <c r="Z122" s="154"/>
      <c r="AA122" s="154"/>
      <c r="AB122" s="154"/>
      <c r="AC122" s="154"/>
      <c r="AD122" s="154"/>
      <c r="AE122" s="154"/>
      <c r="AF122" s="154"/>
      <c r="AG122" s="154"/>
      <c r="AH122" s="154"/>
      <c r="AI122" s="154"/>
      <c r="AJ122" s="154"/>
      <c r="AK122" s="154"/>
    </row>
    <row r="123" spans="1:37" x14ac:dyDescent="0.25">
      <c r="B123" s="171">
        <v>1</v>
      </c>
      <c r="C123" s="172" t="s">
        <v>37</v>
      </c>
      <c r="D123" s="174" t="s">
        <v>38</v>
      </c>
      <c r="E123" s="185">
        <v>50.017499999999998</v>
      </c>
      <c r="F123" s="163">
        <v>27.475000000000001</v>
      </c>
      <c r="G123" s="163">
        <f t="shared" ref="G123:G128" si="11">F123+0.4</f>
        <v>27.875</v>
      </c>
      <c r="H123" s="199">
        <f t="shared" ref="H123:H134" si="12">G123-O123</f>
        <v>27.164999999999999</v>
      </c>
      <c r="I123" s="163">
        <v>13.65</v>
      </c>
      <c r="J123" s="161">
        <f>I123-0.04</f>
        <v>13.610000000000001</v>
      </c>
      <c r="K123" s="200">
        <f t="shared" ref="K123:K134" si="13">J123-O123</f>
        <v>12.900000000000002</v>
      </c>
      <c r="L123" s="163">
        <v>23.25</v>
      </c>
      <c r="M123" s="182">
        <f t="shared" si="10"/>
        <v>24.15</v>
      </c>
      <c r="N123" s="163">
        <v>3</v>
      </c>
      <c r="O123" s="163">
        <f>N122-0.04</f>
        <v>0.71</v>
      </c>
      <c r="P123" s="163">
        <v>22.5</v>
      </c>
      <c r="Q123" s="182">
        <f t="shared" ref="Q123:Q134" si="14">P123+0.4</f>
        <v>22.9</v>
      </c>
      <c r="V123" s="180"/>
      <c r="W123" s="180"/>
      <c r="X123" s="180"/>
      <c r="Z123" s="154"/>
      <c r="AF123" s="180"/>
      <c r="AG123" s="180"/>
      <c r="AH123" s="180"/>
      <c r="AI123" s="180"/>
      <c r="AJ123" s="180"/>
      <c r="AK123" s="180"/>
    </row>
    <row r="124" spans="1:37" x14ac:dyDescent="0.25">
      <c r="B124" s="134">
        <v>1</v>
      </c>
      <c r="C124" s="108" t="s">
        <v>37</v>
      </c>
      <c r="D124" s="201" t="s">
        <v>39</v>
      </c>
      <c r="E124" s="185">
        <v>50</v>
      </c>
      <c r="F124" s="163">
        <v>30.5</v>
      </c>
      <c r="G124" s="163">
        <f t="shared" si="11"/>
        <v>30.9</v>
      </c>
      <c r="H124" s="199">
        <f t="shared" si="12"/>
        <v>27.939999999999998</v>
      </c>
      <c r="I124" s="163">
        <v>19</v>
      </c>
      <c r="J124" s="161">
        <f>I124-0.04</f>
        <v>18.96</v>
      </c>
      <c r="K124" s="200">
        <f t="shared" si="13"/>
        <v>16</v>
      </c>
      <c r="L124" s="163">
        <v>23.75</v>
      </c>
      <c r="M124" s="182">
        <f t="shared" si="10"/>
        <v>23.4</v>
      </c>
      <c r="N124" s="163">
        <v>2.5</v>
      </c>
      <c r="O124" s="163">
        <f t="shared" ref="O124:O134" si="15">N123-0.04</f>
        <v>2.96</v>
      </c>
      <c r="P124" s="163">
        <v>23</v>
      </c>
      <c r="Q124" s="182">
        <f t="shared" si="14"/>
        <v>23.4</v>
      </c>
      <c r="T124" s="164"/>
      <c r="V124" s="180"/>
      <c r="W124" s="180"/>
      <c r="X124" s="180"/>
      <c r="AA124" s="164"/>
      <c r="AC124" s="164"/>
      <c r="AF124" s="180"/>
      <c r="AG124" s="180"/>
      <c r="AH124" s="180"/>
      <c r="AI124" s="180"/>
      <c r="AJ124" s="180"/>
      <c r="AK124" s="180"/>
    </row>
    <row r="125" spans="1:37" x14ac:dyDescent="0.25">
      <c r="B125" s="134">
        <v>1</v>
      </c>
      <c r="C125" s="108" t="s">
        <v>37</v>
      </c>
      <c r="D125" s="174" t="s">
        <v>40</v>
      </c>
      <c r="E125" s="185">
        <v>50.175000000000004</v>
      </c>
      <c r="F125" s="163">
        <v>31.75</v>
      </c>
      <c r="G125" s="163">
        <f t="shared" si="11"/>
        <v>32.15</v>
      </c>
      <c r="H125" s="199">
        <f t="shared" si="12"/>
        <v>29.689999999999998</v>
      </c>
      <c r="I125" s="163">
        <v>20.25</v>
      </c>
      <c r="J125" s="163">
        <f>I125+0.4</f>
        <v>20.65</v>
      </c>
      <c r="K125" s="200">
        <f t="shared" si="13"/>
        <v>18.189999999999998</v>
      </c>
      <c r="L125" s="163">
        <v>23</v>
      </c>
      <c r="M125" s="182">
        <f t="shared" si="10"/>
        <v>24.4</v>
      </c>
      <c r="N125" s="163">
        <v>2</v>
      </c>
      <c r="O125" s="163">
        <f t="shared" si="15"/>
        <v>2.46</v>
      </c>
      <c r="P125" s="163">
        <v>23</v>
      </c>
      <c r="Q125" s="182">
        <f t="shared" si="14"/>
        <v>23.4</v>
      </c>
      <c r="V125" s="180"/>
      <c r="W125" s="180"/>
      <c r="X125" s="180"/>
      <c r="AF125" s="180"/>
      <c r="AG125" s="180"/>
      <c r="AH125" s="180"/>
      <c r="AI125" s="180"/>
      <c r="AJ125" s="180"/>
      <c r="AK125" s="180"/>
    </row>
    <row r="126" spans="1:37" x14ac:dyDescent="0.25">
      <c r="B126" s="134">
        <v>1</v>
      </c>
      <c r="C126" s="108" t="s">
        <v>41</v>
      </c>
      <c r="D126" s="174" t="s">
        <v>38</v>
      </c>
      <c r="E126" s="185">
        <v>50</v>
      </c>
      <c r="F126" s="163">
        <v>25.25</v>
      </c>
      <c r="G126" s="163">
        <f t="shared" si="11"/>
        <v>25.65</v>
      </c>
      <c r="H126" s="199">
        <f t="shared" si="12"/>
        <v>23.689999999999998</v>
      </c>
      <c r="I126" s="163">
        <v>14.25</v>
      </c>
      <c r="J126" s="161">
        <f>I126-0.04</f>
        <v>14.21</v>
      </c>
      <c r="K126" s="200">
        <f t="shared" si="13"/>
        <v>12.25</v>
      </c>
      <c r="L126" s="163">
        <v>24</v>
      </c>
      <c r="M126" s="182">
        <f t="shared" si="10"/>
        <v>24.099999999999998</v>
      </c>
      <c r="N126" s="163">
        <v>3</v>
      </c>
      <c r="O126" s="163">
        <f t="shared" si="15"/>
        <v>1.96</v>
      </c>
      <c r="P126" s="163">
        <v>23</v>
      </c>
      <c r="Q126" s="182">
        <f t="shared" si="14"/>
        <v>23.4</v>
      </c>
      <c r="V126" s="180"/>
      <c r="W126" s="180"/>
      <c r="X126" s="180"/>
      <c r="AF126" s="180"/>
      <c r="AG126" s="180"/>
      <c r="AH126" s="180"/>
      <c r="AI126" s="180"/>
      <c r="AJ126" s="180"/>
      <c r="AK126" s="180"/>
    </row>
    <row r="127" spans="1:37" x14ac:dyDescent="0.25">
      <c r="B127" s="134">
        <v>1</v>
      </c>
      <c r="C127" s="108" t="s">
        <v>41</v>
      </c>
      <c r="D127" s="174" t="s">
        <v>39</v>
      </c>
      <c r="E127" s="185">
        <v>50.115000000000002</v>
      </c>
      <c r="F127" s="163">
        <v>28</v>
      </c>
      <c r="G127" s="163">
        <f t="shared" si="11"/>
        <v>28.4</v>
      </c>
      <c r="H127" s="199">
        <f t="shared" si="12"/>
        <v>25.439999999999998</v>
      </c>
      <c r="I127" s="163">
        <v>18</v>
      </c>
      <c r="J127" s="161">
        <f>I127-0.04</f>
        <v>17.96</v>
      </c>
      <c r="K127" s="200">
        <f t="shared" si="13"/>
        <v>15</v>
      </c>
      <c r="L127" s="163">
        <v>23.7</v>
      </c>
      <c r="M127" s="182">
        <f t="shared" si="10"/>
        <v>23.9</v>
      </c>
      <c r="N127" s="163">
        <v>2</v>
      </c>
      <c r="O127" s="163">
        <f t="shared" si="15"/>
        <v>2.96</v>
      </c>
      <c r="P127" s="163">
        <v>22.5</v>
      </c>
      <c r="Q127" s="182">
        <f t="shared" si="14"/>
        <v>22.9</v>
      </c>
      <c r="V127" s="180"/>
      <c r="W127" s="180"/>
      <c r="X127" s="180"/>
      <c r="AA127" s="164"/>
      <c r="AC127" s="164"/>
      <c r="AF127" s="180"/>
      <c r="AG127" s="180"/>
      <c r="AH127" s="180"/>
      <c r="AI127" s="180"/>
      <c r="AJ127" s="180"/>
      <c r="AK127" s="180"/>
    </row>
    <row r="128" spans="1:37" x14ac:dyDescent="0.25">
      <c r="B128" s="134">
        <v>1</v>
      </c>
      <c r="C128" s="108" t="s">
        <v>41</v>
      </c>
      <c r="D128" s="174" t="s">
        <v>40</v>
      </c>
      <c r="E128" s="185">
        <v>50</v>
      </c>
      <c r="F128" s="163">
        <v>36.5</v>
      </c>
      <c r="G128" s="163">
        <f t="shared" si="11"/>
        <v>36.9</v>
      </c>
      <c r="H128" s="199">
        <f t="shared" si="12"/>
        <v>34.94</v>
      </c>
      <c r="I128" s="163">
        <v>34</v>
      </c>
      <c r="J128" s="163">
        <f>I128+0.4</f>
        <v>34.4</v>
      </c>
      <c r="K128" s="200">
        <f t="shared" si="13"/>
        <v>32.44</v>
      </c>
      <c r="L128" s="163">
        <v>23.5</v>
      </c>
      <c r="M128" s="182">
        <f t="shared" si="10"/>
        <v>24.4</v>
      </c>
      <c r="N128" s="163">
        <v>2.375</v>
      </c>
      <c r="O128" s="163">
        <f t="shared" si="15"/>
        <v>1.96</v>
      </c>
      <c r="P128" s="163">
        <v>22.5</v>
      </c>
      <c r="Q128" s="182">
        <f t="shared" si="14"/>
        <v>22.9</v>
      </c>
      <c r="V128" s="180"/>
      <c r="W128" s="180"/>
      <c r="X128" s="180"/>
      <c r="AF128" s="180"/>
      <c r="AG128" s="180"/>
      <c r="AH128" s="180"/>
      <c r="AI128" s="180"/>
      <c r="AJ128" s="180"/>
      <c r="AK128" s="180"/>
    </row>
    <row r="129" spans="2:37" x14ac:dyDescent="0.25">
      <c r="B129" s="134">
        <v>2</v>
      </c>
      <c r="C129" s="108" t="s">
        <v>37</v>
      </c>
      <c r="D129" s="174" t="s">
        <v>38</v>
      </c>
      <c r="E129" s="185">
        <v>50.052499999999995</v>
      </c>
      <c r="F129" s="163">
        <v>15.125</v>
      </c>
      <c r="G129" s="161">
        <f>F129-0.04</f>
        <v>15.085000000000001</v>
      </c>
      <c r="H129" s="199">
        <f t="shared" si="12"/>
        <v>12.75</v>
      </c>
      <c r="I129" s="163">
        <v>7.375</v>
      </c>
      <c r="J129" s="161">
        <f t="shared" ref="J129:J134" si="16">I129-0.04</f>
        <v>7.335</v>
      </c>
      <c r="K129" s="200">
        <f t="shared" si="13"/>
        <v>5</v>
      </c>
      <c r="L129" s="163">
        <v>24</v>
      </c>
      <c r="M129" s="182">
        <f t="shared" si="10"/>
        <v>23.7</v>
      </c>
      <c r="N129" s="163">
        <v>2.5</v>
      </c>
      <c r="O129" s="163">
        <f t="shared" si="15"/>
        <v>2.335</v>
      </c>
      <c r="P129" s="163">
        <v>23</v>
      </c>
      <c r="Q129" s="182">
        <f t="shared" si="14"/>
        <v>23.4</v>
      </c>
      <c r="V129" s="180"/>
      <c r="W129" s="180"/>
      <c r="X129" s="180"/>
      <c r="AF129" s="180"/>
      <c r="AG129" s="180"/>
      <c r="AH129" s="180"/>
      <c r="AI129" s="180"/>
      <c r="AJ129" s="180"/>
      <c r="AK129" s="180"/>
    </row>
    <row r="130" spans="2:37" x14ac:dyDescent="0.25">
      <c r="B130" s="134">
        <v>2</v>
      </c>
      <c r="C130" s="108" t="s">
        <v>37</v>
      </c>
      <c r="D130" s="174" t="s">
        <v>39</v>
      </c>
      <c r="E130" s="185">
        <v>49.937125000000002</v>
      </c>
      <c r="F130" s="163">
        <v>16.25</v>
      </c>
      <c r="G130" s="161">
        <f>F130-0.04</f>
        <v>16.21</v>
      </c>
      <c r="H130" s="199">
        <f t="shared" si="12"/>
        <v>13.75</v>
      </c>
      <c r="I130" s="163">
        <v>10</v>
      </c>
      <c r="J130" s="161">
        <f t="shared" si="16"/>
        <v>9.9600000000000009</v>
      </c>
      <c r="K130" s="200">
        <f t="shared" si="13"/>
        <v>7.5000000000000009</v>
      </c>
      <c r="L130" s="163">
        <v>23.3</v>
      </c>
      <c r="M130" s="182">
        <f t="shared" si="10"/>
        <v>23.799999999999997</v>
      </c>
      <c r="N130" s="163">
        <v>3</v>
      </c>
      <c r="O130" s="163">
        <f t="shared" si="15"/>
        <v>2.46</v>
      </c>
      <c r="P130" s="163">
        <v>23</v>
      </c>
      <c r="Q130" s="182">
        <f t="shared" si="14"/>
        <v>23.4</v>
      </c>
      <c r="V130" s="180"/>
      <c r="W130" s="180"/>
      <c r="X130" s="180"/>
      <c r="AF130" s="180"/>
      <c r="AG130" s="180"/>
      <c r="AH130" s="180"/>
      <c r="AI130" s="180"/>
      <c r="AJ130" s="180"/>
      <c r="AK130" s="180"/>
    </row>
    <row r="131" spans="2:37" x14ac:dyDescent="0.25">
      <c r="B131" s="134">
        <v>2</v>
      </c>
      <c r="C131" s="108" t="s">
        <v>37</v>
      </c>
      <c r="D131" s="174" t="s">
        <v>40</v>
      </c>
      <c r="E131" s="185">
        <v>50.120919999999998</v>
      </c>
      <c r="F131" s="163">
        <v>14.4</v>
      </c>
      <c r="G131" s="161">
        <f>F131-0.04</f>
        <v>14.360000000000001</v>
      </c>
      <c r="H131" s="199">
        <f t="shared" si="12"/>
        <v>11.400000000000002</v>
      </c>
      <c r="I131" s="163">
        <v>9.2200000000000006</v>
      </c>
      <c r="J131" s="161">
        <f t="shared" si="16"/>
        <v>9.1800000000000015</v>
      </c>
      <c r="K131" s="200">
        <f t="shared" si="13"/>
        <v>6.2200000000000015</v>
      </c>
      <c r="L131" s="163">
        <v>23.4</v>
      </c>
      <c r="M131" s="182">
        <f t="shared" si="10"/>
        <v>23.43333333333333</v>
      </c>
      <c r="N131" s="163">
        <v>2.5</v>
      </c>
      <c r="O131" s="163">
        <f t="shared" si="15"/>
        <v>2.96</v>
      </c>
      <c r="P131" s="163">
        <v>22.619999999999997</v>
      </c>
      <c r="Q131" s="182">
        <f t="shared" si="14"/>
        <v>23.019999999999996</v>
      </c>
      <c r="V131" s="180"/>
      <c r="W131" s="180"/>
      <c r="X131" s="180"/>
      <c r="AF131" s="180"/>
      <c r="AG131" s="180"/>
      <c r="AH131" s="180"/>
      <c r="AI131" s="180"/>
      <c r="AJ131" s="180"/>
      <c r="AK131" s="180"/>
    </row>
    <row r="132" spans="2:37" x14ac:dyDescent="0.25">
      <c r="B132" s="134">
        <v>2</v>
      </c>
      <c r="C132" s="108" t="s">
        <v>41</v>
      </c>
      <c r="D132" s="174" t="s">
        <v>38</v>
      </c>
      <c r="E132" s="185">
        <v>50.109666666666669</v>
      </c>
      <c r="F132" s="163">
        <v>18</v>
      </c>
      <c r="G132" s="161">
        <f>F132-0.04</f>
        <v>17.96</v>
      </c>
      <c r="H132" s="199">
        <f t="shared" si="12"/>
        <v>15.5</v>
      </c>
      <c r="I132" s="163">
        <v>10.416666666666666</v>
      </c>
      <c r="J132" s="161">
        <f t="shared" si="16"/>
        <v>10.376666666666667</v>
      </c>
      <c r="K132" s="200">
        <f t="shared" si="13"/>
        <v>7.916666666666667</v>
      </c>
      <c r="L132" s="163">
        <v>23.033333333333331</v>
      </c>
      <c r="M132" s="182">
        <f t="shared" si="10"/>
        <v>23.299999999999994</v>
      </c>
      <c r="N132" s="163">
        <v>2</v>
      </c>
      <c r="O132" s="163">
        <f t="shared" si="15"/>
        <v>2.46</v>
      </c>
      <c r="P132" s="163">
        <v>22.733333333333334</v>
      </c>
      <c r="Q132" s="182">
        <f t="shared" si="14"/>
        <v>23.133333333333333</v>
      </c>
      <c r="V132" s="180"/>
      <c r="W132" s="180"/>
      <c r="X132" s="180"/>
      <c r="AF132" s="180"/>
      <c r="AG132" s="180"/>
      <c r="AH132" s="180"/>
      <c r="AI132" s="180"/>
      <c r="AJ132" s="180"/>
      <c r="AK132" s="180"/>
    </row>
    <row r="133" spans="2:37" ht="17" thickBot="1" x14ac:dyDescent="0.3">
      <c r="B133" s="134">
        <v>2</v>
      </c>
      <c r="C133" s="108" t="s">
        <v>41</v>
      </c>
      <c r="D133" s="174" t="s">
        <v>39</v>
      </c>
      <c r="E133" s="185">
        <v>50.233333333333327</v>
      </c>
      <c r="F133" s="163">
        <v>24</v>
      </c>
      <c r="G133" s="163">
        <f>F133+0.4</f>
        <v>24.4</v>
      </c>
      <c r="H133" s="199">
        <f t="shared" si="12"/>
        <v>22.439999999999998</v>
      </c>
      <c r="I133" s="163">
        <v>16</v>
      </c>
      <c r="J133" s="161">
        <f t="shared" si="16"/>
        <v>15.96</v>
      </c>
      <c r="K133" s="200">
        <f t="shared" si="13"/>
        <v>14</v>
      </c>
      <c r="L133" s="163">
        <v>22.899999999999995</v>
      </c>
      <c r="M133" s="184">
        <f t="shared" si="10"/>
        <v>23.299999999999997</v>
      </c>
      <c r="N133" s="202">
        <v>2.76</v>
      </c>
      <c r="O133" s="163">
        <f t="shared" si="15"/>
        <v>1.96</v>
      </c>
      <c r="P133" s="163">
        <v>22.5</v>
      </c>
      <c r="Q133" s="182">
        <f t="shared" si="14"/>
        <v>22.9</v>
      </c>
      <c r="V133" s="180"/>
      <c r="W133" s="180"/>
      <c r="X133" s="180"/>
      <c r="AF133" s="180"/>
      <c r="AG133" s="180"/>
      <c r="AH133" s="180"/>
      <c r="AI133" s="180"/>
      <c r="AJ133" s="180"/>
      <c r="AK133" s="180"/>
    </row>
    <row r="134" spans="2:37" ht="17" thickBot="1" x14ac:dyDescent="0.3">
      <c r="B134" s="136">
        <v>2</v>
      </c>
      <c r="C134" s="166" t="s">
        <v>41</v>
      </c>
      <c r="D134" s="175" t="s">
        <v>40</v>
      </c>
      <c r="E134" s="186">
        <v>50.357500000000002</v>
      </c>
      <c r="F134" s="202">
        <v>23.125</v>
      </c>
      <c r="G134" s="202">
        <f>F134+0.4</f>
        <v>23.524999999999999</v>
      </c>
      <c r="H134" s="203">
        <f t="shared" si="12"/>
        <v>20.805</v>
      </c>
      <c r="I134" s="202">
        <v>16.375</v>
      </c>
      <c r="J134" s="168">
        <f t="shared" si="16"/>
        <v>16.335000000000001</v>
      </c>
      <c r="K134" s="204">
        <f t="shared" si="13"/>
        <v>13.615000000000002</v>
      </c>
      <c r="L134" s="202">
        <v>22.9</v>
      </c>
      <c r="O134" s="202">
        <f t="shared" si="15"/>
        <v>2.7199999999999998</v>
      </c>
      <c r="P134" s="202">
        <v>22.65</v>
      </c>
      <c r="Q134" s="184">
        <f t="shared" si="14"/>
        <v>23.049999999999997</v>
      </c>
      <c r="V134" s="180"/>
      <c r="W134" s="180"/>
      <c r="X134" s="180"/>
      <c r="AF134" s="180"/>
      <c r="AG134" s="180"/>
      <c r="AH134" s="180"/>
      <c r="AI134" s="180"/>
      <c r="AJ134" s="180"/>
      <c r="AK134" s="180"/>
    </row>
    <row r="136" spans="2:37" ht="33" customHeight="1" x14ac:dyDescent="0.25">
      <c r="B136" s="155" t="s">
        <v>35</v>
      </c>
      <c r="C136" s="155"/>
      <c r="D136" s="155"/>
      <c r="E136" s="155"/>
      <c r="F136" s="155"/>
      <c r="G136" s="155"/>
      <c r="H136" s="155"/>
      <c r="I136" s="155"/>
      <c r="J136" s="155"/>
      <c r="K136" s="212"/>
      <c r="L136" s="155"/>
    </row>
    <row r="137" spans="2:37" ht="53" customHeight="1" x14ac:dyDescent="0.25">
      <c r="B137" s="212" t="s">
        <v>132</v>
      </c>
      <c r="C137" s="212"/>
      <c r="D137" s="212"/>
      <c r="E137" s="212"/>
      <c r="F137" s="212"/>
      <c r="G137" s="212"/>
      <c r="H137" s="212"/>
      <c r="I137" s="212"/>
      <c r="J137" s="212"/>
      <c r="K137" s="213"/>
      <c r="L137" s="212"/>
    </row>
    <row r="138" spans="2:37" ht="46" customHeight="1" x14ac:dyDescent="0.25">
      <c r="B138" s="213" t="s">
        <v>140</v>
      </c>
      <c r="C138" s="213"/>
      <c r="D138" s="213"/>
      <c r="E138" s="213"/>
      <c r="F138" s="213"/>
      <c r="G138" s="213"/>
      <c r="H138" s="213"/>
      <c r="I138" s="213"/>
      <c r="J138" s="213"/>
      <c r="K138" s="155"/>
      <c r="L138" s="213"/>
    </row>
    <row r="139" spans="2:37" ht="120" customHeight="1" x14ac:dyDescent="0.25">
      <c r="B139" s="155" t="s">
        <v>159</v>
      </c>
      <c r="C139" s="155"/>
      <c r="D139" s="155"/>
      <c r="E139" s="155"/>
      <c r="F139" s="155"/>
      <c r="G139" s="155"/>
      <c r="H139" s="155"/>
      <c r="I139" s="155"/>
      <c r="J139" s="155"/>
      <c r="L139" s="155"/>
    </row>
    <row r="140" spans="2:37" ht="17" thickBot="1" x14ac:dyDescent="0.3">
      <c r="B140" s="108" t="s">
        <v>162</v>
      </c>
      <c r="M140" s="160"/>
    </row>
    <row r="141" spans="2:37" ht="86" thickBot="1" x14ac:dyDescent="0.3">
      <c r="B141" s="187" t="s">
        <v>36</v>
      </c>
      <c r="C141" s="131" t="s">
        <v>44</v>
      </c>
      <c r="D141" s="133" t="s">
        <v>43</v>
      </c>
      <c r="E141" s="133" t="s">
        <v>19</v>
      </c>
      <c r="F141" s="133" t="s">
        <v>123</v>
      </c>
      <c r="G141" s="133" t="s">
        <v>142</v>
      </c>
      <c r="H141" s="133" t="s">
        <v>143</v>
      </c>
      <c r="I141" s="133" t="s">
        <v>144</v>
      </c>
      <c r="J141" s="133" t="s">
        <v>141</v>
      </c>
      <c r="K141" s="133" t="s">
        <v>145</v>
      </c>
      <c r="L141" s="132" t="s">
        <v>146</v>
      </c>
    </row>
    <row r="142" spans="2:37" ht="17" x14ac:dyDescent="0.25">
      <c r="B142" s="205">
        <v>1</v>
      </c>
      <c r="C142" s="206" t="s">
        <v>37</v>
      </c>
      <c r="D142" s="155" t="s">
        <v>38</v>
      </c>
      <c r="E142" s="229">
        <v>50.017499999999998</v>
      </c>
      <c r="F142" s="229">
        <v>5.8142526369950902</v>
      </c>
      <c r="G142" s="229">
        <f>E142/((F142/100)+1)</f>
        <v>47.269152078774624</v>
      </c>
      <c r="H142" s="161">
        <v>27.164999999999999</v>
      </c>
      <c r="I142" s="229">
        <v>12.900000000000002</v>
      </c>
      <c r="J142" s="229">
        <f t="shared" ref="J142:J153" si="17">((G142-H142)/G142)*100</f>
        <v>42.531230611606503</v>
      </c>
      <c r="K142" s="161">
        <f t="shared" ref="K142:K153" si="18">(H142-(0.7*I142))/G142*100</f>
        <v>38.365401540898802</v>
      </c>
      <c r="L142" s="190">
        <f t="shared" ref="L142:L153" si="19">100-J142-K142</f>
        <v>19.103367847494695</v>
      </c>
    </row>
    <row r="143" spans="2:37" ht="17" x14ac:dyDescent="0.25">
      <c r="B143" s="205">
        <v>1</v>
      </c>
      <c r="C143" s="206" t="s">
        <v>37</v>
      </c>
      <c r="D143" s="155" t="s">
        <v>39</v>
      </c>
      <c r="E143" s="229">
        <v>50</v>
      </c>
      <c r="F143" s="229">
        <v>8.9567430025444796</v>
      </c>
      <c r="G143" s="229">
        <f t="shared" ref="G143:G153" si="20">E143/((F143/100)+1)</f>
        <v>45.889771134983675</v>
      </c>
      <c r="H143" s="161">
        <v>27.939999999999998</v>
      </c>
      <c r="I143" s="229">
        <v>16</v>
      </c>
      <c r="J143" s="229">
        <f t="shared" si="17"/>
        <v>39.11497201017815</v>
      </c>
      <c r="K143" s="161">
        <f t="shared" si="18"/>
        <v>36.47871755725189</v>
      </c>
      <c r="L143" s="190">
        <f t="shared" si="19"/>
        <v>24.40631043256996</v>
      </c>
    </row>
    <row r="144" spans="2:37" ht="17" x14ac:dyDescent="0.25">
      <c r="B144" s="205">
        <v>1</v>
      </c>
      <c r="C144" s="206" t="s">
        <v>37</v>
      </c>
      <c r="D144" s="155" t="s">
        <v>40</v>
      </c>
      <c r="E144" s="229">
        <v>50.175000000000004</v>
      </c>
      <c r="F144" s="229">
        <v>13.810043668122271</v>
      </c>
      <c r="G144" s="229">
        <f t="shared" si="20"/>
        <v>44.086618705035981</v>
      </c>
      <c r="H144" s="161">
        <v>29.689999999999998</v>
      </c>
      <c r="I144" s="229">
        <v>18.189999999999998</v>
      </c>
      <c r="J144" s="229">
        <f t="shared" si="17"/>
        <v>32.655302511080237</v>
      </c>
      <c r="K144" s="161">
        <f t="shared" si="18"/>
        <v>38.462917996618813</v>
      </c>
      <c r="L144" s="190">
        <f t="shared" si="19"/>
        <v>28.88177949230095</v>
      </c>
    </row>
    <row r="145" spans="2:12" ht="17" x14ac:dyDescent="0.25">
      <c r="B145" s="205">
        <v>1</v>
      </c>
      <c r="C145" s="206" t="s">
        <v>41</v>
      </c>
      <c r="D145" s="155" t="s">
        <v>38</v>
      </c>
      <c r="E145" s="229">
        <v>50</v>
      </c>
      <c r="F145" s="229">
        <v>9.2173017507724371</v>
      </c>
      <c r="G145" s="229">
        <f t="shared" si="20"/>
        <v>45.780292314945761</v>
      </c>
      <c r="H145" s="161">
        <v>23.689999999999998</v>
      </c>
      <c r="I145" s="229">
        <v>12.25</v>
      </c>
      <c r="J145" s="229">
        <f t="shared" si="17"/>
        <v>48.252842430484023</v>
      </c>
      <c r="K145" s="161">
        <f t="shared" si="18"/>
        <v>33.016390319258505</v>
      </c>
      <c r="L145" s="190">
        <f t="shared" si="19"/>
        <v>18.730767250257472</v>
      </c>
    </row>
    <row r="146" spans="2:12" ht="17" x14ac:dyDescent="0.25">
      <c r="B146" s="205">
        <v>1</v>
      </c>
      <c r="C146" s="206" t="s">
        <v>41</v>
      </c>
      <c r="D146" s="155" t="s">
        <v>39</v>
      </c>
      <c r="E146" s="229">
        <v>50.115000000000002</v>
      </c>
      <c r="F146" s="229">
        <v>10.928961748633881</v>
      </c>
      <c r="G146" s="229">
        <f>E146/((F146/100)+1)</f>
        <v>45.177561576354677</v>
      </c>
      <c r="H146" s="161">
        <v>25.439999999999998</v>
      </c>
      <c r="I146" s="229">
        <v>15</v>
      </c>
      <c r="J146" s="229">
        <f t="shared" si="17"/>
        <v>43.688859884560593</v>
      </c>
      <c r="K146" s="161">
        <f t="shared" si="18"/>
        <v>33.069513888548144</v>
      </c>
      <c r="L146" s="190">
        <f t="shared" si="19"/>
        <v>23.241626226891263</v>
      </c>
    </row>
    <row r="147" spans="2:12" ht="17" x14ac:dyDescent="0.25">
      <c r="B147" s="205">
        <v>1</v>
      </c>
      <c r="C147" s="206" t="s">
        <v>41</v>
      </c>
      <c r="D147" s="155" t="s">
        <v>40</v>
      </c>
      <c r="E147" s="229">
        <v>50</v>
      </c>
      <c r="F147" s="229">
        <v>11.202368979774333</v>
      </c>
      <c r="G147" s="229">
        <f t="shared" si="20"/>
        <v>44.963070893835074</v>
      </c>
      <c r="H147" s="161">
        <v>34.94</v>
      </c>
      <c r="I147" s="229">
        <v>32.44</v>
      </c>
      <c r="J147" s="229">
        <f t="shared" si="17"/>
        <v>22.291784556933695</v>
      </c>
      <c r="K147" s="161">
        <f t="shared" si="18"/>
        <v>27.204547547211995</v>
      </c>
      <c r="L147" s="190">
        <f t="shared" si="19"/>
        <v>50.503667895854313</v>
      </c>
    </row>
    <row r="148" spans="2:12" ht="17" x14ac:dyDescent="0.25">
      <c r="B148" s="205">
        <v>2</v>
      </c>
      <c r="C148" s="206" t="s">
        <v>37</v>
      </c>
      <c r="D148" s="155" t="s">
        <v>38</v>
      </c>
      <c r="E148" s="229">
        <v>50.052499999999995</v>
      </c>
      <c r="F148" s="229">
        <v>4.093807858465369</v>
      </c>
      <c r="G148" s="229">
        <f t="shared" si="20"/>
        <v>48.084032114624492</v>
      </c>
      <c r="H148" s="161">
        <v>12.75</v>
      </c>
      <c r="I148" s="229">
        <v>5</v>
      </c>
      <c r="J148" s="229">
        <f t="shared" si="17"/>
        <v>73.48392087916821</v>
      </c>
      <c r="K148" s="161">
        <f t="shared" si="18"/>
        <v>19.237155440603459</v>
      </c>
      <c r="L148" s="190">
        <f t="shared" si="19"/>
        <v>7.2789236802283312</v>
      </c>
    </row>
    <row r="149" spans="2:12" ht="17" x14ac:dyDescent="0.25">
      <c r="B149" s="205">
        <v>2</v>
      </c>
      <c r="C149" s="206" t="s">
        <v>37</v>
      </c>
      <c r="D149" s="155" t="s">
        <v>39</v>
      </c>
      <c r="E149" s="229">
        <v>49.937125000000002</v>
      </c>
      <c r="F149" s="229">
        <v>5.0049652432968994</v>
      </c>
      <c r="G149" s="229">
        <f t="shared" si="20"/>
        <v>47.5569177936448</v>
      </c>
      <c r="H149" s="161">
        <v>13.75</v>
      </c>
      <c r="I149" s="229">
        <v>7.5000000000000009</v>
      </c>
      <c r="J149" s="229">
        <f t="shared" si="17"/>
        <v>71.087276808680272</v>
      </c>
      <c r="K149" s="161">
        <f t="shared" si="18"/>
        <v>17.873319790997652</v>
      </c>
      <c r="L149" s="190">
        <f t="shared" si="19"/>
        <v>11.039403400322076</v>
      </c>
    </row>
    <row r="150" spans="2:12" ht="17" x14ac:dyDescent="0.25">
      <c r="B150" s="205">
        <v>2</v>
      </c>
      <c r="C150" s="206" t="s">
        <v>37</v>
      </c>
      <c r="D150" s="155" t="s">
        <v>40</v>
      </c>
      <c r="E150" s="229">
        <v>50.120919999999998</v>
      </c>
      <c r="F150" s="229">
        <v>4.8476110393580401</v>
      </c>
      <c r="G150" s="229">
        <f t="shared" si="20"/>
        <v>47.803587991323369</v>
      </c>
      <c r="H150" s="161">
        <v>11.400000000000002</v>
      </c>
      <c r="I150" s="229">
        <v>6.2200000000000015</v>
      </c>
      <c r="J150" s="229">
        <f t="shared" si="17"/>
        <v>76.152417676118418</v>
      </c>
      <c r="K150" s="161">
        <f t="shared" si="18"/>
        <v>14.739479390707851</v>
      </c>
      <c r="L150" s="190">
        <f t="shared" si="19"/>
        <v>9.1081029331737309</v>
      </c>
    </row>
    <row r="151" spans="2:12" ht="17" x14ac:dyDescent="0.25">
      <c r="B151" s="205">
        <v>2</v>
      </c>
      <c r="C151" s="206" t="s">
        <v>41</v>
      </c>
      <c r="D151" s="155" t="s">
        <v>38</v>
      </c>
      <c r="E151" s="229">
        <v>50.109666666666669</v>
      </c>
      <c r="F151" s="229">
        <v>4.3507139965835435</v>
      </c>
      <c r="G151" s="229">
        <f t="shared" si="20"/>
        <v>48.020434884908667</v>
      </c>
      <c r="H151" s="161">
        <v>15.5</v>
      </c>
      <c r="I151" s="229">
        <v>7.916666666666667</v>
      </c>
      <c r="J151" s="229">
        <f t="shared" si="17"/>
        <v>67.722074910089646</v>
      </c>
      <c r="K151" s="161">
        <f t="shared" si="18"/>
        <v>20.737699184109072</v>
      </c>
      <c r="L151" s="190">
        <f t="shared" si="19"/>
        <v>11.540225905801282</v>
      </c>
    </row>
    <row r="152" spans="2:12" ht="17" x14ac:dyDescent="0.25">
      <c r="B152" s="205">
        <v>2</v>
      </c>
      <c r="C152" s="206" t="s">
        <v>41</v>
      </c>
      <c r="D152" s="155" t="s">
        <v>39</v>
      </c>
      <c r="E152" s="229">
        <v>50.233333333333327</v>
      </c>
      <c r="F152" s="229">
        <v>5.4983408468951858</v>
      </c>
      <c r="G152" s="229">
        <f t="shared" si="20"/>
        <v>47.615282790309109</v>
      </c>
      <c r="H152" s="161">
        <v>22.439999999999998</v>
      </c>
      <c r="I152" s="229">
        <v>14</v>
      </c>
      <c r="J152" s="229">
        <f t="shared" si="17"/>
        <v>52.87227401583953</v>
      </c>
      <c r="K152" s="161">
        <f t="shared" si="18"/>
        <v>26.546098771826575</v>
      </c>
      <c r="L152" s="190">
        <f t="shared" si="19"/>
        <v>20.581627212333895</v>
      </c>
    </row>
    <row r="153" spans="2:12" ht="18" thickBot="1" x14ac:dyDescent="0.3">
      <c r="B153" s="207">
        <v>2</v>
      </c>
      <c r="C153" s="208" t="s">
        <v>41</v>
      </c>
      <c r="D153" s="209" t="s">
        <v>40</v>
      </c>
      <c r="E153" s="232">
        <v>50.357500000000002</v>
      </c>
      <c r="F153" s="232">
        <v>5.498688339077221</v>
      </c>
      <c r="G153" s="232">
        <f t="shared" si="20"/>
        <v>47.732820941004377</v>
      </c>
      <c r="H153" s="168">
        <v>20.805</v>
      </c>
      <c r="I153" s="232">
        <v>13.615000000000002</v>
      </c>
      <c r="J153" s="232">
        <f t="shared" si="17"/>
        <v>56.41363826849026</v>
      </c>
      <c r="K153" s="168">
        <f t="shared" si="18"/>
        <v>23.620016118332448</v>
      </c>
      <c r="L153" s="193">
        <f t="shared" si="19"/>
        <v>19.966345613177293</v>
      </c>
    </row>
  </sheetData>
  <mergeCells count="2">
    <mergeCell ref="J45:K45"/>
    <mergeCell ref="M72:S72"/>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53B3-BEF1-8048-AC00-B68A2FE2B29F}">
  <dimension ref="A1:AD68"/>
  <sheetViews>
    <sheetView topLeftCell="A14" workbookViewId="0">
      <selection sqref="A1:I62"/>
    </sheetView>
  </sheetViews>
  <sheetFormatPr baseColWidth="10" defaultRowHeight="15" x14ac:dyDescent="0.2"/>
  <cols>
    <col min="8" max="8" width="12.1640625" bestFit="1" customWidth="1"/>
    <col min="9" max="9" width="11" bestFit="1" customWidth="1"/>
    <col min="10" max="10" width="12.1640625" bestFit="1" customWidth="1"/>
    <col min="11" max="11" width="22.83203125" bestFit="1" customWidth="1"/>
    <col min="12" max="12" width="19.6640625" bestFit="1" customWidth="1"/>
    <col min="13" max="13" width="21" bestFit="1" customWidth="1"/>
    <col min="14" max="14" width="24.5" bestFit="1" customWidth="1"/>
    <col min="15" max="15" width="12.1640625" bestFit="1" customWidth="1"/>
    <col min="16" max="16" width="24.5" bestFit="1" customWidth="1"/>
    <col min="17" max="17" width="21" bestFit="1" customWidth="1"/>
    <col min="18" max="18" width="12.1640625" bestFit="1" customWidth="1"/>
    <col min="19" max="19" width="14.1640625" bestFit="1" customWidth="1"/>
    <col min="20" max="24" width="12.1640625" bestFit="1" customWidth="1"/>
  </cols>
  <sheetData>
    <row r="1" spans="1:30" s="108" customFormat="1" ht="16" x14ac:dyDescent="0.25">
      <c r="A1" s="154" t="s">
        <v>42</v>
      </c>
      <c r="N1" s="108" t="s">
        <v>33</v>
      </c>
    </row>
    <row r="2" spans="1:30" s="108" customFormat="1" ht="17" thickBot="1" x14ac:dyDescent="0.3">
      <c r="B2" s="108" t="s">
        <v>78</v>
      </c>
      <c r="N2" s="108" t="s">
        <v>148</v>
      </c>
    </row>
    <row r="3" spans="1:30" s="108" customFormat="1" ht="52" thickBot="1" x14ac:dyDescent="0.3">
      <c r="B3" s="156" t="s">
        <v>36</v>
      </c>
      <c r="C3" s="198" t="s">
        <v>44</v>
      </c>
      <c r="D3" s="159" t="s">
        <v>43</v>
      </c>
      <c r="E3" s="158" t="s">
        <v>45</v>
      </c>
      <c r="F3" s="158" t="s">
        <v>46</v>
      </c>
      <c r="G3" s="158" t="s">
        <v>47</v>
      </c>
      <c r="H3" s="159" t="s">
        <v>118</v>
      </c>
      <c r="J3" s="154"/>
      <c r="K3" s="154"/>
      <c r="L3" s="154"/>
      <c r="M3" s="160"/>
      <c r="P3" s="154"/>
      <c r="Q3" s="154"/>
      <c r="R3" s="154"/>
      <c r="S3" s="154"/>
      <c r="T3" s="154"/>
      <c r="V3" s="154"/>
      <c r="W3" s="154"/>
      <c r="X3" s="154"/>
      <c r="Y3" s="154"/>
      <c r="AA3" s="154"/>
      <c r="AB3" s="154"/>
      <c r="AC3" s="154"/>
      <c r="AD3" s="154"/>
    </row>
    <row r="4" spans="1:30" s="108" customFormat="1" ht="16" x14ac:dyDescent="0.25">
      <c r="B4" s="134">
        <v>1</v>
      </c>
      <c r="C4" s="174" t="s">
        <v>37</v>
      </c>
      <c r="D4" s="135" t="s">
        <v>38</v>
      </c>
      <c r="E4" s="161">
        <v>39.572500000000005</v>
      </c>
      <c r="F4" s="161">
        <v>49.854999999999997</v>
      </c>
      <c r="G4" s="161">
        <v>49.29</v>
      </c>
      <c r="H4" s="190">
        <f>(F4-G4)/(G4-E4)*100</f>
        <v>5.814252636995092</v>
      </c>
      <c r="J4" s="286" t="s">
        <v>182</v>
      </c>
      <c r="K4" t="s">
        <v>202</v>
      </c>
      <c r="N4"/>
      <c r="O4" s="162" t="s">
        <v>203</v>
      </c>
      <c r="T4" s="163"/>
      <c r="V4" s="154"/>
      <c r="Y4" s="163"/>
      <c r="AD4" s="163"/>
    </row>
    <row r="5" spans="1:30" s="108" customFormat="1" ht="16" x14ac:dyDescent="0.25">
      <c r="B5" s="134">
        <v>1</v>
      </c>
      <c r="C5" s="174" t="s">
        <v>37</v>
      </c>
      <c r="D5" s="210" t="s">
        <v>39</v>
      </c>
      <c r="E5" s="161">
        <v>47.924999999999997</v>
      </c>
      <c r="F5" s="161">
        <v>58.629999999999995</v>
      </c>
      <c r="G5" s="161">
        <v>57.75</v>
      </c>
      <c r="H5" s="190">
        <f t="shared" ref="H5:H15" si="0">(F5-G5)/(G5-E5)*100</f>
        <v>8.9567430025444796</v>
      </c>
      <c r="J5" s="287" t="s">
        <v>37</v>
      </c>
      <c r="K5">
        <v>7.0879039081303583</v>
      </c>
      <c r="M5" t="s">
        <v>37</v>
      </c>
      <c r="N5" t="s">
        <v>188</v>
      </c>
      <c r="O5" s="162">
        <v>4.9540302477302305</v>
      </c>
      <c r="R5" s="164"/>
      <c r="T5" s="163"/>
      <c r="W5" s="164"/>
      <c r="Y5" s="163"/>
      <c r="AA5" s="164"/>
      <c r="AD5" s="163"/>
    </row>
    <row r="6" spans="1:30" s="108" customFormat="1" ht="16" x14ac:dyDescent="0.25">
      <c r="B6" s="134">
        <v>1</v>
      </c>
      <c r="C6" s="174" t="s">
        <v>37</v>
      </c>
      <c r="D6" s="135" t="s">
        <v>40</v>
      </c>
      <c r="E6" s="161">
        <v>46.1</v>
      </c>
      <c r="F6" s="161">
        <v>56.525000000000006</v>
      </c>
      <c r="G6" s="161">
        <v>55.260000000000005</v>
      </c>
      <c r="H6" s="190">
        <f>(F6-G6)/(G6-E6)*100</f>
        <v>13.810043668122271</v>
      </c>
      <c r="J6" s="288" t="s">
        <v>38</v>
      </c>
      <c r="K6">
        <v>4.9540302477302305</v>
      </c>
      <c r="N6" t="s">
        <v>189</v>
      </c>
      <c r="O6" s="162">
        <v>6.9808541229206895</v>
      </c>
      <c r="T6" s="163"/>
      <c r="Y6" s="163"/>
      <c r="AD6" s="163"/>
    </row>
    <row r="7" spans="1:30" s="108" customFormat="1" ht="16" x14ac:dyDescent="0.25">
      <c r="B7" s="134">
        <v>1</v>
      </c>
      <c r="C7" s="108" t="s">
        <v>193</v>
      </c>
      <c r="D7" s="135" t="s">
        <v>38</v>
      </c>
      <c r="E7" s="161">
        <v>42.980000000000004</v>
      </c>
      <c r="F7" s="161">
        <v>53.585000000000001</v>
      </c>
      <c r="G7" s="161">
        <v>52.69</v>
      </c>
      <c r="H7" s="190">
        <f t="shared" si="0"/>
        <v>9.2173017507724371</v>
      </c>
      <c r="J7" s="288" t="s">
        <v>39</v>
      </c>
      <c r="K7">
        <v>6.9808541229206895</v>
      </c>
      <c r="N7" t="s">
        <v>190</v>
      </c>
      <c r="O7" s="162">
        <v>9.3288273537401558</v>
      </c>
      <c r="T7" s="163"/>
      <c r="Y7" s="163"/>
      <c r="AD7" s="163"/>
    </row>
    <row r="8" spans="1:30" s="108" customFormat="1" ht="16" x14ac:dyDescent="0.25">
      <c r="B8" s="134">
        <v>1</v>
      </c>
      <c r="C8" s="108" t="s">
        <v>193</v>
      </c>
      <c r="D8" s="135" t="s">
        <v>39</v>
      </c>
      <c r="E8" s="161">
        <v>38.99</v>
      </c>
      <c r="F8" s="161">
        <v>49.14</v>
      </c>
      <c r="G8" s="161">
        <v>48.14</v>
      </c>
      <c r="H8" s="190">
        <f t="shared" si="0"/>
        <v>10.928961748633881</v>
      </c>
      <c r="J8" s="288" t="s">
        <v>40</v>
      </c>
      <c r="K8">
        <v>9.3288273537401558</v>
      </c>
      <c r="T8" s="163"/>
      <c r="W8" s="164"/>
      <c r="Y8" s="163"/>
      <c r="AA8" s="164"/>
      <c r="AD8" s="163"/>
    </row>
    <row r="9" spans="1:30" s="108" customFormat="1" ht="16" x14ac:dyDescent="0.25">
      <c r="B9" s="134">
        <v>1</v>
      </c>
      <c r="C9" s="108" t="s">
        <v>193</v>
      </c>
      <c r="D9" s="135" t="s">
        <v>40</v>
      </c>
      <c r="E9" s="161">
        <v>45.473500000000001</v>
      </c>
      <c r="F9" s="161">
        <v>55.425000000000004</v>
      </c>
      <c r="G9" s="161">
        <v>54.422499999999999</v>
      </c>
      <c r="H9" s="190">
        <f t="shared" si="0"/>
        <v>11.202368979774333</v>
      </c>
      <c r="J9" s="287" t="s">
        <v>193</v>
      </c>
      <c r="K9">
        <v>7.7827292769560996</v>
      </c>
      <c r="O9" s="108" t="s">
        <v>204</v>
      </c>
      <c r="T9" s="163"/>
      <c r="Y9" s="163"/>
      <c r="AD9" s="163"/>
    </row>
    <row r="10" spans="1:30" s="108" customFormat="1" ht="16" x14ac:dyDescent="0.25">
      <c r="B10" s="134">
        <v>2</v>
      </c>
      <c r="C10" s="174" t="s">
        <v>37</v>
      </c>
      <c r="D10" s="210" t="s">
        <v>38</v>
      </c>
      <c r="E10" s="165">
        <v>42.055999999999997</v>
      </c>
      <c r="F10" s="161">
        <v>52.176000000000002</v>
      </c>
      <c r="G10" s="165">
        <v>51.777999999999999</v>
      </c>
      <c r="H10" s="190">
        <f t="shared" si="0"/>
        <v>4.093807858465369</v>
      </c>
      <c r="J10" s="288" t="s">
        <v>38</v>
      </c>
      <c r="K10">
        <v>6.7840078736779903</v>
      </c>
      <c r="M10" t="s">
        <v>193</v>
      </c>
      <c r="N10" t="s">
        <v>188</v>
      </c>
      <c r="O10" s="162">
        <v>6.7840078736779903</v>
      </c>
      <c r="R10" s="164"/>
      <c r="T10" s="163"/>
      <c r="V10" s="154"/>
      <c r="Y10" s="163"/>
      <c r="AD10" s="163"/>
    </row>
    <row r="11" spans="1:30" s="108" customFormat="1" ht="16" x14ac:dyDescent="0.25">
      <c r="B11" s="134">
        <v>2</v>
      </c>
      <c r="C11" s="174" t="s">
        <v>37</v>
      </c>
      <c r="D11" s="135" t="s">
        <v>39</v>
      </c>
      <c r="E11" s="161">
        <v>43.78</v>
      </c>
      <c r="F11" s="161">
        <v>54.353999999999999</v>
      </c>
      <c r="G11" s="161">
        <v>53.85</v>
      </c>
      <c r="H11" s="190">
        <f t="shared" si="0"/>
        <v>5.0049652432968994</v>
      </c>
      <c r="J11" s="288" t="s">
        <v>39</v>
      </c>
      <c r="K11">
        <v>8.2136512977645335</v>
      </c>
      <c r="N11" t="s">
        <v>189</v>
      </c>
      <c r="O11" s="162">
        <v>8.2136512977645335</v>
      </c>
      <c r="T11" s="163"/>
      <c r="W11" s="164"/>
      <c r="Y11" s="163"/>
      <c r="AD11" s="163"/>
    </row>
    <row r="12" spans="1:30" s="108" customFormat="1" ht="16" x14ac:dyDescent="0.25">
      <c r="B12" s="134">
        <v>2</v>
      </c>
      <c r="C12" s="174" t="s">
        <v>37</v>
      </c>
      <c r="D12" s="135" t="s">
        <v>40</v>
      </c>
      <c r="E12" s="161">
        <v>37.314</v>
      </c>
      <c r="F12" s="161">
        <v>47.364000000000004</v>
      </c>
      <c r="G12" s="161">
        <v>46.899340000000002</v>
      </c>
      <c r="H12" s="190">
        <f t="shared" si="0"/>
        <v>4.8476110393580401</v>
      </c>
      <c r="J12" s="288" t="s">
        <v>40</v>
      </c>
      <c r="K12">
        <v>8.3505286594257768</v>
      </c>
      <c r="N12" t="s">
        <v>190</v>
      </c>
      <c r="O12" s="162">
        <v>8.3505286594257768</v>
      </c>
      <c r="T12" s="163"/>
      <c r="Y12" s="163"/>
      <c r="AD12" s="163"/>
    </row>
    <row r="13" spans="1:30" s="108" customFormat="1" ht="16" x14ac:dyDescent="0.25">
      <c r="B13" s="134">
        <v>2</v>
      </c>
      <c r="C13" s="108" t="s">
        <v>193</v>
      </c>
      <c r="D13" s="135" t="s">
        <v>38</v>
      </c>
      <c r="E13" s="161">
        <v>37.972299999999997</v>
      </c>
      <c r="F13" s="161">
        <v>49.100416666666668</v>
      </c>
      <c r="G13" s="161">
        <v>48.636450000000004</v>
      </c>
      <c r="H13" s="190">
        <f t="shared" si="0"/>
        <v>4.3507139965835435</v>
      </c>
      <c r="J13" s="287" t="s">
        <v>183</v>
      </c>
      <c r="K13">
        <v>7.4353165925432299</v>
      </c>
      <c r="N13" s="1"/>
      <c r="O13" s="304"/>
      <c r="T13" s="163"/>
      <c r="Y13" s="163"/>
      <c r="AD13" s="163"/>
    </row>
    <row r="14" spans="1:30" s="108" customFormat="1" ht="16" x14ac:dyDescent="0.25">
      <c r="B14" s="134">
        <v>2</v>
      </c>
      <c r="C14" s="108" t="s">
        <v>193</v>
      </c>
      <c r="D14" s="135" t="s">
        <v>39</v>
      </c>
      <c r="E14" s="161">
        <v>33.856666666666669</v>
      </c>
      <c r="F14" s="161">
        <v>44.49666666666667</v>
      </c>
      <c r="G14" s="161">
        <v>43.942133333333338</v>
      </c>
      <c r="H14" s="190">
        <f t="shared" si="0"/>
        <v>5.4983408468951858</v>
      </c>
      <c r="J14"/>
      <c r="K14"/>
      <c r="L14"/>
      <c r="M14" s="162"/>
      <c r="O14" s="162"/>
      <c r="T14" s="163"/>
      <c r="W14" s="164"/>
      <c r="Y14" s="163"/>
      <c r="AD14" s="163"/>
    </row>
    <row r="15" spans="1:30" s="108" customFormat="1" ht="17" thickBot="1" x14ac:dyDescent="0.3">
      <c r="B15" s="136">
        <v>2</v>
      </c>
      <c r="C15" s="108" t="s">
        <v>193</v>
      </c>
      <c r="D15" s="211" t="s">
        <v>40</v>
      </c>
      <c r="E15" s="168">
        <v>30.655000000000001</v>
      </c>
      <c r="F15" s="168">
        <v>40.910000000000004</v>
      </c>
      <c r="G15" s="168">
        <v>40.375500000000002</v>
      </c>
      <c r="H15" s="193">
        <f t="shared" si="0"/>
        <v>5.498688339077221</v>
      </c>
      <c r="J15"/>
      <c r="K15"/>
      <c r="L15"/>
      <c r="M15" s="162"/>
      <c r="O15" s="162"/>
      <c r="R15" s="164"/>
      <c r="T15" s="163"/>
      <c r="Y15" s="163"/>
      <c r="AD15" s="163"/>
    </row>
    <row r="16" spans="1:30" s="108" customFormat="1" ht="16" x14ac:dyDescent="0.25">
      <c r="B16" s="261" t="s">
        <v>168</v>
      </c>
      <c r="D16" s="164"/>
      <c r="E16" s="264">
        <f>AVERAGE(E4:E15)</f>
        <v>40.556247222222225</v>
      </c>
      <c r="F16" s="264">
        <f t="shared" ref="F16:H16" si="1">AVERAGE(F4:F15)</f>
        <v>50.963423611111104</v>
      </c>
      <c r="G16" s="264">
        <f t="shared" si="1"/>
        <v>50.25282694444445</v>
      </c>
      <c r="H16" s="264">
        <f t="shared" si="1"/>
        <v>7.4353165925432299</v>
      </c>
      <c r="J16"/>
      <c r="K16"/>
      <c r="L16"/>
      <c r="M16" s="162"/>
      <c r="O16" s="162"/>
      <c r="R16" s="164"/>
      <c r="T16" s="163"/>
      <c r="Y16" s="163"/>
      <c r="AD16" s="163"/>
    </row>
    <row r="17" spans="1:30" s="108" customFormat="1" ht="16" x14ac:dyDescent="0.25">
      <c r="B17" s="268" t="s">
        <v>169</v>
      </c>
      <c r="D17" s="164"/>
      <c r="E17" s="269">
        <f>_xlfn.STDEV.S(E4:E15)</f>
        <v>5.1456638459234663</v>
      </c>
      <c r="F17" s="269">
        <f t="shared" ref="F17:H17" si="2">_xlfn.STDEV.S(F4:F15)</f>
        <v>5.1638832753693515</v>
      </c>
      <c r="G17" s="269">
        <f t="shared" si="2"/>
        <v>5.0136834809908484</v>
      </c>
      <c r="H17" s="269">
        <f t="shared" si="2"/>
        <v>3.2464964159026448</v>
      </c>
      <c r="J17"/>
      <c r="K17"/>
      <c r="L17"/>
      <c r="M17" s="162"/>
      <c r="O17" s="162"/>
      <c r="R17" s="164"/>
      <c r="T17" s="163"/>
      <c r="Y17" s="163"/>
      <c r="AD17" s="163"/>
    </row>
    <row r="18" spans="1:30" s="108" customFormat="1" ht="16" x14ac:dyDescent="0.25">
      <c r="B18" s="268" t="s">
        <v>171</v>
      </c>
      <c r="D18" s="164"/>
      <c r="E18" s="269">
        <f>COUNT(E4:E15)</f>
        <v>12</v>
      </c>
      <c r="F18" s="269">
        <f t="shared" ref="F18:H18" si="3">COUNT(F4:F15)</f>
        <v>12</v>
      </c>
      <c r="G18" s="269">
        <f t="shared" si="3"/>
        <v>12</v>
      </c>
      <c r="H18" s="269">
        <f t="shared" si="3"/>
        <v>12</v>
      </c>
      <c r="J18"/>
      <c r="K18"/>
      <c r="L18"/>
      <c r="M18" s="162"/>
      <c r="O18" s="162"/>
      <c r="R18" s="164"/>
      <c r="T18" s="163"/>
      <c r="Y18" s="163"/>
      <c r="AD18" s="163"/>
    </row>
    <row r="19" spans="1:30" s="108" customFormat="1" ht="17" thickBot="1" x14ac:dyDescent="0.3">
      <c r="B19" s="262" t="s">
        <v>172</v>
      </c>
      <c r="D19" s="164"/>
      <c r="E19" s="227">
        <f>E17/SQRT(E18)</f>
        <v>1.4854252033016193</v>
      </c>
      <c r="F19" s="227">
        <f t="shared" ref="F19:H19" si="4">F17/SQRT(F18)</f>
        <v>1.4906846995491507</v>
      </c>
      <c r="G19" s="227">
        <f t="shared" si="4"/>
        <v>1.4473257536908233</v>
      </c>
      <c r="H19" s="227">
        <f t="shared" si="4"/>
        <v>0.93718278982227365</v>
      </c>
      <c r="J19"/>
      <c r="K19"/>
      <c r="L19"/>
      <c r="M19" s="162"/>
      <c r="O19" s="162"/>
      <c r="R19" s="164"/>
      <c r="T19" s="163"/>
      <c r="Y19" s="163"/>
      <c r="AD19" s="163"/>
    </row>
    <row r="20" spans="1:30" s="108" customFormat="1" ht="16" x14ac:dyDescent="0.25">
      <c r="D20" s="164"/>
      <c r="E20" s="161"/>
      <c r="F20" s="161"/>
      <c r="G20" s="161"/>
      <c r="H20" s="161"/>
      <c r="J20"/>
      <c r="K20"/>
      <c r="L20"/>
      <c r="M20" s="162"/>
      <c r="O20" s="162"/>
      <c r="R20" s="164"/>
      <c r="T20" s="163"/>
      <c r="Y20" s="163"/>
      <c r="AD20" s="163"/>
    </row>
    <row r="21" spans="1:30" s="108" customFormat="1" ht="16" x14ac:dyDescent="0.25">
      <c r="D21" s="164"/>
      <c r="E21" s="161"/>
      <c r="F21" s="161"/>
      <c r="G21" s="161"/>
      <c r="H21" s="161"/>
      <c r="J21"/>
      <c r="K21"/>
      <c r="L21"/>
      <c r="M21" s="162"/>
      <c r="O21" s="162"/>
      <c r="R21" s="164"/>
      <c r="T21" s="163"/>
      <c r="Y21" s="163"/>
      <c r="AD21" s="163"/>
    </row>
    <row r="22" spans="1:30" s="108" customFormat="1" ht="16" x14ac:dyDescent="0.25">
      <c r="B22" s="154"/>
      <c r="C22" s="154"/>
      <c r="E22" s="162"/>
      <c r="F22" s="162"/>
      <c r="G22" s="162"/>
      <c r="I22" s="154"/>
      <c r="M22" s="162"/>
    </row>
    <row r="23" spans="1:30" s="108" customFormat="1" ht="16" x14ac:dyDescent="0.25">
      <c r="B23" s="154"/>
      <c r="C23" s="154"/>
      <c r="E23" s="162"/>
      <c r="F23" s="162"/>
      <c r="G23" s="162"/>
    </row>
    <row r="24" spans="1:30" s="108" customFormat="1" ht="17" x14ac:dyDescent="0.25">
      <c r="A24" s="154" t="s">
        <v>48</v>
      </c>
      <c r="N24" s="108" t="s">
        <v>149</v>
      </c>
    </row>
    <row r="25" spans="1:30" s="108" customFormat="1" ht="17" thickBot="1" x14ac:dyDescent="0.3">
      <c r="B25" s="108" t="s">
        <v>79</v>
      </c>
      <c r="J25" s="154"/>
      <c r="K25" s="108" t="s">
        <v>97</v>
      </c>
      <c r="N25" s="108" t="s">
        <v>150</v>
      </c>
    </row>
    <row r="26" spans="1:30" s="108" customFormat="1" ht="69" thickBot="1" x14ac:dyDescent="0.3">
      <c r="B26" s="156" t="s">
        <v>36</v>
      </c>
      <c r="C26" s="198" t="s">
        <v>44</v>
      </c>
      <c r="D26" s="157" t="s">
        <v>43</v>
      </c>
      <c r="E26" s="133" t="s">
        <v>16</v>
      </c>
      <c r="F26" s="133" t="s">
        <v>17</v>
      </c>
      <c r="G26" s="133" t="s">
        <v>49</v>
      </c>
      <c r="H26" s="157" t="s">
        <v>96</v>
      </c>
      <c r="I26" s="159" t="s">
        <v>160</v>
      </c>
      <c r="J26" s="154"/>
      <c r="K26" s="286" t="s">
        <v>182</v>
      </c>
      <c r="L26" t="s">
        <v>197</v>
      </c>
      <c r="M26" t="s">
        <v>196</v>
      </c>
      <c r="O26" s="108" t="s">
        <v>44</v>
      </c>
      <c r="P26" s="1" t="s">
        <v>43</v>
      </c>
      <c r="Q26" s="154" t="s">
        <v>200</v>
      </c>
      <c r="R26" s="154" t="s">
        <v>201</v>
      </c>
      <c r="S26"/>
      <c r="T26"/>
      <c r="U26"/>
      <c r="V26"/>
      <c r="W26"/>
      <c r="X26"/>
      <c r="Y26" s="154"/>
      <c r="Z26" s="154"/>
      <c r="AA26" s="154"/>
      <c r="AB26" s="154"/>
    </row>
    <row r="27" spans="1:30" s="108" customFormat="1" ht="16" x14ac:dyDescent="0.25">
      <c r="B27" s="171">
        <v>1</v>
      </c>
      <c r="C27" s="108" t="s">
        <v>37</v>
      </c>
      <c r="D27" s="108" t="s">
        <v>38</v>
      </c>
      <c r="E27" s="161">
        <v>26.970233333333329</v>
      </c>
      <c r="F27" s="161">
        <v>4.5089666666666668</v>
      </c>
      <c r="G27" s="161">
        <v>31.134499999999999</v>
      </c>
      <c r="H27" s="161">
        <f>(F27+E27-G27)/F27</f>
        <v>7.6447670937168755E-2</v>
      </c>
      <c r="I27" s="190">
        <f>H27*0.45*100</f>
        <v>3.4401451921725936</v>
      </c>
      <c r="K27" s="287" t="s">
        <v>37</v>
      </c>
      <c r="L27">
        <v>5.4239453184030707E-2</v>
      </c>
      <c r="M27">
        <v>2.440775393281382</v>
      </c>
      <c r="O27" t="s">
        <v>37</v>
      </c>
      <c r="P27" t="s">
        <v>188</v>
      </c>
      <c r="Q27" s="108">
        <v>6.5415760447597421E-2</v>
      </c>
      <c r="R27" s="108">
        <v>2.943709220141884</v>
      </c>
      <c r="S27"/>
      <c r="T27"/>
      <c r="U27"/>
      <c r="V27"/>
      <c r="W27"/>
      <c r="X27"/>
      <c r="AB27" s="163"/>
    </row>
    <row r="28" spans="1:30" s="108" customFormat="1" ht="16" x14ac:dyDescent="0.25">
      <c r="B28" s="134">
        <v>1</v>
      </c>
      <c r="C28" s="108" t="s">
        <v>37</v>
      </c>
      <c r="D28" s="164" t="s">
        <v>39</v>
      </c>
      <c r="E28" s="161">
        <v>27.71363333333333</v>
      </c>
      <c r="F28" s="161">
        <v>4.9967333333333332</v>
      </c>
      <c r="G28" s="161">
        <v>32.462566666666667</v>
      </c>
      <c r="H28" s="161">
        <f t="shared" ref="H28:H38" si="5">(F28+E28-G28)/F28</f>
        <v>4.959240036824019E-2</v>
      </c>
      <c r="I28" s="190">
        <f t="shared" ref="I28:I38" si="6">H28*0.45*100</f>
        <v>2.2316580165708086</v>
      </c>
      <c r="K28" s="288" t="s">
        <v>38</v>
      </c>
      <c r="L28">
        <v>6.5415760447597421E-2</v>
      </c>
      <c r="M28">
        <v>2.943709220141884</v>
      </c>
      <c r="P28" t="s">
        <v>189</v>
      </c>
      <c r="Q28" s="108">
        <v>4.478104084773285E-2</v>
      </c>
      <c r="R28" s="108">
        <v>2.0151468381479782</v>
      </c>
      <c r="S28"/>
      <c r="T28"/>
      <c r="U28"/>
      <c r="V28"/>
      <c r="W28"/>
      <c r="X28"/>
      <c r="Y28" s="164"/>
      <c r="AB28" s="163"/>
    </row>
    <row r="29" spans="1:30" s="108" customFormat="1" ht="16" x14ac:dyDescent="0.25">
      <c r="B29" s="134">
        <v>1</v>
      </c>
      <c r="C29" s="108" t="s">
        <v>37</v>
      </c>
      <c r="D29" s="108" t="s">
        <v>40</v>
      </c>
      <c r="E29" s="161">
        <v>30.43</v>
      </c>
      <c r="F29" s="161">
        <v>4.84</v>
      </c>
      <c r="G29" s="161">
        <v>35.019999999999996</v>
      </c>
      <c r="H29" s="161">
        <f t="shared" si="5"/>
        <v>5.1652892561983473E-2</v>
      </c>
      <c r="I29" s="190">
        <f t="shared" si="6"/>
        <v>2.3243801652892566</v>
      </c>
      <c r="K29" s="288" t="s">
        <v>39</v>
      </c>
      <c r="L29">
        <v>4.478104084773285E-2</v>
      </c>
      <c r="M29">
        <v>2.0151468381479782</v>
      </c>
      <c r="P29" t="s">
        <v>190</v>
      </c>
      <c r="Q29" s="108">
        <v>5.2521558256761865E-2</v>
      </c>
      <c r="R29" s="108">
        <v>2.3634701215542844</v>
      </c>
      <c r="S29"/>
      <c r="T29"/>
      <c r="U29"/>
      <c r="V29"/>
      <c r="W29"/>
      <c r="X29"/>
      <c r="AB29" s="163"/>
    </row>
    <row r="30" spans="1:30" s="108" customFormat="1" ht="16" x14ac:dyDescent="0.25">
      <c r="B30" s="134">
        <v>1</v>
      </c>
      <c r="C30" s="108" t="s">
        <v>193</v>
      </c>
      <c r="D30" s="108" t="s">
        <v>38</v>
      </c>
      <c r="E30" s="161">
        <v>28.359850000000002</v>
      </c>
      <c r="F30" s="161">
        <v>5.4211</v>
      </c>
      <c r="G30" s="161">
        <v>32.860699999999994</v>
      </c>
      <c r="H30" s="161">
        <f t="shared" si="5"/>
        <v>0.1697533710870506</v>
      </c>
      <c r="I30" s="190">
        <f t="shared" si="6"/>
        <v>7.6389016989172775</v>
      </c>
      <c r="K30" s="288" t="s">
        <v>40</v>
      </c>
      <c r="L30">
        <v>5.2521558256761865E-2</v>
      </c>
      <c r="M30">
        <v>2.3634701215542844</v>
      </c>
      <c r="S30"/>
      <c r="T30"/>
      <c r="U30"/>
      <c r="V30"/>
      <c r="W30"/>
      <c r="X30"/>
      <c r="AB30" s="163"/>
    </row>
    <row r="31" spans="1:30" s="108" customFormat="1" ht="16" x14ac:dyDescent="0.25">
      <c r="B31" s="134">
        <v>1</v>
      </c>
      <c r="C31" s="108" t="s">
        <v>193</v>
      </c>
      <c r="D31" s="108" t="s">
        <v>39</v>
      </c>
      <c r="E31" s="161">
        <v>26.826000000000001</v>
      </c>
      <c r="F31" s="161">
        <v>4.6119000000000003</v>
      </c>
      <c r="G31" s="161">
        <v>30.727799999999998</v>
      </c>
      <c r="H31" s="161">
        <f t="shared" si="5"/>
        <v>0.15397124829246092</v>
      </c>
      <c r="I31" s="190">
        <f t="shared" si="6"/>
        <v>6.9287061731607409</v>
      </c>
      <c r="K31" s="287" t="s">
        <v>193</v>
      </c>
      <c r="L31">
        <v>0.10151632533655169</v>
      </c>
      <c r="M31">
        <v>4.5682346401448273</v>
      </c>
      <c r="Q31" s="154" t="s">
        <v>198</v>
      </c>
      <c r="R31" s="154" t="s">
        <v>199</v>
      </c>
      <c r="U31" s="164"/>
      <c r="W31" s="163"/>
      <c r="Y31" s="164"/>
      <c r="AB31" s="163"/>
    </row>
    <row r="32" spans="1:30" s="108" customFormat="1" ht="16" x14ac:dyDescent="0.25">
      <c r="B32" s="134">
        <v>1</v>
      </c>
      <c r="C32" s="108" t="s">
        <v>193</v>
      </c>
      <c r="D32" s="108" t="s">
        <v>40</v>
      </c>
      <c r="E32" s="161">
        <v>25.973199999999999</v>
      </c>
      <c r="F32" s="161">
        <v>4.7638499999999997</v>
      </c>
      <c r="G32" s="161">
        <v>30.26005</v>
      </c>
      <c r="H32" s="161">
        <f t="shared" si="5"/>
        <v>0.10012909726376708</v>
      </c>
      <c r="I32" s="190">
        <f t="shared" si="6"/>
        <v>4.505809376869518</v>
      </c>
      <c r="K32" s="288" t="s">
        <v>38</v>
      </c>
      <c r="L32">
        <v>0.12519099034997838</v>
      </c>
      <c r="M32">
        <v>5.6335945657490276</v>
      </c>
      <c r="O32" t="s">
        <v>193</v>
      </c>
      <c r="P32" t="s">
        <v>188</v>
      </c>
      <c r="Q32" s="108">
        <v>0.12519099034997838</v>
      </c>
      <c r="R32" s="108">
        <v>5.6335945657490276</v>
      </c>
      <c r="W32" s="163"/>
      <c r="AB32" s="163"/>
    </row>
    <row r="33" spans="1:28" s="108" customFormat="1" ht="16" x14ac:dyDescent="0.25">
      <c r="B33" s="134">
        <v>2</v>
      </c>
      <c r="C33" s="108" t="s">
        <v>37</v>
      </c>
      <c r="D33" s="164" t="s">
        <v>38</v>
      </c>
      <c r="E33" s="161">
        <v>28.565679999999997</v>
      </c>
      <c r="F33" s="161">
        <v>5.0268600000000001</v>
      </c>
      <c r="G33" s="161">
        <v>33.319159999999997</v>
      </c>
      <c r="H33" s="161">
        <f t="shared" si="5"/>
        <v>5.4383849958026094E-2</v>
      </c>
      <c r="I33" s="190">
        <f t="shared" si="6"/>
        <v>2.4472732481111743</v>
      </c>
      <c r="K33" s="288" t="s">
        <v>39</v>
      </c>
      <c r="L33">
        <v>0.11442614229920897</v>
      </c>
      <c r="M33">
        <v>5.1491764034644039</v>
      </c>
      <c r="P33" t="s">
        <v>189</v>
      </c>
      <c r="Q33" s="108">
        <v>0.11442614229920897</v>
      </c>
      <c r="R33" s="108">
        <v>5.1491764034644039</v>
      </c>
      <c r="T33" s="154"/>
      <c r="W33" s="163"/>
      <c r="AB33" s="163"/>
    </row>
    <row r="34" spans="1:28" s="108" customFormat="1" ht="16" x14ac:dyDescent="0.25">
      <c r="B34" s="134">
        <v>2</v>
      </c>
      <c r="C34" s="108" t="s">
        <v>37</v>
      </c>
      <c r="D34" s="108" t="s">
        <v>39</v>
      </c>
      <c r="E34" s="161">
        <v>27.380200000000002</v>
      </c>
      <c r="F34" s="161">
        <v>5.1013666666666673</v>
      </c>
      <c r="G34" s="161">
        <v>32.277666666666669</v>
      </c>
      <c r="H34" s="161">
        <f t="shared" si="5"/>
        <v>3.9969681327225504E-2</v>
      </c>
      <c r="I34" s="190">
        <f t="shared" si="6"/>
        <v>1.7986356597251476</v>
      </c>
      <c r="K34" s="288" t="s">
        <v>40</v>
      </c>
      <c r="L34">
        <v>6.493184336046777E-2</v>
      </c>
      <c r="M34">
        <v>2.9219329512210495</v>
      </c>
      <c r="P34" t="s">
        <v>190</v>
      </c>
      <c r="Q34" s="108">
        <v>6.493184336046777E-2</v>
      </c>
      <c r="R34" s="108">
        <v>2.9219329512210495</v>
      </c>
      <c r="U34" s="164"/>
      <c r="W34" s="163"/>
      <c r="AB34" s="163"/>
    </row>
    <row r="35" spans="1:28" s="108" customFormat="1" ht="16" x14ac:dyDescent="0.25">
      <c r="B35" s="134">
        <v>2</v>
      </c>
      <c r="C35" s="108" t="s">
        <v>37</v>
      </c>
      <c r="D35" s="108" t="s">
        <v>40</v>
      </c>
      <c r="E35" s="161">
        <v>28.8124</v>
      </c>
      <c r="F35" s="161">
        <v>4.5232999999999999</v>
      </c>
      <c r="G35" s="161">
        <v>33.094200000000001</v>
      </c>
      <c r="H35" s="161">
        <f t="shared" si="5"/>
        <v>5.3390223951540257E-2</v>
      </c>
      <c r="I35" s="190">
        <f t="shared" si="6"/>
        <v>2.4025600778193117</v>
      </c>
      <c r="K35" s="287" t="s">
        <v>183</v>
      </c>
      <c r="L35">
        <v>7.7877889260291197E-2</v>
      </c>
      <c r="M35">
        <v>3.5045050167131038</v>
      </c>
      <c r="P35"/>
      <c r="W35" s="163"/>
      <c r="AB35" s="163"/>
    </row>
    <row r="36" spans="1:28" s="108" customFormat="1" ht="16" x14ac:dyDescent="0.25">
      <c r="B36" s="134">
        <v>2</v>
      </c>
      <c r="C36" s="108" t="s">
        <v>193</v>
      </c>
      <c r="D36" s="108" t="s">
        <v>38</v>
      </c>
      <c r="E36" s="161">
        <v>27.999320000000001</v>
      </c>
      <c r="F36" s="161">
        <v>5.0282400000000003</v>
      </c>
      <c r="G36" s="161">
        <v>32.622140000000002</v>
      </c>
      <c r="H36" s="161">
        <f t="shared" si="5"/>
        <v>8.0628609612906188E-2</v>
      </c>
      <c r="I36" s="190">
        <f t="shared" si="6"/>
        <v>3.6282874325807781</v>
      </c>
      <c r="K36"/>
      <c r="L36"/>
      <c r="M36"/>
      <c r="N36"/>
      <c r="O36"/>
      <c r="P36"/>
      <c r="W36" s="163"/>
      <c r="AB36" s="163"/>
    </row>
    <row r="37" spans="1:28" s="108" customFormat="1" ht="16" x14ac:dyDescent="0.25">
      <c r="B37" s="134">
        <v>2</v>
      </c>
      <c r="C37" s="108" t="s">
        <v>193</v>
      </c>
      <c r="D37" s="108" t="s">
        <v>39</v>
      </c>
      <c r="E37" s="161">
        <v>29.3933</v>
      </c>
      <c r="F37" s="161">
        <v>4.5392000000000001</v>
      </c>
      <c r="G37" s="161">
        <v>33.592599999999997</v>
      </c>
      <c r="H37" s="161">
        <f t="shared" si="5"/>
        <v>7.4881036305957022E-2</v>
      </c>
      <c r="I37" s="190">
        <f t="shared" si="6"/>
        <v>3.3696466337680664</v>
      </c>
      <c r="K37"/>
      <c r="L37"/>
      <c r="M37"/>
      <c r="N37"/>
      <c r="O37"/>
      <c r="P37"/>
      <c r="Q37"/>
      <c r="R37" s="163"/>
      <c r="U37" s="164"/>
      <c r="W37" s="163"/>
      <c r="AB37" s="163"/>
    </row>
    <row r="38" spans="1:28" s="108" customFormat="1" ht="17" thickBot="1" x14ac:dyDescent="0.3">
      <c r="B38" s="136">
        <v>2</v>
      </c>
      <c r="C38" s="108" t="s">
        <v>193</v>
      </c>
      <c r="D38" s="167" t="s">
        <v>40</v>
      </c>
      <c r="E38" s="168">
        <v>29.456733333333332</v>
      </c>
      <c r="F38" s="168">
        <v>4.8013666666666666</v>
      </c>
      <c r="G38" s="168">
        <v>34.115333333333332</v>
      </c>
      <c r="H38" s="168">
        <f t="shared" si="5"/>
        <v>2.9734589457168455E-2</v>
      </c>
      <c r="I38" s="193">
        <f t="shared" si="6"/>
        <v>1.3380565255725805</v>
      </c>
      <c r="K38"/>
      <c r="L38"/>
      <c r="M38"/>
      <c r="O38"/>
      <c r="P38"/>
      <c r="Q38"/>
      <c r="R38" s="163"/>
      <c r="W38" s="163"/>
      <c r="AB38" s="163"/>
    </row>
    <row r="39" spans="1:28" s="108" customFormat="1" ht="16" x14ac:dyDescent="0.25">
      <c r="B39" s="261" t="s">
        <v>168</v>
      </c>
      <c r="D39" s="164"/>
      <c r="E39" s="264">
        <f>AVERAGE(E27:E38)</f>
        <v>28.156712499999998</v>
      </c>
      <c r="F39" s="264">
        <f t="shared" ref="F39:I39" si="7">AVERAGE(F27:F38)</f>
        <v>4.8469069444444441</v>
      </c>
      <c r="G39" s="264">
        <f t="shared" si="7"/>
        <v>32.623893055555556</v>
      </c>
      <c r="H39" s="264">
        <f t="shared" si="7"/>
        <v>7.7877889260291197E-2</v>
      </c>
      <c r="I39" s="264">
        <f t="shared" si="7"/>
        <v>3.5045050167131038</v>
      </c>
      <c r="K39"/>
      <c r="L39"/>
      <c r="M39"/>
      <c r="O39"/>
      <c r="P39"/>
      <c r="Q39"/>
    </row>
    <row r="40" spans="1:28" s="108" customFormat="1" ht="16" x14ac:dyDescent="0.25">
      <c r="B40" s="268" t="s">
        <v>169</v>
      </c>
      <c r="D40" s="164"/>
      <c r="E40" s="269">
        <f>_xlfn.STDEV.S(E27:E38)</f>
        <v>1.2719277725857709</v>
      </c>
      <c r="F40" s="269">
        <f t="shared" ref="F40:I40" si="8">_xlfn.STDEV.S(F27:F38)</f>
        <v>0.27961290345530149</v>
      </c>
      <c r="G40" s="269">
        <f t="shared" si="8"/>
        <v>1.3886518819100189</v>
      </c>
      <c r="H40" s="269">
        <f t="shared" si="8"/>
        <v>4.3837776709529375E-2</v>
      </c>
      <c r="I40" s="269">
        <f t="shared" si="8"/>
        <v>1.9726999519288229</v>
      </c>
      <c r="K40"/>
      <c r="L40"/>
      <c r="M40"/>
      <c r="O40"/>
      <c r="P40"/>
      <c r="Q40"/>
    </row>
    <row r="41" spans="1:28" ht="16" x14ac:dyDescent="0.25">
      <c r="B41" s="268" t="s">
        <v>171</v>
      </c>
      <c r="C41" s="108"/>
      <c r="D41" s="164"/>
      <c r="E41" s="269">
        <f>COUNT(E27:E38)</f>
        <v>12</v>
      </c>
      <c r="F41" s="269">
        <f t="shared" ref="F41:I41" si="9">COUNT(F27:F38)</f>
        <v>12</v>
      </c>
      <c r="G41" s="269">
        <f t="shared" si="9"/>
        <v>12</v>
      </c>
      <c r="H41" s="269">
        <f t="shared" si="9"/>
        <v>12</v>
      </c>
      <c r="I41" s="269">
        <f t="shared" si="9"/>
        <v>12</v>
      </c>
    </row>
    <row r="42" spans="1:28" ht="17" thickBot="1" x14ac:dyDescent="0.3">
      <c r="B42" s="262" t="s">
        <v>172</v>
      </c>
      <c r="C42" s="108"/>
      <c r="D42" s="164"/>
      <c r="E42" s="227">
        <f>E40/SQRT(E41)</f>
        <v>0.36717392094607798</v>
      </c>
      <c r="F42" s="227">
        <f t="shared" ref="F42:I42" si="10">F40/SQRT(F41)</f>
        <v>8.0717292539405586E-2</v>
      </c>
      <c r="G42" s="227">
        <f t="shared" si="10"/>
        <v>0.40086926891571495</v>
      </c>
      <c r="H42" s="227">
        <f t="shared" si="10"/>
        <v>1.2654876091960747E-2</v>
      </c>
      <c r="I42" s="227">
        <f t="shared" si="10"/>
        <v>0.56946942413823387</v>
      </c>
    </row>
    <row r="44" spans="1:28" ht="34" x14ac:dyDescent="0.25">
      <c r="A44" s="238" t="s">
        <v>52</v>
      </c>
      <c r="B44" s="239"/>
      <c r="C44" s="239"/>
      <c r="D44" s="239"/>
      <c r="E44" s="239"/>
      <c r="F44" s="239"/>
      <c r="G44" s="239"/>
    </row>
    <row r="45" spans="1:28" ht="52" thickBot="1" x14ac:dyDescent="0.3">
      <c r="A45" s="239"/>
      <c r="B45" s="239" t="s">
        <v>18</v>
      </c>
      <c r="C45" s="239"/>
      <c r="D45" s="239"/>
      <c r="E45" s="239"/>
      <c r="F45" s="239"/>
      <c r="G45" s="239"/>
      <c r="N45" t="s">
        <v>44</v>
      </c>
      <c r="O45" t="s">
        <v>36</v>
      </c>
      <c r="P45" t="s">
        <v>185</v>
      </c>
      <c r="Q45" t="s">
        <v>10</v>
      </c>
      <c r="R45" t="s">
        <v>184</v>
      </c>
      <c r="T45" t="s">
        <v>44</v>
      </c>
      <c r="U45" t="s">
        <v>36</v>
      </c>
      <c r="V45" t="s">
        <v>185</v>
      </c>
      <c r="W45" t="s">
        <v>191</v>
      </c>
      <c r="X45" t="s">
        <v>195</v>
      </c>
    </row>
    <row r="46" spans="1:28" ht="37" thickBot="1" x14ac:dyDescent="0.3">
      <c r="A46" s="239"/>
      <c r="B46" s="240" t="s">
        <v>36</v>
      </c>
      <c r="C46" s="241" t="s">
        <v>44</v>
      </c>
      <c r="D46" s="241" t="s">
        <v>43</v>
      </c>
      <c r="E46" s="242" t="s">
        <v>10</v>
      </c>
      <c r="F46" s="243" t="s">
        <v>164</v>
      </c>
      <c r="G46" s="239"/>
      <c r="H46" s="292" t="s">
        <v>36</v>
      </c>
      <c r="I46" s="293" t="s">
        <v>44</v>
      </c>
      <c r="J46" s="293" t="s">
        <v>43</v>
      </c>
      <c r="K46" s="293" t="s">
        <v>10</v>
      </c>
      <c r="L46" s="294" t="s">
        <v>164</v>
      </c>
      <c r="M46" s="5"/>
      <c r="N46" t="s">
        <v>186</v>
      </c>
      <c r="O46">
        <v>1</v>
      </c>
      <c r="P46" s="29">
        <v>10</v>
      </c>
      <c r="Q46">
        <v>5.1029999999999998</v>
      </c>
      <c r="R46">
        <v>115.125</v>
      </c>
      <c r="T46" t="s">
        <v>37</v>
      </c>
      <c r="U46" t="s">
        <v>187</v>
      </c>
      <c r="V46" t="s">
        <v>188</v>
      </c>
      <c r="W46" s="1">
        <v>5.3414999999999999</v>
      </c>
      <c r="X46" s="1">
        <v>112.04249999999999</v>
      </c>
    </row>
    <row r="47" spans="1:28" ht="17" x14ac:dyDescent="0.25">
      <c r="A47" s="239"/>
      <c r="B47" s="244">
        <v>1</v>
      </c>
      <c r="C47" s="239" t="s">
        <v>37</v>
      </c>
      <c r="D47" s="289" t="s">
        <v>39</v>
      </c>
      <c r="E47" s="245">
        <v>6.79</v>
      </c>
      <c r="F47" s="246">
        <v>76.849999999999994</v>
      </c>
      <c r="G47" s="239"/>
      <c r="H47" s="295">
        <v>1</v>
      </c>
      <c r="I47" s="239" t="s">
        <v>37</v>
      </c>
      <c r="J47" s="289" t="s">
        <v>39</v>
      </c>
      <c r="K47" s="257">
        <v>6.79</v>
      </c>
      <c r="L47" s="296">
        <v>76.849999999999994</v>
      </c>
      <c r="N47" t="s">
        <v>37</v>
      </c>
      <c r="O47">
        <v>2</v>
      </c>
      <c r="P47" s="29">
        <v>10</v>
      </c>
      <c r="Q47">
        <v>5.58</v>
      </c>
      <c r="R47">
        <v>108.96</v>
      </c>
      <c r="T47" t="s">
        <v>37</v>
      </c>
      <c r="U47" t="s">
        <v>187</v>
      </c>
      <c r="V47" t="s">
        <v>189</v>
      </c>
      <c r="W47" s="1">
        <v>6.2919999999999998</v>
      </c>
      <c r="X47" s="1">
        <v>85.074999999999989</v>
      </c>
    </row>
    <row r="48" spans="1:28" ht="17" x14ac:dyDescent="0.25">
      <c r="A48" s="239"/>
      <c r="B48" s="244">
        <v>1</v>
      </c>
      <c r="C48" s="239" t="s">
        <v>37</v>
      </c>
      <c r="D48" s="289" t="s">
        <v>38</v>
      </c>
      <c r="E48" s="249">
        <v>5.1029999999999998</v>
      </c>
      <c r="F48" s="250">
        <v>115.125</v>
      </c>
      <c r="G48" s="239"/>
      <c r="H48" s="295">
        <v>1</v>
      </c>
      <c r="I48" s="239" t="s">
        <v>37</v>
      </c>
      <c r="J48" s="289" t="s">
        <v>38</v>
      </c>
      <c r="K48" s="257">
        <v>5.1029999999999998</v>
      </c>
      <c r="L48" s="296">
        <v>115.125</v>
      </c>
      <c r="O48" t="s">
        <v>187</v>
      </c>
      <c r="Q48" s="1">
        <f>AVERAGE(Q46:Q47)</f>
        <v>5.3414999999999999</v>
      </c>
      <c r="R48" s="1">
        <f>AVERAGE(R46:R47)</f>
        <v>112.04249999999999</v>
      </c>
      <c r="T48" t="s">
        <v>37</v>
      </c>
      <c r="U48" t="s">
        <v>187</v>
      </c>
      <c r="V48" t="s">
        <v>190</v>
      </c>
      <c r="W48" s="1">
        <v>6.2509999999999994</v>
      </c>
      <c r="X48" s="1">
        <v>113.85</v>
      </c>
    </row>
    <row r="49" spans="1:24" ht="17" x14ac:dyDescent="0.25">
      <c r="A49" s="239"/>
      <c r="B49" s="244">
        <v>1</v>
      </c>
      <c r="C49" s="239" t="s">
        <v>37</v>
      </c>
      <c r="D49" s="289" t="s">
        <v>40</v>
      </c>
      <c r="E49" s="249">
        <v>6.85</v>
      </c>
      <c r="F49" s="250">
        <v>74.05</v>
      </c>
      <c r="G49" s="239"/>
      <c r="H49" s="295">
        <v>1</v>
      </c>
      <c r="I49" s="239" t="s">
        <v>37</v>
      </c>
      <c r="J49" s="289" t="s">
        <v>40</v>
      </c>
      <c r="K49" s="257">
        <v>6.85</v>
      </c>
      <c r="L49" s="296">
        <v>74.05</v>
      </c>
    </row>
    <row r="50" spans="1:24" ht="17" x14ac:dyDescent="0.25">
      <c r="A50" s="239"/>
      <c r="B50" s="244">
        <v>1</v>
      </c>
      <c r="C50" s="239" t="s">
        <v>41</v>
      </c>
      <c r="D50" s="289" t="s">
        <v>39</v>
      </c>
      <c r="E50" s="249">
        <v>6.3</v>
      </c>
      <c r="F50" s="250">
        <v>141.15</v>
      </c>
      <c r="G50" s="239"/>
      <c r="H50" s="297" t="s">
        <v>168</v>
      </c>
      <c r="I50" s="108"/>
      <c r="J50" s="164"/>
      <c r="K50" s="266">
        <f>AVERAGE(K47:K49)</f>
        <v>6.2476666666666674</v>
      </c>
      <c r="L50" s="298">
        <f>AVERAGE(L47:L49)</f>
        <v>88.674999999999997</v>
      </c>
      <c r="N50" t="s">
        <v>186</v>
      </c>
      <c r="O50">
        <v>1</v>
      </c>
      <c r="P50" s="29">
        <v>20</v>
      </c>
      <c r="Q50">
        <v>6.79</v>
      </c>
      <c r="R50">
        <v>76.849999999999994</v>
      </c>
    </row>
    <row r="51" spans="1:24" ht="17" x14ac:dyDescent="0.25">
      <c r="A51" s="239"/>
      <c r="B51" s="244">
        <v>1</v>
      </c>
      <c r="C51" s="239" t="s">
        <v>41</v>
      </c>
      <c r="D51" s="289" t="s">
        <v>38</v>
      </c>
      <c r="E51" s="249">
        <v>6.4850000000000003</v>
      </c>
      <c r="F51" s="250">
        <v>64.25</v>
      </c>
      <c r="G51" s="239"/>
      <c r="H51" s="297" t="s">
        <v>169</v>
      </c>
      <c r="I51" s="108"/>
      <c r="J51" s="164"/>
      <c r="K51" s="266">
        <f>_xlfn.STDEV.S(K47:K49)</f>
        <v>0.99176425290152337</v>
      </c>
      <c r="L51" s="298">
        <f>_xlfn.STDEV.S(L47:L49)</f>
        <v>22.949114906679988</v>
      </c>
      <c r="N51" t="s">
        <v>37</v>
      </c>
      <c r="O51">
        <v>2</v>
      </c>
      <c r="P51" s="29">
        <v>20</v>
      </c>
      <c r="Q51">
        <v>5.7939999999999996</v>
      </c>
      <c r="R51">
        <v>93.3</v>
      </c>
      <c r="V51" s="29"/>
    </row>
    <row r="52" spans="1:24" ht="17" x14ac:dyDescent="0.25">
      <c r="A52" s="239"/>
      <c r="B52" s="244">
        <v>1</v>
      </c>
      <c r="C52" s="239" t="s">
        <v>41</v>
      </c>
      <c r="D52" s="289" t="s">
        <v>40</v>
      </c>
      <c r="E52" s="249">
        <v>6.0979999999999999</v>
      </c>
      <c r="F52" s="250">
        <v>165.5</v>
      </c>
      <c r="G52" s="239"/>
      <c r="H52" s="297" t="s">
        <v>171</v>
      </c>
      <c r="I52" s="108"/>
      <c r="J52" s="164"/>
      <c r="K52" s="266">
        <f>COUNT(K47:K49)</f>
        <v>3</v>
      </c>
      <c r="L52" s="298">
        <f>COUNT(L47:L49)</f>
        <v>3</v>
      </c>
      <c r="O52" t="s">
        <v>187</v>
      </c>
      <c r="Q52" s="1">
        <f>AVERAGE(Q50:Q51)</f>
        <v>6.2919999999999998</v>
      </c>
      <c r="R52" s="1">
        <f>AVERAGE(R50:R51)</f>
        <v>85.074999999999989</v>
      </c>
    </row>
    <row r="53" spans="1:24" ht="17" x14ac:dyDescent="0.25">
      <c r="A53" s="239"/>
      <c r="B53" s="244">
        <v>2</v>
      </c>
      <c r="C53" s="239" t="s">
        <v>37</v>
      </c>
      <c r="D53" s="289" t="s">
        <v>39</v>
      </c>
      <c r="E53" s="249">
        <v>5.7939999999999996</v>
      </c>
      <c r="F53" s="250">
        <v>93.3</v>
      </c>
      <c r="G53" s="239"/>
      <c r="H53" s="299" t="s">
        <v>172</v>
      </c>
      <c r="I53" s="300"/>
      <c r="J53" s="301"/>
      <c r="K53" s="302">
        <f>K51/SQRT(K52)</f>
        <v>0.57259535838534259</v>
      </c>
      <c r="L53" s="303">
        <f t="shared" ref="L53" si="11">L51/SQRT(L52)</f>
        <v>13.249677669035345</v>
      </c>
    </row>
    <row r="54" spans="1:24" ht="17" x14ac:dyDescent="0.25">
      <c r="A54" s="239"/>
      <c r="B54" s="244">
        <v>2</v>
      </c>
      <c r="C54" s="239" t="s">
        <v>37</v>
      </c>
      <c r="D54" s="289" t="s">
        <v>38</v>
      </c>
      <c r="E54" s="249">
        <v>5.58</v>
      </c>
      <c r="F54" s="250">
        <v>108.96</v>
      </c>
      <c r="G54" s="239"/>
      <c r="N54" t="s">
        <v>186</v>
      </c>
      <c r="O54">
        <v>1</v>
      </c>
      <c r="P54" s="29">
        <v>30</v>
      </c>
      <c r="Q54">
        <v>6.85</v>
      </c>
      <c r="R54">
        <v>74.05</v>
      </c>
      <c r="V54" s="29"/>
    </row>
    <row r="55" spans="1:24" ht="18" x14ac:dyDescent="0.25">
      <c r="A55" s="239"/>
      <c r="B55" s="244">
        <v>2</v>
      </c>
      <c r="C55" s="239" t="s">
        <v>37</v>
      </c>
      <c r="D55" s="289" t="s">
        <v>40</v>
      </c>
      <c r="E55" s="249">
        <v>5.6520000000000001</v>
      </c>
      <c r="F55" s="250">
        <v>153.65</v>
      </c>
      <c r="G55" s="239"/>
      <c r="H55" s="238" t="s">
        <v>36</v>
      </c>
      <c r="I55" s="238" t="s">
        <v>44</v>
      </c>
      <c r="J55" s="238" t="s">
        <v>43</v>
      </c>
      <c r="K55" s="238" t="s">
        <v>10</v>
      </c>
      <c r="L55" s="291" t="s">
        <v>164</v>
      </c>
      <c r="N55" t="s">
        <v>37</v>
      </c>
      <c r="O55">
        <v>2</v>
      </c>
      <c r="P55" s="29">
        <v>30</v>
      </c>
      <c r="Q55">
        <v>5.6520000000000001</v>
      </c>
      <c r="R55">
        <v>153.65</v>
      </c>
      <c r="T55" t="s">
        <v>44</v>
      </c>
      <c r="U55" t="s">
        <v>36</v>
      </c>
      <c r="V55" t="s">
        <v>185</v>
      </c>
      <c r="W55" t="s">
        <v>192</v>
      </c>
      <c r="X55" t="s">
        <v>194</v>
      </c>
    </row>
    <row r="56" spans="1:24" ht="17" x14ac:dyDescent="0.25">
      <c r="A56" s="239"/>
      <c r="B56" s="244">
        <v>2</v>
      </c>
      <c r="C56" s="239" t="s">
        <v>41</v>
      </c>
      <c r="D56" s="289" t="s">
        <v>39</v>
      </c>
      <c r="E56" s="249">
        <v>5.83</v>
      </c>
      <c r="F56" s="250">
        <v>188</v>
      </c>
      <c r="G56" s="239"/>
      <c r="H56" s="239">
        <v>1</v>
      </c>
      <c r="I56" s="239" t="s">
        <v>41</v>
      </c>
      <c r="J56" s="289" t="s">
        <v>39</v>
      </c>
      <c r="K56" s="257">
        <v>6.3</v>
      </c>
      <c r="L56" s="257">
        <v>141.15</v>
      </c>
      <c r="O56" t="s">
        <v>187</v>
      </c>
      <c r="Q56" s="1">
        <f>AVERAGE(Q54:Q55)</f>
        <v>6.2509999999999994</v>
      </c>
      <c r="R56" s="1">
        <f>AVERAGE(R54:R55)</f>
        <v>113.85</v>
      </c>
      <c r="T56" t="s">
        <v>193</v>
      </c>
      <c r="U56" t="s">
        <v>187</v>
      </c>
      <c r="V56" t="s">
        <v>188</v>
      </c>
      <c r="W56" s="1">
        <v>6.2115</v>
      </c>
      <c r="X56" s="1">
        <v>80.55</v>
      </c>
    </row>
    <row r="57" spans="1:24" ht="17" x14ac:dyDescent="0.25">
      <c r="A57" s="239"/>
      <c r="B57" s="244">
        <v>2</v>
      </c>
      <c r="C57" s="239" t="s">
        <v>41</v>
      </c>
      <c r="D57" s="289" t="s">
        <v>38</v>
      </c>
      <c r="E57" s="249">
        <v>5.9379999999999997</v>
      </c>
      <c r="F57" s="250">
        <v>96.85</v>
      </c>
      <c r="G57" s="239"/>
      <c r="H57" s="239">
        <v>1</v>
      </c>
      <c r="I57" s="239" t="s">
        <v>41</v>
      </c>
      <c r="J57" s="289" t="s">
        <v>38</v>
      </c>
      <c r="K57" s="257">
        <v>6.4850000000000003</v>
      </c>
      <c r="L57" s="257">
        <v>64.25</v>
      </c>
      <c r="T57" t="s">
        <v>193</v>
      </c>
      <c r="U57" t="s">
        <v>187</v>
      </c>
      <c r="V57" t="s">
        <v>189</v>
      </c>
      <c r="W57" s="1">
        <v>6.1989999999999998</v>
      </c>
      <c r="X57" s="1">
        <v>153.32499999999999</v>
      </c>
    </row>
    <row r="58" spans="1:24" ht="18" thickBot="1" x14ac:dyDescent="0.3">
      <c r="A58" s="239"/>
      <c r="B58" s="251">
        <v>2</v>
      </c>
      <c r="C58" s="252" t="s">
        <v>41</v>
      </c>
      <c r="D58" s="290" t="s">
        <v>40</v>
      </c>
      <c r="E58" s="253">
        <v>5.5650000000000004</v>
      </c>
      <c r="F58" s="254">
        <v>287.35000000000002</v>
      </c>
      <c r="G58" s="239"/>
      <c r="H58" s="239">
        <v>1</v>
      </c>
      <c r="I58" s="239" t="s">
        <v>41</v>
      </c>
      <c r="J58" s="289" t="s">
        <v>40</v>
      </c>
      <c r="K58" s="257">
        <v>6.0979999999999999</v>
      </c>
      <c r="L58" s="257">
        <v>165.5</v>
      </c>
      <c r="N58" s="239" t="s">
        <v>41</v>
      </c>
      <c r="O58" s="239">
        <v>1</v>
      </c>
      <c r="P58" s="289" t="s">
        <v>38</v>
      </c>
      <c r="Q58" s="257">
        <v>6.4850000000000003</v>
      </c>
      <c r="R58" s="257">
        <v>64.25</v>
      </c>
      <c r="T58" t="s">
        <v>193</v>
      </c>
      <c r="U58" t="s">
        <v>187</v>
      </c>
      <c r="V58" t="s">
        <v>190</v>
      </c>
      <c r="W58" s="1">
        <v>5.6974999999999998</v>
      </c>
      <c r="X58" s="1">
        <v>237.67500000000001</v>
      </c>
    </row>
    <row r="59" spans="1:24" ht="17" x14ac:dyDescent="0.25">
      <c r="B59" s="261" t="s">
        <v>168</v>
      </c>
      <c r="C59" s="108"/>
      <c r="D59" s="164"/>
      <c r="E59" s="264">
        <f>AVERAGE(E47:E58)</f>
        <v>5.9987500000000002</v>
      </c>
      <c r="F59" s="264">
        <f t="shared" ref="F59" si="12">AVERAGE(F47:F58)</f>
        <v>130.41958333333332</v>
      </c>
      <c r="H59" s="107" t="s">
        <v>168</v>
      </c>
      <c r="I59" s="108"/>
      <c r="J59" s="164"/>
      <c r="K59" s="266">
        <f>AVERAGE(K56:K58)</f>
        <v>6.2943333333333333</v>
      </c>
      <c r="L59" s="266">
        <f>AVERAGE(L56:L58)</f>
        <v>123.63333333333333</v>
      </c>
      <c r="N59" s="239" t="s">
        <v>41</v>
      </c>
      <c r="O59" s="239">
        <v>2</v>
      </c>
      <c r="P59" s="289" t="s">
        <v>38</v>
      </c>
      <c r="Q59" s="257">
        <v>5.9379999999999997</v>
      </c>
      <c r="R59" s="257">
        <v>96.85</v>
      </c>
    </row>
    <row r="60" spans="1:24" ht="16" x14ac:dyDescent="0.25">
      <c r="B60" s="268" t="s">
        <v>169</v>
      </c>
      <c r="C60" s="108"/>
      <c r="D60" s="164"/>
      <c r="E60" s="269">
        <f>_xlfn.STDEV.S(E47:E58)</f>
        <v>0.52638805682085565</v>
      </c>
      <c r="F60" s="269">
        <f t="shared" ref="F60" si="13">_xlfn.STDEV.S(F47:F58)</f>
        <v>62.851160488972724</v>
      </c>
      <c r="H60" s="107" t="s">
        <v>169</v>
      </c>
      <c r="I60" s="108"/>
      <c r="J60" s="164"/>
      <c r="K60" s="266">
        <f>_xlfn.STDEV.S(K56:K58)</f>
        <v>0.19356222083178684</v>
      </c>
      <c r="L60" s="266">
        <f>_xlfn.STDEV.S(L56:L58)</f>
        <v>52.848990844985252</v>
      </c>
      <c r="O60" t="s">
        <v>187</v>
      </c>
      <c r="Q60" s="1">
        <f>AVERAGE(Q58:Q59)</f>
        <v>6.2115</v>
      </c>
      <c r="R60" s="1">
        <f>AVERAGE(R58:R59)</f>
        <v>80.55</v>
      </c>
    </row>
    <row r="61" spans="1:24" ht="16" x14ac:dyDescent="0.25">
      <c r="B61" s="268" t="s">
        <v>171</v>
      </c>
      <c r="C61" s="108"/>
      <c r="D61" s="164"/>
      <c r="E61" s="269">
        <f>COUNT(E47:E58)</f>
        <v>12</v>
      </c>
      <c r="F61" s="269">
        <f t="shared" ref="F61" si="14">COUNT(F47:F58)</f>
        <v>12</v>
      </c>
      <c r="H61" s="107" t="s">
        <v>171</v>
      </c>
      <c r="I61" s="108"/>
      <c r="J61" s="164"/>
      <c r="K61" s="266">
        <f>COUNT(K56:K58)</f>
        <v>3</v>
      </c>
      <c r="L61" s="266">
        <f>COUNT(L56:L58)</f>
        <v>3</v>
      </c>
    </row>
    <row r="62" spans="1:24" ht="18" thickBot="1" x14ac:dyDescent="0.3">
      <c r="B62" s="262" t="s">
        <v>172</v>
      </c>
      <c r="C62" s="108"/>
      <c r="D62" s="164"/>
      <c r="E62" s="227">
        <f>E60/SQRT(E61)</f>
        <v>0.15195514315186254</v>
      </c>
      <c r="F62" s="227">
        <f t="shared" ref="F62" si="15">F60/SQRT(F61)</f>
        <v>18.143567213594388</v>
      </c>
      <c r="H62" s="107" t="s">
        <v>172</v>
      </c>
      <c r="I62" s="108"/>
      <c r="J62" s="164"/>
      <c r="K62" s="161">
        <f>K60/SQRT(K61)</f>
        <v>0.11175320030217392</v>
      </c>
      <c r="L62" s="161">
        <f t="shared" ref="L62" si="16">L60/SQRT(L61)</f>
        <v>30.512379090752304</v>
      </c>
      <c r="N62" s="239" t="s">
        <v>41</v>
      </c>
      <c r="O62" s="239">
        <v>1</v>
      </c>
      <c r="P62" s="289" t="s">
        <v>39</v>
      </c>
      <c r="Q62" s="257">
        <v>6.3</v>
      </c>
      <c r="R62" s="257">
        <v>141.15</v>
      </c>
    </row>
    <row r="63" spans="1:24" ht="17" x14ac:dyDescent="0.25">
      <c r="N63" s="239" t="s">
        <v>41</v>
      </c>
      <c r="O63" s="239">
        <v>2</v>
      </c>
      <c r="P63" s="289" t="s">
        <v>39</v>
      </c>
      <c r="Q63" s="257">
        <v>5.83</v>
      </c>
      <c r="R63" s="257">
        <v>188</v>
      </c>
    </row>
    <row r="64" spans="1:24" x14ac:dyDescent="0.2">
      <c r="O64" t="s">
        <v>187</v>
      </c>
      <c r="Q64" s="1">
        <f ca="1">AVERAGE(Q62:Q67)</f>
        <v>6.1989999999999998</v>
      </c>
      <c r="R64" s="1">
        <f ca="1">AVERAGE(R62:R67)</f>
        <v>153.32499999999999</v>
      </c>
    </row>
    <row r="66" spans="14:24" ht="17" x14ac:dyDescent="0.25">
      <c r="N66" s="239" t="s">
        <v>41</v>
      </c>
      <c r="O66" s="239">
        <v>2</v>
      </c>
      <c r="P66" s="289" t="s">
        <v>40</v>
      </c>
      <c r="Q66" s="257">
        <v>5.5650000000000004</v>
      </c>
      <c r="R66" s="257">
        <v>287.35000000000002</v>
      </c>
    </row>
    <row r="67" spans="14:24" ht="17" x14ac:dyDescent="0.25">
      <c r="N67" s="239" t="s">
        <v>41</v>
      </c>
      <c r="O67" s="239">
        <v>1</v>
      </c>
      <c r="P67" s="289" t="s">
        <v>40</v>
      </c>
      <c r="Q67" s="257">
        <v>6.0979999999999999</v>
      </c>
      <c r="R67" s="257">
        <v>165.5</v>
      </c>
    </row>
    <row r="68" spans="14:24" x14ac:dyDescent="0.2">
      <c r="U68" t="s">
        <v>187</v>
      </c>
      <c r="W68" s="1">
        <f ca="1">AVERAGE(W63:W71)</f>
        <v>5.6974999999999998</v>
      </c>
      <c r="X68" s="1">
        <f ca="1">AVERAGE(X63:X71)</f>
        <v>237.67500000000001</v>
      </c>
    </row>
  </sheetData>
  <sortState xmlns:xlrd2="http://schemas.microsoft.com/office/spreadsheetml/2017/richdata2" ref="N47:R52">
    <sortCondition ref="P47:P52"/>
  </sortState>
  <pageMargins left="0.7" right="0.7" top="0.75" bottom="0.75" header="0.3" footer="0.3"/>
  <pageSetup paperSize="9" orientation="portrait" horizontalDpi="0" verticalDpi="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20885B6E0CFE4DA585A83F0030F9A7" ma:contentTypeVersion="13" ma:contentTypeDescription="Create a new document." ma:contentTypeScope="" ma:versionID="09d1a455fd50088d13a15352acceb63a">
  <xsd:schema xmlns:xsd="http://www.w3.org/2001/XMLSchema" xmlns:xs="http://www.w3.org/2001/XMLSchema" xmlns:p="http://schemas.microsoft.com/office/2006/metadata/properties" xmlns:ns3="5d7f965a-6937-4ff5-a2d6-f586497cc2ac" xmlns:ns4="7f89c8c8-5ffd-4473-bae0-535410896e9a" targetNamespace="http://schemas.microsoft.com/office/2006/metadata/properties" ma:root="true" ma:fieldsID="e5213057c511c9d2c8e6e6b8f472b7bb" ns3:_="" ns4:_="">
    <xsd:import namespace="5d7f965a-6937-4ff5-a2d6-f586497cc2ac"/>
    <xsd:import namespace="7f89c8c8-5ffd-4473-bae0-535410896e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7f965a-6937-4ff5-a2d6-f586497cc2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89c8c8-5ffd-4473-bae0-535410896e9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61DA21-52B5-45C4-9813-3BD3319416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4A28453-8383-4FA4-9FAE-5148BC6C2907}">
  <ds:schemaRefs>
    <ds:schemaRef ds:uri="http://schemas.microsoft.com/sharepoint/v3/contenttype/forms"/>
  </ds:schemaRefs>
</ds:datastoreItem>
</file>

<file path=customXml/itemProps3.xml><?xml version="1.0" encoding="utf-8"?>
<ds:datastoreItem xmlns:ds="http://schemas.openxmlformats.org/officeDocument/2006/customXml" ds:itemID="{66C25F36-C9A7-4110-8684-5014187D2E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7f965a-6937-4ff5-a2d6-f586497cc2ac"/>
    <ds:schemaRef ds:uri="7f89c8c8-5ffd-4473-bae0-535410896e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Python data only summary</vt:lpstr>
      <vt:lpstr>Lab water data</vt:lpstr>
      <vt:lpstr>Water - DO</vt:lpstr>
      <vt:lpstr>water C + N</vt:lpstr>
      <vt:lpstr>Water - alkalinity</vt:lpstr>
      <vt:lpstr>water pH + EC</vt:lpstr>
      <vt:lpstr>graph comparison</vt:lpstr>
      <vt:lpstr>Lab soil data</vt:lpstr>
      <vt:lpstr>Soil - H2O, C, pH + Ec</vt:lpstr>
      <vt:lpstr>Soil N</vt:lpstr>
      <vt:lpstr>Soil P</vt:lpstr>
      <vt:lpstr>Soil texture</vt:lpstr>
      <vt:lpstr>Cat ion exchange</vt:lpstr>
    </vt:vector>
  </TitlesOfParts>
  <Manager/>
  <Company>University of Sydney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ALABS</dc:creator>
  <cp:keywords/>
  <dc:description/>
  <cp:lastModifiedBy>Gemma Freeman</cp:lastModifiedBy>
  <cp:revision/>
  <dcterms:created xsi:type="dcterms:W3CDTF">2018-03-21T23:03:59Z</dcterms:created>
  <dcterms:modified xsi:type="dcterms:W3CDTF">2025-05-13T00:04:01Z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0x0101002420885B6E0CFE4DA585A83F0030F9A7</vt:lpwstr>
  </property>
</Properties>
</file>