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97BD652F-2DE8-44BF-A5B3-44D5C53616D8}" xr6:coauthVersionLast="47" xr6:coauthVersionMax="47" xr10:uidLastSave="{00000000-0000-0000-0000-000000000000}"/>
  <bookViews>
    <workbookView xWindow="-28995" yWindow="1755" windowWidth="25965" windowHeight="16125" xr2:uid="{70329CC5-8756-4BA4-A5C1-E709DAADAB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L46" i="2"/>
  <c r="K46" i="2"/>
  <c r="L42" i="2"/>
  <c r="K38" i="2"/>
  <c r="L36" i="2"/>
  <c r="L38" i="2" s="1"/>
  <c r="H18" i="2"/>
  <c r="K18" i="2"/>
  <c r="L18" i="2"/>
  <c r="K16" i="2"/>
  <c r="K11" i="2"/>
  <c r="L16" i="2"/>
  <c r="L14" i="2"/>
  <c r="L11" i="2"/>
  <c r="L26" i="2" s="1"/>
  <c r="L25" i="2"/>
  <c r="K14" i="2"/>
  <c r="K8" i="2"/>
  <c r="K7" i="2"/>
  <c r="K6" i="2"/>
  <c r="K5" i="2"/>
  <c r="J42" i="2"/>
  <c r="J36" i="2"/>
  <c r="J38" i="2"/>
  <c r="J46" i="2"/>
  <c r="J55" i="2"/>
  <c r="J54" i="2"/>
  <c r="J53" i="2"/>
  <c r="J52" i="2"/>
  <c r="J51" i="2"/>
  <c r="J50" i="2"/>
  <c r="J49" i="2"/>
  <c r="J16" i="2"/>
  <c r="J10" i="2"/>
  <c r="J9" i="2"/>
  <c r="J11" i="2" s="1"/>
  <c r="J26" i="2" s="1"/>
  <c r="J14" i="2"/>
  <c r="N3" i="2"/>
  <c r="M3" i="2"/>
  <c r="L3" i="2"/>
  <c r="K3" i="2"/>
  <c r="O3" i="2" s="1"/>
  <c r="U16" i="2"/>
  <c r="U18" i="2"/>
  <c r="T18" i="2"/>
  <c r="T16" i="2"/>
  <c r="T14" i="2"/>
  <c r="T9" i="2"/>
  <c r="T11" i="2" s="1"/>
  <c r="T26" i="2" s="1"/>
  <c r="W10" i="2"/>
  <c r="W11" i="2" s="1"/>
  <c r="V21" i="2"/>
  <c r="V18" i="2"/>
  <c r="U14" i="2"/>
  <c r="V13" i="2"/>
  <c r="V12" i="2"/>
  <c r="W12" i="2" s="1"/>
  <c r="V10" i="2"/>
  <c r="U9" i="2"/>
  <c r="V9" i="2"/>
  <c r="G25" i="2"/>
  <c r="C16" i="2"/>
  <c r="C14" i="2"/>
  <c r="C11" i="2"/>
  <c r="C26" i="2" s="1"/>
  <c r="F16" i="2"/>
  <c r="F14" i="2"/>
  <c r="F11" i="2"/>
  <c r="F26" i="2" s="1"/>
  <c r="H56" i="2"/>
  <c r="H57" i="2" s="1"/>
  <c r="H42" i="2"/>
  <c r="H36" i="2"/>
  <c r="H38" i="2" s="1"/>
  <c r="H46" i="2"/>
  <c r="D16" i="2"/>
  <c r="H25" i="2"/>
  <c r="D14" i="2"/>
  <c r="D11" i="2"/>
  <c r="D26" i="2" s="1"/>
  <c r="G16" i="2"/>
  <c r="G14" i="2"/>
  <c r="G11" i="2"/>
  <c r="G26" i="2" s="1"/>
  <c r="I56" i="2"/>
  <c r="I57" i="2" s="1"/>
  <c r="I42" i="2"/>
  <c r="I46" i="2" s="1"/>
  <c r="I36" i="2"/>
  <c r="I38" i="2" s="1"/>
  <c r="I25" i="2"/>
  <c r="E16" i="2"/>
  <c r="E14" i="2"/>
  <c r="E11" i="2"/>
  <c r="E26" i="2" s="1"/>
  <c r="H16" i="2"/>
  <c r="H14" i="2"/>
  <c r="H11" i="2"/>
  <c r="H26" i="2" s="1"/>
  <c r="I21" i="2"/>
  <c r="W21" i="2" s="1"/>
  <c r="I16" i="2"/>
  <c r="I14" i="2"/>
  <c r="I11" i="2"/>
  <c r="I15" i="2" s="1"/>
  <c r="I27" i="2" s="1"/>
  <c r="J4" i="1"/>
  <c r="J7" i="1" s="1"/>
  <c r="L15" i="2" l="1"/>
  <c r="V11" i="2"/>
  <c r="J25" i="2"/>
  <c r="J56" i="2"/>
  <c r="J57" i="2" s="1"/>
  <c r="U25" i="2"/>
  <c r="J15" i="2"/>
  <c r="V16" i="2"/>
  <c r="W16" i="2" s="1"/>
  <c r="U11" i="2"/>
  <c r="U26" i="2" s="1"/>
  <c r="V14" i="2"/>
  <c r="V15" i="2" s="1"/>
  <c r="V26" i="2"/>
  <c r="W13" i="2"/>
  <c r="W25" i="2"/>
  <c r="V25" i="2"/>
  <c r="T15" i="2"/>
  <c r="W14" i="2"/>
  <c r="W15" i="2" s="1"/>
  <c r="W26" i="2"/>
  <c r="U15" i="2"/>
  <c r="C15" i="2"/>
  <c r="I26" i="2"/>
  <c r="F15" i="2"/>
  <c r="D15" i="2"/>
  <c r="G15" i="2"/>
  <c r="I17" i="2"/>
  <c r="I19" i="2" s="1"/>
  <c r="E15" i="2"/>
  <c r="H15" i="2"/>
  <c r="L17" i="2" l="1"/>
  <c r="L19" i="2" s="1"/>
  <c r="L20" i="2" s="1"/>
  <c r="L27" i="2"/>
  <c r="K25" i="2"/>
  <c r="J17" i="2"/>
  <c r="J19" i="2" s="1"/>
  <c r="J27" i="2"/>
  <c r="U27" i="2"/>
  <c r="U17" i="2"/>
  <c r="U19" i="2" s="1"/>
  <c r="U20" i="2" s="1"/>
  <c r="T17" i="2"/>
  <c r="T19" i="2" s="1"/>
  <c r="T20" i="2" s="1"/>
  <c r="T27" i="2"/>
  <c r="V27" i="2"/>
  <c r="V17" i="2"/>
  <c r="V19" i="2" s="1"/>
  <c r="V20" i="2" s="1"/>
  <c r="W17" i="2"/>
  <c r="W27" i="2"/>
  <c r="E17" i="2"/>
  <c r="E19" i="2" s="1"/>
  <c r="E20" i="2" s="1"/>
  <c r="E27" i="2"/>
  <c r="G17" i="2"/>
  <c r="G19" i="2" s="1"/>
  <c r="G20" i="2" s="1"/>
  <c r="G27" i="2"/>
  <c r="D17" i="2"/>
  <c r="D19" i="2" s="1"/>
  <c r="D20" i="2" s="1"/>
  <c r="D27" i="2"/>
  <c r="F17" i="2"/>
  <c r="F19" i="2" s="1"/>
  <c r="F20" i="2" s="1"/>
  <c r="F27" i="2"/>
  <c r="C17" i="2"/>
  <c r="C19" i="2" s="1"/>
  <c r="C20" i="2" s="1"/>
  <c r="C27" i="2"/>
  <c r="H17" i="2"/>
  <c r="H19" i="2" s="1"/>
  <c r="H27" i="2"/>
  <c r="I48" i="2"/>
  <c r="I20" i="2"/>
  <c r="K26" i="2" l="1"/>
  <c r="K15" i="2"/>
  <c r="J20" i="2"/>
  <c r="J48" i="2"/>
  <c r="W18" i="2"/>
  <c r="W19" i="2" s="1"/>
  <c r="W20" i="2" s="1"/>
  <c r="H20" i="2"/>
  <c r="H48" i="2"/>
  <c r="K17" i="2" l="1"/>
  <c r="K27" i="2"/>
  <c r="K19" i="2" l="1"/>
  <c r="K20" i="2" s="1"/>
</calcChain>
</file>

<file path=xl/sharedStrings.xml><?xml version="1.0" encoding="utf-8"?>
<sst xmlns="http://schemas.openxmlformats.org/spreadsheetml/2006/main" count="94" uniqueCount="89">
  <si>
    <t>Price</t>
  </si>
  <si>
    <t>Shares</t>
  </si>
  <si>
    <t>MC</t>
  </si>
  <si>
    <t>Cash</t>
  </si>
  <si>
    <t>Debt</t>
  </si>
  <si>
    <t>EV</t>
  </si>
  <si>
    <t>Main</t>
  </si>
  <si>
    <t>Revenue</t>
  </si>
  <si>
    <t>FQ224</t>
  </si>
  <si>
    <t>FQ124</t>
  </si>
  <si>
    <t>FQ423</t>
  </si>
  <si>
    <t>FQ323</t>
  </si>
  <si>
    <t>Revenue y/y</t>
  </si>
  <si>
    <t>COGS</t>
  </si>
  <si>
    <t>Gross Profit</t>
  </si>
  <si>
    <t>Gross Margin</t>
  </si>
  <si>
    <t>R&amp;D</t>
  </si>
  <si>
    <t>SG&amp;A</t>
  </si>
  <si>
    <t>Operating Expenses</t>
  </si>
  <si>
    <t>$ mil</t>
  </si>
  <si>
    <t>Operating Income</t>
  </si>
  <si>
    <t>Operating Margin</t>
  </si>
  <si>
    <t>Interest Expense</t>
  </si>
  <si>
    <t>Pretax Income</t>
  </si>
  <si>
    <t>Taxes</t>
  </si>
  <si>
    <t>Net Income</t>
  </si>
  <si>
    <t>AR</t>
  </si>
  <si>
    <t>Inventory</t>
  </si>
  <si>
    <t>OCA</t>
  </si>
  <si>
    <t>PP&amp;E</t>
  </si>
  <si>
    <t>OLTA</t>
  </si>
  <si>
    <t>Goodwill</t>
  </si>
  <si>
    <t>Assets</t>
  </si>
  <si>
    <t>AP</t>
  </si>
  <si>
    <t>Employees</t>
  </si>
  <si>
    <t>OCL</t>
  </si>
  <si>
    <t>OLTL</t>
  </si>
  <si>
    <t>S/E</t>
  </si>
  <si>
    <t>L+S/E</t>
  </si>
  <si>
    <t>Model NI</t>
  </si>
  <si>
    <t>Reported NI</t>
  </si>
  <si>
    <t>Amortization</t>
  </si>
  <si>
    <t>SBC</t>
  </si>
  <si>
    <t>Depreciation</t>
  </si>
  <si>
    <t>CFFO</t>
  </si>
  <si>
    <t>WC</t>
  </si>
  <si>
    <t>DT</t>
  </si>
  <si>
    <t>Non-cash Interest</t>
  </si>
  <si>
    <t>Other</t>
  </si>
  <si>
    <t>FQ123</t>
  </si>
  <si>
    <t>FQ223</t>
  </si>
  <si>
    <t>FQ422</t>
  </si>
  <si>
    <t>T</t>
  </si>
  <si>
    <t>HPQ</t>
  </si>
  <si>
    <t>LSI</t>
  </si>
  <si>
    <t>BRCM</t>
  </si>
  <si>
    <t>BRCD</t>
  </si>
  <si>
    <t>SYMC</t>
  </si>
  <si>
    <t>VMW</t>
  </si>
  <si>
    <t>CMOS</t>
  </si>
  <si>
    <t>networking, broadband, set top boxes</t>
  </si>
  <si>
    <t>FC SAN (fibre channel)</t>
  </si>
  <si>
    <t>hybrid cloud</t>
  </si>
  <si>
    <t>11/22/23: VMware deal closes: $86.3B.</t>
  </si>
  <si>
    <t>analog III-V - faster switching transistors, better performance for RF and optoelectronics - 3rd to 5th element groups: gallium, indium</t>
  </si>
  <si>
    <t>Headcount</t>
  </si>
  <si>
    <t>2014: LSI acquisition</t>
  </si>
  <si>
    <t>TSM made 90% of wafers used by AVGO CM's in FY2023.</t>
  </si>
  <si>
    <t>FY2021</t>
  </si>
  <si>
    <t>FY2022</t>
  </si>
  <si>
    <t>FY2023</t>
  </si>
  <si>
    <t>FY2024</t>
  </si>
  <si>
    <t>FY2025</t>
  </si>
  <si>
    <t>Products</t>
  </si>
  <si>
    <t>Subscription/Services</t>
  </si>
  <si>
    <t>EPS</t>
  </si>
  <si>
    <t>WT Microelectronics - 21% of revenue FY2023</t>
  </si>
  <si>
    <t>FQ324</t>
  </si>
  <si>
    <t>FQ424</t>
  </si>
  <si>
    <t>FQ125</t>
  </si>
  <si>
    <t>FQ225</t>
  </si>
  <si>
    <t>FQ325</t>
  </si>
  <si>
    <t>FQ425</t>
  </si>
  <si>
    <t>Semiconductors</t>
  </si>
  <si>
    <t>Infrastructure</t>
  </si>
  <si>
    <t>FY2020</t>
  </si>
  <si>
    <t>FY2019</t>
  </si>
  <si>
    <t>Net Cash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</si>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</sst>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1"/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E0F043A-EC25-4009-AA58-4BDE5C6B6B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40462</xdr:colOff>
      <xdr:row>0</xdr:row>
      <xdr:rowOff>0</xdr:rowOff>
    </xdr:from>
    <xdr:to>
      <xdr:col>12</xdr:col>
      <xdr:colOff>40462</xdr:colOff>
      <xdr:row>69</xdr:row>
      <xdr:rowOff>125452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7A91EC-9E15-9529-0C0D-9DAE2C1C71FC}"/>
            </a:ext>
          </a:extLst>
        </xdr:cNvPr>
        <xdr:cNvCxnSpPr/>
      </xdr:nvCxnSpPr>
      <xdr:spPr>
        <a:xfrm>
          <a:off x="7454087" y="0"/>
          <a:ext cx="0" cy="1094426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32523</xdr:colOff>
      <xdr:row>0</xdr:row>
      <xdr:rowOff>0</xdr:rowOff>
    </xdr:from>
    <xdr:to>
      <xdr:col>22</xdr:col>
      <xdr:colOff>32523</xdr:colOff>
      <xdr:row>69</xdr:row>
      <xdr:rowOff>125452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BBB0943-FDA3-4A05-A38B-0F4FC2910BE6}"/>
            </a:ext>
          </a:extLst>
        </xdr:cNvPr>
        <xdr:cNvCxnSpPr/>
      </xdr:nvCxnSpPr>
      <xdr:spPr>
        <a:xfrm>
          <a:off x="10449621" y="0"/>
          <a:ext cx="0" cy="108585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712-1B47-42A3-A902-777D3000824F}">
  <dimension ref="B2:K17"/>
  <sheetViews>
    <sheetView tabSelected="1" zoomScale="175" zoomScaleNormal="175" workbookViewId="0">
      <selection activeCell="K3" sqref="K3"/>
    </sheetView>
  </sheetViews>
  <sheetFormatPr defaultRowHeight="12.5" x14ac:dyDescent="0.25"/>
  <sheetData>
    <row r="2" spans="2:11" x14ac:dyDescent="0.25">
      <c r="I2" t="s">
        <v>0</v>
      </c>
      <c r="J2" s="1">
        <v>236</v>
      </c>
    </row>
    <row r="3" spans="2:11" x14ac:dyDescent="0.25">
      <c r="B3" t="s">
        <v>52</v>
      </c>
      <c r="I3" t="s">
        <v>1</v>
      </c>
      <c r="J3" s="2">
        <v>4836</v>
      </c>
      <c r="K3" s="3" t="s">
        <v>88</v>
      </c>
    </row>
    <row r="4" spans="2:11" ht="13" x14ac:dyDescent="0.3">
      <c r="B4" t="s">
        <v>53</v>
      </c>
      <c r="I4" s="4" t="s">
        <v>2</v>
      </c>
      <c r="J4" s="5">
        <f>+J2*J3</f>
        <v>1141296</v>
      </c>
    </row>
    <row r="5" spans="2:11" x14ac:dyDescent="0.25">
      <c r="B5" t="s">
        <v>54</v>
      </c>
      <c r="I5" t="s">
        <v>3</v>
      </c>
      <c r="J5" s="2">
        <v>9307</v>
      </c>
      <c r="K5" s="3" t="s">
        <v>88</v>
      </c>
    </row>
    <row r="6" spans="2:11" x14ac:dyDescent="0.25">
      <c r="B6" t="s">
        <v>55</v>
      </c>
      <c r="I6" t="s">
        <v>4</v>
      </c>
      <c r="J6" s="2">
        <v>66579</v>
      </c>
      <c r="K6" s="3" t="s">
        <v>88</v>
      </c>
    </row>
    <row r="7" spans="2:11" x14ac:dyDescent="0.25">
      <c r="B7" t="s">
        <v>56</v>
      </c>
      <c r="I7" t="s">
        <v>5</v>
      </c>
      <c r="J7" s="2">
        <f>+J4-J5+J6</f>
        <v>1198568</v>
      </c>
    </row>
    <row r="8" spans="2:11" x14ac:dyDescent="0.25">
      <c r="B8" t="s">
        <v>57</v>
      </c>
    </row>
    <row r="9" spans="2:11" x14ac:dyDescent="0.25">
      <c r="B9" t="s">
        <v>58</v>
      </c>
      <c r="C9" t="s">
        <v>62</v>
      </c>
    </row>
    <row r="11" spans="2:11" x14ac:dyDescent="0.25">
      <c r="B11" t="s">
        <v>59</v>
      </c>
    </row>
    <row r="12" spans="2:11" x14ac:dyDescent="0.25">
      <c r="B12" t="s">
        <v>64</v>
      </c>
    </row>
    <row r="13" spans="2:11" x14ac:dyDescent="0.25">
      <c r="B13" t="s">
        <v>60</v>
      </c>
    </row>
    <row r="14" spans="2:11" x14ac:dyDescent="0.25">
      <c r="B14" t="s">
        <v>61</v>
      </c>
      <c r="I14" t="s">
        <v>66</v>
      </c>
    </row>
    <row r="15" spans="2:11" x14ac:dyDescent="0.25">
      <c r="I15" t="s">
        <v>63</v>
      </c>
    </row>
    <row r="16" spans="2:11" x14ac:dyDescent="0.25">
      <c r="B16" t="s">
        <v>67</v>
      </c>
    </row>
    <row r="17" spans="2:2" x14ac:dyDescent="0.25">
      <c r="B1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0775-30FD-4D74-BE40-C6F63DB74CF0}">
  <dimension ref="A1:X71"/>
  <sheetViews>
    <sheetView zoomScale="160" zoomScaleNormal="1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21" sqref="L21"/>
    </sheetView>
  </sheetViews>
  <sheetFormatPr defaultRowHeight="12.5" x14ac:dyDescent="0.25"/>
  <cols>
    <col min="1" max="1" width="5" bestFit="1" customWidth="1"/>
    <col min="2" max="2" width="18.1796875" bestFit="1" customWidth="1"/>
    <col min="3" max="15" width="8.26953125" style="3" customWidth="1"/>
    <col min="16" max="16" width="9.1796875" style="3"/>
    <col min="17" max="19" width="8.7265625" style="3"/>
    <col min="20" max="20" width="9.1796875" style="3"/>
    <col min="21" max="22" width="10.26953125" style="3" bestFit="1" customWidth="1"/>
    <col min="23" max="24" width="9.1796875" style="3"/>
  </cols>
  <sheetData>
    <row r="1" spans="1:24" x14ac:dyDescent="0.25">
      <c r="A1" s="6" t="s">
        <v>6</v>
      </c>
    </row>
    <row r="2" spans="1:24" x14ac:dyDescent="0.25">
      <c r="C2" s="3" t="s">
        <v>51</v>
      </c>
      <c r="D2" s="3" t="s">
        <v>49</v>
      </c>
      <c r="E2" s="3" t="s">
        <v>50</v>
      </c>
      <c r="F2" s="3" t="s">
        <v>11</v>
      </c>
      <c r="G2" s="3" t="s">
        <v>10</v>
      </c>
      <c r="H2" s="3" t="s">
        <v>9</v>
      </c>
      <c r="I2" s="3" t="s">
        <v>8</v>
      </c>
      <c r="J2" s="3" t="s">
        <v>77</v>
      </c>
      <c r="K2" s="3" t="s">
        <v>78</v>
      </c>
      <c r="L2" s="3" t="s">
        <v>79</v>
      </c>
      <c r="M2" s="3" t="s">
        <v>80</v>
      </c>
      <c r="N2" s="3" t="s">
        <v>81</v>
      </c>
      <c r="O2" s="3" t="s">
        <v>82</v>
      </c>
      <c r="R2" s="3" t="s">
        <v>86</v>
      </c>
      <c r="S2" s="3" t="s">
        <v>85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</row>
    <row r="3" spans="1:24" s="13" customFormat="1" x14ac:dyDescent="0.25">
      <c r="B3" s="13" t="s">
        <v>19</v>
      </c>
      <c r="C3" s="14">
        <v>44864</v>
      </c>
      <c r="D3" s="14">
        <v>44955</v>
      </c>
      <c r="E3" s="14">
        <v>45046</v>
      </c>
      <c r="F3" s="14">
        <v>45137</v>
      </c>
      <c r="G3" s="14">
        <v>45228</v>
      </c>
      <c r="H3" s="14">
        <v>45326</v>
      </c>
      <c r="I3" s="14">
        <v>45417</v>
      </c>
      <c r="J3" s="14">
        <v>45508</v>
      </c>
      <c r="K3" s="14">
        <f>+G3+365</f>
        <v>45593</v>
      </c>
      <c r="L3" s="14">
        <f>+H3+365</f>
        <v>45691</v>
      </c>
      <c r="M3" s="14">
        <f>+I3+365</f>
        <v>45782</v>
      </c>
      <c r="N3" s="14">
        <f>+J3+365</f>
        <v>45873</v>
      </c>
      <c r="O3" s="14">
        <f>+K3+365</f>
        <v>45958</v>
      </c>
      <c r="P3" s="14"/>
      <c r="Q3" s="14"/>
      <c r="R3" s="14"/>
      <c r="S3" s="14"/>
      <c r="T3" s="14"/>
      <c r="U3" s="14">
        <v>44864</v>
      </c>
      <c r="V3" s="14">
        <v>45228</v>
      </c>
      <c r="W3" s="14"/>
      <c r="X3" s="14"/>
    </row>
    <row r="4" spans="1:24" x14ac:dyDescent="0.25">
      <c r="C4" s="7"/>
      <c r="D4" s="7"/>
      <c r="E4" s="7"/>
      <c r="F4" s="7"/>
      <c r="G4" s="7"/>
      <c r="H4" s="7"/>
      <c r="I4" s="7"/>
      <c r="U4" s="7"/>
      <c r="V4" s="7"/>
    </row>
    <row r="5" spans="1:24" x14ac:dyDescent="0.25">
      <c r="B5" t="s">
        <v>83</v>
      </c>
      <c r="C5" s="7"/>
      <c r="D5" s="7"/>
      <c r="E5" s="7"/>
      <c r="F5" s="8">
        <v>6941</v>
      </c>
      <c r="G5" s="7"/>
      <c r="H5" s="7"/>
      <c r="I5" s="7"/>
      <c r="J5" s="8">
        <v>7274</v>
      </c>
      <c r="K5" s="8">
        <f>+J5+100</f>
        <v>7374</v>
      </c>
      <c r="U5" s="7"/>
      <c r="V5" s="7"/>
    </row>
    <row r="6" spans="1:24" x14ac:dyDescent="0.25">
      <c r="B6" t="s">
        <v>84</v>
      </c>
      <c r="C6" s="7"/>
      <c r="D6" s="7"/>
      <c r="E6" s="7"/>
      <c r="F6" s="8">
        <v>1935</v>
      </c>
      <c r="G6" s="7"/>
      <c r="H6" s="7"/>
      <c r="I6" s="7"/>
      <c r="J6" s="8">
        <v>5798</v>
      </c>
      <c r="K6" s="8">
        <f>+J6+100</f>
        <v>5898</v>
      </c>
      <c r="U6" s="7"/>
      <c r="V6" s="7"/>
    </row>
    <row r="7" spans="1:24" x14ac:dyDescent="0.25">
      <c r="B7" t="s">
        <v>73</v>
      </c>
      <c r="C7" s="7"/>
      <c r="D7" s="7"/>
      <c r="E7" s="7"/>
      <c r="F7" s="7"/>
      <c r="G7" s="7"/>
      <c r="H7" s="7"/>
      <c r="I7" s="7"/>
      <c r="J7" s="8">
        <v>7439</v>
      </c>
      <c r="K7" s="8">
        <f>+J7+500</f>
        <v>7939</v>
      </c>
      <c r="T7" s="8">
        <v>20886</v>
      </c>
      <c r="U7" s="8">
        <v>26277</v>
      </c>
      <c r="V7" s="8">
        <v>27891</v>
      </c>
      <c r="W7" s="8"/>
    </row>
    <row r="8" spans="1:24" x14ac:dyDescent="0.25">
      <c r="B8" t="s">
        <v>74</v>
      </c>
      <c r="C8" s="7"/>
      <c r="D8" s="7"/>
      <c r="E8" s="7"/>
      <c r="F8" s="7"/>
      <c r="G8" s="7"/>
      <c r="H8" s="7"/>
      <c r="I8" s="7"/>
      <c r="J8" s="8">
        <v>5633</v>
      </c>
      <c r="K8" s="8">
        <f>+J8+500</f>
        <v>6133</v>
      </c>
      <c r="T8" s="8">
        <v>6564</v>
      </c>
      <c r="U8" s="8">
        <v>6926</v>
      </c>
      <c r="V8" s="8">
        <v>7928</v>
      </c>
      <c r="W8" s="8"/>
    </row>
    <row r="9" spans="1:24" s="4" customFormat="1" ht="13" x14ac:dyDescent="0.3">
      <c r="B9" s="4" t="s">
        <v>7</v>
      </c>
      <c r="C9" s="10">
        <v>8930</v>
      </c>
      <c r="D9" s="10">
        <v>8915</v>
      </c>
      <c r="E9" s="10">
        <v>8733</v>
      </c>
      <c r="F9" s="10">
        <v>8876</v>
      </c>
      <c r="G9" s="10">
        <v>9295</v>
      </c>
      <c r="H9" s="10">
        <v>11961</v>
      </c>
      <c r="I9" s="10">
        <v>12487</v>
      </c>
      <c r="J9" s="10">
        <f>+J7+J8</f>
        <v>13072</v>
      </c>
      <c r="K9" s="10">
        <v>14054</v>
      </c>
      <c r="L9" s="10">
        <v>14916</v>
      </c>
      <c r="M9" s="12"/>
      <c r="N9" s="12"/>
      <c r="O9" s="12"/>
      <c r="P9" s="12"/>
      <c r="Q9" s="12"/>
      <c r="R9" s="12"/>
      <c r="S9" s="12"/>
      <c r="T9" s="10">
        <f>+T7+T8</f>
        <v>27450</v>
      </c>
      <c r="U9" s="10">
        <f>+U7+U8</f>
        <v>33203</v>
      </c>
      <c r="V9" s="10">
        <f>SUM(D9:G9)</f>
        <v>35819</v>
      </c>
      <c r="W9" s="10">
        <v>45000</v>
      </c>
      <c r="X9" s="12"/>
    </row>
    <row r="10" spans="1:24" x14ac:dyDescent="0.25">
      <c r="B10" t="s">
        <v>13</v>
      </c>
      <c r="C10" s="8">
        <v>2298</v>
      </c>
      <c r="D10" s="8">
        <v>2374</v>
      </c>
      <c r="E10" s="8">
        <v>2177</v>
      </c>
      <c r="F10" s="8">
        <v>2272</v>
      </c>
      <c r="G10" s="8">
        <v>2449</v>
      </c>
      <c r="H10" s="8">
        <v>3114</v>
      </c>
      <c r="I10" s="8">
        <v>3142</v>
      </c>
      <c r="J10" s="8">
        <f>2434+699</f>
        <v>3133</v>
      </c>
      <c r="K10" s="8">
        <v>3399</v>
      </c>
      <c r="L10" s="8">
        <v>3273</v>
      </c>
      <c r="T10" s="8">
        <v>6555</v>
      </c>
      <c r="U10" s="8">
        <v>7629</v>
      </c>
      <c r="V10" s="8">
        <f>SUM(D10:G10)</f>
        <v>9272</v>
      </c>
      <c r="W10" s="8">
        <f>+W9*0.25</f>
        <v>11250</v>
      </c>
    </row>
    <row r="11" spans="1:24" s="2" customFormat="1" x14ac:dyDescent="0.25">
      <c r="B11" s="2" t="s">
        <v>14</v>
      </c>
      <c r="C11" s="8">
        <f t="shared" ref="C11:J11" si="0">+C9-C10</f>
        <v>6632</v>
      </c>
      <c r="D11" s="8">
        <f t="shared" si="0"/>
        <v>6541</v>
      </c>
      <c r="E11" s="8">
        <f t="shared" si="0"/>
        <v>6556</v>
      </c>
      <c r="F11" s="8">
        <f t="shared" si="0"/>
        <v>6604</v>
      </c>
      <c r="G11" s="8">
        <f t="shared" si="0"/>
        <v>6846</v>
      </c>
      <c r="H11" s="8">
        <f t="shared" si="0"/>
        <v>8847</v>
      </c>
      <c r="I11" s="8">
        <f t="shared" si="0"/>
        <v>9345</v>
      </c>
      <c r="J11" s="8">
        <f t="shared" si="0"/>
        <v>9939</v>
      </c>
      <c r="K11" s="8">
        <f>+K9-K10</f>
        <v>10655</v>
      </c>
      <c r="L11" s="8">
        <f>+L9-L10</f>
        <v>11643</v>
      </c>
      <c r="M11" s="8"/>
      <c r="N11" s="8"/>
      <c r="O11" s="8"/>
      <c r="P11" s="8"/>
      <c r="Q11" s="8"/>
      <c r="R11" s="8"/>
      <c r="S11" s="8"/>
      <c r="T11" s="8">
        <f>+T9-T10</f>
        <v>20895</v>
      </c>
      <c r="U11" s="8">
        <f>+U9-U10</f>
        <v>25574</v>
      </c>
      <c r="V11" s="8">
        <f>+V9-V10</f>
        <v>26547</v>
      </c>
      <c r="W11" s="8">
        <f>+W9-W10</f>
        <v>33750</v>
      </c>
      <c r="X11" s="8"/>
    </row>
    <row r="12" spans="1:24" x14ac:dyDescent="0.25">
      <c r="B12" t="s">
        <v>16</v>
      </c>
      <c r="C12" s="8">
        <v>1197</v>
      </c>
      <c r="D12" s="8">
        <v>1195</v>
      </c>
      <c r="E12" s="8">
        <v>1312</v>
      </c>
      <c r="F12" s="8">
        <v>1358</v>
      </c>
      <c r="G12" s="8">
        <v>1388</v>
      </c>
      <c r="H12" s="8">
        <v>2308</v>
      </c>
      <c r="I12" s="8">
        <v>2415</v>
      </c>
      <c r="J12" s="8">
        <v>2353</v>
      </c>
      <c r="K12" s="8">
        <v>2234</v>
      </c>
      <c r="L12" s="8">
        <v>2253</v>
      </c>
      <c r="T12" s="8">
        <v>4854</v>
      </c>
      <c r="U12" s="8">
        <v>4919</v>
      </c>
      <c r="V12" s="8">
        <f>SUM(D12:G12)</f>
        <v>5253</v>
      </c>
      <c r="W12" s="8">
        <f>+V12*1.1</f>
        <v>5778.3</v>
      </c>
    </row>
    <row r="13" spans="1:24" x14ac:dyDescent="0.25">
      <c r="B13" t="s">
        <v>17</v>
      </c>
      <c r="C13" s="8">
        <v>370</v>
      </c>
      <c r="D13" s="8">
        <v>348</v>
      </c>
      <c r="E13" s="8">
        <v>438</v>
      </c>
      <c r="F13" s="8">
        <v>388</v>
      </c>
      <c r="G13" s="8">
        <v>418</v>
      </c>
      <c r="H13" s="8">
        <v>1572</v>
      </c>
      <c r="I13" s="8">
        <v>1277</v>
      </c>
      <c r="J13" s="8">
        <v>1100</v>
      </c>
      <c r="K13" s="8">
        <v>1010</v>
      </c>
      <c r="L13" s="8">
        <v>949</v>
      </c>
      <c r="T13" s="8">
        <v>1347</v>
      </c>
      <c r="U13" s="8">
        <v>1382</v>
      </c>
      <c r="V13" s="8">
        <f>SUM(D13:G13)</f>
        <v>1592</v>
      </c>
      <c r="W13" s="8">
        <f>+V13*1.1</f>
        <v>1751.2</v>
      </c>
    </row>
    <row r="14" spans="1:24" x14ac:dyDescent="0.25">
      <c r="B14" t="s">
        <v>18</v>
      </c>
      <c r="C14" s="8">
        <f t="shared" ref="C14:L14" si="1">+C12+C13</f>
        <v>1567</v>
      </c>
      <c r="D14" s="8">
        <f t="shared" si="1"/>
        <v>1543</v>
      </c>
      <c r="E14" s="8">
        <f t="shared" si="1"/>
        <v>1750</v>
      </c>
      <c r="F14" s="8">
        <f t="shared" si="1"/>
        <v>1746</v>
      </c>
      <c r="G14" s="8">
        <f t="shared" si="1"/>
        <v>1806</v>
      </c>
      <c r="H14" s="8">
        <f t="shared" si="1"/>
        <v>3880</v>
      </c>
      <c r="I14" s="8">
        <f t="shared" si="1"/>
        <v>3692</v>
      </c>
      <c r="J14" s="8">
        <f t="shared" si="1"/>
        <v>3453</v>
      </c>
      <c r="K14" s="8">
        <f t="shared" si="1"/>
        <v>3244</v>
      </c>
      <c r="L14" s="8">
        <f t="shared" si="1"/>
        <v>3202</v>
      </c>
      <c r="T14" s="8">
        <f t="shared" ref="T14:U14" si="2">+T13+T12</f>
        <v>6201</v>
      </c>
      <c r="U14" s="8">
        <f t="shared" si="2"/>
        <v>6301</v>
      </c>
      <c r="V14" s="8">
        <f>+V13+V12</f>
        <v>6845</v>
      </c>
      <c r="W14" s="8">
        <f>+W13+W12</f>
        <v>7529.5</v>
      </c>
    </row>
    <row r="15" spans="1:24" x14ac:dyDescent="0.25">
      <c r="B15" t="s">
        <v>20</v>
      </c>
      <c r="C15" s="8">
        <f t="shared" ref="C15:L15" si="3">+C11-C14</f>
        <v>5065</v>
      </c>
      <c r="D15" s="8">
        <f t="shared" si="3"/>
        <v>4998</v>
      </c>
      <c r="E15" s="8">
        <f t="shared" si="3"/>
        <v>4806</v>
      </c>
      <c r="F15" s="8">
        <f t="shared" si="3"/>
        <v>4858</v>
      </c>
      <c r="G15" s="8">
        <f t="shared" si="3"/>
        <v>5040</v>
      </c>
      <c r="H15" s="8">
        <f t="shared" si="3"/>
        <v>4967</v>
      </c>
      <c r="I15" s="8">
        <f t="shared" si="3"/>
        <v>5653</v>
      </c>
      <c r="J15" s="8">
        <f t="shared" si="3"/>
        <v>6486</v>
      </c>
      <c r="K15" s="8">
        <f t="shared" si="3"/>
        <v>7411</v>
      </c>
      <c r="L15" s="8">
        <f t="shared" si="3"/>
        <v>8441</v>
      </c>
      <c r="T15" s="8">
        <f t="shared" ref="T15:U15" si="4">+T11-T14</f>
        <v>14694</v>
      </c>
      <c r="U15" s="8">
        <f t="shared" si="4"/>
        <v>19273</v>
      </c>
      <c r="V15" s="8">
        <f>+V11-V14</f>
        <v>19702</v>
      </c>
      <c r="W15" s="8">
        <f>+W11-W14</f>
        <v>26220.5</v>
      </c>
    </row>
    <row r="16" spans="1:24" x14ac:dyDescent="0.25">
      <c r="B16" t="s">
        <v>22</v>
      </c>
      <c r="C16" s="8">
        <f>-406+40</f>
        <v>-366</v>
      </c>
      <c r="D16" s="8">
        <f>-406-143</f>
        <v>-549</v>
      </c>
      <c r="E16" s="8">
        <f>-405+113</f>
        <v>-292</v>
      </c>
      <c r="F16" s="8">
        <f>-406+124</f>
        <v>-282</v>
      </c>
      <c r="G16" s="8">
        <f>-405+132</f>
        <v>-273</v>
      </c>
      <c r="H16" s="8">
        <f>-926+185</f>
        <v>-741</v>
      </c>
      <c r="I16" s="8">
        <f>-1047+87</f>
        <v>-960</v>
      </c>
      <c r="J16" s="8">
        <f>-1064+82</f>
        <v>-982</v>
      </c>
      <c r="K16" s="8">
        <f>-916+52</f>
        <v>-864</v>
      </c>
      <c r="L16" s="3">
        <f>-873+103</f>
        <v>-770</v>
      </c>
      <c r="T16" s="8">
        <f>-1885+131</f>
        <v>-1754</v>
      </c>
      <c r="U16" s="8">
        <f>-1737-54</f>
        <v>-1791</v>
      </c>
      <c r="V16" s="8">
        <f>SUM(D16:G16)</f>
        <v>-1396</v>
      </c>
      <c r="W16" s="8">
        <f>+V16</f>
        <v>-1396</v>
      </c>
    </row>
    <row r="17" spans="2:24" x14ac:dyDescent="0.25">
      <c r="B17" t="s">
        <v>23</v>
      </c>
      <c r="C17" s="8">
        <f t="shared" ref="C17:L17" si="5">+C15+C16</f>
        <v>4699</v>
      </c>
      <c r="D17" s="8">
        <f t="shared" si="5"/>
        <v>4449</v>
      </c>
      <c r="E17" s="8">
        <f t="shared" si="5"/>
        <v>4514</v>
      </c>
      <c r="F17" s="8">
        <f t="shared" si="5"/>
        <v>4576</v>
      </c>
      <c r="G17" s="8">
        <f t="shared" si="5"/>
        <v>4767</v>
      </c>
      <c r="H17" s="8">
        <f t="shared" si="5"/>
        <v>4226</v>
      </c>
      <c r="I17" s="8">
        <f t="shared" si="5"/>
        <v>4693</v>
      </c>
      <c r="J17" s="8">
        <f t="shared" si="5"/>
        <v>5504</v>
      </c>
      <c r="K17" s="8">
        <f t="shared" si="5"/>
        <v>6547</v>
      </c>
      <c r="L17" s="8">
        <f t="shared" si="5"/>
        <v>7671</v>
      </c>
      <c r="T17" s="8">
        <f>+T15+T16</f>
        <v>12940</v>
      </c>
      <c r="U17" s="8">
        <f>+U15+U16</f>
        <v>17482</v>
      </c>
      <c r="V17" s="8">
        <f>+V15+V16</f>
        <v>18306</v>
      </c>
      <c r="W17" s="8">
        <f>+W15+W16</f>
        <v>24824.5</v>
      </c>
    </row>
    <row r="18" spans="2:24" s="2" customFormat="1" x14ac:dyDescent="0.25">
      <c r="B18" s="2" t="s">
        <v>24</v>
      </c>
      <c r="C18" s="8">
        <v>261</v>
      </c>
      <c r="D18" s="8">
        <v>66</v>
      </c>
      <c r="E18" s="8">
        <v>235</v>
      </c>
      <c r="F18" s="8">
        <v>271</v>
      </c>
      <c r="G18" s="8">
        <v>443</v>
      </c>
      <c r="H18" s="8">
        <f>68+735</f>
        <v>803</v>
      </c>
      <c r="I18" s="8">
        <v>-116</v>
      </c>
      <c r="J18" s="8">
        <v>4238</v>
      </c>
      <c r="K18" s="8">
        <f>-442+1506</f>
        <v>1064</v>
      </c>
      <c r="L18" s="8">
        <f>-12+1286</f>
        <v>1274</v>
      </c>
      <c r="M18" s="8"/>
      <c r="N18" s="8"/>
      <c r="O18" s="8"/>
      <c r="P18" s="8"/>
      <c r="Q18" s="8"/>
      <c r="R18" s="8"/>
      <c r="S18" s="8"/>
      <c r="T18" s="8">
        <f>29+299</f>
        <v>328</v>
      </c>
      <c r="U18" s="8">
        <f>939+272</f>
        <v>1211</v>
      </c>
      <c r="V18" s="8">
        <f>SUM(D18:G18)</f>
        <v>1015</v>
      </c>
      <c r="W18" s="8">
        <f>+W17*0.1</f>
        <v>2482.4500000000003</v>
      </c>
      <c r="X18" s="8"/>
    </row>
    <row r="19" spans="2:24" ht="13" x14ac:dyDescent="0.3">
      <c r="B19" t="s">
        <v>25</v>
      </c>
      <c r="C19" s="8">
        <f t="shared" ref="C19:L19" si="6">+C17-C18</f>
        <v>4438</v>
      </c>
      <c r="D19" s="8">
        <f t="shared" si="6"/>
        <v>4383</v>
      </c>
      <c r="E19" s="8">
        <f t="shared" si="6"/>
        <v>4279</v>
      </c>
      <c r="F19" s="8">
        <f t="shared" si="6"/>
        <v>4305</v>
      </c>
      <c r="G19" s="8">
        <f t="shared" si="6"/>
        <v>4324</v>
      </c>
      <c r="H19" s="8">
        <f t="shared" si="6"/>
        <v>3423</v>
      </c>
      <c r="I19" s="8">
        <f t="shared" si="6"/>
        <v>4809</v>
      </c>
      <c r="J19" s="8">
        <f t="shared" si="6"/>
        <v>1266</v>
      </c>
      <c r="K19" s="8">
        <f t="shared" si="6"/>
        <v>5483</v>
      </c>
      <c r="L19" s="8">
        <f t="shared" si="6"/>
        <v>6397</v>
      </c>
      <c r="T19" s="10">
        <f>+T17-T18</f>
        <v>12612</v>
      </c>
      <c r="U19" s="10">
        <f>+U17-U18</f>
        <v>16271</v>
      </c>
      <c r="V19" s="10">
        <f>+V17-V18</f>
        <v>17291</v>
      </c>
      <c r="W19" s="10">
        <f>+W17-W18</f>
        <v>22342.05</v>
      </c>
    </row>
    <row r="20" spans="2:24" x14ac:dyDescent="0.25">
      <c r="B20" t="s">
        <v>75</v>
      </c>
      <c r="C20" s="11">
        <f t="shared" ref="C20:L20" si="7">+C19/C21</f>
        <v>1.0344988344988344</v>
      </c>
      <c r="D20" s="11">
        <f t="shared" si="7"/>
        <v>1.0216783216783216</v>
      </c>
      <c r="E20" s="11">
        <f t="shared" si="7"/>
        <v>1.0021077283372366</v>
      </c>
      <c r="F20" s="11">
        <f t="shared" si="7"/>
        <v>1.0081967213114753</v>
      </c>
      <c r="G20" s="11">
        <f t="shared" si="7"/>
        <v>1.0126463700234192</v>
      </c>
      <c r="H20" s="11">
        <f t="shared" si="7"/>
        <v>0.73297644539614559</v>
      </c>
      <c r="I20" s="11">
        <f t="shared" si="7"/>
        <v>1.0018750000000001</v>
      </c>
      <c r="J20" s="11">
        <f t="shared" si="7"/>
        <v>0.27149903495603689</v>
      </c>
      <c r="K20" s="11">
        <f t="shared" si="7"/>
        <v>1.1356669428334714</v>
      </c>
      <c r="L20" s="11">
        <f t="shared" si="7"/>
        <v>1.3227874276261373</v>
      </c>
      <c r="T20" s="11">
        <f>+T19/T21</f>
        <v>2.9398601398601398</v>
      </c>
      <c r="U20" s="11">
        <f>+U19/U21</f>
        <v>3.8465721040189127</v>
      </c>
      <c r="V20" s="11">
        <f>+V19/V21</f>
        <v>3.9567505720823797</v>
      </c>
      <c r="W20" s="11">
        <f>+W19/W21</f>
        <v>4.6545937500000001</v>
      </c>
    </row>
    <row r="21" spans="2:24" x14ac:dyDescent="0.25">
      <c r="B21" t="s">
        <v>1</v>
      </c>
      <c r="C21" s="8">
        <v>4290</v>
      </c>
      <c r="D21" s="8">
        <v>4290</v>
      </c>
      <c r="E21" s="8">
        <v>4270</v>
      </c>
      <c r="F21" s="8">
        <v>4270</v>
      </c>
      <c r="G21" s="8">
        <v>4270</v>
      </c>
      <c r="H21" s="8">
        <v>4670</v>
      </c>
      <c r="I21" s="8">
        <f>480*10</f>
        <v>4800</v>
      </c>
      <c r="J21" s="8">
        <v>4663</v>
      </c>
      <c r="K21" s="8">
        <v>4828</v>
      </c>
      <c r="L21" s="8">
        <v>4836</v>
      </c>
      <c r="T21" s="8">
        <v>4290</v>
      </c>
      <c r="U21" s="8">
        <v>4230</v>
      </c>
      <c r="V21" s="8">
        <f>AVERAGE(E21:H21)</f>
        <v>4370</v>
      </c>
      <c r="W21" s="8">
        <f>+I21</f>
        <v>4800</v>
      </c>
    </row>
    <row r="25" spans="2:24" x14ac:dyDescent="0.25">
      <c r="B25" t="s">
        <v>12</v>
      </c>
      <c r="G25" s="9">
        <f t="shared" ref="G25:L25" si="8">+G9/C9-1</f>
        <v>4.0873460246360516E-2</v>
      </c>
      <c r="H25" s="9">
        <f t="shared" si="8"/>
        <v>0.34167134043746494</v>
      </c>
      <c r="I25" s="9">
        <f t="shared" si="8"/>
        <v>0.42986373525707089</v>
      </c>
      <c r="J25" s="9">
        <f t="shared" si="8"/>
        <v>0.47273546642631814</v>
      </c>
      <c r="K25" s="9">
        <f t="shared" si="8"/>
        <v>0.51199569661108124</v>
      </c>
      <c r="L25" s="9">
        <f t="shared" si="8"/>
        <v>0.24705292199648854</v>
      </c>
      <c r="M25" s="9"/>
      <c r="N25" s="9"/>
      <c r="O25" s="9"/>
      <c r="P25" s="9"/>
      <c r="Q25" s="9"/>
      <c r="R25" s="9"/>
      <c r="U25" s="9">
        <f>+U9/T9-1</f>
        <v>0.20958105646630232</v>
      </c>
      <c r="V25" s="9">
        <f>+V9/U9-1</f>
        <v>7.8788061319760239E-2</v>
      </c>
      <c r="W25" s="9">
        <f>+W9/V9-1</f>
        <v>0.25631648008040431</v>
      </c>
    </row>
    <row r="26" spans="2:24" x14ac:dyDescent="0.25">
      <c r="B26" t="s">
        <v>15</v>
      </c>
      <c r="C26" s="9">
        <f t="shared" ref="C26:G26" si="9">+C11/C9</f>
        <v>0.7426651735722285</v>
      </c>
      <c r="D26" s="9">
        <f t="shared" si="9"/>
        <v>0.7337072349971957</v>
      </c>
      <c r="E26" s="9">
        <f t="shared" si="9"/>
        <v>0.75071567617084622</v>
      </c>
      <c r="F26" s="9">
        <f t="shared" si="9"/>
        <v>0.74402884182063989</v>
      </c>
      <c r="G26" s="9">
        <f t="shared" si="9"/>
        <v>0.7365250134480904</v>
      </c>
      <c r="H26" s="9">
        <f>+H11/H9</f>
        <v>0.73965387509405567</v>
      </c>
      <c r="I26" s="9">
        <f>+I11/I9</f>
        <v>0.74837831344598382</v>
      </c>
      <c r="J26" s="9">
        <f>+J11/J9</f>
        <v>0.76032741738066101</v>
      </c>
      <c r="K26" s="9">
        <f>+K11/K9</f>
        <v>0.75814714671979511</v>
      </c>
      <c r="L26" s="9">
        <f>+L11/L9</f>
        <v>0.78057119871279168</v>
      </c>
      <c r="T26" s="9">
        <f>+T11/T9</f>
        <v>0.76120218579234977</v>
      </c>
      <c r="U26" s="9">
        <f>+U11/U9</f>
        <v>0.77023160557780923</v>
      </c>
      <c r="V26" s="9">
        <f>+V11/V9</f>
        <v>0.74114296881543318</v>
      </c>
      <c r="W26" s="9">
        <f>+W11/W9</f>
        <v>0.75</v>
      </c>
    </row>
    <row r="27" spans="2:24" x14ac:dyDescent="0.25">
      <c r="B27" t="s">
        <v>21</v>
      </c>
      <c r="C27" s="9">
        <f t="shared" ref="C27:G27" si="10">+C15/C9</f>
        <v>0.56718924972004481</v>
      </c>
      <c r="D27" s="9">
        <f t="shared" si="10"/>
        <v>0.56062815479528882</v>
      </c>
      <c r="E27" s="9">
        <f t="shared" si="10"/>
        <v>0.55032634833390592</v>
      </c>
      <c r="F27" s="9">
        <f t="shared" si="10"/>
        <v>0.54731861198738174</v>
      </c>
      <c r="G27" s="9">
        <f t="shared" si="10"/>
        <v>0.54222700376546529</v>
      </c>
      <c r="H27" s="9">
        <f>+H15/H9</f>
        <v>0.41526628208343785</v>
      </c>
      <c r="I27" s="9">
        <f>+I15/I9</f>
        <v>0.45271081925202211</v>
      </c>
      <c r="J27" s="9">
        <f>+J15/J9</f>
        <v>0.49617503059975521</v>
      </c>
      <c r="K27" s="9">
        <f>+K15/K9</f>
        <v>0.52732318201223849</v>
      </c>
      <c r="L27" s="9">
        <f>+L15/L9</f>
        <v>0.56590238669884685</v>
      </c>
      <c r="T27" s="9">
        <f>+T15/T9</f>
        <v>0.53530054644808744</v>
      </c>
      <c r="U27" s="9">
        <f>+U15/U9</f>
        <v>0.58045959702436523</v>
      </c>
      <c r="V27" s="9">
        <f>+V15/V9</f>
        <v>0.55004327312320278</v>
      </c>
      <c r="W27" s="9">
        <f>+W15/W9</f>
        <v>0.58267777777777774</v>
      </c>
    </row>
    <row r="30" spans="2:24" x14ac:dyDescent="0.25">
      <c r="B30" t="s">
        <v>87</v>
      </c>
      <c r="L30" s="8">
        <f>+L31-L42</f>
        <v>-57272</v>
      </c>
    </row>
    <row r="31" spans="2:24" s="2" customFormat="1" x14ac:dyDescent="0.25">
      <c r="B31" s="2" t="s">
        <v>3</v>
      </c>
      <c r="C31" s="8"/>
      <c r="D31" s="8"/>
      <c r="E31" s="8"/>
      <c r="F31" s="8"/>
      <c r="G31" s="8"/>
      <c r="H31" s="8">
        <v>11864</v>
      </c>
      <c r="I31" s="8">
        <v>9809</v>
      </c>
      <c r="J31" s="8">
        <v>9952</v>
      </c>
      <c r="K31" s="8"/>
      <c r="L31" s="8">
        <v>9307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2:24" s="2" customFormat="1" x14ac:dyDescent="0.25">
      <c r="B32" s="2" t="s">
        <v>26</v>
      </c>
      <c r="C32" s="8"/>
      <c r="D32" s="8"/>
      <c r="E32" s="8"/>
      <c r="F32" s="8"/>
      <c r="G32" s="8"/>
      <c r="H32" s="8">
        <v>4969</v>
      </c>
      <c r="I32" s="8">
        <v>5500</v>
      </c>
      <c r="J32" s="8">
        <v>4665</v>
      </c>
      <c r="K32" s="8"/>
      <c r="L32" s="8">
        <v>4955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2:24" s="2" customFormat="1" x14ac:dyDescent="0.25">
      <c r="B33" s="2" t="s">
        <v>27</v>
      </c>
      <c r="C33" s="8"/>
      <c r="D33" s="8"/>
      <c r="E33" s="8"/>
      <c r="F33" s="8"/>
      <c r="G33" s="8"/>
      <c r="H33" s="8">
        <v>1920</v>
      </c>
      <c r="I33" s="8">
        <v>1842</v>
      </c>
      <c r="J33" s="8">
        <v>1894</v>
      </c>
      <c r="K33" s="8"/>
      <c r="L33" s="8">
        <v>1908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2:24" s="2" customFormat="1" x14ac:dyDescent="0.25">
      <c r="B34" s="2" t="s">
        <v>28</v>
      </c>
      <c r="C34" s="8"/>
      <c r="D34" s="8"/>
      <c r="E34" s="8"/>
      <c r="F34" s="8"/>
      <c r="G34" s="8"/>
      <c r="H34" s="8">
        <v>8439</v>
      </c>
      <c r="I34" s="8">
        <v>8151</v>
      </c>
      <c r="J34" s="8">
        <v>3436</v>
      </c>
      <c r="K34" s="8"/>
      <c r="L34" s="8">
        <v>4820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2:24" s="2" customFormat="1" x14ac:dyDescent="0.25">
      <c r="B35" s="2" t="s">
        <v>29</v>
      </c>
      <c r="C35" s="8"/>
      <c r="D35" s="8"/>
      <c r="E35" s="8"/>
      <c r="F35" s="8"/>
      <c r="G35" s="8"/>
      <c r="H35" s="8">
        <v>2662</v>
      </c>
      <c r="I35" s="8">
        <v>2668</v>
      </c>
      <c r="J35" s="8">
        <v>2602</v>
      </c>
      <c r="K35" s="8"/>
      <c r="L35" s="8">
        <v>2465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s="2" customFormat="1" x14ac:dyDescent="0.25">
      <c r="B36" s="2" t="s">
        <v>31</v>
      </c>
      <c r="C36" s="8"/>
      <c r="D36" s="8"/>
      <c r="E36" s="8"/>
      <c r="F36" s="8"/>
      <c r="G36" s="8"/>
      <c r="H36" s="8">
        <f>97586+47185</f>
        <v>144771</v>
      </c>
      <c r="I36" s="8">
        <f>97873+45407</f>
        <v>143280</v>
      </c>
      <c r="J36" s="8">
        <f>97873+43034</f>
        <v>140907</v>
      </c>
      <c r="K36" s="8"/>
      <c r="L36" s="8">
        <f>97871+38583</f>
        <v>136454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2:24" s="2" customFormat="1" x14ac:dyDescent="0.25">
      <c r="B37" s="2" t="s">
        <v>30</v>
      </c>
      <c r="C37" s="8"/>
      <c r="D37" s="8"/>
      <c r="E37" s="8"/>
      <c r="F37" s="8"/>
      <c r="G37" s="8"/>
      <c r="H37" s="8">
        <v>3245</v>
      </c>
      <c r="I37" s="8">
        <v>3961</v>
      </c>
      <c r="J37" s="8">
        <v>4510</v>
      </c>
      <c r="K37" s="8"/>
      <c r="L37" s="8">
        <v>5449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2:24" s="2" customFormat="1" x14ac:dyDescent="0.25">
      <c r="B38" s="2" t="s">
        <v>32</v>
      </c>
      <c r="C38" s="8"/>
      <c r="D38" s="8"/>
      <c r="E38" s="8"/>
      <c r="F38" s="8"/>
      <c r="G38" s="8"/>
      <c r="H38" s="8">
        <f>SUM(H31:H37)</f>
        <v>177870</v>
      </c>
      <c r="I38" s="8">
        <f>SUM(I31:I37)</f>
        <v>175211</v>
      </c>
      <c r="J38" s="8">
        <f>SUM(J31:J37)</f>
        <v>167966</v>
      </c>
      <c r="K38" s="8">
        <f>SUM(K31:K37)</f>
        <v>0</v>
      </c>
      <c r="L38" s="8">
        <f>SUM(L31:L37)</f>
        <v>165358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2:24" s="2" customFormat="1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2:24" s="2" customFormat="1" x14ac:dyDescent="0.25">
      <c r="B40" s="2" t="s">
        <v>33</v>
      </c>
      <c r="C40" s="8"/>
      <c r="D40" s="8"/>
      <c r="E40" s="8"/>
      <c r="F40" s="8"/>
      <c r="G40" s="8"/>
      <c r="H40" s="8">
        <v>1496</v>
      </c>
      <c r="I40" s="8">
        <v>1441</v>
      </c>
      <c r="J40" s="8">
        <v>1757</v>
      </c>
      <c r="K40" s="8"/>
      <c r="L40" s="8">
        <v>1905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2:24" s="2" customFormat="1" x14ac:dyDescent="0.25">
      <c r="B41" s="2" t="s">
        <v>34</v>
      </c>
      <c r="C41" s="8"/>
      <c r="D41" s="8"/>
      <c r="E41" s="8"/>
      <c r="F41" s="8"/>
      <c r="G41" s="8"/>
      <c r="H41" s="8">
        <v>1128</v>
      </c>
      <c r="I41" s="8">
        <v>1385</v>
      </c>
      <c r="J41" s="8">
        <v>1725</v>
      </c>
      <c r="K41" s="8"/>
      <c r="L41" s="8">
        <v>922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2:24" s="2" customFormat="1" x14ac:dyDescent="0.25">
      <c r="B42" s="2" t="s">
        <v>4</v>
      </c>
      <c r="C42" s="8"/>
      <c r="D42" s="8"/>
      <c r="E42" s="8"/>
      <c r="F42" s="8"/>
      <c r="G42" s="8"/>
      <c r="H42" s="8">
        <f>2433+73468</f>
        <v>75901</v>
      </c>
      <c r="I42" s="8">
        <f>2426+71590</f>
        <v>74016</v>
      </c>
      <c r="J42" s="8">
        <f>12578+66798</f>
        <v>79376</v>
      </c>
      <c r="K42" s="8"/>
      <c r="L42" s="8">
        <f>5653+60926</f>
        <v>66579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2:24" s="2" customFormat="1" x14ac:dyDescent="0.25">
      <c r="B43" s="2" t="s">
        <v>35</v>
      </c>
      <c r="C43" s="8"/>
      <c r="D43" s="8"/>
      <c r="E43" s="8"/>
      <c r="F43" s="8"/>
      <c r="G43" s="8"/>
      <c r="H43" s="8">
        <v>15312</v>
      </c>
      <c r="I43" s="8">
        <v>14919</v>
      </c>
      <c r="J43" s="8">
        <v>3161</v>
      </c>
      <c r="K43" s="8"/>
      <c r="L43" s="8">
        <v>12430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2:24" s="2" customFormat="1" x14ac:dyDescent="0.25">
      <c r="B44" s="2" t="s">
        <v>36</v>
      </c>
      <c r="C44" s="8"/>
      <c r="D44" s="8"/>
      <c r="E44" s="8"/>
      <c r="F44" s="8"/>
      <c r="G44" s="8"/>
      <c r="H44" s="8">
        <v>13749</v>
      </c>
      <c r="I44" s="8">
        <v>13489</v>
      </c>
      <c r="J44" s="8">
        <v>16296</v>
      </c>
      <c r="K44" s="8"/>
      <c r="L44" s="8">
        <v>13733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2:24" s="2" customFormat="1" x14ac:dyDescent="0.25">
      <c r="B45" s="2" t="s">
        <v>37</v>
      </c>
      <c r="C45" s="8"/>
      <c r="D45" s="8"/>
      <c r="E45" s="8"/>
      <c r="F45" s="8"/>
      <c r="G45" s="8"/>
      <c r="H45" s="8">
        <v>70284</v>
      </c>
      <c r="I45" s="8">
        <v>69961</v>
      </c>
      <c r="J45" s="8">
        <v>65651</v>
      </c>
      <c r="K45" s="8"/>
      <c r="L45" s="8">
        <v>69789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2:24" s="2" customFormat="1" x14ac:dyDescent="0.25">
      <c r="B46" s="2" t="s">
        <v>38</v>
      </c>
      <c r="C46" s="8"/>
      <c r="D46" s="8"/>
      <c r="E46" s="8"/>
      <c r="F46" s="8"/>
      <c r="G46" s="8"/>
      <c r="H46" s="8">
        <f>SUM(H40:H45)</f>
        <v>177870</v>
      </c>
      <c r="I46" s="8">
        <f>SUM(I40:I45)</f>
        <v>175211</v>
      </c>
      <c r="J46" s="8">
        <f>SUM(J40:J45)</f>
        <v>167966</v>
      </c>
      <c r="K46" s="8">
        <f>SUM(K40:K45)</f>
        <v>0</v>
      </c>
      <c r="L46" s="8">
        <f>SUM(L40:L45)</f>
        <v>165358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8" spans="2:24" x14ac:dyDescent="0.25">
      <c r="B48" t="s">
        <v>39</v>
      </c>
      <c r="H48" s="8">
        <f>+H19</f>
        <v>3423</v>
      </c>
      <c r="I48" s="8">
        <f>+I19</f>
        <v>4809</v>
      </c>
      <c r="J48" s="8">
        <f>+J19</f>
        <v>1266</v>
      </c>
    </row>
    <row r="49" spans="2:22" x14ac:dyDescent="0.25">
      <c r="B49" t="s">
        <v>40</v>
      </c>
      <c r="H49" s="8">
        <v>1325</v>
      </c>
      <c r="I49" s="8">
        <v>2121</v>
      </c>
      <c r="J49" s="8">
        <f>1571-I49-H49</f>
        <v>-1875</v>
      </c>
    </row>
    <row r="50" spans="2:22" x14ac:dyDescent="0.25">
      <c r="B50" t="s">
        <v>41</v>
      </c>
      <c r="H50" s="8">
        <v>2206</v>
      </c>
      <c r="I50" s="8">
        <v>2381</v>
      </c>
      <c r="J50" s="8">
        <f>6962-I50-H50</f>
        <v>2375</v>
      </c>
    </row>
    <row r="51" spans="2:22" x14ac:dyDescent="0.25">
      <c r="B51" t="s">
        <v>43</v>
      </c>
      <c r="H51" s="8">
        <v>139</v>
      </c>
      <c r="I51" s="8">
        <v>149</v>
      </c>
      <c r="J51" s="8">
        <f>437-I51-H51</f>
        <v>149</v>
      </c>
    </row>
    <row r="52" spans="2:22" x14ac:dyDescent="0.25">
      <c r="B52" t="s">
        <v>42</v>
      </c>
      <c r="H52" s="8">
        <v>1582</v>
      </c>
      <c r="I52" s="8">
        <v>1457</v>
      </c>
      <c r="J52" s="8">
        <f>4427-I52-H52</f>
        <v>1388</v>
      </c>
    </row>
    <row r="53" spans="2:22" x14ac:dyDescent="0.25">
      <c r="B53" t="s">
        <v>46</v>
      </c>
      <c r="H53" s="8">
        <v>-294</v>
      </c>
      <c r="I53" s="8">
        <v>-511</v>
      </c>
      <c r="J53" s="8">
        <f>2833-I53-H53</f>
        <v>3638</v>
      </c>
    </row>
    <row r="54" spans="2:22" x14ac:dyDescent="0.25">
      <c r="B54" t="s">
        <v>47</v>
      </c>
      <c r="H54" s="8">
        <v>102</v>
      </c>
      <c r="I54" s="8">
        <v>119</v>
      </c>
      <c r="J54" s="8">
        <f>336-I54-H54</f>
        <v>115</v>
      </c>
    </row>
    <row r="55" spans="2:22" x14ac:dyDescent="0.25">
      <c r="B55" t="s">
        <v>48</v>
      </c>
      <c r="H55" s="8">
        <v>38</v>
      </c>
      <c r="I55" s="8">
        <v>92</v>
      </c>
      <c r="J55" s="8">
        <f>266+105-I55-H55</f>
        <v>241</v>
      </c>
    </row>
    <row r="56" spans="2:22" x14ac:dyDescent="0.25">
      <c r="B56" t="s">
        <v>45</v>
      </c>
      <c r="H56" s="8">
        <f>1756-14-74-660-2182+891</f>
        <v>-283</v>
      </c>
      <c r="I56" s="8">
        <f>-513+82-93+251-386-569</f>
        <v>-1228</v>
      </c>
      <c r="J56" s="8">
        <f>2078+16+206-118-3913-848-I56-H56</f>
        <v>-1068</v>
      </c>
    </row>
    <row r="57" spans="2:22" ht="13" x14ac:dyDescent="0.3">
      <c r="B57" t="s">
        <v>44</v>
      </c>
      <c r="H57" s="10">
        <f>SUM(H49:H56)</f>
        <v>4815</v>
      </c>
      <c r="I57" s="10">
        <f>SUM(I49:I56)</f>
        <v>4580</v>
      </c>
      <c r="J57" s="10">
        <f>SUM(J49:J56)</f>
        <v>4963</v>
      </c>
      <c r="T57" s="10">
        <v>13764</v>
      </c>
      <c r="U57" s="10">
        <v>16736</v>
      </c>
      <c r="V57" s="10">
        <v>18085</v>
      </c>
    </row>
    <row r="71" spans="2:7" x14ac:dyDescent="0.25">
      <c r="B71" t="s">
        <v>65</v>
      </c>
      <c r="G71" s="3">
        <v>20000</v>
      </c>
    </row>
  </sheetData>
  <hyperlinks>
    <hyperlink ref="A1" location="Main!A1" display="Main" xr:uid="{858460FE-A70E-435C-889B-8559D29B5B8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2024-07-31T16:37:40Z</dcterms:created>
  <dcterms:modified xsi:type="dcterms:W3CDTF">2025-05-28T23:17:20Z</dcterms:modified>
</cp:coreProperties>
</file>