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1F68CA1-EC46-49B1-A253-50FFB42FC46F}" xr6:coauthVersionLast="47" xr6:coauthVersionMax="47" xr10:uidLastSave="{00000000-0000-0000-0000-000000000000}"/>
  <bookViews>
    <workbookView xWindow="41060" yWindow="2570" windowWidth="33060" windowHeight="17960" xr2:uid="{8D48698F-7888-417E-85CA-95D639F52AEB}"/>
  </bookViews>
  <sheets>
    <sheet name="Main" sheetId="1" r:id="rId1"/>
    <sheet name="Model" sheetId="2" r:id="rId2"/>
    <sheet name="Imcivr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" l="1"/>
  <c r="Y18" i="2" s="1"/>
  <c r="W5" i="2"/>
  <c r="V5" i="2"/>
  <c r="W3" i="2"/>
  <c r="V3" i="2"/>
  <c r="U3" i="2"/>
  <c r="T3" i="2"/>
  <c r="S3" i="2"/>
  <c r="R3" i="2"/>
  <c r="Q3" i="2"/>
  <c r="P3" i="2"/>
  <c r="P8" i="2" s="1"/>
  <c r="P5" i="2" s="1"/>
  <c r="P15" i="2"/>
  <c r="Q15" i="2" s="1"/>
  <c r="R15" i="2" s="1"/>
  <c r="S15" i="2" s="1"/>
  <c r="P20" i="2"/>
  <c r="Q20" i="2" s="1"/>
  <c r="R20" i="2" s="1"/>
  <c r="P12" i="2"/>
  <c r="Q12" i="2" s="1"/>
  <c r="P13" i="2"/>
  <c r="M13" i="2"/>
  <c r="M8" i="2"/>
  <c r="M10" i="2" s="1"/>
  <c r="O13" i="2"/>
  <c r="N13" i="2"/>
  <c r="O8" i="2"/>
  <c r="N8" i="2"/>
  <c r="N23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G13" i="2"/>
  <c r="F13" i="2"/>
  <c r="F14" i="2" s="1"/>
  <c r="F16" i="2" s="1"/>
  <c r="F18" i="2" s="1"/>
  <c r="E13" i="2"/>
  <c r="E14" i="2" s="1"/>
  <c r="E16" i="2" s="1"/>
  <c r="E18" i="2" s="1"/>
  <c r="D13" i="2"/>
  <c r="D14" i="2" s="1"/>
  <c r="D16" i="2" s="1"/>
  <c r="D18" i="2" s="1"/>
  <c r="C13" i="2"/>
  <c r="G8" i="2"/>
  <c r="G10" i="2" s="1"/>
  <c r="C8" i="2"/>
  <c r="C10" i="2" s="1"/>
  <c r="K7" i="1"/>
  <c r="K5" i="1"/>
  <c r="K4" i="1"/>
  <c r="Z18" i="2" l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Y25" i="2"/>
  <c r="M14" i="2"/>
  <c r="M16" i="2" s="1"/>
  <c r="M18" i="2" s="1"/>
  <c r="M19" i="2" s="1"/>
  <c r="O23" i="2"/>
  <c r="Q8" i="2"/>
  <c r="Q5" i="2" s="1"/>
  <c r="R12" i="2"/>
  <c r="Q13" i="2"/>
  <c r="C14" i="2"/>
  <c r="C16" i="2" s="1"/>
  <c r="C18" i="2" s="1"/>
  <c r="N10" i="2"/>
  <c r="N14" i="2" s="1"/>
  <c r="N16" i="2" s="1"/>
  <c r="N18" i="2" s="1"/>
  <c r="N19" i="2" s="1"/>
  <c r="O10" i="2"/>
  <c r="O14" i="2" s="1"/>
  <c r="O16" i="2" s="1"/>
  <c r="O18" i="2" s="1"/>
  <c r="O19" i="2" s="1"/>
  <c r="G14" i="2"/>
  <c r="G16" i="2" s="1"/>
  <c r="G18" i="2" s="1"/>
  <c r="T15" i="2"/>
  <c r="S20" i="2"/>
  <c r="S12" i="2"/>
  <c r="R13" i="2"/>
  <c r="R8" i="2" l="1"/>
  <c r="R5" i="2" s="1"/>
  <c r="Q9" i="2"/>
  <c r="Q10" i="2" s="1"/>
  <c r="Q14" i="2" s="1"/>
  <c r="Q16" i="2" s="1"/>
  <c r="Q18" i="2" s="1"/>
  <c r="Q19" i="2" s="1"/>
  <c r="U15" i="2"/>
  <c r="T20" i="2"/>
  <c r="S13" i="2"/>
  <c r="T12" i="2"/>
  <c r="R9" i="2" l="1"/>
  <c r="R10" i="2" s="1"/>
  <c r="R14" i="2" s="1"/>
  <c r="R16" i="2" s="1"/>
  <c r="S8" i="2"/>
  <c r="S5" i="2" s="1"/>
  <c r="V15" i="2"/>
  <c r="U20" i="2"/>
  <c r="T13" i="2"/>
  <c r="U12" i="2"/>
  <c r="R17" i="2" l="1"/>
  <c r="R18" i="2"/>
  <c r="R19" i="2" s="1"/>
  <c r="T8" i="2"/>
  <c r="T5" i="2" s="1"/>
  <c r="S9" i="2"/>
  <c r="S10" i="2" s="1"/>
  <c r="S14" i="2" s="1"/>
  <c r="S16" i="2" s="1"/>
  <c r="W15" i="2"/>
  <c r="V20" i="2"/>
  <c r="V12" i="2"/>
  <c r="U13" i="2"/>
  <c r="S17" i="2" l="1"/>
  <c r="S18" i="2"/>
  <c r="S19" i="2" s="1"/>
  <c r="T9" i="2"/>
  <c r="T10" i="2" s="1"/>
  <c r="T14" i="2" s="1"/>
  <c r="T16" i="2" s="1"/>
  <c r="T17" i="2" s="1"/>
  <c r="T18" i="2" s="1"/>
  <c r="T19" i="2" s="1"/>
  <c r="U8" i="2"/>
  <c r="U5" i="2" s="1"/>
  <c r="W20" i="2"/>
  <c r="W12" i="2"/>
  <c r="W13" i="2" s="1"/>
  <c r="V13" i="2"/>
  <c r="U9" i="2" l="1"/>
  <c r="U10" i="2" s="1"/>
  <c r="U14" i="2" s="1"/>
  <c r="U16" i="2" s="1"/>
  <c r="W8" i="2"/>
  <c r="V8" i="2"/>
  <c r="U17" i="2" l="1"/>
  <c r="U18" i="2" s="1"/>
  <c r="U19" i="2" s="1"/>
  <c r="W9" i="2"/>
  <c r="W10" i="2" s="1"/>
  <c r="W14" i="2" s="1"/>
  <c r="W16" i="2" s="1"/>
  <c r="V9" i="2"/>
  <c r="V10" i="2" s="1"/>
  <c r="V14" i="2" s="1"/>
  <c r="V16" i="2" s="1"/>
  <c r="V17" i="2" l="1"/>
  <c r="V18" i="2"/>
  <c r="V19" i="2" s="1"/>
  <c r="W17" i="2"/>
  <c r="W18" i="2" s="1"/>
  <c r="W19" i="2" s="1"/>
  <c r="P23" i="2" l="1"/>
  <c r="P9" i="2" l="1"/>
  <c r="P10" i="2" s="1"/>
  <c r="P14" i="2" s="1"/>
  <c r="P16" i="2" s="1"/>
  <c r="P18" i="2" s="1"/>
  <c r="P19" i="2" s="1"/>
</calcChain>
</file>

<file path=xl/sharedStrings.xml><?xml version="1.0" encoding="utf-8"?>
<sst xmlns="http://schemas.openxmlformats.org/spreadsheetml/2006/main" count="69" uniqueCount="61">
  <si>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</si>
  <si>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</si>
  <si>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</si>
  <si>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</si>
  <si>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</si>
  <si>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</si>
  <si>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</si>
  <si>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</si>
  <si>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</si>
  <si>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</si>
  <si>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</si>
  <si>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</si>
  <si>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</si>
  <si>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</si>
  <si>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Q425</t>
  </si>
  <si>
    <t>Q325</t>
  </si>
  <si>
    <t>Product</t>
  </si>
  <si>
    <t>License</t>
  </si>
  <si>
    <t>COGS</t>
  </si>
  <si>
    <t>Gross Profit</t>
  </si>
  <si>
    <t>R&amp;D</t>
  </si>
  <si>
    <t>SG&amp;A</t>
  </si>
  <si>
    <t>Operating Costs</t>
  </si>
  <si>
    <t>Operating Income</t>
  </si>
  <si>
    <t>Interest Income</t>
  </si>
  <si>
    <t>Pretax Income</t>
  </si>
  <si>
    <t>Taxes</t>
  </si>
  <si>
    <t>Net Income</t>
  </si>
  <si>
    <t>Revenue y/y</t>
  </si>
  <si>
    <t>EPS</t>
  </si>
  <si>
    <t>Name</t>
  </si>
  <si>
    <t>Imcivree (setmelanotide)</t>
  </si>
  <si>
    <t>Indication</t>
  </si>
  <si>
    <t>CEO: David Meeker</t>
  </si>
  <si>
    <t>Approval</t>
  </si>
  <si>
    <t>Brand</t>
  </si>
  <si>
    <t>Generic</t>
  </si>
  <si>
    <t>Imcivree, fka RM-493</t>
  </si>
  <si>
    <t>setmelanotide</t>
  </si>
  <si>
    <t>MOA</t>
  </si>
  <si>
    <t>MC4R agonist</t>
  </si>
  <si>
    <t>Chemistry</t>
  </si>
  <si>
    <t>octopeptide</t>
  </si>
  <si>
    <t>Clinical Trials</t>
  </si>
  <si>
    <t>RM-493-012 n=14</t>
  </si>
  <si>
    <t>RM-493-015 n=13</t>
  </si>
  <si>
    <t>LB54640 (bivmelagon)</t>
  </si>
  <si>
    <t>PCSK/POMC/LEPR deficiency, BBS</t>
  </si>
  <si>
    <t>IP</t>
  </si>
  <si>
    <t>2032?</t>
  </si>
  <si>
    <t>$360k/year</t>
  </si>
  <si>
    <t>Phase III "TRANSCEND" n=120 acquired hypothalamic obesity</t>
  </si>
  <si>
    <t>16.5% weight loss vs. 3.3% weight gain for placebo at 52 weeks</t>
  </si>
  <si>
    <t>Acquired hypothalamic obesity - damage to hypothalamus</t>
  </si>
  <si>
    <t>Bardet-Biedl syndrome</t>
  </si>
  <si>
    <t>Hypothalamic Obesity: 5-10k US prevalence</t>
  </si>
  <si>
    <t>Patients</t>
  </si>
  <si>
    <t>Discount</t>
  </si>
  <si>
    <t>Terminal</t>
  </si>
  <si>
    <t>NPV</t>
  </si>
  <si>
    <t>5k - 10k patients, "we're not high", 5/14/2025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</si>
</sst>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21897</xdr:colOff>
      <xdr:row>0</xdr:row>
      <xdr:rowOff>30655</xdr:rowOff>
    </xdr:from>
    <xdr:to>
      <xdr:col>7</xdr:col>
      <xdr:colOff>21897</xdr:colOff>
      <xdr:row>42</xdr:row>
      <xdr:rowOff>21897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B52A20-42E3-53A8-B0FD-D0CDEDAAA8F4}"/>
            </a:ext>
          </a:extLst>
        </xdr:cNvPr>
        <xdr:cNvCxnSpPr/>
      </xdr:nvCxnSpPr>
      <xdr:spPr>
        <a:xfrm>
          <a:off x="4458138" y="30655"/>
          <a:ext cx="0" cy="61485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60435</xdr:colOff>
      <xdr:row>0</xdr:row>
      <xdr:rowOff>0</xdr:rowOff>
    </xdr:from>
    <xdr:to>
      <xdr:col>15</xdr:col>
      <xdr:colOff>60435</xdr:colOff>
      <xdr:row>41</xdr:row>
      <xdr:rowOff>148897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41BDCC-2DFD-4500-92FA-4360A11E50AB}"/>
            </a:ext>
          </a:extLst>
        </xdr:cNvPr>
        <xdr:cNvCxnSpPr/>
      </xdr:nvCxnSpPr>
      <xdr:spPr>
        <a:xfrm>
          <a:off x="9366469" y="0"/>
          <a:ext cx="0" cy="61485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C69-AEDD-4FA7-B38F-CA3969139009}">
  <dimension ref="B2:L9"/>
  <sheetViews>
    <sheetView tabSelected="1" zoomScale="190" zoomScaleNormal="190" workbookViewId="0"/>
  </sheetViews>
  <sheetFormatPr defaultRowHeight="12.5" x14ac:dyDescent="0.25"/>
  <cols>
    <col min="1" max="1" width="4.7265625" style="1" customWidth="1"/>
    <col min="2" max="2" width="22.1796875" style="1" customWidth="1"/>
    <col min="3" max="3" width="25.6328125" style="1" bestFit="1" customWidth="1"/>
    <col min="4" max="4" width="10" style="1" bestFit="1" customWidth="1"/>
    <col min="5" max="16384" width="8.7265625" style="1"/>
  </cols>
  <sheetData>
    <row r="2" spans="2:12" x14ac:dyDescent="0.25">
      <c r="B2" s="14" t="s">
        <v>30</v>
      </c>
      <c r="C2" s="15" t="s">
        <v>32</v>
      </c>
      <c r="D2" s="15" t="s">
        <v>34</v>
      </c>
      <c r="E2" s="15"/>
      <c r="F2" s="15"/>
      <c r="G2" s="15" t="s">
        <v>48</v>
      </c>
      <c r="H2" s="16"/>
      <c r="J2" s="1" t="s">
        <v>0</v>
      </c>
      <c r="K2" s="2">
        <v>68</v>
      </c>
    </row>
    <row r="3" spans="2:12" x14ac:dyDescent="0.25">
      <c r="B3" s="9" t="s">
        <v>31</v>
      </c>
      <c r="C3" s="1" t="s">
        <v>47</v>
      </c>
      <c r="D3" s="17">
        <v>44160</v>
      </c>
      <c r="G3" s="1" t="s">
        <v>49</v>
      </c>
      <c r="H3" s="10"/>
      <c r="J3" s="1" t="s">
        <v>1</v>
      </c>
      <c r="K3" s="3">
        <v>63.621471999999997</v>
      </c>
      <c r="L3" s="4" t="s">
        <v>6</v>
      </c>
    </row>
    <row r="4" spans="2:12" x14ac:dyDescent="0.25">
      <c r="B4" s="9"/>
      <c r="H4" s="10"/>
      <c r="J4" s="1" t="s">
        <v>2</v>
      </c>
      <c r="K4" s="3">
        <f>+K2*K3</f>
        <v>4326.260096</v>
      </c>
    </row>
    <row r="5" spans="2:12" x14ac:dyDescent="0.25">
      <c r="B5" s="9" t="s">
        <v>46</v>
      </c>
      <c r="H5" s="10"/>
      <c r="J5" s="1" t="s">
        <v>3</v>
      </c>
      <c r="K5" s="3">
        <f>106.095+208.393</f>
        <v>314.488</v>
      </c>
      <c r="L5" s="4" t="s">
        <v>6</v>
      </c>
    </row>
    <row r="6" spans="2:12" x14ac:dyDescent="0.25">
      <c r="B6" s="9"/>
      <c r="H6" s="10"/>
      <c r="J6" s="1" t="s">
        <v>4</v>
      </c>
      <c r="K6" s="3">
        <v>107.934</v>
      </c>
      <c r="L6" s="4" t="s">
        <v>6</v>
      </c>
    </row>
    <row r="7" spans="2:12" x14ac:dyDescent="0.25">
      <c r="B7" s="11"/>
      <c r="C7" s="12"/>
      <c r="D7" s="12"/>
      <c r="E7" s="12"/>
      <c r="F7" s="12"/>
      <c r="G7" s="12"/>
      <c r="H7" s="13"/>
      <c r="J7" s="1" t="s">
        <v>5</v>
      </c>
      <c r="K7" s="3">
        <f>+K4-K5+K6</f>
        <v>4119.7060959999999</v>
      </c>
    </row>
    <row r="9" spans="2:12" x14ac:dyDescent="0.25">
      <c r="J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9289-C9D6-4EAD-98E3-86EBBA3C55D1}">
  <dimension ref="A1:CB25"/>
  <sheetViews>
    <sheetView zoomScale="160" zoomScaleNormal="16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W8" sqref="W4:W8"/>
    </sheetView>
  </sheetViews>
  <sheetFormatPr defaultRowHeight="12.5" x14ac:dyDescent="0.25"/>
  <cols>
    <col min="1" max="1" width="4.6328125" style="1" bestFit="1" customWidth="1"/>
    <col min="2" max="2" width="15.26953125" style="1" bestFit="1" customWidth="1"/>
    <col min="3" max="10" width="8.7265625" style="4"/>
    <col min="11" max="24" width="8.7265625" style="1"/>
    <col min="25" max="25" width="9.54296875" style="1" bestFit="1" customWidth="1"/>
    <col min="26" max="16384" width="8.7265625" style="1"/>
  </cols>
  <sheetData>
    <row r="1" spans="1:23" x14ac:dyDescent="0.25">
      <c r="A1" s="1" t="s">
        <v>7</v>
      </c>
    </row>
    <row r="2" spans="1:23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6</v>
      </c>
      <c r="H2" s="4" t="s">
        <v>13</v>
      </c>
      <c r="I2" s="4" t="s">
        <v>15</v>
      </c>
      <c r="J2" s="4" t="s">
        <v>14</v>
      </c>
      <c r="L2" s="1">
        <v>2021</v>
      </c>
      <c r="M2" s="1">
        <f t="shared" ref="M2:W2" si="0">+L2+1</f>
        <v>2022</v>
      </c>
      <c r="N2" s="1">
        <f t="shared" si="0"/>
        <v>2023</v>
      </c>
      <c r="O2" s="1">
        <f t="shared" si="0"/>
        <v>2024</v>
      </c>
      <c r="P2" s="1">
        <f t="shared" si="0"/>
        <v>2025</v>
      </c>
      <c r="Q2" s="1">
        <f t="shared" si="0"/>
        <v>2026</v>
      </c>
      <c r="R2" s="1">
        <f t="shared" si="0"/>
        <v>2027</v>
      </c>
      <c r="S2" s="1">
        <f t="shared" si="0"/>
        <v>2028</v>
      </c>
      <c r="T2" s="1">
        <f t="shared" si="0"/>
        <v>2029</v>
      </c>
      <c r="U2" s="1">
        <f t="shared" si="0"/>
        <v>2030</v>
      </c>
      <c r="V2" s="1">
        <f t="shared" si="0"/>
        <v>2031</v>
      </c>
      <c r="W2" s="1">
        <f t="shared" si="0"/>
        <v>2032</v>
      </c>
    </row>
    <row r="3" spans="1:23" s="3" customFormat="1" x14ac:dyDescent="0.25">
      <c r="B3" s="3" t="s">
        <v>16</v>
      </c>
      <c r="C3" s="5">
        <v>25.966999999999999</v>
      </c>
      <c r="D3" s="5"/>
      <c r="E3" s="5"/>
      <c r="F3" s="5">
        <v>41.8</v>
      </c>
      <c r="G3" s="5">
        <v>37.718000000000004</v>
      </c>
      <c r="H3" s="5"/>
      <c r="I3" s="5"/>
      <c r="J3" s="5"/>
      <c r="M3" s="3">
        <v>16.884</v>
      </c>
      <c r="N3" s="3">
        <v>77.427999999999997</v>
      </c>
      <c r="O3" s="3">
        <v>130.126</v>
      </c>
      <c r="P3" s="3">
        <f>+O3*1.8</f>
        <v>234.22680000000003</v>
      </c>
      <c r="Q3" s="3">
        <f>+P3*1.8</f>
        <v>421.60824000000008</v>
      </c>
      <c r="R3" s="3">
        <f>+Q3*1.8</f>
        <v>758.89483200000018</v>
      </c>
      <c r="S3" s="3">
        <f>++R3*1.2</f>
        <v>910.67379840000024</v>
      </c>
      <c r="T3" s="3">
        <f>++S3*1.2</f>
        <v>1092.8085580800002</v>
      </c>
      <c r="U3" s="3">
        <f>++T3*1.2</f>
        <v>1311.3702696960002</v>
      </c>
      <c r="V3" s="3">
        <f>++U3*1.2</f>
        <v>1573.6443236352002</v>
      </c>
      <c r="W3" s="3">
        <f>++V3*1.2</f>
        <v>1888.3731883622402</v>
      </c>
    </row>
    <row r="4" spans="1:23" s="3" customFormat="1" x14ac:dyDescent="0.25">
      <c r="B4" s="3" t="s">
        <v>0</v>
      </c>
      <c r="C4" s="5"/>
      <c r="D4" s="5"/>
      <c r="E4" s="5"/>
      <c r="F4" s="5"/>
      <c r="G4" s="5"/>
      <c r="H4" s="5"/>
      <c r="I4" s="5"/>
      <c r="J4" s="5"/>
      <c r="P4" s="3">
        <v>0.36</v>
      </c>
      <c r="Q4" s="3">
        <v>0.36</v>
      </c>
      <c r="R4" s="3">
        <v>0.36</v>
      </c>
      <c r="S4" s="3">
        <v>0.36</v>
      </c>
      <c r="T4" s="3">
        <v>0.36</v>
      </c>
      <c r="U4" s="3">
        <v>0.36</v>
      </c>
      <c r="V4" s="3">
        <v>0.36</v>
      </c>
      <c r="W4" s="3">
        <v>0.36</v>
      </c>
    </row>
    <row r="5" spans="1:23" s="3" customFormat="1" x14ac:dyDescent="0.25">
      <c r="B5" s="3" t="s">
        <v>56</v>
      </c>
      <c r="C5" s="5"/>
      <c r="D5" s="5"/>
      <c r="E5" s="5"/>
      <c r="F5" s="5"/>
      <c r="G5" s="5"/>
      <c r="H5" s="5"/>
      <c r="I5" s="5"/>
      <c r="J5" s="5"/>
      <c r="P5" s="3">
        <f>+P8/P4</f>
        <v>650.63000000000011</v>
      </c>
      <c r="Q5" s="3">
        <f t="shared" ref="Q5:U5" si="1">+Q8/Q4</f>
        <v>1171.1340000000002</v>
      </c>
      <c r="R5" s="3">
        <f t="shared" si="1"/>
        <v>2108.0412000000006</v>
      </c>
      <c r="S5" s="3">
        <f t="shared" si="1"/>
        <v>2529.6494400000006</v>
      </c>
      <c r="T5" s="3">
        <f t="shared" si="1"/>
        <v>3035.5793280000007</v>
      </c>
      <c r="U5" s="3">
        <f t="shared" si="1"/>
        <v>3642.6951936000005</v>
      </c>
      <c r="V5" s="3">
        <f t="shared" ref="V5" si="2">+V8/V4</f>
        <v>4371.234232320001</v>
      </c>
      <c r="W5" s="3">
        <f t="shared" ref="W5" si="3">+W8/W4</f>
        <v>5245.4810787840006</v>
      </c>
    </row>
    <row r="6" spans="1:23" s="3" customFormat="1" x14ac:dyDescent="0.25">
      <c r="C6" s="5"/>
      <c r="D6" s="5"/>
      <c r="E6" s="5"/>
      <c r="F6" s="5"/>
      <c r="G6" s="5"/>
      <c r="H6" s="5"/>
      <c r="I6" s="5"/>
      <c r="J6" s="5"/>
    </row>
    <row r="7" spans="1:23" s="3" customFormat="1" x14ac:dyDescent="0.25">
      <c r="B7" s="3" t="s">
        <v>17</v>
      </c>
      <c r="C7" s="5">
        <v>0</v>
      </c>
      <c r="D7" s="5"/>
      <c r="E7" s="5"/>
      <c r="F7" s="5"/>
      <c r="G7" s="5">
        <v>-5.0140000000000002</v>
      </c>
      <c r="H7" s="5"/>
      <c r="I7" s="5"/>
      <c r="J7" s="5"/>
      <c r="M7" s="3">
        <v>6.7539999999999996</v>
      </c>
    </row>
    <row r="8" spans="1:23" s="6" customFormat="1" ht="13" x14ac:dyDescent="0.3">
      <c r="B8" s="6" t="s">
        <v>8</v>
      </c>
      <c r="C8" s="7">
        <f>+C3+C7</f>
        <v>25.966999999999999</v>
      </c>
      <c r="D8" s="7"/>
      <c r="E8" s="7"/>
      <c r="F8" s="7"/>
      <c r="G8" s="7">
        <f>+G3+G7</f>
        <v>32.704000000000001</v>
      </c>
      <c r="H8" s="7"/>
      <c r="I8" s="7"/>
      <c r="J8" s="7"/>
      <c r="M8" s="6">
        <f>+M3+M7</f>
        <v>23.637999999999998</v>
      </c>
      <c r="N8" s="6">
        <f>+N3+N7</f>
        <v>77.427999999999997</v>
      </c>
      <c r="O8" s="6">
        <f>+O3+O7</f>
        <v>130.126</v>
      </c>
      <c r="P8" s="6">
        <f>+P3+P7</f>
        <v>234.22680000000003</v>
      </c>
      <c r="Q8" s="6">
        <f t="shared" ref="Q8:W8" si="4">+Q3+Q7</f>
        <v>421.60824000000008</v>
      </c>
      <c r="R8" s="6">
        <f t="shared" si="4"/>
        <v>758.89483200000018</v>
      </c>
      <c r="S8" s="6">
        <f t="shared" si="4"/>
        <v>910.67379840000024</v>
      </c>
      <c r="T8" s="6">
        <f t="shared" si="4"/>
        <v>1092.8085580800002</v>
      </c>
      <c r="U8" s="6">
        <f t="shared" si="4"/>
        <v>1311.3702696960002</v>
      </c>
      <c r="V8" s="6">
        <f t="shared" si="4"/>
        <v>1573.6443236352002</v>
      </c>
      <c r="W8" s="6">
        <f t="shared" si="4"/>
        <v>1888.3731883622402</v>
      </c>
    </row>
    <row r="9" spans="1:23" s="3" customFormat="1" x14ac:dyDescent="0.25">
      <c r="B9" s="3" t="s">
        <v>18</v>
      </c>
      <c r="C9" s="5">
        <v>2.8069999999999999</v>
      </c>
      <c r="D9" s="5"/>
      <c r="E9" s="5"/>
      <c r="F9" s="5"/>
      <c r="G9" s="5">
        <v>3.6480000000000001</v>
      </c>
      <c r="H9" s="5"/>
      <c r="I9" s="5"/>
      <c r="J9" s="5"/>
      <c r="M9" s="3">
        <v>2.133</v>
      </c>
      <c r="N9" s="3">
        <v>9.3019999999999996</v>
      </c>
      <c r="O9" s="3">
        <v>13.367000000000001</v>
      </c>
      <c r="P9" s="3">
        <f>+P8*0.1</f>
        <v>23.422680000000003</v>
      </c>
      <c r="Q9" s="3">
        <f t="shared" ref="Q9:W9" si="5">+Q8*0.1</f>
        <v>42.160824000000012</v>
      </c>
      <c r="R9" s="3">
        <f t="shared" si="5"/>
        <v>75.889483200000015</v>
      </c>
      <c r="S9" s="3">
        <f t="shared" si="5"/>
        <v>91.067379840000029</v>
      </c>
      <c r="T9" s="3">
        <f t="shared" si="5"/>
        <v>109.28085580800003</v>
      </c>
      <c r="U9" s="3">
        <f t="shared" si="5"/>
        <v>131.13702696960002</v>
      </c>
      <c r="V9" s="3">
        <f t="shared" si="5"/>
        <v>157.36443236352002</v>
      </c>
      <c r="W9" s="3">
        <f t="shared" si="5"/>
        <v>188.83731883622403</v>
      </c>
    </row>
    <row r="10" spans="1:23" s="3" customFormat="1" x14ac:dyDescent="0.25">
      <c r="B10" s="3" t="s">
        <v>19</v>
      </c>
      <c r="C10" s="5">
        <f>+C8-C9</f>
        <v>23.16</v>
      </c>
      <c r="D10" s="5"/>
      <c r="E10" s="5"/>
      <c r="F10" s="5"/>
      <c r="G10" s="5">
        <f>+G8-G9</f>
        <v>29.056000000000001</v>
      </c>
      <c r="H10" s="5"/>
      <c r="I10" s="5"/>
      <c r="J10" s="5"/>
      <c r="M10" s="3">
        <f>+M8-M9</f>
        <v>21.504999999999999</v>
      </c>
      <c r="N10" s="3">
        <f>+N8-N9</f>
        <v>68.126000000000005</v>
      </c>
      <c r="O10" s="3">
        <f>+O8-O9</f>
        <v>116.759</v>
      </c>
      <c r="P10" s="3">
        <f>+P8-P9</f>
        <v>210.80412000000001</v>
      </c>
      <c r="Q10" s="3">
        <f>+Q8-Q9</f>
        <v>379.44741600000009</v>
      </c>
      <c r="R10" s="3">
        <f t="shared" ref="R10:W10" si="6">+R8-R9</f>
        <v>683.00534880000021</v>
      </c>
      <c r="S10" s="3">
        <f t="shared" si="6"/>
        <v>819.60641856000018</v>
      </c>
      <c r="T10" s="3">
        <f t="shared" si="6"/>
        <v>983.52770227200017</v>
      </c>
      <c r="U10" s="3">
        <f t="shared" si="6"/>
        <v>1180.2332427264</v>
      </c>
      <c r="V10" s="3">
        <f t="shared" si="6"/>
        <v>1416.2798912716801</v>
      </c>
      <c r="W10" s="3">
        <f t="shared" si="6"/>
        <v>1699.5358695260161</v>
      </c>
    </row>
    <row r="11" spans="1:23" s="3" customFormat="1" x14ac:dyDescent="0.25">
      <c r="B11" s="3" t="s">
        <v>20</v>
      </c>
      <c r="C11" s="5">
        <v>128.66499999999999</v>
      </c>
      <c r="D11" s="5"/>
      <c r="E11" s="5"/>
      <c r="F11" s="5"/>
      <c r="G11" s="5">
        <v>36.972999999999999</v>
      </c>
      <c r="H11" s="5"/>
      <c r="I11" s="5"/>
      <c r="J11" s="5"/>
      <c r="M11" s="3">
        <v>108.63</v>
      </c>
      <c r="N11" s="3">
        <v>134.95099999999999</v>
      </c>
      <c r="O11" s="3">
        <v>237.95699999999999</v>
      </c>
    </row>
    <row r="12" spans="1:23" s="3" customFormat="1" x14ac:dyDescent="0.25">
      <c r="B12" s="3" t="s">
        <v>21</v>
      </c>
      <c r="C12" s="5">
        <v>34.381999999999998</v>
      </c>
      <c r="D12" s="5"/>
      <c r="E12" s="5"/>
      <c r="F12" s="5"/>
      <c r="G12" s="5">
        <v>39.087000000000003</v>
      </c>
      <c r="H12" s="5"/>
      <c r="I12" s="5"/>
      <c r="J12" s="5"/>
      <c r="M12" s="3">
        <v>92.031999999999996</v>
      </c>
      <c r="N12" s="3">
        <v>117.532</v>
      </c>
      <c r="O12" s="3">
        <v>144.304</v>
      </c>
      <c r="P12" s="3">
        <f>+O12*1.03</f>
        <v>148.63312000000002</v>
      </c>
      <c r="Q12" s="3">
        <f t="shared" ref="Q12:W12" si="7">+P12*1.03</f>
        <v>153.09211360000003</v>
      </c>
      <c r="R12" s="3">
        <f t="shared" si="7"/>
        <v>157.68487700800003</v>
      </c>
      <c r="S12" s="3">
        <f t="shared" si="7"/>
        <v>162.41542331824004</v>
      </c>
      <c r="T12" s="3">
        <f t="shared" si="7"/>
        <v>167.28788601778726</v>
      </c>
      <c r="U12" s="3">
        <f t="shared" si="7"/>
        <v>172.30652259832087</v>
      </c>
      <c r="V12" s="3">
        <f t="shared" si="7"/>
        <v>177.4757182762705</v>
      </c>
      <c r="W12" s="3">
        <f t="shared" si="7"/>
        <v>182.79998982455862</v>
      </c>
    </row>
    <row r="13" spans="1:23" s="3" customFormat="1" x14ac:dyDescent="0.25">
      <c r="B13" s="3" t="s">
        <v>22</v>
      </c>
      <c r="C13" s="5">
        <f>+C11+C12</f>
        <v>163.047</v>
      </c>
      <c r="D13" s="5">
        <f t="shared" ref="D13:G13" si="8">+D11+D12</f>
        <v>0</v>
      </c>
      <c r="E13" s="5">
        <f t="shared" si="8"/>
        <v>0</v>
      </c>
      <c r="F13" s="5">
        <f t="shared" si="8"/>
        <v>0</v>
      </c>
      <c r="G13" s="5">
        <f t="shared" si="8"/>
        <v>76.06</v>
      </c>
      <c r="H13" s="5"/>
      <c r="I13" s="5"/>
      <c r="J13" s="5"/>
      <c r="M13" s="3">
        <f>+M11+M12</f>
        <v>200.66199999999998</v>
      </c>
      <c r="N13" s="3">
        <f>+N11+N12</f>
        <v>252.483</v>
      </c>
      <c r="O13" s="3">
        <f>+O11+O12</f>
        <v>382.26099999999997</v>
      </c>
      <c r="P13" s="3">
        <f t="shared" ref="P13:W13" si="9">+P11+P12</f>
        <v>148.63312000000002</v>
      </c>
      <c r="Q13" s="3">
        <f t="shared" si="9"/>
        <v>153.09211360000003</v>
      </c>
      <c r="R13" s="3">
        <f t="shared" si="9"/>
        <v>157.68487700800003</v>
      </c>
      <c r="S13" s="3">
        <f t="shared" si="9"/>
        <v>162.41542331824004</v>
      </c>
      <c r="T13" s="3">
        <f t="shared" si="9"/>
        <v>167.28788601778726</v>
      </c>
      <c r="U13" s="3">
        <f t="shared" si="9"/>
        <v>172.30652259832087</v>
      </c>
      <c r="V13" s="3">
        <f t="shared" si="9"/>
        <v>177.4757182762705</v>
      </c>
      <c r="W13" s="3">
        <f t="shared" si="9"/>
        <v>182.79998982455862</v>
      </c>
    </row>
    <row r="14" spans="1:23" s="3" customFormat="1" x14ac:dyDescent="0.25">
      <c r="B14" s="3" t="s">
        <v>23</v>
      </c>
      <c r="C14" s="5">
        <f>+C10-C13</f>
        <v>-139.887</v>
      </c>
      <c r="D14" s="5">
        <f t="shared" ref="D14:G14" si="10">+D10-D13</f>
        <v>0</v>
      </c>
      <c r="E14" s="5">
        <f t="shared" si="10"/>
        <v>0</v>
      </c>
      <c r="F14" s="5">
        <f t="shared" si="10"/>
        <v>0</v>
      </c>
      <c r="G14" s="5">
        <f t="shared" si="10"/>
        <v>-47.004000000000005</v>
      </c>
      <c r="H14" s="5"/>
      <c r="I14" s="5"/>
      <c r="J14" s="5"/>
      <c r="M14" s="3">
        <f>+M10-M13</f>
        <v>-179.15699999999998</v>
      </c>
      <c r="N14" s="3">
        <f>+N10-N13</f>
        <v>-184.357</v>
      </c>
      <c r="O14" s="3">
        <f>+O10-O13</f>
        <v>-265.50199999999995</v>
      </c>
      <c r="P14" s="3">
        <f t="shared" ref="P14:W14" si="11">+P10-P13</f>
        <v>62.170999999999992</v>
      </c>
      <c r="Q14" s="3">
        <f t="shared" si="11"/>
        <v>226.35530240000006</v>
      </c>
      <c r="R14" s="3">
        <f t="shared" si="11"/>
        <v>525.32047179200015</v>
      </c>
      <c r="S14" s="3">
        <f t="shared" si="11"/>
        <v>657.19099524176011</v>
      </c>
      <c r="T14" s="3">
        <f t="shared" si="11"/>
        <v>816.23981625421288</v>
      </c>
      <c r="U14" s="3">
        <f t="shared" si="11"/>
        <v>1007.9267201280792</v>
      </c>
      <c r="V14" s="3">
        <f t="shared" si="11"/>
        <v>1238.8041729954095</v>
      </c>
      <c r="W14" s="3">
        <f t="shared" si="11"/>
        <v>1516.7358797014574</v>
      </c>
    </row>
    <row r="15" spans="1:23" s="3" customFormat="1" x14ac:dyDescent="0.25">
      <c r="B15" s="3" t="s">
        <v>24</v>
      </c>
      <c r="C15" s="5">
        <v>-1.1850000000000001</v>
      </c>
      <c r="D15" s="5"/>
      <c r="E15" s="5"/>
      <c r="F15" s="5"/>
      <c r="G15" s="5">
        <v>-2.4140000000000001</v>
      </c>
      <c r="H15" s="5"/>
      <c r="I15" s="5"/>
      <c r="J15" s="5"/>
      <c r="M15" s="3">
        <v>-1.962</v>
      </c>
      <c r="N15" s="3">
        <v>0.24299999999999999</v>
      </c>
      <c r="O15" s="3">
        <v>5.2469999999999999</v>
      </c>
      <c r="P15" s="3">
        <f>+O15</f>
        <v>5.2469999999999999</v>
      </c>
      <c r="Q15" s="3">
        <f>+P15</f>
        <v>5.2469999999999999</v>
      </c>
      <c r="R15" s="3">
        <f t="shared" ref="R15:W15" si="12">+Q15</f>
        <v>5.2469999999999999</v>
      </c>
      <c r="S15" s="3">
        <f t="shared" si="12"/>
        <v>5.2469999999999999</v>
      </c>
      <c r="T15" s="3">
        <f t="shared" si="12"/>
        <v>5.2469999999999999</v>
      </c>
      <c r="U15" s="3">
        <f t="shared" si="12"/>
        <v>5.2469999999999999</v>
      </c>
      <c r="V15" s="3">
        <f t="shared" si="12"/>
        <v>5.2469999999999999</v>
      </c>
      <c r="W15" s="3">
        <f t="shared" si="12"/>
        <v>5.2469999999999999</v>
      </c>
    </row>
    <row r="16" spans="1:23" s="3" customFormat="1" x14ac:dyDescent="0.25">
      <c r="B16" s="3" t="s">
        <v>25</v>
      </c>
      <c r="C16" s="5">
        <f>+C14+C15</f>
        <v>-141.072</v>
      </c>
      <c r="D16" s="5">
        <f>+D14+D15</f>
        <v>0</v>
      </c>
      <c r="E16" s="5">
        <f>+E14+E15</f>
        <v>0</v>
      </c>
      <c r="F16" s="5">
        <f>+F14+F15</f>
        <v>0</v>
      </c>
      <c r="G16" s="5">
        <f>+G14+G15</f>
        <v>-49.418000000000006</v>
      </c>
      <c r="H16" s="5"/>
      <c r="I16" s="5"/>
      <c r="J16" s="5"/>
      <c r="M16" s="3">
        <f>+M14-M15</f>
        <v>-177.19499999999999</v>
      </c>
      <c r="N16" s="3">
        <f>+N14-N15</f>
        <v>-184.6</v>
      </c>
      <c r="O16" s="3">
        <f>+O14-O15</f>
        <v>-270.74899999999997</v>
      </c>
      <c r="P16" s="3">
        <f>+P14-P15</f>
        <v>56.923999999999992</v>
      </c>
      <c r="Q16" s="3">
        <f t="shared" ref="Q16:W16" si="13">+Q14-Q15</f>
        <v>221.10830240000007</v>
      </c>
      <c r="R16" s="3">
        <f t="shared" si="13"/>
        <v>520.07347179200019</v>
      </c>
      <c r="S16" s="3">
        <f t="shared" si="13"/>
        <v>651.94399524176015</v>
      </c>
      <c r="T16" s="3">
        <f t="shared" si="13"/>
        <v>810.99281625421293</v>
      </c>
      <c r="U16" s="3">
        <f t="shared" si="13"/>
        <v>1002.6797201280792</v>
      </c>
      <c r="V16" s="3">
        <f t="shared" si="13"/>
        <v>1233.5571729954095</v>
      </c>
      <c r="W16" s="3">
        <f t="shared" si="13"/>
        <v>1511.4888797014573</v>
      </c>
    </row>
    <row r="17" spans="2:80" s="3" customFormat="1" x14ac:dyDescent="0.25">
      <c r="B17" s="3" t="s">
        <v>26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/>
      <c r="I17" s="5"/>
      <c r="J17" s="5"/>
      <c r="M17" s="3">
        <v>0</v>
      </c>
      <c r="N17" s="3">
        <v>0</v>
      </c>
      <c r="O17" s="3">
        <v>0</v>
      </c>
      <c r="R17" s="3">
        <f>+R16*0.15</f>
        <v>78.011020768800023</v>
      </c>
      <c r="S17" s="3">
        <f>+S16*0.15</f>
        <v>97.791599286264017</v>
      </c>
      <c r="T17" s="3">
        <f t="shared" ref="T17:W17" si="14">+T16*0.15</f>
        <v>121.64892243813193</v>
      </c>
      <c r="U17" s="3">
        <f t="shared" si="14"/>
        <v>150.40195801921189</v>
      </c>
      <c r="V17" s="3">
        <f t="shared" si="14"/>
        <v>185.03357594931143</v>
      </c>
      <c r="W17" s="3">
        <f t="shared" si="14"/>
        <v>226.72333195521858</v>
      </c>
    </row>
    <row r="18" spans="2:80" s="3" customFormat="1" x14ac:dyDescent="0.25">
      <c r="B18" s="3" t="s">
        <v>27</v>
      </c>
      <c r="C18" s="5">
        <f>+C16-C17</f>
        <v>-141.072</v>
      </c>
      <c r="D18" s="5">
        <f>+D16-D17</f>
        <v>0</v>
      </c>
      <c r="E18" s="5">
        <f>+E16-E17</f>
        <v>0</v>
      </c>
      <c r="F18" s="5">
        <f>+F16-F17</f>
        <v>0</v>
      </c>
      <c r="G18" s="5">
        <f>+G16-G17</f>
        <v>-49.418000000000006</v>
      </c>
      <c r="H18" s="5"/>
      <c r="I18" s="5"/>
      <c r="J18" s="5"/>
      <c r="M18" s="3">
        <f>+M16-M17</f>
        <v>-177.19499999999999</v>
      </c>
      <c r="N18" s="3">
        <f>+N16-N17</f>
        <v>-184.6</v>
      </c>
      <c r="O18" s="3">
        <f>+O16-O17</f>
        <v>-270.74899999999997</v>
      </c>
      <c r="P18" s="3">
        <f>+P16-P17</f>
        <v>56.923999999999992</v>
      </c>
      <c r="Q18" s="3">
        <f t="shared" ref="Q18:W18" si="15">+Q16-Q17</f>
        <v>221.10830240000007</v>
      </c>
      <c r="R18" s="3">
        <f t="shared" si="15"/>
        <v>442.0624510232002</v>
      </c>
      <c r="S18" s="3">
        <f t="shared" si="15"/>
        <v>554.1523959554961</v>
      </c>
      <c r="T18" s="3">
        <f t="shared" si="15"/>
        <v>689.34389381608094</v>
      </c>
      <c r="U18" s="3">
        <f t="shared" si="15"/>
        <v>852.27776210886736</v>
      </c>
      <c r="V18" s="3">
        <f t="shared" si="15"/>
        <v>1048.5235970460981</v>
      </c>
      <c r="W18" s="3">
        <f t="shared" si="15"/>
        <v>1284.7655477462388</v>
      </c>
      <c r="X18" s="3">
        <f>W18*(1+$Y$24)</f>
        <v>963.57416080967914</v>
      </c>
      <c r="Y18" s="3">
        <f t="shared" ref="Y18:CB18" si="16">X18*(1+$Y$24)</f>
        <v>722.68062060725936</v>
      </c>
      <c r="Z18" s="3">
        <f t="shared" si="16"/>
        <v>542.01046545544455</v>
      </c>
      <c r="AA18" s="3">
        <f t="shared" si="16"/>
        <v>406.50784909158341</v>
      </c>
      <c r="AB18" s="3">
        <f t="shared" si="16"/>
        <v>304.88088681868754</v>
      </c>
      <c r="AC18" s="3">
        <f t="shared" si="16"/>
        <v>228.66066511401567</v>
      </c>
      <c r="AD18" s="3">
        <f t="shared" si="16"/>
        <v>171.49549883551174</v>
      </c>
      <c r="AE18" s="3">
        <f t="shared" si="16"/>
        <v>128.6216241266338</v>
      </c>
      <c r="AF18" s="3">
        <f t="shared" si="16"/>
        <v>96.466218094975346</v>
      </c>
      <c r="AG18" s="3">
        <f t="shared" si="16"/>
        <v>72.349663571231503</v>
      </c>
      <c r="AH18" s="3">
        <f t="shared" si="16"/>
        <v>54.262247678423627</v>
      </c>
      <c r="AI18" s="3">
        <f t="shared" si="16"/>
        <v>40.696685758817722</v>
      </c>
      <c r="AJ18" s="3">
        <f t="shared" si="16"/>
        <v>30.522514319113291</v>
      </c>
      <c r="AK18" s="3">
        <f t="shared" si="16"/>
        <v>22.891885739334967</v>
      </c>
      <c r="AL18" s="3">
        <f t="shared" si="16"/>
        <v>17.168914304501225</v>
      </c>
      <c r="AM18" s="3">
        <f t="shared" si="16"/>
        <v>12.876685728375918</v>
      </c>
      <c r="AN18" s="3">
        <f t="shared" si="16"/>
        <v>9.6575142962819385</v>
      </c>
      <c r="AO18" s="3">
        <f t="shared" si="16"/>
        <v>7.2431357222114539</v>
      </c>
      <c r="AP18" s="3">
        <f t="shared" si="16"/>
        <v>5.4323517916585899</v>
      </c>
      <c r="AQ18" s="3">
        <f t="shared" si="16"/>
        <v>4.0742638437439425</v>
      </c>
      <c r="AR18" s="3">
        <f t="shared" si="16"/>
        <v>3.0556978828079568</v>
      </c>
      <c r="AS18" s="3">
        <f t="shared" si="16"/>
        <v>2.2917734121059676</v>
      </c>
      <c r="AT18" s="3">
        <f t="shared" si="16"/>
        <v>1.7188300590794756</v>
      </c>
      <c r="AU18" s="3">
        <f t="shared" si="16"/>
        <v>1.2891225443096066</v>
      </c>
      <c r="AV18" s="3">
        <f t="shared" si="16"/>
        <v>0.96684190823220495</v>
      </c>
      <c r="AW18" s="3">
        <f t="shared" si="16"/>
        <v>0.72513143117415368</v>
      </c>
      <c r="AX18" s="3">
        <f t="shared" si="16"/>
        <v>0.54384857338061532</v>
      </c>
      <c r="AY18" s="3">
        <f t="shared" si="16"/>
        <v>0.40788643003546149</v>
      </c>
      <c r="AZ18" s="3">
        <f t="shared" si="16"/>
        <v>0.30591482252659613</v>
      </c>
      <c r="BA18" s="3">
        <f t="shared" si="16"/>
        <v>0.22943611689494708</v>
      </c>
      <c r="BB18" s="3">
        <f t="shared" si="16"/>
        <v>0.17207708767121033</v>
      </c>
      <c r="BC18" s="3">
        <f t="shared" si="16"/>
        <v>0.12905781575340775</v>
      </c>
      <c r="BD18" s="3">
        <f t="shared" si="16"/>
        <v>9.6793361815055809E-2</v>
      </c>
      <c r="BE18" s="3">
        <f t="shared" si="16"/>
        <v>7.2595021361291853E-2</v>
      </c>
      <c r="BF18" s="3">
        <f t="shared" si="16"/>
        <v>5.4446266020968886E-2</v>
      </c>
      <c r="BG18" s="3">
        <f t="shared" si="16"/>
        <v>4.0834699515726665E-2</v>
      </c>
      <c r="BH18" s="3">
        <f t="shared" si="16"/>
        <v>3.0626024636795E-2</v>
      </c>
      <c r="BI18" s="3">
        <f t="shared" si="16"/>
        <v>2.2969518477596249E-2</v>
      </c>
      <c r="BJ18" s="3">
        <f t="shared" si="16"/>
        <v>1.7227138858197186E-2</v>
      </c>
      <c r="BK18" s="3">
        <f t="shared" si="16"/>
        <v>1.2920354143647891E-2</v>
      </c>
      <c r="BL18" s="3">
        <f t="shared" si="16"/>
        <v>9.6902656077359171E-3</v>
      </c>
      <c r="BM18" s="3">
        <f t="shared" si="16"/>
        <v>7.2676992058019379E-3</v>
      </c>
      <c r="BN18" s="3">
        <f t="shared" si="16"/>
        <v>5.4507744043514536E-3</v>
      </c>
      <c r="BO18" s="3">
        <f t="shared" si="16"/>
        <v>4.0880808032635902E-3</v>
      </c>
      <c r="BP18" s="3">
        <f t="shared" si="16"/>
        <v>3.0660606024476927E-3</v>
      </c>
      <c r="BQ18" s="3">
        <f t="shared" si="16"/>
        <v>2.2995454518357694E-3</v>
      </c>
      <c r="BR18" s="3">
        <f t="shared" si="16"/>
        <v>1.724659088876827E-3</v>
      </c>
      <c r="BS18" s="3">
        <f t="shared" si="16"/>
        <v>1.2934943166576203E-3</v>
      </c>
      <c r="BT18" s="3">
        <f t="shared" si="16"/>
        <v>9.7012073749321525E-4</v>
      </c>
      <c r="BU18" s="3">
        <f t="shared" si="16"/>
        <v>7.2759055311991138E-4</v>
      </c>
      <c r="BV18" s="3">
        <f t="shared" si="16"/>
        <v>5.4569291483993359E-4</v>
      </c>
      <c r="BW18" s="3">
        <f t="shared" si="16"/>
        <v>4.0926968612995019E-4</v>
      </c>
      <c r="BX18" s="3">
        <f t="shared" si="16"/>
        <v>3.0695226459746263E-4</v>
      </c>
      <c r="BY18" s="3">
        <f t="shared" si="16"/>
        <v>2.3021419844809697E-4</v>
      </c>
      <c r="BZ18" s="3">
        <f t="shared" si="16"/>
        <v>1.7266064883607272E-4</v>
      </c>
      <c r="CA18" s="3">
        <f t="shared" si="16"/>
        <v>1.2949548662705455E-4</v>
      </c>
      <c r="CB18" s="3">
        <f t="shared" si="16"/>
        <v>9.7121614970290912E-5</v>
      </c>
    </row>
    <row r="19" spans="2:80" x14ac:dyDescent="0.25">
      <c r="B19" s="1" t="s">
        <v>29</v>
      </c>
      <c r="M19" s="2">
        <f t="shared" ref="M19:N19" si="17">+M18/M20</f>
        <v>-3.3997048504777401</v>
      </c>
      <c r="N19" s="2">
        <f t="shared" si="17"/>
        <v>-3.2007974320380197</v>
      </c>
      <c r="O19" s="2">
        <f>+O18/O20</f>
        <v>-4.4388571927720735</v>
      </c>
      <c r="P19" s="2">
        <f>+P18/P20</f>
        <v>0.9332537030288478</v>
      </c>
      <c r="Q19" s="2">
        <f t="shared" ref="Q19:W19" si="18">+Q18/Q20</f>
        <v>3.6250112779358861</v>
      </c>
      <c r="R19" s="2">
        <f t="shared" si="18"/>
        <v>7.2474952460721367</v>
      </c>
      <c r="S19" s="2">
        <f t="shared" si="18"/>
        <v>9.0851798111126261</v>
      </c>
      <c r="T19" s="2">
        <f t="shared" si="18"/>
        <v>11.301608136536126</v>
      </c>
      <c r="U19" s="2">
        <f t="shared" si="18"/>
        <v>13.97286517984049</v>
      </c>
      <c r="V19" s="2">
        <f t="shared" si="18"/>
        <v>17.190262976185767</v>
      </c>
      <c r="W19" s="2">
        <f t="shared" si="18"/>
        <v>21.06338635651155</v>
      </c>
    </row>
    <row r="20" spans="2:80" s="3" customFormat="1" x14ac:dyDescent="0.25">
      <c r="B20" s="3" t="s">
        <v>1</v>
      </c>
      <c r="C20" s="5"/>
      <c r="D20" s="5"/>
      <c r="E20" s="5"/>
      <c r="F20" s="5"/>
      <c r="G20" s="5"/>
      <c r="H20" s="5"/>
      <c r="I20" s="5"/>
      <c r="J20" s="5"/>
      <c r="M20" s="3">
        <v>52.120700999999997</v>
      </c>
      <c r="N20" s="3">
        <v>57.673127999999998</v>
      </c>
      <c r="O20" s="3">
        <v>60.995204000000001</v>
      </c>
      <c r="P20" s="3">
        <f>+O20</f>
        <v>60.995204000000001</v>
      </c>
      <c r="Q20" s="3">
        <f t="shared" ref="Q20:W20" si="19">+P20</f>
        <v>60.995204000000001</v>
      </c>
      <c r="R20" s="3">
        <f t="shared" si="19"/>
        <v>60.995204000000001</v>
      </c>
      <c r="S20" s="3">
        <f t="shared" si="19"/>
        <v>60.995204000000001</v>
      </c>
      <c r="T20" s="3">
        <f t="shared" si="19"/>
        <v>60.995204000000001</v>
      </c>
      <c r="U20" s="3">
        <f t="shared" si="19"/>
        <v>60.995204000000001</v>
      </c>
      <c r="V20" s="3">
        <f t="shared" si="19"/>
        <v>60.995204000000001</v>
      </c>
      <c r="W20" s="3">
        <f t="shared" si="19"/>
        <v>60.995204000000001</v>
      </c>
    </row>
    <row r="23" spans="2:80" x14ac:dyDescent="0.25">
      <c r="B23" s="3" t="s">
        <v>28</v>
      </c>
      <c r="N23" s="8">
        <f>+N8/M8-1</f>
        <v>2.275573229545647</v>
      </c>
      <c r="O23" s="8">
        <f>+O8/N8-1</f>
        <v>0.68060649894095171</v>
      </c>
      <c r="P23" s="8">
        <f>+P8/O8-1</f>
        <v>0.8</v>
      </c>
      <c r="X23" s="1" t="s">
        <v>57</v>
      </c>
      <c r="Y23" s="8">
        <v>0.08</v>
      </c>
    </row>
    <row r="24" spans="2:80" x14ac:dyDescent="0.25">
      <c r="X24" s="1" t="s">
        <v>58</v>
      </c>
      <c r="Y24" s="8">
        <v>-0.25</v>
      </c>
    </row>
    <row r="25" spans="2:80" x14ac:dyDescent="0.25">
      <c r="X25" s="1" t="s">
        <v>59</v>
      </c>
      <c r="Y25" s="3">
        <f>NPV(Y23,Q18:CB18)</f>
        <v>5224.5078592631808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B333-216C-4302-95C1-8CF553404C31}">
  <dimension ref="A1:C19"/>
  <sheetViews>
    <sheetView zoomScale="175" zoomScaleNormal="175" workbookViewId="0">
      <selection activeCell="C10" sqref="C10"/>
    </sheetView>
  </sheetViews>
  <sheetFormatPr defaultRowHeight="12.5" x14ac:dyDescent="0.25"/>
  <cols>
    <col min="1" max="1" width="4.7265625" style="1" bestFit="1" customWidth="1"/>
    <col min="2" max="2" width="11.26953125" style="1" bestFit="1" customWidth="1"/>
    <col min="3" max="16384" width="8.7265625" style="1"/>
  </cols>
  <sheetData>
    <row r="1" spans="1:3" x14ac:dyDescent="0.25">
      <c r="A1" s="19" t="s">
        <v>7</v>
      </c>
    </row>
    <row r="2" spans="1:3" x14ac:dyDescent="0.25">
      <c r="B2" s="1" t="s">
        <v>35</v>
      </c>
      <c r="C2" s="1" t="s">
        <v>37</v>
      </c>
    </row>
    <row r="3" spans="1:3" x14ac:dyDescent="0.25">
      <c r="B3" s="1" t="s">
        <v>36</v>
      </c>
      <c r="C3" s="1" t="s">
        <v>38</v>
      </c>
    </row>
    <row r="4" spans="1:3" x14ac:dyDescent="0.25">
      <c r="B4" s="1" t="s">
        <v>39</v>
      </c>
      <c r="C4" s="1" t="s">
        <v>40</v>
      </c>
    </row>
    <row r="5" spans="1:3" x14ac:dyDescent="0.25">
      <c r="B5" s="1" t="s">
        <v>41</v>
      </c>
      <c r="C5" s="1" t="s">
        <v>42</v>
      </c>
    </row>
    <row r="6" spans="1:3" x14ac:dyDescent="0.25">
      <c r="B6" s="1" t="s">
        <v>32</v>
      </c>
      <c r="C6" s="1" t="s">
        <v>53</v>
      </c>
    </row>
    <row r="7" spans="1:3" x14ac:dyDescent="0.25">
      <c r="C7" s="1" t="s">
        <v>54</v>
      </c>
    </row>
    <row r="8" spans="1:3" x14ac:dyDescent="0.25">
      <c r="C8" s="1" t="s">
        <v>55</v>
      </c>
    </row>
    <row r="9" spans="1:3" x14ac:dyDescent="0.25">
      <c r="C9" s="1" t="s">
        <v>60</v>
      </c>
    </row>
    <row r="10" spans="1:3" x14ac:dyDescent="0.25">
      <c r="B10" s="1" t="s">
        <v>0</v>
      </c>
      <c r="C10" s="1" t="s">
        <v>50</v>
      </c>
    </row>
    <row r="11" spans="1:3" x14ac:dyDescent="0.25">
      <c r="B11" s="1" t="s">
        <v>43</v>
      </c>
    </row>
    <row r="12" spans="1:3" ht="13" x14ac:dyDescent="0.3">
      <c r="C12" s="18" t="s">
        <v>44</v>
      </c>
    </row>
    <row r="15" spans="1:3" ht="13" x14ac:dyDescent="0.3">
      <c r="C15" s="18" t="s">
        <v>45</v>
      </c>
    </row>
    <row r="18" spans="3:3" ht="13" x14ac:dyDescent="0.3">
      <c r="C18" s="18" t="s">
        <v>51</v>
      </c>
    </row>
    <row r="19" spans="3:3" x14ac:dyDescent="0.25">
      <c r="C19" s="1" t="s">
        <v>52</v>
      </c>
    </row>
  </sheetData>
  <hyperlinks>
    <hyperlink ref="A1" location="Main!A1" display="Main" xr:uid="{5FC988C4-1648-4CCA-90EB-0D95BF8A67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Imcivree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2025-06-02T14:25:20Z</dcterms:created>
  <dcterms:modified xsi:type="dcterms:W3CDTF">2025-06-02T16:50:45Z</dcterms:modified>
</cp:coreProperties>
</file>