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6CDB4678-52CB-4BEE-8F35-6FB6D075F9F0}" xr6:coauthVersionLast="47" xr6:coauthVersionMax="47" xr10:uidLastSave="{00000000-0000-0000-0000-000000000000}"/>
  <bookViews>
    <workbookView xWindow="37000" yWindow="4170" windowWidth="32770" windowHeight="15380" xr2:uid="{2DDF7688-2E02-4661-90C9-5FA010AE552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P20" i="2" l="1"/>
  <c r="Q20" i="2"/>
  <c r="R20" i="2"/>
  <c r="S3" i="2"/>
  <c r="R16" i="2"/>
  <c r="Q16" i="2"/>
  <c r="P16" i="2"/>
  <c r="S15" i="2"/>
  <c r="R15" i="2"/>
  <c r="Q15" i="2"/>
  <c r="S8" i="2"/>
  <c r="S10" i="2"/>
  <c r="S13" i="2"/>
  <c r="R9" i="2"/>
  <c r="R11" i="2" s="1"/>
  <c r="R12" i="2" s="1"/>
  <c r="Q9" i="2"/>
  <c r="Q11" i="2" s="1"/>
  <c r="Q12" i="2" s="1"/>
  <c r="P9" i="2"/>
  <c r="P11" i="2" s="1"/>
  <c r="P12" i="2" s="1"/>
  <c r="R7" i="2"/>
  <c r="Q7" i="2"/>
  <c r="P7" i="2"/>
  <c r="S6" i="2"/>
  <c r="S4" i="2"/>
  <c r="S5" i="2" s="1"/>
  <c r="S16" i="2" s="1"/>
  <c r="R5" i="2"/>
  <c r="Q5" i="2"/>
  <c r="P5" i="2"/>
  <c r="D19" i="2"/>
  <c r="E19" i="2" s="1"/>
  <c r="F19" i="2" s="1"/>
  <c r="H19" i="2"/>
  <c r="I19" i="2" s="1"/>
  <c r="J19" i="2" s="1"/>
  <c r="D18" i="2"/>
  <c r="E18" i="2" s="1"/>
  <c r="H18" i="2"/>
  <c r="I18" i="2" s="1"/>
  <c r="J18" i="2" s="1"/>
  <c r="H15" i="2"/>
  <c r="D8" i="2"/>
  <c r="D5" i="2"/>
  <c r="D7" i="2" s="1"/>
  <c r="H8" i="2"/>
  <c r="I15" i="2"/>
  <c r="E8" i="2"/>
  <c r="E5" i="2"/>
  <c r="E7" i="2" s="1"/>
  <c r="I8" i="2"/>
  <c r="S20" i="2"/>
  <c r="T20" i="2"/>
  <c r="J15" i="2"/>
  <c r="F8" i="2"/>
  <c r="F5" i="2"/>
  <c r="F7" i="2" s="1"/>
  <c r="F9" i="2" s="1"/>
  <c r="F11" i="2" s="1"/>
  <c r="F12" i="2" s="1"/>
  <c r="J8" i="2"/>
  <c r="K20" i="2"/>
  <c r="G20" i="2"/>
  <c r="S7" i="2" l="1"/>
  <c r="S9" i="2" s="1"/>
  <c r="S11" i="2" s="1"/>
  <c r="S12" i="2" s="1"/>
  <c r="E16" i="2"/>
  <c r="D20" i="2"/>
  <c r="H20" i="2"/>
  <c r="D16" i="2"/>
  <c r="F16" i="2"/>
  <c r="D9" i="2"/>
  <c r="D11" i="2" s="1"/>
  <c r="D12" i="2" s="1"/>
  <c r="F18" i="2"/>
  <c r="E20" i="2"/>
  <c r="J20" i="2"/>
  <c r="I20" i="2"/>
  <c r="J21" i="2" s="1"/>
  <c r="E9" i="2"/>
  <c r="E11" i="2" s="1"/>
  <c r="E12" i="2" s="1"/>
  <c r="F20" i="2" l="1"/>
  <c r="I21" i="2" s="1"/>
  <c r="H21" i="2"/>
  <c r="K21" i="2"/>
  <c r="G21" i="2"/>
  <c r="K15" i="2" l="1"/>
  <c r="G8" i="2"/>
  <c r="K8" i="2"/>
  <c r="K5" i="2"/>
  <c r="K7" i="2" s="1"/>
  <c r="K9" i="2" s="1"/>
  <c r="K11" i="2" s="1"/>
  <c r="K12" i="2" s="1"/>
  <c r="J5" i="2"/>
  <c r="J16" i="2" s="1"/>
  <c r="I5" i="2"/>
  <c r="I16" i="2" s="1"/>
  <c r="H5" i="2"/>
  <c r="H16" i="2" s="1"/>
  <c r="G5" i="2"/>
  <c r="G16" i="2" s="1"/>
  <c r="L4" i="1"/>
  <c r="L7" i="1" s="1"/>
  <c r="L8" i="1" s="1"/>
  <c r="G7" i="2" l="1"/>
  <c r="G9" i="2" s="1"/>
  <c r="G11" i="2" s="1"/>
  <c r="K16" i="2"/>
  <c r="H7" i="2"/>
  <c r="H9" i="2" s="1"/>
  <c r="H11" i="2" s="1"/>
  <c r="H12" i="2" s="1"/>
  <c r="I7" i="2"/>
  <c r="I9" i="2" s="1"/>
  <c r="I11" i="2" s="1"/>
  <c r="I12" i="2" s="1"/>
  <c r="J7" i="2"/>
  <c r="J9" i="2" s="1"/>
  <c r="J11" i="2" s="1"/>
  <c r="J12" i="2" s="1"/>
  <c r="G12" i="2"/>
</calcChain>
</file>

<file path=xl/sharedStrings.xml><?xml version="1.0" encoding="utf-8"?>
<sst xmlns="http://schemas.openxmlformats.org/spreadsheetml/2006/main" count="44" uniqueCount="41">
  <si>
    <t>Price</t>
  </si>
  <si>
    <t>Shares</t>
  </si>
  <si>
    <t>MC</t>
  </si>
  <si>
    <t>Cash</t>
  </si>
  <si>
    <t>Debt</t>
  </si>
  <si>
    <t>EV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</si>
  <si>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</si>
  <si>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</si>
  <si>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</si>
  <si>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</si>
  <si>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</si>
  <si>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</si>
  <si>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</si>
  <si>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</si>
  <si>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</si>
  <si>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</si>
  <si>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</si>
  <si>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</si>
  <si>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</si>
  <si>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</si>
  <si>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Operating Income</t>
  </si>
  <si>
    <t>SG&amp;A</t>
  </si>
  <si>
    <t>Gross Profit</t>
  </si>
  <si>
    <t>COGS</t>
  </si>
  <si>
    <t>EPS</t>
  </si>
  <si>
    <t>Net Income</t>
  </si>
  <si>
    <t>Taxes</t>
  </si>
  <si>
    <t>Pretax Income</t>
  </si>
  <si>
    <t>Interest Income</t>
  </si>
  <si>
    <t>Revenue y/y</t>
  </si>
  <si>
    <t>Gross Margin</t>
  </si>
  <si>
    <t>CFFO</t>
  </si>
  <si>
    <t>CapEx</t>
  </si>
  <si>
    <t>FCF</t>
  </si>
  <si>
    <t>FY24</t>
  </si>
  <si>
    <t>FY23</t>
  </si>
  <si>
    <t>TTM FCF</t>
  </si>
  <si>
    <t>FY22</t>
  </si>
  <si>
    <t>FY21</t>
  </si>
  <si>
    <t>FY20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</si>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</sst>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F0E6D3A-11C4-43AB-BE78-E73A95D263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EC1E-7DCA-45DA-A36A-6616F35DDB55}">
  <dimension ref="K2:M8"/>
  <sheetViews>
    <sheetView tabSelected="1" zoomScale="190" zoomScaleNormal="190" workbookViewId="0">
      <selection activeCell="L6" sqref="L6"/>
    </sheetView>
  </sheetViews>
  <sheetFormatPr defaultRowHeight="12.5" x14ac:dyDescent="0.25"/>
  <sheetData>
    <row r="2" spans="11:13" x14ac:dyDescent="0.25">
      <c r="K2" t="s">
        <v>0</v>
      </c>
      <c r="L2" s="1">
        <v>349</v>
      </c>
    </row>
    <row r="3" spans="11:13" x14ac:dyDescent="0.25">
      <c r="K3" t="s">
        <v>1</v>
      </c>
      <c r="L3" s="3">
        <v>994.92798500000004</v>
      </c>
      <c r="M3" s="2" t="s">
        <v>40</v>
      </c>
    </row>
    <row r="4" spans="11:13" x14ac:dyDescent="0.25">
      <c r="K4" t="s">
        <v>2</v>
      </c>
      <c r="L4" s="3">
        <f>+L2*L3</f>
        <v>347229.86676499998</v>
      </c>
    </row>
    <row r="5" spans="11:13" x14ac:dyDescent="0.25">
      <c r="K5" t="s">
        <v>3</v>
      </c>
      <c r="L5" s="3">
        <v>1369</v>
      </c>
      <c r="M5" s="2" t="s">
        <v>40</v>
      </c>
    </row>
    <row r="6" spans="11:13" x14ac:dyDescent="0.25">
      <c r="K6" t="s">
        <v>4</v>
      </c>
      <c r="L6" s="3">
        <f>38+47343+4885</f>
        <v>52266</v>
      </c>
      <c r="M6" s="2" t="s">
        <v>40</v>
      </c>
    </row>
    <row r="7" spans="11:13" x14ac:dyDescent="0.25">
      <c r="K7" t="s">
        <v>5</v>
      </c>
      <c r="L7" s="3">
        <f>+L4-L5+L6</f>
        <v>398126.86676499998</v>
      </c>
    </row>
    <row r="8" spans="11:13" x14ac:dyDescent="0.25">
      <c r="L8" s="1">
        <f>+L7/24000</f>
        <v>16.588619448541667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03C5-CD51-4AE7-8A66-A634D014CF60}">
  <dimension ref="A1:T21"/>
  <sheetViews>
    <sheetView zoomScale="175" zoomScaleNormal="175" workbookViewId="0">
      <pane xSplit="2" ySplit="2" topLeftCell="H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5" x14ac:dyDescent="0.25"/>
  <cols>
    <col min="1" max="1" width="5" bestFit="1" customWidth="1"/>
    <col min="2" max="2" width="16" bestFit="1" customWidth="1"/>
    <col min="3" max="4" width="9.1796875" style="2"/>
    <col min="5" max="5" width="10.453125" style="2" bestFit="1" customWidth="1"/>
    <col min="6" max="8" width="9.1796875" style="2"/>
    <col min="9" max="9" width="10.453125" style="2" bestFit="1" customWidth="1"/>
    <col min="10" max="14" width="9.1796875" style="2"/>
  </cols>
  <sheetData>
    <row r="1" spans="1:20" x14ac:dyDescent="0.25">
      <c r="A1" s="11" t="s">
        <v>6</v>
      </c>
      <c r="D1" s="4">
        <v>44773</v>
      </c>
      <c r="E1" s="4">
        <v>44864</v>
      </c>
      <c r="F1" s="4">
        <v>44955</v>
      </c>
      <c r="G1" s="4">
        <v>45046</v>
      </c>
      <c r="H1" s="4">
        <v>45137</v>
      </c>
      <c r="I1" s="4">
        <v>45228</v>
      </c>
      <c r="J1" s="4">
        <v>45319</v>
      </c>
      <c r="K1" s="4">
        <v>45410</v>
      </c>
    </row>
    <row r="2" spans="1:20" x14ac:dyDescent="0.25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 s="2" t="s">
        <v>39</v>
      </c>
      <c r="Q2" s="2" t="s">
        <v>38</v>
      </c>
      <c r="R2" s="2" t="s">
        <v>37</v>
      </c>
      <c r="S2" s="2" t="s">
        <v>35</v>
      </c>
      <c r="T2" s="2" t="s">
        <v>34</v>
      </c>
    </row>
    <row r="3" spans="1:20" s="8" customFormat="1" ht="13" x14ac:dyDescent="0.3">
      <c r="B3" s="8" t="s">
        <v>19</v>
      </c>
      <c r="C3" s="9"/>
      <c r="D3" s="9">
        <v>43792</v>
      </c>
      <c r="E3" s="9">
        <v>38872</v>
      </c>
      <c r="F3" s="9">
        <v>35831</v>
      </c>
      <c r="G3" s="9">
        <v>37257</v>
      </c>
      <c r="H3" s="9">
        <v>42916</v>
      </c>
      <c r="I3" s="9">
        <v>37710</v>
      </c>
      <c r="J3" s="9">
        <v>34786</v>
      </c>
      <c r="K3" s="9">
        <v>36418</v>
      </c>
      <c r="L3" s="9"/>
      <c r="M3" s="9"/>
      <c r="N3" s="9"/>
      <c r="P3" s="8">
        <v>132110</v>
      </c>
      <c r="Q3" s="8">
        <v>151157</v>
      </c>
      <c r="R3" s="8">
        <v>157403</v>
      </c>
      <c r="S3" s="8">
        <f>SUM(G3:J3)</f>
        <v>152669</v>
      </c>
    </row>
    <row r="4" spans="1:20" s="3" customFormat="1" x14ac:dyDescent="0.25">
      <c r="B4" s="3" t="s">
        <v>23</v>
      </c>
      <c r="C4" s="5"/>
      <c r="D4" s="5">
        <v>29309</v>
      </c>
      <c r="E4" s="5">
        <v>25648</v>
      </c>
      <c r="F4" s="5">
        <v>23905</v>
      </c>
      <c r="G4" s="5">
        <v>24700</v>
      </c>
      <c r="H4" s="5">
        <v>28759</v>
      </c>
      <c r="I4" s="5">
        <v>24972</v>
      </c>
      <c r="J4" s="5">
        <v>23278</v>
      </c>
      <c r="K4" s="5">
        <v>23985</v>
      </c>
      <c r="L4" s="5"/>
      <c r="M4" s="5"/>
      <c r="N4" s="5"/>
      <c r="P4" s="3">
        <v>87257</v>
      </c>
      <c r="Q4" s="3">
        <v>100325</v>
      </c>
      <c r="R4" s="3">
        <v>104625</v>
      </c>
      <c r="S4" s="3">
        <f>SUM(G4:J4)</f>
        <v>101709</v>
      </c>
    </row>
    <row r="5" spans="1:20" s="3" customFormat="1" x14ac:dyDescent="0.25">
      <c r="B5" s="3" t="s">
        <v>22</v>
      </c>
      <c r="C5" s="5"/>
      <c r="D5" s="5">
        <f>+D3-D4</f>
        <v>14483</v>
      </c>
      <c r="E5" s="5">
        <f>+E3-E4</f>
        <v>13224</v>
      </c>
      <c r="F5" s="5">
        <f>+F3-F4</f>
        <v>11926</v>
      </c>
      <c r="G5" s="5">
        <f>+G3-G4</f>
        <v>12557</v>
      </c>
      <c r="H5" s="5">
        <f t="shared" ref="H5:K5" si="0">+H3-H4</f>
        <v>14157</v>
      </c>
      <c r="I5" s="5">
        <f t="shared" si="0"/>
        <v>12738</v>
      </c>
      <c r="J5" s="5">
        <f t="shared" si="0"/>
        <v>11508</v>
      </c>
      <c r="K5" s="5">
        <f t="shared" si="0"/>
        <v>12433</v>
      </c>
      <c r="L5" s="5"/>
      <c r="M5" s="5"/>
      <c r="N5" s="5"/>
      <c r="P5" s="3">
        <f>+P3-P4</f>
        <v>44853</v>
      </c>
      <c r="Q5" s="3">
        <f>+Q3-Q4</f>
        <v>50832</v>
      </c>
      <c r="R5" s="3">
        <f>+R3-R4</f>
        <v>52778</v>
      </c>
      <c r="S5" s="3">
        <f>+S3-S4</f>
        <v>50960</v>
      </c>
    </row>
    <row r="6" spans="1:20" s="3" customFormat="1" x14ac:dyDescent="0.25">
      <c r="B6" s="3" t="s">
        <v>21</v>
      </c>
      <c r="C6" s="5"/>
      <c r="D6" s="5">
        <v>6657</v>
      </c>
      <c r="E6" s="5">
        <v>6468</v>
      </c>
      <c r="F6" s="5">
        <v>6549</v>
      </c>
      <c r="G6" s="5">
        <v>6355</v>
      </c>
      <c r="H6" s="5">
        <v>5915</v>
      </c>
      <c r="I6" s="5">
        <v>6649</v>
      </c>
      <c r="J6" s="5">
        <v>6679</v>
      </c>
      <c r="K6" s="5">
        <v>6667</v>
      </c>
      <c r="L6" s="5"/>
      <c r="M6" s="5"/>
      <c r="N6" s="5"/>
      <c r="P6" s="3">
        <v>24447</v>
      </c>
      <c r="Q6" s="3">
        <v>25406</v>
      </c>
      <c r="R6" s="3">
        <v>26284</v>
      </c>
      <c r="S6" s="3">
        <f>SUM(G6:J6)</f>
        <v>25598</v>
      </c>
    </row>
    <row r="7" spans="1:20" s="3" customFormat="1" x14ac:dyDescent="0.25">
      <c r="B7" s="3" t="s">
        <v>20</v>
      </c>
      <c r="C7" s="5"/>
      <c r="D7" s="5">
        <f t="shared" ref="D7:J7" si="1">+D5-D6</f>
        <v>7826</v>
      </c>
      <c r="E7" s="5">
        <f t="shared" si="1"/>
        <v>6756</v>
      </c>
      <c r="F7" s="5">
        <f t="shared" si="1"/>
        <v>5377</v>
      </c>
      <c r="G7" s="5">
        <f t="shared" si="1"/>
        <v>6202</v>
      </c>
      <c r="H7" s="5">
        <f t="shared" si="1"/>
        <v>8242</v>
      </c>
      <c r="I7" s="5">
        <f t="shared" si="1"/>
        <v>6089</v>
      </c>
      <c r="J7" s="5">
        <f t="shared" si="1"/>
        <v>4829</v>
      </c>
      <c r="K7" s="5">
        <f>+K5-K6</f>
        <v>5766</v>
      </c>
      <c r="L7" s="5"/>
      <c r="M7" s="5"/>
      <c r="N7" s="5"/>
      <c r="P7" s="3">
        <f t="shared" ref="P7:R7" si="2">+P5-P6</f>
        <v>20406</v>
      </c>
      <c r="Q7" s="3">
        <f t="shared" si="2"/>
        <v>25426</v>
      </c>
      <c r="R7" s="3">
        <f t="shared" si="2"/>
        <v>26494</v>
      </c>
      <c r="S7" s="3">
        <f>+S5-S6</f>
        <v>25362</v>
      </c>
    </row>
    <row r="8" spans="1:20" s="3" customFormat="1" x14ac:dyDescent="0.25">
      <c r="B8" s="3" t="s">
        <v>28</v>
      </c>
      <c r="C8" s="5"/>
      <c r="D8" s="5">
        <f>-381+2</f>
        <v>-379</v>
      </c>
      <c r="E8" s="5">
        <f>-413+7</f>
        <v>-406</v>
      </c>
      <c r="F8" s="5">
        <f>-451+43</f>
        <v>-408</v>
      </c>
      <c r="G8" s="5">
        <f>-474+33</f>
        <v>-441</v>
      </c>
      <c r="H8" s="5">
        <f>-469+41</f>
        <v>-428</v>
      </c>
      <c r="I8" s="5">
        <f>-487+49</f>
        <v>-438</v>
      </c>
      <c r="J8" s="5">
        <f>-513+55</f>
        <v>-458</v>
      </c>
      <c r="K8" s="5">
        <f>-485+57</f>
        <v>-428</v>
      </c>
      <c r="L8" s="5"/>
      <c r="M8" s="5"/>
      <c r="N8" s="5"/>
      <c r="P8" s="3">
        <v>-1562</v>
      </c>
      <c r="Q8" s="3">
        <v>-1303</v>
      </c>
      <c r="R8" s="3">
        <v>-1300</v>
      </c>
      <c r="S8" s="3">
        <f>SUM(G8:J8)</f>
        <v>-1765</v>
      </c>
    </row>
    <row r="9" spans="1:20" s="3" customFormat="1" x14ac:dyDescent="0.25">
      <c r="B9" s="3" t="s">
        <v>27</v>
      </c>
      <c r="C9" s="5"/>
      <c r="D9" s="5">
        <f t="shared" ref="D9:J9" si="3">+D7+D8</f>
        <v>7447</v>
      </c>
      <c r="E9" s="5">
        <f t="shared" si="3"/>
        <v>6350</v>
      </c>
      <c r="F9" s="5">
        <f t="shared" si="3"/>
        <v>4969</v>
      </c>
      <c r="G9" s="5">
        <f t="shared" si="3"/>
        <v>5761</v>
      </c>
      <c r="H9" s="5">
        <f t="shared" si="3"/>
        <v>7814</v>
      </c>
      <c r="I9" s="5">
        <f t="shared" si="3"/>
        <v>5651</v>
      </c>
      <c r="J9" s="5">
        <f t="shared" si="3"/>
        <v>4371</v>
      </c>
      <c r="K9" s="5">
        <f>+K7+K8</f>
        <v>5338</v>
      </c>
      <c r="L9" s="5"/>
      <c r="M9" s="5"/>
      <c r="N9" s="5"/>
      <c r="P9" s="3">
        <f>+P7+P8</f>
        <v>18844</v>
      </c>
      <c r="Q9" s="3">
        <f>+Q7+Q8</f>
        <v>24123</v>
      </c>
      <c r="R9" s="3">
        <f>+R7+R8</f>
        <v>25194</v>
      </c>
      <c r="S9" s="3">
        <f>+S7+S8</f>
        <v>23597</v>
      </c>
    </row>
    <row r="10" spans="1:20" s="3" customFormat="1" x14ac:dyDescent="0.25">
      <c r="B10" s="3" t="s">
        <v>26</v>
      </c>
      <c r="C10" s="5"/>
      <c r="D10" s="5">
        <v>1658</v>
      </c>
      <c r="E10" s="5">
        <v>1403</v>
      </c>
      <c r="F10" s="5">
        <v>982</v>
      </c>
      <c r="G10" s="5">
        <v>1237</v>
      </c>
      <c r="H10" s="5">
        <v>1502</v>
      </c>
      <c r="I10" s="5">
        <v>1158</v>
      </c>
      <c r="J10" s="5">
        <v>884</v>
      </c>
      <c r="K10" s="5">
        <v>1051</v>
      </c>
      <c r="L10" s="5"/>
      <c r="M10" s="5"/>
      <c r="N10" s="5"/>
      <c r="P10" s="3">
        <v>4112</v>
      </c>
      <c r="Q10" s="3">
        <v>5304</v>
      </c>
      <c r="R10" s="3">
        <v>5372</v>
      </c>
      <c r="S10" s="3">
        <f>SUM(G10:J10)</f>
        <v>4781</v>
      </c>
    </row>
    <row r="11" spans="1:20" s="3" customFormat="1" x14ac:dyDescent="0.25">
      <c r="B11" s="3" t="s">
        <v>25</v>
      </c>
      <c r="C11" s="5"/>
      <c r="D11" s="5">
        <f t="shared" ref="D11:J11" si="4">+D9-D10</f>
        <v>5789</v>
      </c>
      <c r="E11" s="5">
        <f t="shared" si="4"/>
        <v>4947</v>
      </c>
      <c r="F11" s="5">
        <f t="shared" si="4"/>
        <v>3987</v>
      </c>
      <c r="G11" s="5">
        <f t="shared" si="4"/>
        <v>4524</v>
      </c>
      <c r="H11" s="5">
        <f t="shared" si="4"/>
        <v>6312</v>
      </c>
      <c r="I11" s="5">
        <f t="shared" si="4"/>
        <v>4493</v>
      </c>
      <c r="J11" s="5">
        <f t="shared" si="4"/>
        <v>3487</v>
      </c>
      <c r="K11" s="5">
        <f>+K9-K10</f>
        <v>4287</v>
      </c>
      <c r="L11" s="5"/>
      <c r="M11" s="5"/>
      <c r="N11" s="5"/>
      <c r="P11" s="3">
        <f>+P9-P10</f>
        <v>14732</v>
      </c>
      <c r="Q11" s="3">
        <f>+Q9-Q10</f>
        <v>18819</v>
      </c>
      <c r="R11" s="3">
        <f>+R9-R10</f>
        <v>19822</v>
      </c>
      <c r="S11" s="3">
        <f>+S9-S10</f>
        <v>18816</v>
      </c>
    </row>
    <row r="12" spans="1:20" x14ac:dyDescent="0.25">
      <c r="B12" t="s">
        <v>24</v>
      </c>
      <c r="D12" s="6">
        <f t="shared" ref="D12:J12" si="5">+D11/D13</f>
        <v>5.6478048780487802</v>
      </c>
      <c r="E12" s="6">
        <f t="shared" si="5"/>
        <v>4.8357771260997069</v>
      </c>
      <c r="F12" s="6">
        <f t="shared" si="5"/>
        <v>3.9165029469548132</v>
      </c>
      <c r="G12" s="6">
        <f t="shared" si="5"/>
        <v>4.4659427443237911</v>
      </c>
      <c r="H12" s="6">
        <f t="shared" si="5"/>
        <v>6.2931206380857425</v>
      </c>
      <c r="I12" s="6">
        <f t="shared" si="5"/>
        <v>4.4974974974974975</v>
      </c>
      <c r="J12" s="6">
        <f t="shared" si="5"/>
        <v>3.5080482897384306</v>
      </c>
      <c r="K12" s="6">
        <f>+K11/K13</f>
        <v>4.321572580645161</v>
      </c>
      <c r="P12" s="1">
        <f t="shared" ref="P12:R12" si="6">+P11/P13</f>
        <v>13.66604823747681</v>
      </c>
      <c r="Q12" s="1">
        <f t="shared" si="6"/>
        <v>17.78733459357278</v>
      </c>
      <c r="R12" s="1">
        <f t="shared" si="6"/>
        <v>19.338536585365855</v>
      </c>
      <c r="S12" s="1">
        <f>+S11/S13</f>
        <v>18.773759042155152</v>
      </c>
    </row>
    <row r="13" spans="1:20" s="3" customFormat="1" x14ac:dyDescent="0.25">
      <c r="B13" s="3" t="s">
        <v>1</v>
      </c>
      <c r="C13" s="5"/>
      <c r="D13" s="5">
        <v>1025</v>
      </c>
      <c r="E13" s="5">
        <v>1023</v>
      </c>
      <c r="F13" s="5">
        <v>1018</v>
      </c>
      <c r="G13" s="5">
        <v>1013</v>
      </c>
      <c r="H13" s="5">
        <v>1003</v>
      </c>
      <c r="I13" s="5">
        <v>999</v>
      </c>
      <c r="J13" s="5">
        <v>994</v>
      </c>
      <c r="K13" s="5">
        <v>992</v>
      </c>
      <c r="L13" s="5"/>
      <c r="M13" s="5"/>
      <c r="N13" s="5"/>
      <c r="P13" s="3">
        <v>1078</v>
      </c>
      <c r="Q13" s="3">
        <v>1058</v>
      </c>
      <c r="R13" s="3">
        <v>1025</v>
      </c>
      <c r="S13" s="3">
        <f>AVERAGE(G13:J13)</f>
        <v>1002.25</v>
      </c>
    </row>
    <row r="15" spans="1:20" x14ac:dyDescent="0.25">
      <c r="B15" s="3" t="s">
        <v>29</v>
      </c>
      <c r="H15" s="7">
        <f>+H3/D3-1</f>
        <v>-2.0003653635367158E-2</v>
      </c>
      <c r="I15" s="7">
        <f>+I3/E3-1</f>
        <v>-2.9892982095081289E-2</v>
      </c>
      <c r="J15" s="7">
        <f>+J3/F3-1</f>
        <v>-2.9164689793753973E-2</v>
      </c>
      <c r="K15" s="7">
        <f>+K3/G3-1</f>
        <v>-2.2519258125989761E-2</v>
      </c>
      <c r="Q15" s="10">
        <f>+Q3/P3-1</f>
        <v>0.14417530845507542</v>
      </c>
      <c r="R15" s="10">
        <f t="shared" ref="R15:S15" si="7">+R3/Q3-1</f>
        <v>4.1321275230389531E-2</v>
      </c>
      <c r="S15" s="10">
        <f t="shared" si="7"/>
        <v>-3.0075665648049865E-2</v>
      </c>
    </row>
    <row r="16" spans="1:20" x14ac:dyDescent="0.25">
      <c r="B16" t="s">
        <v>30</v>
      </c>
      <c r="D16" s="7">
        <f t="shared" ref="D16:J16" si="8">+D5/D3</f>
        <v>0.33072250639386191</v>
      </c>
      <c r="E16" s="7">
        <f t="shared" si="8"/>
        <v>0.34019345544350688</v>
      </c>
      <c r="F16" s="7">
        <f t="shared" si="8"/>
        <v>0.33284027797158883</v>
      </c>
      <c r="G16" s="7">
        <f t="shared" si="8"/>
        <v>0.33703733526585611</v>
      </c>
      <c r="H16" s="7">
        <f t="shared" si="8"/>
        <v>0.32987696896262464</v>
      </c>
      <c r="I16" s="7">
        <f t="shared" si="8"/>
        <v>0.33778838504375497</v>
      </c>
      <c r="J16" s="7">
        <f t="shared" si="8"/>
        <v>0.33082274478238372</v>
      </c>
      <c r="K16" s="7">
        <f>+K5/K3</f>
        <v>0.34139711131857875</v>
      </c>
      <c r="P16" s="7">
        <f t="shared" ref="P16:S16" si="9">+P5/P3</f>
        <v>0.33951252743925514</v>
      </c>
      <c r="Q16" s="7">
        <f t="shared" si="9"/>
        <v>0.33628611311417927</v>
      </c>
      <c r="R16" s="7">
        <f t="shared" si="9"/>
        <v>0.33530491794946732</v>
      </c>
      <c r="S16" s="7">
        <f t="shared" si="9"/>
        <v>0.33379402498215094</v>
      </c>
    </row>
    <row r="18" spans="2:20" s="3" customFormat="1" x14ac:dyDescent="0.25">
      <c r="B18" s="3" t="s">
        <v>31</v>
      </c>
      <c r="C18" s="5"/>
      <c r="D18" s="5">
        <f>7182-C18</f>
        <v>7182</v>
      </c>
      <c r="E18" s="5">
        <f>13743-D18-C18</f>
        <v>6561</v>
      </c>
      <c r="F18" s="5">
        <f>+S18-E18-D18-C18</f>
        <v>872</v>
      </c>
      <c r="G18" s="5">
        <v>5614</v>
      </c>
      <c r="H18" s="5">
        <f>12205-G18</f>
        <v>6591</v>
      </c>
      <c r="I18" s="5">
        <f>16439-H18-G18</f>
        <v>4234</v>
      </c>
      <c r="J18" s="5">
        <f>+T18-I18-G18</f>
        <v>11324</v>
      </c>
      <c r="K18" s="5">
        <v>5497</v>
      </c>
      <c r="L18" s="5"/>
      <c r="M18" s="5"/>
      <c r="N18" s="5"/>
      <c r="P18" s="3">
        <v>18839</v>
      </c>
      <c r="Q18" s="3">
        <v>16571</v>
      </c>
      <c r="R18" s="3">
        <v>14615</v>
      </c>
      <c r="S18" s="3">
        <v>14615</v>
      </c>
      <c r="T18" s="3">
        <v>21172</v>
      </c>
    </row>
    <row r="19" spans="2:20" s="3" customFormat="1" x14ac:dyDescent="0.25">
      <c r="B19" s="3" t="s">
        <v>32</v>
      </c>
      <c r="C19" s="5"/>
      <c r="D19" s="5">
        <f>1447-C19</f>
        <v>1447</v>
      </c>
      <c r="E19" s="5">
        <f>2216-D19-C19</f>
        <v>769</v>
      </c>
      <c r="F19" s="5">
        <f>+S19-E19-D19-C19</f>
        <v>903</v>
      </c>
      <c r="G19" s="5">
        <v>905</v>
      </c>
      <c r="H19" s="5">
        <f>1697-G19</f>
        <v>792</v>
      </c>
      <c r="I19" s="5">
        <f>2368-H19-G19</f>
        <v>671</v>
      </c>
      <c r="J19" s="5">
        <f>+T19-I19-G19</f>
        <v>1650</v>
      </c>
      <c r="K19" s="5">
        <v>847</v>
      </c>
      <c r="L19" s="5"/>
      <c r="M19" s="5"/>
      <c r="N19" s="5"/>
      <c r="P19" s="3">
        <v>2463</v>
      </c>
      <c r="Q19" s="3">
        <v>2566</v>
      </c>
      <c r="R19" s="3">
        <v>3119</v>
      </c>
      <c r="S19" s="3">
        <v>3119</v>
      </c>
      <c r="T19" s="3">
        <v>3226</v>
      </c>
    </row>
    <row r="20" spans="2:20" s="3" customFormat="1" ht="13" x14ac:dyDescent="0.3">
      <c r="B20" s="3" t="s">
        <v>33</v>
      </c>
      <c r="C20" s="5"/>
      <c r="D20" s="5">
        <f>+D18-D19</f>
        <v>5735</v>
      </c>
      <c r="E20" s="5">
        <f>+E18-E19</f>
        <v>5792</v>
      </c>
      <c r="F20" s="5">
        <f>+S20-E20-D20-C20</f>
        <v>-31</v>
      </c>
      <c r="G20" s="5">
        <f>+G18-G19</f>
        <v>4709</v>
      </c>
      <c r="H20" s="5">
        <f>+H18-H19</f>
        <v>5799</v>
      </c>
      <c r="I20" s="5">
        <f t="shared" ref="I20:K20" si="10">+I18-I19</f>
        <v>3563</v>
      </c>
      <c r="J20" s="5">
        <f t="shared" si="10"/>
        <v>9674</v>
      </c>
      <c r="K20" s="5">
        <f t="shared" si="10"/>
        <v>4650</v>
      </c>
      <c r="L20" s="5"/>
      <c r="M20" s="5"/>
      <c r="N20" s="5"/>
      <c r="P20" s="8">
        <f>+P18-P19</f>
        <v>16376</v>
      </c>
      <c r="Q20" s="8">
        <f>+Q18-Q19</f>
        <v>14005</v>
      </c>
      <c r="R20" s="8">
        <f>+R18-R19</f>
        <v>11496</v>
      </c>
      <c r="S20" s="8">
        <f>+S18-S19</f>
        <v>11496</v>
      </c>
      <c r="T20" s="8">
        <f>+T18-T19</f>
        <v>17946</v>
      </c>
    </row>
    <row r="21" spans="2:20" x14ac:dyDescent="0.25">
      <c r="B21" s="3" t="s">
        <v>36</v>
      </c>
      <c r="F21" s="5"/>
      <c r="G21" s="5">
        <f>SUM(D20:G20)</f>
        <v>16205</v>
      </c>
      <c r="H21" s="5">
        <f>SUM(E20:H20)</f>
        <v>16269</v>
      </c>
      <c r="I21" s="5">
        <f>SUM(F20:I20)</f>
        <v>14040</v>
      </c>
      <c r="J21" s="5">
        <f>SUM(G20:J20)</f>
        <v>23745</v>
      </c>
      <c r="K21" s="5">
        <f>SUM(H20:K20)</f>
        <v>23686</v>
      </c>
    </row>
  </sheetData>
  <hyperlinks>
    <hyperlink ref="A1" location="Main!A1" display="Main" xr:uid="{AD3A22C8-1FC7-4D86-85FB-248C5BE6EC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2024-09-25T18:21:56Z</dcterms:created>
  <dcterms:modified xsi:type="dcterms:W3CDTF">2025-06-22T19:41:04Z</dcterms:modified>
</cp:coreProperties>
</file>