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48B7C68-A4F4-4E4F-B1BC-FCDA432C3229}" xr6:coauthVersionLast="47" xr6:coauthVersionMax="47" xr10:uidLastSave="{00000000-0000-0000-0000-000000000000}"/>
  <bookViews>
    <workbookView xWindow="55520" yWindow="1350" windowWidth="16200" windowHeight="14240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0" i="2" l="1"/>
  <c r="O88" i="2"/>
  <c r="O86" i="2"/>
  <c r="R84" i="2"/>
  <c r="Q84" i="2"/>
  <c r="P84" i="2"/>
  <c r="O84" i="2"/>
  <c r="R77" i="2"/>
  <c r="Q77" i="2"/>
  <c r="P77" i="2"/>
  <c r="O77" i="2"/>
  <c r="O74" i="2"/>
  <c r="R72" i="2"/>
  <c r="Q72" i="2"/>
  <c r="P72" i="2"/>
  <c r="O72" i="2"/>
  <c r="O71" i="2"/>
  <c r="O70" i="2"/>
  <c r="O66" i="2"/>
  <c r="R64" i="2"/>
  <c r="R61" i="2"/>
  <c r="R56" i="2"/>
  <c r="R49" i="2"/>
  <c r="R48" i="2"/>
  <c r="V71" i="2"/>
  <c r="V72" i="2" s="1"/>
  <c r="V70" i="2"/>
  <c r="V69" i="2"/>
  <c r="V68" i="2"/>
  <c r="V67" i="2"/>
  <c r="V66" i="2"/>
  <c r="U71" i="2"/>
  <c r="U70" i="2"/>
  <c r="U69" i="2"/>
  <c r="U68" i="2"/>
  <c r="U67" i="2"/>
  <c r="U61" i="2"/>
  <c r="U49" i="2"/>
  <c r="T83" i="2"/>
  <c r="U83" i="2" s="1"/>
  <c r="V83" i="2" s="1"/>
  <c r="T82" i="2"/>
  <c r="U82" i="2" s="1"/>
  <c r="V82" i="2" s="1"/>
  <c r="T81" i="2"/>
  <c r="U81" i="2" s="1"/>
  <c r="V81" i="2" s="1"/>
  <c r="T80" i="2"/>
  <c r="U80" i="2" s="1"/>
  <c r="V80" i="2" s="1"/>
  <c r="T79" i="2"/>
  <c r="U79" i="2" s="1"/>
  <c r="T76" i="2"/>
  <c r="U76" i="2" s="1"/>
  <c r="V76" i="2" s="1"/>
  <c r="T75" i="2"/>
  <c r="U75" i="2" s="1"/>
  <c r="V75" i="2" s="1"/>
  <c r="T74" i="2"/>
  <c r="T77" i="2" s="1"/>
  <c r="T71" i="2"/>
  <c r="T70" i="2"/>
  <c r="T69" i="2"/>
  <c r="T68" i="2"/>
  <c r="T67" i="2"/>
  <c r="T61" i="2"/>
  <c r="T49" i="2"/>
  <c r="T48" i="2" s="1"/>
  <c r="S74" i="2"/>
  <c r="S88" i="2"/>
  <c r="T84" i="2"/>
  <c r="S84" i="2"/>
  <c r="S77" i="2"/>
  <c r="T72" i="2"/>
  <c r="S72" i="2"/>
  <c r="S71" i="2"/>
  <c r="S70" i="2"/>
  <c r="U64" i="2"/>
  <c r="T64" i="2"/>
  <c r="S64" i="2"/>
  <c r="S61" i="2"/>
  <c r="U56" i="2"/>
  <c r="T56" i="2"/>
  <c r="S56" i="2"/>
  <c r="S49" i="2"/>
  <c r="U66" i="2"/>
  <c r="T66" i="2"/>
  <c r="S66" i="2"/>
  <c r="V64" i="2"/>
  <c r="V61" i="2"/>
  <c r="V49" i="2"/>
  <c r="V56" i="2" s="1"/>
  <c r="U48" i="2"/>
  <c r="S48" i="2"/>
  <c r="AE90" i="2"/>
  <c r="AF90" i="2"/>
  <c r="AF89" i="2"/>
  <c r="AF88" i="2"/>
  <c r="AF86" i="2"/>
  <c r="AF83" i="2"/>
  <c r="AF82" i="2"/>
  <c r="AF81" i="2"/>
  <c r="AF80" i="2"/>
  <c r="AF79" i="2"/>
  <c r="AF76" i="2"/>
  <c r="AF75" i="2"/>
  <c r="AF74" i="2"/>
  <c r="AF84" i="2"/>
  <c r="AF71" i="2"/>
  <c r="AF72" i="2"/>
  <c r="AF70" i="2"/>
  <c r="AF69" i="2"/>
  <c r="AF68" i="2"/>
  <c r="AF67" i="2"/>
  <c r="AF66" i="2"/>
  <c r="AF61" i="2"/>
  <c r="AF64" i="2" s="1"/>
  <c r="AF56" i="2"/>
  <c r="AF49" i="2"/>
  <c r="AF48" i="2" s="1"/>
  <c r="AF24" i="2"/>
  <c r="AF23" i="2"/>
  <c r="AD16" i="2"/>
  <c r="AD15" i="2"/>
  <c r="AD14" i="2"/>
  <c r="AD10" i="2"/>
  <c r="AD8" i="2"/>
  <c r="AD7" i="2"/>
  <c r="AD6" i="2"/>
  <c r="AD5" i="2"/>
  <c r="AD4" i="2"/>
  <c r="AC89" i="2"/>
  <c r="AB89" i="2"/>
  <c r="AA89" i="2"/>
  <c r="Z89" i="2"/>
  <c r="AD90" i="2" s="1"/>
  <c r="Z86" i="2"/>
  <c r="Y86" i="2"/>
  <c r="X86" i="2"/>
  <c r="Z84" i="2"/>
  <c r="Z83" i="2"/>
  <c r="Z82" i="2"/>
  <c r="Z81" i="2"/>
  <c r="Z80" i="2"/>
  <c r="Z79" i="2"/>
  <c r="Z74" i="2"/>
  <c r="Z77" i="2"/>
  <c r="Z76" i="2"/>
  <c r="Z75" i="2"/>
  <c r="Z72" i="2"/>
  <c r="Z71" i="2"/>
  <c r="Z70" i="2"/>
  <c r="Z69" i="2"/>
  <c r="Z68" i="2"/>
  <c r="Z67" i="2"/>
  <c r="Z61" i="2"/>
  <c r="Z49" i="2"/>
  <c r="Z16" i="2"/>
  <c r="Z15" i="2"/>
  <c r="Z14" i="2"/>
  <c r="Z10" i="2"/>
  <c r="Z8" i="2"/>
  <c r="Z7" i="2"/>
  <c r="Z6" i="2"/>
  <c r="Z5" i="2"/>
  <c r="Z4" i="2"/>
  <c r="Z88" i="2"/>
  <c r="Y88" i="2"/>
  <c r="X88" i="2"/>
  <c r="W88" i="2"/>
  <c r="Y81" i="2"/>
  <c r="Y84" i="2"/>
  <c r="Y83" i="2"/>
  <c r="Y82" i="2"/>
  <c r="Y80" i="2"/>
  <c r="Y79" i="2"/>
  <c r="Y75" i="2"/>
  <c r="Y77" i="2" s="1"/>
  <c r="Y76" i="2"/>
  <c r="Y74" i="2"/>
  <c r="Y72" i="2"/>
  <c r="Y71" i="2"/>
  <c r="Y70" i="2"/>
  <c r="Y69" i="2"/>
  <c r="Y68" i="2"/>
  <c r="Y67" i="2"/>
  <c r="Z66" i="2"/>
  <c r="Y66" i="2"/>
  <c r="Y61" i="2"/>
  <c r="Y49" i="2"/>
  <c r="Y56" i="2" s="1"/>
  <c r="AD89" i="2"/>
  <c r="AE89" i="2"/>
  <c r="AE88" i="2"/>
  <c r="AD88" i="2"/>
  <c r="AC88" i="2"/>
  <c r="AB88" i="2"/>
  <c r="AA88" i="2"/>
  <c r="AD86" i="2"/>
  <c r="AD84" i="2"/>
  <c r="AD83" i="2"/>
  <c r="AD82" i="2"/>
  <c r="AD81" i="2"/>
  <c r="AD80" i="2"/>
  <c r="AD79" i="2"/>
  <c r="AD77" i="2"/>
  <c r="AD76" i="2"/>
  <c r="AD75" i="2"/>
  <c r="AD74" i="2"/>
  <c r="AD72" i="2"/>
  <c r="AD71" i="2"/>
  <c r="AD70" i="2"/>
  <c r="AD69" i="2"/>
  <c r="AD68" i="2"/>
  <c r="AD67" i="2"/>
  <c r="AC86" i="2"/>
  <c r="AC84" i="2"/>
  <c r="AC83" i="2"/>
  <c r="AC82" i="2"/>
  <c r="AC81" i="2"/>
  <c r="AC80" i="2"/>
  <c r="AC79" i="2"/>
  <c r="AC77" i="2"/>
  <c r="AC76" i="2"/>
  <c r="AC75" i="2"/>
  <c r="AC74" i="2"/>
  <c r="AC72" i="2"/>
  <c r="AC71" i="2"/>
  <c r="AC70" i="2"/>
  <c r="AC69" i="2"/>
  <c r="AC68" i="2"/>
  <c r="AC67" i="2"/>
  <c r="AD64" i="2"/>
  <c r="AC64" i="2"/>
  <c r="AC61" i="2"/>
  <c r="AC49" i="2"/>
  <c r="AC56" i="2"/>
  <c r="AC48" i="2"/>
  <c r="AB86" i="2"/>
  <c r="AB82" i="2"/>
  <c r="AB84" i="2" s="1"/>
  <c r="AB83" i="2"/>
  <c r="AB81" i="2"/>
  <c r="AB80" i="2"/>
  <c r="AB79" i="2"/>
  <c r="AB77" i="2"/>
  <c r="AB76" i="2"/>
  <c r="AB75" i="2"/>
  <c r="AB74" i="2"/>
  <c r="AB72" i="2"/>
  <c r="AB71" i="2"/>
  <c r="AB70" i="2"/>
  <c r="AB69" i="2"/>
  <c r="AB68" i="2"/>
  <c r="AB67" i="2"/>
  <c r="AB61" i="2"/>
  <c r="AB64" i="2"/>
  <c r="AB49" i="2"/>
  <c r="AB56" i="2" s="1"/>
  <c r="AA86" i="2"/>
  <c r="AA84" i="2"/>
  <c r="AA77" i="2"/>
  <c r="AA74" i="2"/>
  <c r="AA71" i="2"/>
  <c r="AA66" i="2"/>
  <c r="AA72" i="2"/>
  <c r="AA64" i="2"/>
  <c r="Z64" i="2"/>
  <c r="Y64" i="2"/>
  <c r="AA61" i="2"/>
  <c r="AA56" i="2"/>
  <c r="Z56" i="2"/>
  <c r="AA49" i="2"/>
  <c r="AB48" i="2"/>
  <c r="AA48" i="2"/>
  <c r="Z48" i="2"/>
  <c r="Y48" i="2"/>
  <c r="BD88" i="2"/>
  <c r="BD66" i="2"/>
  <c r="BE88" i="2"/>
  <c r="BE66" i="2"/>
  <c r="BF88" i="2"/>
  <c r="BF66" i="2"/>
  <c r="BG88" i="2"/>
  <c r="BG66" i="2"/>
  <c r="BH66" i="2"/>
  <c r="BH88" i="2"/>
  <c r="BI88" i="2"/>
  <c r="BI66" i="2"/>
  <c r="BL88" i="2"/>
  <c r="BK88" i="2"/>
  <c r="BJ88" i="2"/>
  <c r="BL66" i="2"/>
  <c r="BK66" i="2"/>
  <c r="BJ66" i="2"/>
  <c r="AB66" i="2"/>
  <c r="AC66" i="2"/>
  <c r="AD66" i="2"/>
  <c r="AD61" i="2"/>
  <c r="AD49" i="2"/>
  <c r="AD56" i="2" s="1"/>
  <c r="AD44" i="2"/>
  <c r="AC44" i="2"/>
  <c r="AB44" i="2"/>
  <c r="AA44" i="2"/>
  <c r="Z44" i="2"/>
  <c r="Y44" i="2"/>
  <c r="X44" i="2"/>
  <c r="W44" i="2"/>
  <c r="V44" i="2"/>
  <c r="AE44" i="2"/>
  <c r="BL31" i="2"/>
  <c r="BL29" i="2"/>
  <c r="BL26" i="2"/>
  <c r="BL25" i="2"/>
  <c r="BL22" i="2"/>
  <c r="BL21" i="2"/>
  <c r="BL19" i="2"/>
  <c r="BL18" i="2"/>
  <c r="BL34" i="2"/>
  <c r="BK34" i="2"/>
  <c r="BK31" i="2"/>
  <c r="BK29" i="2"/>
  <c r="BK26" i="2"/>
  <c r="BK25" i="2"/>
  <c r="BK22" i="2"/>
  <c r="BK21" i="2"/>
  <c r="BK18" i="2"/>
  <c r="BK19" i="2"/>
  <c r="AF41" i="2"/>
  <c r="AF38" i="2"/>
  <c r="AG34" i="2"/>
  <c r="AH38" i="2"/>
  <c r="AG38" i="2"/>
  <c r="AH26" i="2"/>
  <c r="AG26" i="2"/>
  <c r="AH25" i="2"/>
  <c r="AG25" i="2"/>
  <c r="AH27" i="2"/>
  <c r="AG27" i="2"/>
  <c r="AF27" i="2"/>
  <c r="AH19" i="2"/>
  <c r="AH40" i="2" s="1"/>
  <c r="AG19" i="2"/>
  <c r="AG40" i="2" s="1"/>
  <c r="AH18" i="2"/>
  <c r="AH41" i="2" s="1"/>
  <c r="AG18" i="2"/>
  <c r="AG41" i="2" s="1"/>
  <c r="AE82" i="2"/>
  <c r="AE84" i="2" s="1"/>
  <c r="AE77" i="2"/>
  <c r="AE74" i="2"/>
  <c r="AE71" i="2"/>
  <c r="AE72" i="2" s="1"/>
  <c r="AE61" i="2"/>
  <c r="AE64" i="2" s="1"/>
  <c r="AE49" i="2"/>
  <c r="AE56" i="2" s="1"/>
  <c r="AE48" i="2"/>
  <c r="AE41" i="2"/>
  <c r="AE40" i="2"/>
  <c r="AE38" i="2"/>
  <c r="AE20" i="2"/>
  <c r="AE27" i="2"/>
  <c r="AE23" i="2"/>
  <c r="AE36" i="2"/>
  <c r="AD41" i="2"/>
  <c r="AC41" i="2"/>
  <c r="AB41" i="2"/>
  <c r="AA41" i="2"/>
  <c r="AD40" i="2"/>
  <c r="AC40" i="2"/>
  <c r="AB40" i="2"/>
  <c r="AA40" i="2"/>
  <c r="AD38" i="2"/>
  <c r="AC38" i="2"/>
  <c r="AB38" i="2"/>
  <c r="AA38" i="2"/>
  <c r="AA27" i="2"/>
  <c r="AA23" i="2"/>
  <c r="AA20" i="2"/>
  <c r="AB27" i="2"/>
  <c r="AB23" i="2"/>
  <c r="AB20" i="2"/>
  <c r="AC27" i="2"/>
  <c r="AC23" i="2"/>
  <c r="AC20" i="2"/>
  <c r="AD27" i="2"/>
  <c r="AD23" i="2"/>
  <c r="AD20" i="2"/>
  <c r="AD24" i="2" s="1"/>
  <c r="AD39" i="2" s="1"/>
  <c r="AB2" i="2"/>
  <c r="AF2" i="2" s="1"/>
  <c r="AA2" i="2"/>
  <c r="AE2" i="2" s="1"/>
  <c r="V79" i="2" l="1"/>
  <c r="V84" i="2" s="1"/>
  <c r="U84" i="2"/>
  <c r="U74" i="2"/>
  <c r="V74" i="2" s="1"/>
  <c r="V77" i="2" s="1"/>
  <c r="V88" i="2"/>
  <c r="Y89" i="2" s="1"/>
  <c r="AC90" i="2" s="1"/>
  <c r="V86" i="2"/>
  <c r="U77" i="2"/>
  <c r="U72" i="2"/>
  <c r="U88" i="2" s="1"/>
  <c r="X89" i="2" s="1"/>
  <c r="AB90" i="2" s="1"/>
  <c r="T86" i="2"/>
  <c r="T88" i="2"/>
  <c r="S86" i="2"/>
  <c r="V48" i="2"/>
  <c r="AF77" i="2"/>
  <c r="AD48" i="2"/>
  <c r="AH34" i="2"/>
  <c r="BM34" i="2" s="1"/>
  <c r="AE86" i="2"/>
  <c r="AF20" i="2"/>
  <c r="AD28" i="2"/>
  <c r="AF40" i="2"/>
  <c r="AG20" i="2"/>
  <c r="AH20" i="2"/>
  <c r="AA24" i="2"/>
  <c r="AA39" i="2" s="1"/>
  <c r="BK20" i="2"/>
  <c r="AE24" i="2"/>
  <c r="AA28" i="2"/>
  <c r="AB24" i="2"/>
  <c r="AC24" i="2"/>
  <c r="X83" i="2"/>
  <c r="X81" i="2"/>
  <c r="X80" i="2"/>
  <c r="X79" i="2"/>
  <c r="W82" i="2"/>
  <c r="W84" i="2" s="1"/>
  <c r="X76" i="2"/>
  <c r="X75" i="2"/>
  <c r="W74" i="2"/>
  <c r="X74" i="2" s="1"/>
  <c r="X70" i="2"/>
  <c r="X69" i="2"/>
  <c r="X68" i="2"/>
  <c r="X67" i="2"/>
  <c r="W71" i="2"/>
  <c r="W72" i="2" s="1"/>
  <c r="W61" i="2"/>
  <c r="W64" i="2" s="1"/>
  <c r="W49" i="2"/>
  <c r="W56" i="2"/>
  <c r="Y2" i="2"/>
  <c r="Z40" i="2"/>
  <c r="Y40" i="2"/>
  <c r="Z38" i="2"/>
  <c r="Y38" i="2"/>
  <c r="Z27" i="2"/>
  <c r="Y27" i="2"/>
  <c r="Z23" i="2"/>
  <c r="Y23" i="2"/>
  <c r="X61" i="2"/>
  <c r="X64" i="2" s="1"/>
  <c r="X49" i="2"/>
  <c r="X56" i="2" s="1"/>
  <c r="X37" i="2"/>
  <c r="X27" i="2"/>
  <c r="X41" i="2"/>
  <c r="X40" i="2"/>
  <c r="X38" i="2"/>
  <c r="X23" i="2"/>
  <c r="AN40" i="2"/>
  <c r="AN27" i="2"/>
  <c r="AN14" i="2"/>
  <c r="AN18" i="2" s="1"/>
  <c r="AO27" i="2"/>
  <c r="AO18" i="2"/>
  <c r="AO19" i="2"/>
  <c r="AO40" i="2" s="1"/>
  <c r="AP27" i="2"/>
  <c r="AP19" i="2"/>
  <c r="AP40" i="2" s="1"/>
  <c r="AP16" i="2"/>
  <c r="AP18" i="2" s="1"/>
  <c r="AP41" i="2" s="1"/>
  <c r="AQ27" i="2"/>
  <c r="AR27" i="2"/>
  <c r="AS27" i="2"/>
  <c r="AR19" i="2"/>
  <c r="AR40" i="2" s="1"/>
  <c r="AQ19" i="2"/>
  <c r="AQ40" i="2" s="1"/>
  <c r="AQ16" i="2"/>
  <c r="AQ18" i="2" s="1"/>
  <c r="AQ41" i="2" s="1"/>
  <c r="AR16" i="2"/>
  <c r="AR18" i="2" s="1"/>
  <c r="AR41" i="2" s="1"/>
  <c r="AS16" i="2"/>
  <c r="AS18" i="2" s="1"/>
  <c r="AS41" i="2" s="1"/>
  <c r="AS19" i="2"/>
  <c r="AS40" i="2" s="1"/>
  <c r="AV16" i="2"/>
  <c r="AV18" i="2" s="1"/>
  <c r="AV41" i="2" s="1"/>
  <c r="AU16" i="2"/>
  <c r="AU18" i="2" s="1"/>
  <c r="AU41" i="2" s="1"/>
  <c r="AT16" i="2"/>
  <c r="AT18" i="2" s="1"/>
  <c r="AU19" i="2"/>
  <c r="AU40" i="2" s="1"/>
  <c r="AT19" i="2"/>
  <c r="AT40" i="2" s="1"/>
  <c r="AV37" i="2"/>
  <c r="AT27" i="2"/>
  <c r="AU27" i="2"/>
  <c r="AW37" i="2"/>
  <c r="AV27" i="2"/>
  <c r="AV19" i="2"/>
  <c r="AV40" i="2" s="1"/>
  <c r="AX37" i="2"/>
  <c r="AW27" i="2"/>
  <c r="AW19" i="2"/>
  <c r="AW40" i="2" s="1"/>
  <c r="AW12" i="2"/>
  <c r="AW16" i="2"/>
  <c r="AW18" i="2" s="1"/>
  <c r="AY37" i="2"/>
  <c r="AX27" i="2"/>
  <c r="AX16" i="2"/>
  <c r="AX18" i="2" s="1"/>
  <c r="AX19" i="2"/>
  <c r="AX40" i="2" s="1"/>
  <c r="AX12" i="2"/>
  <c r="BE40" i="2"/>
  <c r="BE27" i="2"/>
  <c r="BE12" i="2"/>
  <c r="BD40" i="2"/>
  <c r="BD37" i="2"/>
  <c r="BD27" i="2"/>
  <c r="BD12" i="2"/>
  <c r="BC40" i="2"/>
  <c r="BC37" i="2"/>
  <c r="BC27" i="2"/>
  <c r="BH19" i="2"/>
  <c r="BC18" i="2"/>
  <c r="BC41" i="2" s="1"/>
  <c r="BC12" i="2"/>
  <c r="BB37" i="2"/>
  <c r="BA37" i="2"/>
  <c r="AZ37" i="2"/>
  <c r="BB40" i="2"/>
  <c r="BA40" i="2"/>
  <c r="AZ40" i="2"/>
  <c r="AY40" i="2"/>
  <c r="AY27" i="2"/>
  <c r="AY12" i="2"/>
  <c r="AY16" i="2"/>
  <c r="AY18" i="2" s="1"/>
  <c r="AY41" i="2" s="1"/>
  <c r="AZ27" i="2"/>
  <c r="BA27" i="2"/>
  <c r="BB27" i="2"/>
  <c r="BB16" i="2"/>
  <c r="BB18" i="2" s="1"/>
  <c r="BB41" i="2" s="1"/>
  <c r="BA16" i="2"/>
  <c r="BA18" i="2" s="1"/>
  <c r="BA20" i="2" s="1"/>
  <c r="AZ16" i="2"/>
  <c r="AZ18" i="2" s="1"/>
  <c r="BB12" i="2"/>
  <c r="BA12" i="2"/>
  <c r="AZ12" i="2"/>
  <c r="V18" i="2"/>
  <c r="V20" i="2" s="1"/>
  <c r="U18" i="2"/>
  <c r="BJ19" i="2"/>
  <c r="BJ16" i="2"/>
  <c r="BJ15" i="2"/>
  <c r="BJ14" i="2"/>
  <c r="BJ10" i="2"/>
  <c r="T18" i="2"/>
  <c r="T20" i="2" s="1"/>
  <c r="S18" i="2"/>
  <c r="S20" i="2" s="1"/>
  <c r="W20" i="2"/>
  <c r="AA36" i="2" s="1"/>
  <c r="BI10" i="2"/>
  <c r="X20" i="2"/>
  <c r="AB36" i="2" s="1"/>
  <c r="BG37" i="2"/>
  <c r="W41" i="2"/>
  <c r="W40" i="2"/>
  <c r="W38" i="2"/>
  <c r="W37" i="2"/>
  <c r="W27" i="2"/>
  <c r="W23" i="2"/>
  <c r="BI11" i="2"/>
  <c r="BH11" i="2"/>
  <c r="BG11" i="2"/>
  <c r="BG12" i="2" s="1"/>
  <c r="T12" i="2"/>
  <c r="S12" i="2"/>
  <c r="R12" i="2"/>
  <c r="Q12" i="2"/>
  <c r="U12" i="2" s="1"/>
  <c r="U11" i="2" s="1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F11" i="2" s="1"/>
  <c r="BF12" i="2" s="1"/>
  <c r="BD18" i="2"/>
  <c r="BD41" i="2" s="1"/>
  <c r="BE18" i="2"/>
  <c r="BE41" i="2" s="1"/>
  <c r="BE37" i="2"/>
  <c r="BF37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G18" i="2"/>
  <c r="BG20" i="2" s="1"/>
  <c r="BF18" i="2"/>
  <c r="BF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G40" i="2"/>
  <c r="BF40" i="2"/>
  <c r="BG38" i="2"/>
  <c r="BF34" i="2"/>
  <c r="BF27" i="2"/>
  <c r="BF23" i="2"/>
  <c r="U40" i="2"/>
  <c r="T40" i="2"/>
  <c r="S40" i="2"/>
  <c r="R40" i="2"/>
  <c r="Q40" i="2"/>
  <c r="P40" i="2"/>
  <c r="O40" i="2"/>
  <c r="N40" i="2"/>
  <c r="M40" i="2"/>
  <c r="L40" i="2"/>
  <c r="K40" i="2"/>
  <c r="BJ26" i="2"/>
  <c r="BJ34" i="2"/>
  <c r="U38" i="2"/>
  <c r="T38" i="2"/>
  <c r="S38" i="2"/>
  <c r="R38" i="2"/>
  <c r="Q38" i="2"/>
  <c r="P38" i="2"/>
  <c r="O38" i="2"/>
  <c r="V38" i="2"/>
  <c r="BG27" i="2"/>
  <c r="BG23" i="2"/>
  <c r="K27" i="2"/>
  <c r="K23" i="2"/>
  <c r="P37" i="2"/>
  <c r="O37" i="2"/>
  <c r="S37" i="2"/>
  <c r="R37" i="2"/>
  <c r="Q37" i="2"/>
  <c r="L27" i="2"/>
  <c r="L23" i="2"/>
  <c r="M27" i="2"/>
  <c r="M23" i="2"/>
  <c r="BI34" i="2"/>
  <c r="BH34" i="2"/>
  <c r="BI31" i="2"/>
  <c r="BH31" i="2"/>
  <c r="BJ29" i="2"/>
  <c r="BI29" i="2"/>
  <c r="BH29" i="2"/>
  <c r="BI26" i="2"/>
  <c r="BH26" i="2"/>
  <c r="BI25" i="2"/>
  <c r="BH25" i="2"/>
  <c r="BI22" i="2"/>
  <c r="BH22" i="2"/>
  <c r="BI21" i="2"/>
  <c r="BH21" i="2"/>
  <c r="BI19" i="2"/>
  <c r="BI16" i="2"/>
  <c r="BH16" i="2"/>
  <c r="BI15" i="2"/>
  <c r="BH15" i="2"/>
  <c r="BI14" i="2"/>
  <c r="BH14" i="2"/>
  <c r="BH10" i="2"/>
  <c r="BH37" i="2" s="1"/>
  <c r="V2" i="2"/>
  <c r="N27" i="2"/>
  <c r="N23" i="2"/>
  <c r="R27" i="2"/>
  <c r="R23" i="2"/>
  <c r="O27" i="2"/>
  <c r="O23" i="2"/>
  <c r="S27" i="2"/>
  <c r="S23" i="2"/>
  <c r="U37" i="2"/>
  <c r="Q27" i="2"/>
  <c r="Q23" i="2"/>
  <c r="U27" i="2"/>
  <c r="U23" i="2"/>
  <c r="T37" i="2"/>
  <c r="P27" i="2"/>
  <c r="P23" i="2"/>
  <c r="T27" i="2"/>
  <c r="T23" i="2"/>
  <c r="O4" i="1"/>
  <c r="V89" i="2" l="1"/>
  <c r="Z90" i="2" s="1"/>
  <c r="W89" i="2"/>
  <c r="AA90" i="2" s="1"/>
  <c r="U86" i="2"/>
  <c r="AB28" i="2"/>
  <c r="AB39" i="2"/>
  <c r="AH36" i="2"/>
  <c r="AH24" i="2"/>
  <c r="AG36" i="2"/>
  <c r="AG24" i="2"/>
  <c r="AD30" i="2"/>
  <c r="AD42" i="2"/>
  <c r="AE28" i="2"/>
  <c r="AE39" i="2"/>
  <c r="AC28" i="2"/>
  <c r="AC39" i="2"/>
  <c r="AA30" i="2"/>
  <c r="AA42" i="2"/>
  <c r="AF36" i="2"/>
  <c r="Z2" i="2"/>
  <c r="AC2" i="2"/>
  <c r="AG2" i="2" s="1"/>
  <c r="X77" i="2"/>
  <c r="X71" i="2"/>
  <c r="X24" i="2"/>
  <c r="X28" i="2" s="1"/>
  <c r="X72" i="2"/>
  <c r="W77" i="2"/>
  <c r="W86" i="2" s="1"/>
  <c r="X82" i="2"/>
  <c r="X84" i="2" s="1"/>
  <c r="U20" i="2"/>
  <c r="X48" i="2"/>
  <c r="W48" i="2"/>
  <c r="AN20" i="2"/>
  <c r="AN41" i="2"/>
  <c r="AO20" i="2"/>
  <c r="AO24" i="2" s="1"/>
  <c r="AP20" i="2"/>
  <c r="AP24" i="2" s="1"/>
  <c r="AP39" i="2" s="1"/>
  <c r="AO41" i="2"/>
  <c r="AR20" i="2"/>
  <c r="AQ20" i="2"/>
  <c r="AQ24" i="2" s="1"/>
  <c r="AQ39" i="2" s="1"/>
  <c r="AO36" i="2"/>
  <c r="AP36" i="2"/>
  <c r="AY20" i="2"/>
  <c r="AY24" i="2" s="1"/>
  <c r="AY39" i="2" s="1"/>
  <c r="AS20" i="2"/>
  <c r="BJ37" i="2"/>
  <c r="AT20" i="2"/>
  <c r="AT24" i="2" s="1"/>
  <c r="AX20" i="2"/>
  <c r="AX41" i="2"/>
  <c r="AW41" i="2"/>
  <c r="AW20" i="2"/>
  <c r="AW24" i="2" s="1"/>
  <c r="AW39" i="2" s="1"/>
  <c r="AT41" i="2"/>
  <c r="AV20" i="2"/>
  <c r="AU20" i="2"/>
  <c r="BD20" i="2"/>
  <c r="BD24" i="2" s="1"/>
  <c r="BD28" i="2" s="1"/>
  <c r="BD30" i="2" s="1"/>
  <c r="C28" i="2"/>
  <c r="C30" i="2" s="1"/>
  <c r="C32" i="2" s="1"/>
  <c r="C33" i="2" s="1"/>
  <c r="AZ41" i="2"/>
  <c r="AZ20" i="2"/>
  <c r="BA36" i="2" s="1"/>
  <c r="BA24" i="2"/>
  <c r="BE20" i="2"/>
  <c r="BE24" i="2" s="1"/>
  <c r="BA41" i="2"/>
  <c r="BB20" i="2"/>
  <c r="BC20" i="2"/>
  <c r="F12" i="2"/>
  <c r="BI12" i="2"/>
  <c r="W24" i="2"/>
  <c r="W39" i="2" s="1"/>
  <c r="X36" i="2"/>
  <c r="W36" i="2"/>
  <c r="BJ18" i="2"/>
  <c r="BJ20" i="2" s="1"/>
  <c r="BM14" i="2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BM16" i="2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O7" i="1"/>
  <c r="BM26" i="2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BM15" i="2"/>
  <c r="F18" i="2"/>
  <c r="F20" i="2" s="1"/>
  <c r="F24" i="2" s="1"/>
  <c r="F27" i="2"/>
  <c r="BH12" i="2"/>
  <c r="BF24" i="2"/>
  <c r="BF39" i="2" s="1"/>
  <c r="D28" i="2"/>
  <c r="D30" i="2" s="1"/>
  <c r="D32" i="2" s="1"/>
  <c r="D33" i="2" s="1"/>
  <c r="BH18" i="2"/>
  <c r="BI18" i="2"/>
  <c r="E24" i="2"/>
  <c r="L41" i="2"/>
  <c r="BH40" i="2"/>
  <c r="BG36" i="2"/>
  <c r="M41" i="2"/>
  <c r="O41" i="2"/>
  <c r="P41" i="2"/>
  <c r="K41" i="2"/>
  <c r="S41" i="2"/>
  <c r="Q41" i="2"/>
  <c r="BI40" i="2"/>
  <c r="BF41" i="2"/>
  <c r="BG41" i="2"/>
  <c r="BH38" i="2"/>
  <c r="BI38" i="2"/>
  <c r="T41" i="2"/>
  <c r="V27" i="2"/>
  <c r="U41" i="2"/>
  <c r="BJ22" i="2"/>
  <c r="R41" i="2"/>
  <c r="N41" i="2"/>
  <c r="BJ25" i="2"/>
  <c r="BI37" i="2"/>
  <c r="Q36" i="2"/>
  <c r="BI23" i="2"/>
  <c r="BI27" i="2"/>
  <c r="BG24" i="2"/>
  <c r="R24" i="2"/>
  <c r="R39" i="2" s="1"/>
  <c r="K24" i="2"/>
  <c r="O36" i="2"/>
  <c r="BH27" i="2"/>
  <c r="BH23" i="2"/>
  <c r="L24" i="2"/>
  <c r="P36" i="2"/>
  <c r="M24" i="2"/>
  <c r="T24" i="2"/>
  <c r="T39" i="2" s="1"/>
  <c r="N24" i="2"/>
  <c r="R36" i="2"/>
  <c r="S36" i="2"/>
  <c r="O24" i="2"/>
  <c r="S24" i="2"/>
  <c r="Q24" i="2"/>
  <c r="U36" i="2"/>
  <c r="U24" i="2"/>
  <c r="T36" i="2"/>
  <c r="P24" i="2"/>
  <c r="AC30" i="2" l="1"/>
  <c r="AC42" i="2"/>
  <c r="AF39" i="2"/>
  <c r="AF28" i="2"/>
  <c r="X39" i="2"/>
  <c r="AG39" i="2"/>
  <c r="AG28" i="2"/>
  <c r="AW28" i="2"/>
  <c r="AE30" i="2"/>
  <c r="AE42" i="2"/>
  <c r="AA32" i="2"/>
  <c r="AA33" i="2" s="1"/>
  <c r="AA43" i="2"/>
  <c r="AD32" i="2"/>
  <c r="AD33" i="2" s="1"/>
  <c r="AD43" i="2"/>
  <c r="AH39" i="2"/>
  <c r="AH28" i="2"/>
  <c r="AB30" i="2"/>
  <c r="AB42" i="2"/>
  <c r="AQ36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AD2" i="2"/>
  <c r="AH2" i="2" s="1"/>
  <c r="AR36" i="2"/>
  <c r="Z20" i="2"/>
  <c r="Z41" i="2"/>
  <c r="AR24" i="2"/>
  <c r="AR28" i="2" s="1"/>
  <c r="Y20" i="2"/>
  <c r="Y41" i="2"/>
  <c r="AQ28" i="2"/>
  <c r="AQ42" i="2" s="1"/>
  <c r="AQ30" i="2"/>
  <c r="AR39" i="2"/>
  <c r="AP28" i="2"/>
  <c r="X30" i="2"/>
  <c r="X42" i="2"/>
  <c r="AO28" i="2"/>
  <c r="AO39" i="2"/>
  <c r="AN36" i="2"/>
  <c r="AN24" i="2"/>
  <c r="AT28" i="2"/>
  <c r="AT39" i="2"/>
  <c r="AT36" i="2"/>
  <c r="AY28" i="2"/>
  <c r="AY30" i="2" s="1"/>
  <c r="AS24" i="2"/>
  <c r="AS36" i="2"/>
  <c r="AY36" i="2"/>
  <c r="BE36" i="2"/>
  <c r="AW36" i="2"/>
  <c r="AV24" i="2"/>
  <c r="BD39" i="2"/>
  <c r="BD42" i="2"/>
  <c r="AV36" i="2"/>
  <c r="AU24" i="2"/>
  <c r="AU36" i="2"/>
  <c r="BD36" i="2"/>
  <c r="AX24" i="2"/>
  <c r="AX36" i="2"/>
  <c r="AW30" i="2"/>
  <c r="AW42" i="2"/>
  <c r="BF36" i="2"/>
  <c r="BC36" i="2"/>
  <c r="BC24" i="2"/>
  <c r="BB24" i="2"/>
  <c r="BB36" i="2"/>
  <c r="BA28" i="2"/>
  <c r="BA39" i="2"/>
  <c r="BD43" i="2"/>
  <c r="BD32" i="2"/>
  <c r="BD33" i="2" s="1"/>
  <c r="AZ24" i="2"/>
  <c r="AZ36" i="2"/>
  <c r="BE39" i="2"/>
  <c r="BE28" i="2"/>
  <c r="W28" i="2"/>
  <c r="W30" i="2" s="1"/>
  <c r="BK38" i="2"/>
  <c r="F28" i="2"/>
  <c r="F30" i="2" s="1"/>
  <c r="F32" i="2" s="1"/>
  <c r="F33" i="2" s="1"/>
  <c r="BJ27" i="2"/>
  <c r="BK40" i="2"/>
  <c r="BN34" i="2"/>
  <c r="BN15" i="2"/>
  <c r="BF28" i="2"/>
  <c r="BF42" i="2" s="1"/>
  <c r="E28" i="2"/>
  <c r="E39" i="2"/>
  <c r="V40" i="2"/>
  <c r="BJ38" i="2"/>
  <c r="BJ40" i="2"/>
  <c r="BI20" i="2"/>
  <c r="BI24" i="2" s="1"/>
  <c r="BI41" i="2"/>
  <c r="BG28" i="2"/>
  <c r="BG39" i="2"/>
  <c r="BH20" i="2"/>
  <c r="BH24" i="2" s="1"/>
  <c r="BH41" i="2"/>
  <c r="R28" i="2"/>
  <c r="R30" i="2" s="1"/>
  <c r="T28" i="2"/>
  <c r="T42" i="2" s="1"/>
  <c r="O28" i="2"/>
  <c r="O39" i="2"/>
  <c r="N28" i="2"/>
  <c r="N39" i="2"/>
  <c r="M28" i="2"/>
  <c r="M39" i="2"/>
  <c r="Q28" i="2"/>
  <c r="Q39" i="2"/>
  <c r="K28" i="2"/>
  <c r="K39" i="2"/>
  <c r="L28" i="2"/>
  <c r="L39" i="2"/>
  <c r="P28" i="2"/>
  <c r="P39" i="2"/>
  <c r="U28" i="2"/>
  <c r="U39" i="2"/>
  <c r="S28" i="2"/>
  <c r="S39" i="2"/>
  <c r="AB32" i="2" l="1"/>
  <c r="AB33" i="2" s="1"/>
  <c r="AB43" i="2"/>
  <c r="Y24" i="2"/>
  <c r="AC36" i="2"/>
  <c r="AD36" i="2"/>
  <c r="Z24" i="2"/>
  <c r="AH30" i="2"/>
  <c r="AH42" i="2"/>
  <c r="AE32" i="2"/>
  <c r="AE43" i="2"/>
  <c r="AG30" i="2"/>
  <c r="AG42" i="2"/>
  <c r="AF30" i="2"/>
  <c r="AF42" i="2"/>
  <c r="AC32" i="2"/>
  <c r="AC33" i="2" s="1"/>
  <c r="AC43" i="2"/>
  <c r="Z39" i="2"/>
  <c r="Z28" i="2"/>
  <c r="AY42" i="2"/>
  <c r="Y36" i="2"/>
  <c r="AN28" i="2"/>
  <c r="AN39" i="2"/>
  <c r="AO30" i="2"/>
  <c r="AO42" i="2"/>
  <c r="X43" i="2"/>
  <c r="X32" i="2"/>
  <c r="W42" i="2"/>
  <c r="BL38" i="2"/>
  <c r="AS28" i="2"/>
  <c r="AS39" i="2"/>
  <c r="AP30" i="2"/>
  <c r="AP42" i="2"/>
  <c r="AR30" i="2"/>
  <c r="AR42" i="2"/>
  <c r="AQ32" i="2"/>
  <c r="AQ33" i="2" s="1"/>
  <c r="AQ43" i="2"/>
  <c r="AT30" i="2"/>
  <c r="AT42" i="2"/>
  <c r="BF30" i="2"/>
  <c r="BF32" i="2" s="1"/>
  <c r="BF33" i="2" s="1"/>
  <c r="AX39" i="2"/>
  <c r="AX28" i="2"/>
  <c r="AU39" i="2"/>
  <c r="AU28" i="2"/>
  <c r="AV28" i="2"/>
  <c r="AV39" i="2"/>
  <c r="AW32" i="2"/>
  <c r="AW33" i="2" s="1"/>
  <c r="AW43" i="2"/>
  <c r="AZ39" i="2"/>
  <c r="AZ28" i="2"/>
  <c r="BA30" i="2"/>
  <c r="BA42" i="2"/>
  <c r="BC39" i="2"/>
  <c r="BC28" i="2"/>
  <c r="BE42" i="2"/>
  <c r="BE30" i="2"/>
  <c r="BB28" i="2"/>
  <c r="BB39" i="2"/>
  <c r="AY32" i="2"/>
  <c r="AY33" i="2" s="1"/>
  <c r="AY43" i="2"/>
  <c r="BH36" i="2"/>
  <c r="BI36" i="2"/>
  <c r="W43" i="2"/>
  <c r="W32" i="2"/>
  <c r="BK27" i="2"/>
  <c r="BL40" i="2"/>
  <c r="BM19" i="2"/>
  <c r="BO34" i="2"/>
  <c r="BO15" i="2"/>
  <c r="E30" i="2"/>
  <c r="E42" i="2"/>
  <c r="BH28" i="2"/>
  <c r="BH39" i="2"/>
  <c r="T30" i="2"/>
  <c r="BI28" i="2"/>
  <c r="BI39" i="2"/>
  <c r="BG30" i="2"/>
  <c r="BG42" i="2"/>
  <c r="R42" i="2"/>
  <c r="T32" i="2"/>
  <c r="T33" i="2" s="1"/>
  <c r="T43" i="2"/>
  <c r="R32" i="2"/>
  <c r="R33" i="2" s="1"/>
  <c r="R43" i="2"/>
  <c r="P30" i="2"/>
  <c r="P42" i="2"/>
  <c r="L30" i="2"/>
  <c r="L42" i="2"/>
  <c r="K30" i="2"/>
  <c r="K42" i="2"/>
  <c r="M30" i="2"/>
  <c r="M42" i="2"/>
  <c r="Q30" i="2"/>
  <c r="Q42" i="2"/>
  <c r="N30" i="2"/>
  <c r="N42" i="2"/>
  <c r="O30" i="2"/>
  <c r="O42" i="2"/>
  <c r="S30" i="2"/>
  <c r="S42" i="2"/>
  <c r="U30" i="2"/>
  <c r="U42" i="2"/>
  <c r="AG31" i="2" l="1"/>
  <c r="AG43" i="2" s="1"/>
  <c r="AF43" i="2"/>
  <c r="AE33" i="2"/>
  <c r="AE66" i="2"/>
  <c r="AH31" i="2"/>
  <c r="AH43" i="2" s="1"/>
  <c r="AH32" i="2"/>
  <c r="AH33" i="2" s="1"/>
  <c r="AH44" i="2" s="1"/>
  <c r="Z30" i="2"/>
  <c r="Z43" i="2" s="1"/>
  <c r="Z42" i="2"/>
  <c r="X33" i="2"/>
  <c r="X66" i="2"/>
  <c r="Y39" i="2"/>
  <c r="Y28" i="2"/>
  <c r="W33" i="2"/>
  <c r="W66" i="2"/>
  <c r="AR32" i="2"/>
  <c r="AR33" i="2" s="1"/>
  <c r="AR43" i="2"/>
  <c r="BM38" i="2"/>
  <c r="AP43" i="2"/>
  <c r="AP32" i="2"/>
  <c r="AP33" i="2" s="1"/>
  <c r="AS30" i="2"/>
  <c r="AS42" i="2"/>
  <c r="AO32" i="2"/>
  <c r="AO33" i="2" s="1"/>
  <c r="AO43" i="2"/>
  <c r="AN30" i="2"/>
  <c r="AN42" i="2"/>
  <c r="AT32" i="2"/>
  <c r="AT33" i="2" s="1"/>
  <c r="AT43" i="2"/>
  <c r="BF43" i="2"/>
  <c r="AV30" i="2"/>
  <c r="AV42" i="2"/>
  <c r="AU30" i="2"/>
  <c r="AU42" i="2"/>
  <c r="AX30" i="2"/>
  <c r="AX42" i="2"/>
  <c r="BE32" i="2"/>
  <c r="BE33" i="2" s="1"/>
  <c r="BE43" i="2"/>
  <c r="BC42" i="2"/>
  <c r="BC30" i="2"/>
  <c r="AZ30" i="2"/>
  <c r="AZ42" i="2"/>
  <c r="BB42" i="2"/>
  <c r="BB30" i="2"/>
  <c r="BA32" i="2"/>
  <c r="BA33" i="2" s="1"/>
  <c r="BA43" i="2"/>
  <c r="BM25" i="2"/>
  <c r="BL27" i="2"/>
  <c r="BN19" i="2"/>
  <c r="BM22" i="2"/>
  <c r="BM40" i="2" s="1"/>
  <c r="BP34" i="2"/>
  <c r="BP15" i="2"/>
  <c r="E32" i="2"/>
  <c r="E33" i="2" s="1"/>
  <c r="E43" i="2"/>
  <c r="BG32" i="2"/>
  <c r="BG33" i="2" s="1"/>
  <c r="BG43" i="2"/>
  <c r="BI30" i="2"/>
  <c r="BI42" i="2"/>
  <c r="BH30" i="2"/>
  <c r="BH42" i="2"/>
  <c r="S32" i="2"/>
  <c r="S33" i="2" s="1"/>
  <c r="S43" i="2"/>
  <c r="U32" i="2"/>
  <c r="U33" i="2" s="1"/>
  <c r="U43" i="2"/>
  <c r="O32" i="2"/>
  <c r="O33" i="2" s="1"/>
  <c r="O43" i="2"/>
  <c r="N32" i="2"/>
  <c r="N33" i="2" s="1"/>
  <c r="N43" i="2"/>
  <c r="Q32" i="2"/>
  <c r="Q33" i="2" s="1"/>
  <c r="Q43" i="2"/>
  <c r="M32" i="2"/>
  <c r="M33" i="2" s="1"/>
  <c r="M43" i="2"/>
  <c r="K32" i="2"/>
  <c r="K33" i="2" s="1"/>
  <c r="K43" i="2"/>
  <c r="L32" i="2"/>
  <c r="L33" i="2" s="1"/>
  <c r="L43" i="2"/>
  <c r="P32" i="2"/>
  <c r="P33" i="2" s="1"/>
  <c r="P43" i="2"/>
  <c r="AF32" i="2" l="1"/>
  <c r="AF33" i="2" s="1"/>
  <c r="AF44" i="2" s="1"/>
  <c r="AG32" i="2"/>
  <c r="AG33" i="2" s="1"/>
  <c r="AG44" i="2" s="1"/>
  <c r="Z32" i="2"/>
  <c r="Z33" i="2" s="1"/>
  <c r="Y30" i="2"/>
  <c r="Y42" i="2"/>
  <c r="BN38" i="2"/>
  <c r="AN32" i="2"/>
  <c r="AN33" i="2" s="1"/>
  <c r="AN43" i="2"/>
  <c r="AS32" i="2"/>
  <c r="AS33" i="2" s="1"/>
  <c r="AS43" i="2"/>
  <c r="AX32" i="2"/>
  <c r="AX33" i="2" s="1"/>
  <c r="AX43" i="2"/>
  <c r="AU32" i="2"/>
  <c r="AU33" i="2" s="1"/>
  <c r="AU43" i="2"/>
  <c r="AV32" i="2"/>
  <c r="AV33" i="2" s="1"/>
  <c r="AV43" i="2"/>
  <c r="AZ43" i="2"/>
  <c r="AZ32" i="2"/>
  <c r="AZ33" i="2" s="1"/>
  <c r="BB32" i="2"/>
  <c r="BB33" i="2" s="1"/>
  <c r="BB43" i="2"/>
  <c r="BC43" i="2"/>
  <c r="BC32" i="2"/>
  <c r="BC33" i="2" s="1"/>
  <c r="BN25" i="2"/>
  <c r="BM27" i="2"/>
  <c r="BO19" i="2"/>
  <c r="BN22" i="2"/>
  <c r="BN40" i="2" s="1"/>
  <c r="BQ34" i="2"/>
  <c r="BQ15" i="2"/>
  <c r="BH32" i="2"/>
  <c r="BH33" i="2" s="1"/>
  <c r="BH43" i="2"/>
  <c r="BI32" i="2"/>
  <c r="BI33" i="2" s="1"/>
  <c r="BI43" i="2"/>
  <c r="V37" i="2"/>
  <c r="BJ11" i="2"/>
  <c r="BK11" i="2" l="1"/>
  <c r="Y43" i="2"/>
  <c r="Y32" i="2"/>
  <c r="Y33" i="2" s="1"/>
  <c r="BO38" i="2"/>
  <c r="BN27" i="2"/>
  <c r="BO25" i="2"/>
  <c r="BO22" i="2"/>
  <c r="BO40" i="2" s="1"/>
  <c r="BP19" i="2"/>
  <c r="BR34" i="2"/>
  <c r="BR15" i="2"/>
  <c r="BJ12" i="2"/>
  <c r="BK12" i="2" s="1"/>
  <c r="BL12" i="2" s="1"/>
  <c r="V23" i="2"/>
  <c r="BJ21" i="2"/>
  <c r="BJ23" i="2" s="1"/>
  <c r="Z36" i="2"/>
  <c r="V41" i="2"/>
  <c r="BL11" i="2" l="1"/>
  <c r="BP38" i="2"/>
  <c r="BO27" i="2"/>
  <c r="BP25" i="2"/>
  <c r="BQ19" i="2"/>
  <c r="BP22" i="2"/>
  <c r="BP40" i="2" s="1"/>
  <c r="BS34" i="2"/>
  <c r="BS15" i="2"/>
  <c r="V36" i="2"/>
  <c r="V24" i="2"/>
  <c r="BJ41" i="2"/>
  <c r="BJ36" i="2"/>
  <c r="BJ24" i="2"/>
  <c r="BM11" i="2" l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BQ38" i="2"/>
  <c r="BK37" i="2"/>
  <c r="BM12" i="2"/>
  <c r="BP27" i="2"/>
  <c r="BQ25" i="2"/>
  <c r="BQ22" i="2"/>
  <c r="BQ40" i="2" s="1"/>
  <c r="BR19" i="2"/>
  <c r="BT34" i="2"/>
  <c r="BT15" i="2"/>
  <c r="BJ28" i="2"/>
  <c r="BJ39" i="2"/>
  <c r="V28" i="2"/>
  <c r="V39" i="2"/>
  <c r="BR38" i="2" l="1"/>
  <c r="BN12" i="2"/>
  <c r="BL37" i="2"/>
  <c r="BK23" i="2"/>
  <c r="BR25" i="2"/>
  <c r="BQ27" i="2"/>
  <c r="BS19" i="2"/>
  <c r="BR22" i="2"/>
  <c r="BR40" i="2" s="1"/>
  <c r="BU34" i="2"/>
  <c r="BU15" i="2"/>
  <c r="V42" i="2"/>
  <c r="V30" i="2"/>
  <c r="BJ42" i="2"/>
  <c r="BJ30" i="2"/>
  <c r="BS38" i="2" l="1"/>
  <c r="BK41" i="2"/>
  <c r="BK24" i="2"/>
  <c r="BK36" i="2"/>
  <c r="BL23" i="2"/>
  <c r="BL20" i="2"/>
  <c r="BM37" i="2"/>
  <c r="BM18" i="2"/>
  <c r="BO12" i="2"/>
  <c r="BN10" i="2"/>
  <c r="BS25" i="2"/>
  <c r="BR27" i="2"/>
  <c r="BT19" i="2"/>
  <c r="BS22" i="2"/>
  <c r="BS40" i="2" s="1"/>
  <c r="BV34" i="2"/>
  <c r="BV15" i="2"/>
  <c r="BT38" i="2" l="1"/>
  <c r="BL41" i="2"/>
  <c r="BK28" i="2"/>
  <c r="BK39" i="2"/>
  <c r="BN37" i="2"/>
  <c r="BN18" i="2"/>
  <c r="BP12" i="2"/>
  <c r="BO10" i="2"/>
  <c r="BM21" i="2"/>
  <c r="BM23" i="2" s="1"/>
  <c r="BM20" i="2"/>
  <c r="BL36" i="2"/>
  <c r="BL24" i="2"/>
  <c r="BS27" i="2"/>
  <c r="BT25" i="2"/>
  <c r="BU19" i="2"/>
  <c r="BT22" i="2"/>
  <c r="BT40" i="2" s="1"/>
  <c r="BW34" i="2"/>
  <c r="BW15" i="2"/>
  <c r="BJ31" i="2"/>
  <c r="V43" i="2"/>
  <c r="V32" i="2"/>
  <c r="V33" i="2" s="1"/>
  <c r="BU38" i="2" l="1"/>
  <c r="BL28" i="2"/>
  <c r="BL39" i="2"/>
  <c r="BM41" i="2"/>
  <c r="BK30" i="2"/>
  <c r="BK42" i="2"/>
  <c r="BM36" i="2"/>
  <c r="BM24" i="2"/>
  <c r="BQ12" i="2"/>
  <c r="BP10" i="2"/>
  <c r="BN21" i="2"/>
  <c r="BN23" i="2" s="1"/>
  <c r="BN20" i="2"/>
  <c r="BO37" i="2"/>
  <c r="BO18" i="2"/>
  <c r="BU25" i="2"/>
  <c r="BT27" i="2"/>
  <c r="BV19" i="2"/>
  <c r="BU22" i="2"/>
  <c r="BU40" i="2" s="1"/>
  <c r="BX34" i="2"/>
  <c r="BX15" i="2"/>
  <c r="BJ43" i="2"/>
  <c r="BJ32" i="2"/>
  <c r="BJ33" i="2" s="1"/>
  <c r="BV38" i="2" l="1"/>
  <c r="BM28" i="2"/>
  <c r="BM39" i="2"/>
  <c r="BN41" i="2"/>
  <c r="BL30" i="2"/>
  <c r="BL42" i="2"/>
  <c r="BK32" i="2"/>
  <c r="BK33" i="2" s="1"/>
  <c r="BK43" i="2"/>
  <c r="BO21" i="2"/>
  <c r="BO23" i="2" s="1"/>
  <c r="BO20" i="2"/>
  <c r="BN24" i="2"/>
  <c r="BN36" i="2"/>
  <c r="BP37" i="2"/>
  <c r="BP18" i="2"/>
  <c r="BR12" i="2"/>
  <c r="BQ10" i="2"/>
  <c r="BU27" i="2"/>
  <c r="BV25" i="2"/>
  <c r="BW19" i="2"/>
  <c r="BV22" i="2"/>
  <c r="BV40" i="2" s="1"/>
  <c r="BY34" i="2"/>
  <c r="BY15" i="2"/>
  <c r="BW38" i="2" l="1"/>
  <c r="BN28" i="2"/>
  <c r="BN39" i="2"/>
  <c r="BL32" i="2"/>
  <c r="BL33" i="2" s="1"/>
  <c r="BL43" i="2"/>
  <c r="BM30" i="2"/>
  <c r="BM31" i="2" s="1"/>
  <c r="BM42" i="2"/>
  <c r="BO41" i="2"/>
  <c r="BQ37" i="2"/>
  <c r="BQ18" i="2"/>
  <c r="BS12" i="2"/>
  <c r="BR10" i="2"/>
  <c r="BP21" i="2"/>
  <c r="BP23" i="2" s="1"/>
  <c r="BP20" i="2"/>
  <c r="BP36" i="2" s="1"/>
  <c r="BO36" i="2"/>
  <c r="BO24" i="2"/>
  <c r="BW25" i="2"/>
  <c r="BV27" i="2"/>
  <c r="BX19" i="2"/>
  <c r="BW22" i="2"/>
  <c r="BW40" i="2" s="1"/>
  <c r="BZ34" i="2"/>
  <c r="BZ15" i="2"/>
  <c r="BN30" i="2" l="1"/>
  <c r="BN31" i="2" s="1"/>
  <c r="BN42" i="2"/>
  <c r="BP41" i="2"/>
  <c r="BX38" i="2"/>
  <c r="BO28" i="2"/>
  <c r="BO39" i="2"/>
  <c r="BM32" i="2"/>
  <c r="BM33" i="2" s="1"/>
  <c r="BM43" i="2"/>
  <c r="BP24" i="2"/>
  <c r="BR37" i="2"/>
  <c r="BR18" i="2"/>
  <c r="BT12" i="2"/>
  <c r="BS10" i="2"/>
  <c r="BQ21" i="2"/>
  <c r="BQ23" i="2" s="1"/>
  <c r="BQ20" i="2"/>
  <c r="BW27" i="2"/>
  <c r="BX25" i="2"/>
  <c r="BY19" i="2"/>
  <c r="BX22" i="2"/>
  <c r="BX40" i="2" s="1"/>
  <c r="CA34" i="2"/>
  <c r="CA15" i="2"/>
  <c r="BY38" i="2" l="1"/>
  <c r="BO30" i="2"/>
  <c r="BO31" i="2" s="1"/>
  <c r="BO42" i="2"/>
  <c r="BP28" i="2"/>
  <c r="BP39" i="2"/>
  <c r="BN32" i="2"/>
  <c r="BN33" i="2" s="1"/>
  <c r="BN43" i="2"/>
  <c r="BQ41" i="2"/>
  <c r="BQ24" i="2"/>
  <c r="BQ36" i="2"/>
  <c r="BS37" i="2"/>
  <c r="BS18" i="2"/>
  <c r="BU12" i="2"/>
  <c r="BT10" i="2"/>
  <c r="BR21" i="2"/>
  <c r="BR23" i="2" s="1"/>
  <c r="BR20" i="2"/>
  <c r="BX27" i="2"/>
  <c r="BY25" i="2"/>
  <c r="BZ19" i="2"/>
  <c r="BY22" i="2"/>
  <c r="BY40" i="2" s="1"/>
  <c r="CB34" i="2"/>
  <c r="CB15" i="2"/>
  <c r="BZ38" i="2" l="1"/>
  <c r="BQ28" i="2"/>
  <c r="BQ39" i="2"/>
  <c r="BP30" i="2"/>
  <c r="BP31" i="2" s="1"/>
  <c r="BP42" i="2"/>
  <c r="BR41" i="2"/>
  <c r="BO32" i="2"/>
  <c r="BO33" i="2" s="1"/>
  <c r="BO43" i="2"/>
  <c r="BR24" i="2"/>
  <c r="BR36" i="2"/>
  <c r="BT37" i="2"/>
  <c r="BT18" i="2"/>
  <c r="BV12" i="2"/>
  <c r="BU10" i="2"/>
  <c r="BS21" i="2"/>
  <c r="BS23" i="2" s="1"/>
  <c r="BS20" i="2"/>
  <c r="BZ25" i="2"/>
  <c r="BY27" i="2"/>
  <c r="CA19" i="2"/>
  <c r="BZ22" i="2"/>
  <c r="BZ40" i="2" s="1"/>
  <c r="BQ30" i="2" l="1"/>
  <c r="BQ31" i="2" s="1"/>
  <c r="BQ42" i="2"/>
  <c r="CA38" i="2"/>
  <c r="BP32" i="2"/>
  <c r="BP33" i="2" s="1"/>
  <c r="BP43" i="2"/>
  <c r="BS41" i="2"/>
  <c r="BR28" i="2"/>
  <c r="BR39" i="2"/>
  <c r="BU37" i="2"/>
  <c r="BU18" i="2"/>
  <c r="BS36" i="2"/>
  <c r="BS24" i="2"/>
  <c r="BW12" i="2"/>
  <c r="BV10" i="2"/>
  <c r="BT21" i="2"/>
  <c r="BT23" i="2" s="1"/>
  <c r="BT20" i="2"/>
  <c r="CA25" i="2"/>
  <c r="BZ27" i="2"/>
  <c r="CB19" i="2"/>
  <c r="CA22" i="2"/>
  <c r="CA40" i="2" s="1"/>
  <c r="BT41" i="2" l="1"/>
  <c r="CB38" i="2"/>
  <c r="BS28" i="2"/>
  <c r="BS39" i="2"/>
  <c r="BR30" i="2"/>
  <c r="BR31" i="2" s="1"/>
  <c r="BR42" i="2"/>
  <c r="BQ32" i="2"/>
  <c r="BQ33" i="2" s="1"/>
  <c r="BQ43" i="2"/>
  <c r="BT24" i="2"/>
  <c r="BT36" i="2"/>
  <c r="BX12" i="2"/>
  <c r="BW10" i="2"/>
  <c r="BV37" i="2"/>
  <c r="BV18" i="2"/>
  <c r="BU21" i="2"/>
  <c r="BU23" i="2" s="1"/>
  <c r="BU20" i="2"/>
  <c r="CB25" i="2"/>
  <c r="CB27" i="2" s="1"/>
  <c r="CA27" i="2"/>
  <c r="CB22" i="2"/>
  <c r="CB40" i="2" s="1"/>
  <c r="BT28" i="2" l="1"/>
  <c r="BT39" i="2"/>
  <c r="BR32" i="2"/>
  <c r="BR33" i="2" s="1"/>
  <c r="BR43" i="2"/>
  <c r="BS30" i="2"/>
  <c r="BS31" i="2" s="1"/>
  <c r="BS42" i="2"/>
  <c r="BU41" i="2"/>
  <c r="BU36" i="2"/>
  <c r="BU24" i="2"/>
  <c r="BW37" i="2"/>
  <c r="BW18" i="2"/>
  <c r="BY12" i="2"/>
  <c r="BX10" i="2"/>
  <c r="BV21" i="2"/>
  <c r="BV23" i="2" s="1"/>
  <c r="BV20" i="2"/>
  <c r="BU28" i="2" l="1"/>
  <c r="BU39" i="2"/>
  <c r="BS32" i="2"/>
  <c r="BS33" i="2" s="1"/>
  <c r="BS43" i="2"/>
  <c r="BT30" i="2"/>
  <c r="BT31" i="2" s="1"/>
  <c r="BT42" i="2"/>
  <c r="BV41" i="2"/>
  <c r="BV36" i="2"/>
  <c r="BV24" i="2"/>
  <c r="BX37" i="2"/>
  <c r="BX18" i="2"/>
  <c r="BZ12" i="2"/>
  <c r="BY10" i="2"/>
  <c r="BW21" i="2"/>
  <c r="BW23" i="2" s="1"/>
  <c r="BW20" i="2"/>
  <c r="BV28" i="2" l="1"/>
  <c r="BV39" i="2"/>
  <c r="BT32" i="2"/>
  <c r="BT33" i="2" s="1"/>
  <c r="BT43" i="2"/>
  <c r="BU30" i="2"/>
  <c r="BU31" i="2" s="1"/>
  <c r="BU42" i="2"/>
  <c r="BW41" i="2"/>
  <c r="BY37" i="2"/>
  <c r="BY18" i="2"/>
  <c r="BW36" i="2"/>
  <c r="BW24" i="2"/>
  <c r="CA12" i="2"/>
  <c r="BZ10" i="2"/>
  <c r="BX21" i="2"/>
  <c r="BX23" i="2" s="1"/>
  <c r="BX20" i="2"/>
  <c r="BW28" i="2" l="1"/>
  <c r="BW39" i="2"/>
  <c r="BU32" i="2"/>
  <c r="BU33" i="2" s="1"/>
  <c r="BU43" i="2"/>
  <c r="BV30" i="2"/>
  <c r="BV31" i="2" s="1"/>
  <c r="BV42" i="2"/>
  <c r="BX41" i="2"/>
  <c r="BX36" i="2"/>
  <c r="BX24" i="2"/>
  <c r="BZ37" i="2"/>
  <c r="BZ18" i="2"/>
  <c r="CB12" i="2"/>
  <c r="CB10" i="2" s="1"/>
  <c r="CA10" i="2"/>
  <c r="BY21" i="2"/>
  <c r="BY23" i="2" s="1"/>
  <c r="BY20" i="2"/>
  <c r="BX28" i="2" l="1"/>
  <c r="BX39" i="2"/>
  <c r="BV32" i="2"/>
  <c r="BV33" i="2" s="1"/>
  <c r="BV43" i="2"/>
  <c r="BY41" i="2"/>
  <c r="BW30" i="2"/>
  <c r="BW31" i="2" s="1"/>
  <c r="BW42" i="2"/>
  <c r="BY36" i="2"/>
  <c r="BY24" i="2"/>
  <c r="CA37" i="2"/>
  <c r="CA18" i="2"/>
  <c r="CB37" i="2"/>
  <c r="CB18" i="2"/>
  <c r="BZ21" i="2"/>
  <c r="BZ23" i="2" s="1"/>
  <c r="BZ20" i="2"/>
  <c r="BY28" i="2" l="1"/>
  <c r="BY39" i="2"/>
  <c r="BW32" i="2"/>
  <c r="BW33" i="2" s="1"/>
  <c r="BW43" i="2"/>
  <c r="BX30" i="2"/>
  <c r="BX31" i="2" s="1"/>
  <c r="BX42" i="2"/>
  <c r="BZ41" i="2"/>
  <c r="BZ36" i="2"/>
  <c r="BZ24" i="2"/>
  <c r="CA21" i="2"/>
  <c r="CA23" i="2" s="1"/>
  <c r="CA20" i="2"/>
  <c r="CB21" i="2"/>
  <c r="CB23" i="2" s="1"/>
  <c r="CB20" i="2"/>
  <c r="BZ28" i="2" l="1"/>
  <c r="BZ39" i="2"/>
  <c r="BX32" i="2"/>
  <c r="BX33" i="2" s="1"/>
  <c r="BX43" i="2"/>
  <c r="BY30" i="2"/>
  <c r="BY31" i="2" s="1"/>
  <c r="BY42" i="2"/>
  <c r="CA41" i="2"/>
  <c r="CB41" i="2"/>
  <c r="CB36" i="2"/>
  <c r="CB24" i="2"/>
  <c r="CA36" i="2"/>
  <c r="CA24" i="2"/>
  <c r="BY32" i="2" l="1"/>
  <c r="BY33" i="2" s="1"/>
  <c r="BY43" i="2"/>
  <c r="CA28" i="2"/>
  <c r="CA39" i="2"/>
  <c r="CB28" i="2"/>
  <c r="CB39" i="2"/>
  <c r="BZ30" i="2"/>
  <c r="BZ31" i="2" s="1"/>
  <c r="BZ42" i="2"/>
  <c r="CB30" i="2" l="1"/>
  <c r="CB31" i="2" s="1"/>
  <c r="CB42" i="2"/>
  <c r="BZ32" i="2"/>
  <c r="BZ33" i="2" s="1"/>
  <c r="BZ43" i="2"/>
  <c r="CA30" i="2"/>
  <c r="CA31" i="2" s="1"/>
  <c r="CA42" i="2"/>
  <c r="CA32" i="2" l="1"/>
  <c r="CA33" i="2" s="1"/>
  <c r="CA43" i="2"/>
  <c r="CB32" i="2"/>
  <c r="CB43" i="2"/>
  <c r="CB33" i="2" l="1"/>
  <c r="CC32" i="2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CE38" i="2" s="1"/>
  <c r="CE39" i="2" s="1"/>
  <c r="CE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tc={8B546760-5384-414E-A6B9-E1D3A62FBA1E}</author>
    <author>tc={27342C5B-88CE-4063-B8D4-B55BA2454541}</author>
    <author>tc={A66FF96E-74C3-4E8A-98BD-FDBDF9418213}</author>
    <author>tc={213AECC6-6B53-49DA-A8DF-9E89CC0658C5}</author>
  </authors>
  <commentList>
    <comment ref="O10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10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W10" authorId="2" shapeId="0" xr:uid="{8B546760-5384-414E-A6B9-E1D3A62FBA1E}">
      <text>
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</text>
    </comment>
    <comment ref="G11" authorId="3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  <comment ref="Y20" authorId="4" shapeId="0" xr:uid="{A66FF96E-74C3-4E8A-98BD-FDBDF941821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</text>
    </comment>
    <comment ref="AF36" authorId="5" shapeId="0" xr:uid="{213AECC6-6B53-49DA-A8DF-9E89CC0658C5}">
      <text>
        <t>[Threaded comment]
Your version of Excel allows you to read this threaded comment; however, any edits to it will get removed if the file is opened in a newer version of Excel. Learn more: https://go.microsoft.com/fwlink/?linkid=870924
Comment:
    Low-to-mid single digit growth</t>
      </text>
    </comment>
  </commentList>
</comments>
</file>

<file path=xl/sharedStrings.xml><?xml version="1.0" encoding="utf-8"?>
<sst xmlns="http://schemas.openxmlformats.org/spreadsheetml/2006/main" count="174" uniqueCount="163">
  <si>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</si>
  <si>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</si>
  <si>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</si>
  <si>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</si>
  <si>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</si>
  <si>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</si>
  <si>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</si>
  <si>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</si>
  <si>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</si>
  <si>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</si>
  <si>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</si>
  <si>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</si>
  <si>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</si>
  <si>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</si>
  <si>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</si>
  <si>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</si>
  <si>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</si>
  <si>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</si>
  <si>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</si>
  <si>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</si>
  <si>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</si>
  <si>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</si>
  <si>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</si>
  <si>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</si>
  <si>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</si>
  <si>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</si>
  <si>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</si>
  <si>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</si>
  <si>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</si>
  <si>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</si>
  <si>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</si>
  <si>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</si>
  <si>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</si>
  <si>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</si>
  <si>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</si>
  <si>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</si>
  <si>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</si>
  <si>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</si>
  <si>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</si>
  <si>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</si>
  <si>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</si>
  <si>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</si>
  <si>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</si>
  <si>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</si>
  <si>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</si>
  <si>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</si>
  <si>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</si>
  <si>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</si>
  <si>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</si>
  <si>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</si>
  <si>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</si>
  <si>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</si>
  <si>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</si>
  <si>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</si>
  <si>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</si>
  <si>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</si>
  <si>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</si>
  <si>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</si>
  <si>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</si>
  <si>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</si>
  <si>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</si>
  <si>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</si>
  <si>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</si>
  <si>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</si>
  <si>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</si>
  <si>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</si>
  <si>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</si>
  <si>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</si>
  <si>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</si>
  <si>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</si>
  <si>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</si>
  <si>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</si>
  <si>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</si>
  <si>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</si>
  <si>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</si>
  <si>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</si>
  <si>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</si>
  <si>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</si>
  <si>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</si>
  <si>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</si>
  <si>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</si>
  <si>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</si>
  <si>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</si>
  <si>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</si>
  <si>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</si>
  <si>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</si>
  <si>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</si>
  <si>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</si>
  <si>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</si>
  <si>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</si>
  <si>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</si>
  <si>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</si>
  <si>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</si>
  <si>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</si>
  <si>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</si>
  <si>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</si>
  <si>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</si>
  <si>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</si>
  <si>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</si>
  <si>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</si>
  <si>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</si>
  <si>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</si>
  <si>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</si>
  <si>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</si>
  <si>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</si>
  <si>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</si>
  <si>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</si>
  <si>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</si>
  <si>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</si>
  <si>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</si>
  <si>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</si>
  <si>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</si>
  <si>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</si>
  <si>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</si>
  <si>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</si>
  <si>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</si>
  <si>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</si>
  <si>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</si>
  <si>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</si>
  <si>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</si>
  <si>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</si>
  <si>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</si>
  <si>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</si>
  <si>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</si>
  <si>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</si>
  <si>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</si>
  <si>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</si>
  <si>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</si>
  <si>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</si>
  <si>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</si>
  <si>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</si>
  <si>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</si>
  <si>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</si>
  <si>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</si>
  <si>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</si>
  <si>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</si>
  <si>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</si>
  <si>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</si>
  <si>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</si>
  <si>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</si>
  <si>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</si>
  <si>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</si>
  <si>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</si>
  <si>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</si>
  <si>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</si>
  <si>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</si>
  <si>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</si>
  <si>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</si>
  <si>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</si>
  <si>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</si>
  <si>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</si>
  <si>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</si>
  <si>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</si>
  <si>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</si>
  <si>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</si>
  <si>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</si>
  <si>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</si>
  <si>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 xml:space="preserve">CFO: </t>
  </si>
  <si>
    <t>Kevan</t>
  </si>
  <si>
    <t>EPS y/y</t>
  </si>
  <si>
    <t>FCF</t>
  </si>
  <si>
    <t>TTM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</si>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</sst>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34054</xdr:colOff>
      <xdr:row>0</xdr:row>
      <xdr:rowOff>114300</xdr:rowOff>
    </xdr:from>
    <xdr:to>
      <xdr:col>32</xdr:col>
      <xdr:colOff>34054</xdr:colOff>
      <xdr:row>108</xdr:row>
      <xdr:rowOff>14670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20042904" y="114300"/>
          <a:ext cx="0" cy="170961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48404</xdr:colOff>
      <xdr:row>0</xdr:row>
      <xdr:rowOff>0</xdr:rowOff>
    </xdr:from>
    <xdr:to>
      <xdr:col>64</xdr:col>
      <xdr:colOff>48404</xdr:colOff>
      <xdr:row>97</xdr:row>
      <xdr:rowOff>118242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39837504" y="0"/>
          <a:ext cx="0" cy="155677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8-26T02:45:15.22" personId="{4B463983-1ED9-4483-807D-A99FFA75D83D}" id="{C30768C0-880B-4B40-A104-685F835131C2}">
    <text>Releases iPhone 12</text>
  </threadedComment>
  <threadedComment ref="R10" dT="2022-08-26T02:45:35.85" personId="{4B463983-1ED9-4483-807D-A99FFA75D83D}" id="{7E0EAC92-01A4-4259-A810-ACD05E803073}">
    <text>iPhone 13 launch</text>
  </threadedComment>
  <threadedComment ref="W10" dT="2023-05-05T02:37:23.63" personId="{4B463983-1ED9-4483-807D-A99FFA75D83D}" id="{8B546760-5384-414E-A6B9-E1D3A62FBA1E}">
    <text>2B installed base</text>
  </threadedComment>
  <threadedComment ref="G11" dT="2022-08-26T03:07:04.99" personId="{4B463983-1ED9-4483-807D-A99FFA75D83D}" id="{27342C5B-88CE-4063-B8D4-B55BA2454541}">
    <text>From Statista</text>
  </threadedComment>
  <threadedComment ref="Y20" dT="2023-05-05T02:28:11.78" personId="{4B463983-1ED9-4483-807D-A99FFA75D83D}" id="{A66FF96E-74C3-4E8A-98BD-FDBDF9418213}">
    <text>Same y/y performance as Q223</text>
  </threadedComment>
  <threadedComment ref="AF36" dT="2025-01-30T22:22:37.93" personId="{4B463983-1ED9-4483-807D-A99FFA75D83D}" id="{213AECC6-6B53-49DA-A8DF-9E89CC0658C5}">
    <text>Low-to-mid single digit growth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0"/>
  <sheetViews>
    <sheetView topLeftCell="D1" zoomScale="115" zoomScaleNormal="115" workbookViewId="0">
      <selection activeCell="O7" sqref="O7"/>
    </sheetView>
  </sheetViews>
  <sheetFormatPr defaultColWidth="8.81640625" defaultRowHeight="12.5" x14ac:dyDescent="0.25"/>
  <cols>
    <col min="15" max="15" width="9.81640625" customWidth="1"/>
  </cols>
  <sheetData>
    <row r="2" spans="14:16" x14ac:dyDescent="0.25">
      <c r="N2" t="s">
        <v>0</v>
      </c>
      <c r="O2" s="6">
        <v>203</v>
      </c>
    </row>
    <row r="3" spans="14:16" x14ac:dyDescent="0.25">
      <c r="N3" t="s">
        <v>1</v>
      </c>
      <c r="O3" s="2">
        <v>15056</v>
      </c>
      <c r="P3" s="1" t="s">
        <v>162</v>
      </c>
    </row>
    <row r="4" spans="14:16" x14ac:dyDescent="0.25">
      <c r="N4" t="s">
        <v>2</v>
      </c>
      <c r="O4" s="2">
        <f>+O2*O3</f>
        <v>3056368</v>
      </c>
    </row>
    <row r="5" spans="14:16" x14ac:dyDescent="0.25">
      <c r="N5" t="s">
        <v>3</v>
      </c>
      <c r="O5" s="2">
        <v>132922</v>
      </c>
      <c r="P5" s="1" t="s">
        <v>162</v>
      </c>
    </row>
    <row r="6" spans="14:16" x14ac:dyDescent="0.25">
      <c r="N6" t="s">
        <v>4</v>
      </c>
      <c r="O6" s="2">
        <v>98186</v>
      </c>
      <c r="P6" s="1" t="s">
        <v>162</v>
      </c>
    </row>
    <row r="7" spans="14:16" x14ac:dyDescent="0.25">
      <c r="N7" t="s">
        <v>5</v>
      </c>
      <c r="O7" s="2">
        <f>+O4-O5+O6</f>
        <v>3021632</v>
      </c>
    </row>
    <row r="10" spans="14:16" x14ac:dyDescent="0.25">
      <c r="N10" t="s">
        <v>157</v>
      </c>
      <c r="O10" t="s">
        <v>158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GJ90"/>
  <sheetViews>
    <sheetView tabSelected="1" zoomScaleNormal="100" workbookViewId="0">
      <pane xSplit="2" ySplit="3" topLeftCell="AA40" activePane="bottomRight" state="frozen"/>
      <selection pane="topRight" activeCell="C1" sqref="C1"/>
      <selection pane="bottomLeft" activeCell="A3" sqref="A3"/>
      <selection pane="bottomRight" activeCell="AF49" sqref="AF49"/>
    </sheetView>
  </sheetViews>
  <sheetFormatPr defaultColWidth="8.81640625" defaultRowHeight="12.5" x14ac:dyDescent="0.25"/>
  <cols>
    <col min="1" max="1" width="5" bestFit="1" customWidth="1"/>
    <col min="2" max="2" width="15.81640625" customWidth="1"/>
    <col min="15" max="15" width="9.1796875" customWidth="1"/>
    <col min="19" max="19" width="9.1796875" customWidth="1"/>
    <col min="21" max="21" width="9.1796875" customWidth="1"/>
    <col min="63" max="63" width="9.81640625" bestFit="1" customWidth="1"/>
    <col min="80" max="80" width="9.453125" customWidth="1"/>
    <col min="83" max="83" width="10.81640625" customWidth="1"/>
  </cols>
  <sheetData>
    <row r="1" spans="1:80" x14ac:dyDescent="0.25">
      <c r="A1" s="3" t="s">
        <v>6</v>
      </c>
    </row>
    <row r="2" spans="1:80" s="11" customFormat="1" x14ac:dyDescent="0.25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X2" s="11">
        <v>45017</v>
      </c>
      <c r="Y2" s="11">
        <f>X2+90</f>
        <v>45107</v>
      </c>
      <c r="Z2" s="11">
        <f>Y2+92</f>
        <v>45199</v>
      </c>
      <c r="AA2" s="11">
        <f t="shared" ref="AA2:AH2" si="0">+W2+365</f>
        <v>45291</v>
      </c>
      <c r="AB2" s="11">
        <f t="shared" si="0"/>
        <v>45382</v>
      </c>
      <c r="AC2" s="11">
        <f t="shared" si="0"/>
        <v>45472</v>
      </c>
      <c r="AD2" s="11">
        <f t="shared" si="0"/>
        <v>45564</v>
      </c>
      <c r="AE2" s="11">
        <f t="shared" si="0"/>
        <v>45656</v>
      </c>
      <c r="AF2" s="11">
        <f t="shared" si="0"/>
        <v>45747</v>
      </c>
      <c r="AG2" s="11">
        <f t="shared" si="0"/>
        <v>45837</v>
      </c>
      <c r="AH2" s="11">
        <f t="shared" si="0"/>
        <v>45929</v>
      </c>
      <c r="BE2" s="11">
        <v>43008</v>
      </c>
      <c r="BF2" s="11">
        <v>43372</v>
      </c>
      <c r="BG2" s="11">
        <v>43736</v>
      </c>
      <c r="BH2" s="11">
        <v>44100</v>
      </c>
      <c r="BI2" s="11">
        <v>44464</v>
      </c>
      <c r="BJ2" s="11">
        <v>44828</v>
      </c>
      <c r="BK2" s="11">
        <f>Z2</f>
        <v>45199</v>
      </c>
      <c r="BL2" s="11">
        <f>BK2+366</f>
        <v>45565</v>
      </c>
      <c r="BM2" s="11">
        <f>BL2+365</f>
        <v>45930</v>
      </c>
      <c r="BN2" s="11">
        <f>BM2+365</f>
        <v>46295</v>
      </c>
      <c r="BO2" s="11">
        <f>BN2+365</f>
        <v>46660</v>
      </c>
      <c r="BP2" s="11">
        <f>BO2+366</f>
        <v>47026</v>
      </c>
      <c r="BQ2" s="11">
        <f>BP2+365</f>
        <v>47391</v>
      </c>
      <c r="BR2" s="11">
        <f>BQ2+365</f>
        <v>47756</v>
      </c>
      <c r="BS2" s="11">
        <f>BR2+365</f>
        <v>48121</v>
      </c>
      <c r="BT2" s="11">
        <f>BS2+366</f>
        <v>48487</v>
      </c>
      <c r="BU2" s="11">
        <f>BT2+365</f>
        <v>48852</v>
      </c>
      <c r="BV2" s="11">
        <f>BU2+365</f>
        <v>49217</v>
      </c>
      <c r="BW2" s="11">
        <f>BV2+365</f>
        <v>49582</v>
      </c>
      <c r="BX2" s="11">
        <f>BW2+366</f>
        <v>49948</v>
      </c>
      <c r="BY2" s="11">
        <f>BX2+365</f>
        <v>50313</v>
      </c>
      <c r="BZ2" s="11">
        <f>BY2+365</f>
        <v>50678</v>
      </c>
      <c r="CA2" s="11">
        <f>BZ2+365</f>
        <v>51043</v>
      </c>
      <c r="CB2" s="11">
        <f>CA2+366</f>
        <v>51409</v>
      </c>
    </row>
    <row r="3" spans="1:80" s="1" customFormat="1" x14ac:dyDescent="0.25">
      <c r="C3" s="1" t="s">
        <v>88</v>
      </c>
      <c r="D3" s="1" t="s">
        <v>87</v>
      </c>
      <c r="E3" s="1" t="s">
        <v>83</v>
      </c>
      <c r="F3" s="1" t="s">
        <v>82</v>
      </c>
      <c r="G3" s="1" t="s">
        <v>81</v>
      </c>
      <c r="H3" s="1" t="s">
        <v>80</v>
      </c>
      <c r="I3" s="1" t="s">
        <v>68</v>
      </c>
      <c r="J3" s="1" t="s">
        <v>69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149</v>
      </c>
      <c r="AB3" s="1" t="s">
        <v>150</v>
      </c>
      <c r="AC3" s="1" t="s">
        <v>151</v>
      </c>
      <c r="AD3" s="1" t="s">
        <v>152</v>
      </c>
      <c r="AE3" s="1" t="s">
        <v>153</v>
      </c>
      <c r="AF3" s="1" t="s">
        <v>154</v>
      </c>
      <c r="AG3" s="1" t="s">
        <v>155</v>
      </c>
      <c r="AH3" s="1" t="s">
        <v>156</v>
      </c>
      <c r="AL3" s="1" t="s">
        <v>114</v>
      </c>
      <c r="AM3" s="1" t="s">
        <v>113</v>
      </c>
      <c r="AN3" s="1" t="s">
        <v>112</v>
      </c>
      <c r="AO3" s="1" t="s">
        <v>111</v>
      </c>
      <c r="AP3" s="1" t="s">
        <v>110</v>
      </c>
      <c r="AQ3" s="1" t="s">
        <v>108</v>
      </c>
      <c r="AR3" s="1" t="s">
        <v>107</v>
      </c>
      <c r="AS3" s="1" t="s">
        <v>106</v>
      </c>
      <c r="AT3" s="1" t="s">
        <v>105</v>
      </c>
      <c r="AU3" s="1" t="s">
        <v>104</v>
      </c>
      <c r="AV3" s="1" t="s">
        <v>102</v>
      </c>
      <c r="AW3" s="1" t="s">
        <v>103</v>
      </c>
      <c r="AX3" s="1" t="s">
        <v>101</v>
      </c>
      <c r="AY3" s="1" t="s">
        <v>100</v>
      </c>
      <c r="AZ3" s="1" t="s">
        <v>99</v>
      </c>
      <c r="BA3" s="1" t="s">
        <v>98</v>
      </c>
      <c r="BB3" s="1" t="s">
        <v>92</v>
      </c>
      <c r="BC3" s="1" t="s">
        <v>91</v>
      </c>
      <c r="BD3" s="1" t="s">
        <v>90</v>
      </c>
      <c r="BE3" s="1" t="s">
        <v>89</v>
      </c>
      <c r="BF3" s="1" t="s">
        <v>75</v>
      </c>
      <c r="BG3" s="1" t="s">
        <v>71</v>
      </c>
      <c r="BH3" s="1" t="s">
        <v>47</v>
      </c>
      <c r="BI3" s="1" t="s">
        <v>48</v>
      </c>
      <c r="BJ3" s="1" t="s">
        <v>49</v>
      </c>
      <c r="BK3" s="1" t="s">
        <v>50</v>
      </c>
      <c r="BL3" s="1" t="s">
        <v>51</v>
      </c>
      <c r="BM3" s="1" t="s">
        <v>52</v>
      </c>
      <c r="BN3" s="1" t="s">
        <v>53</v>
      </c>
      <c r="BO3" s="1" t="s">
        <v>54</v>
      </c>
      <c r="BP3" s="1" t="s">
        <v>55</v>
      </c>
      <c r="BQ3" s="1" t="s">
        <v>56</v>
      </c>
      <c r="BR3" s="1" t="s">
        <v>57</v>
      </c>
      <c r="BS3" s="1" t="s">
        <v>58</v>
      </c>
      <c r="BT3" s="1" t="s">
        <v>59</v>
      </c>
      <c r="BU3" s="1" t="s">
        <v>60</v>
      </c>
      <c r="BV3" s="1" t="s">
        <v>61</v>
      </c>
      <c r="BW3" s="1" t="s">
        <v>62</v>
      </c>
      <c r="BX3" s="1" t="s">
        <v>63</v>
      </c>
      <c r="BY3" s="1" t="s">
        <v>64</v>
      </c>
      <c r="BZ3" s="1" t="s">
        <v>65</v>
      </c>
      <c r="CA3" s="1" t="s">
        <v>66</v>
      </c>
      <c r="CB3" s="1" t="s">
        <v>67</v>
      </c>
    </row>
    <row r="4" spans="1:80" s="7" customFormat="1" x14ac:dyDescent="0.25">
      <c r="B4" s="17" t="s">
        <v>144</v>
      </c>
      <c r="O4" s="7">
        <v>46310</v>
      </c>
      <c r="R4" s="7">
        <v>36820</v>
      </c>
      <c r="S4" s="7">
        <v>51496</v>
      </c>
      <c r="T4" s="7">
        <v>40882</v>
      </c>
      <c r="U4" s="7">
        <v>37472</v>
      </c>
      <c r="V4" s="7">
        <v>39808</v>
      </c>
      <c r="W4" s="7">
        <v>49278</v>
      </c>
      <c r="X4" s="7">
        <v>37784</v>
      </c>
      <c r="Y4" s="7">
        <v>35383</v>
      </c>
      <c r="Z4" s="7">
        <f>162560-Y4-X4-W4</f>
        <v>40115</v>
      </c>
      <c r="AA4" s="7">
        <v>50430</v>
      </c>
      <c r="AB4" s="7">
        <v>37273</v>
      </c>
      <c r="AC4" s="7">
        <v>37678</v>
      </c>
      <c r="AD4" s="7">
        <f>167045-AC4-AB4-AA4</f>
        <v>41664</v>
      </c>
      <c r="AE4" s="7">
        <v>52648</v>
      </c>
      <c r="AF4" s="7">
        <v>40315</v>
      </c>
    </row>
    <row r="5" spans="1:80" s="7" customFormat="1" x14ac:dyDescent="0.25">
      <c r="B5" s="17" t="s">
        <v>145</v>
      </c>
      <c r="O5" s="7">
        <v>27306</v>
      </c>
      <c r="R5" s="7">
        <v>20794</v>
      </c>
      <c r="S5" s="7">
        <v>29749</v>
      </c>
      <c r="T5" s="7">
        <v>23287</v>
      </c>
      <c r="U5" s="7">
        <v>19287</v>
      </c>
      <c r="V5" s="7">
        <v>22795</v>
      </c>
      <c r="W5" s="7">
        <v>27681</v>
      </c>
      <c r="X5" s="7">
        <v>23945</v>
      </c>
      <c r="Y5" s="7">
        <v>20205</v>
      </c>
      <c r="Z5" s="7">
        <f>94294-Y5-X5-W5</f>
        <v>22463</v>
      </c>
      <c r="AA5" s="7">
        <v>30397</v>
      </c>
      <c r="AB5" s="7">
        <v>24123</v>
      </c>
      <c r="AC5" s="7">
        <v>21884</v>
      </c>
      <c r="AD5" s="7">
        <f>101328-AC5-AB5-AA5</f>
        <v>24924</v>
      </c>
      <c r="AE5" s="7">
        <v>33861</v>
      </c>
      <c r="AF5" s="7">
        <v>24454</v>
      </c>
    </row>
    <row r="6" spans="1:80" s="7" customFormat="1" x14ac:dyDescent="0.25">
      <c r="B6" s="17" t="s">
        <v>146</v>
      </c>
      <c r="O6" s="7">
        <v>21313</v>
      </c>
      <c r="R6" s="7">
        <v>14563</v>
      </c>
      <c r="S6" s="7">
        <v>25783</v>
      </c>
      <c r="T6" s="7">
        <v>18343</v>
      </c>
      <c r="U6" s="7">
        <v>14604</v>
      </c>
      <c r="V6" s="7">
        <v>15470</v>
      </c>
      <c r="W6" s="7">
        <v>23905</v>
      </c>
      <c r="X6" s="7">
        <v>17812</v>
      </c>
      <c r="Y6" s="7">
        <v>15758</v>
      </c>
      <c r="Z6" s="7">
        <f>72559-Y6-X6-W6</f>
        <v>15084</v>
      </c>
      <c r="AA6" s="7">
        <v>20819</v>
      </c>
      <c r="AB6" s="7">
        <v>16372</v>
      </c>
      <c r="AC6" s="7">
        <v>14728</v>
      </c>
      <c r="AD6" s="7">
        <f>66952-AC6-AB6-AA6</f>
        <v>15033</v>
      </c>
      <c r="AE6" s="7">
        <v>18513</v>
      </c>
      <c r="AF6" s="7">
        <v>16002</v>
      </c>
    </row>
    <row r="7" spans="1:80" s="7" customFormat="1" x14ac:dyDescent="0.25">
      <c r="B7" s="17" t="s">
        <v>147</v>
      </c>
      <c r="O7" s="7">
        <v>8285</v>
      </c>
      <c r="R7" s="7">
        <v>5991</v>
      </c>
      <c r="S7" s="7">
        <v>7107</v>
      </c>
      <c r="T7" s="7">
        <v>7724</v>
      </c>
      <c r="U7" s="7">
        <v>5446</v>
      </c>
      <c r="V7" s="7">
        <v>5700</v>
      </c>
      <c r="W7" s="7">
        <v>6755</v>
      </c>
      <c r="X7" s="7">
        <v>7176</v>
      </c>
      <c r="Y7" s="7">
        <v>4821</v>
      </c>
      <c r="Z7" s="7">
        <f>24257-Y7-X7-W7</f>
        <v>5505</v>
      </c>
      <c r="AA7" s="7">
        <v>7767</v>
      </c>
      <c r="AB7" s="7">
        <v>6262</v>
      </c>
      <c r="AC7" s="7">
        <v>5097</v>
      </c>
      <c r="AD7" s="7">
        <f>25052-AC7-AB7-AA7</f>
        <v>5926</v>
      </c>
      <c r="AE7" s="7">
        <v>8987</v>
      </c>
      <c r="AF7" s="7">
        <v>7298</v>
      </c>
    </row>
    <row r="8" spans="1:80" s="7" customFormat="1" x14ac:dyDescent="0.25">
      <c r="B8" s="17" t="s">
        <v>148</v>
      </c>
      <c r="O8" s="7">
        <v>8225</v>
      </c>
      <c r="R8" s="7">
        <v>5192</v>
      </c>
      <c r="S8" s="7">
        <v>9810</v>
      </c>
      <c r="T8" s="7">
        <v>7042</v>
      </c>
      <c r="U8" s="7">
        <v>6150</v>
      </c>
      <c r="V8" s="7">
        <v>6373</v>
      </c>
      <c r="W8" s="7">
        <v>9535</v>
      </c>
      <c r="X8" s="7">
        <v>8119</v>
      </c>
      <c r="Y8" s="7">
        <v>5630</v>
      </c>
      <c r="Z8" s="7">
        <f>29615-Y8-X8-W8</f>
        <v>6331</v>
      </c>
      <c r="AA8" s="7">
        <v>10162</v>
      </c>
      <c r="AB8" s="7">
        <v>6723</v>
      </c>
      <c r="AC8" s="7">
        <v>6390</v>
      </c>
      <c r="AD8" s="7">
        <f>30658-AC8-AB8-AA8</f>
        <v>7383</v>
      </c>
      <c r="AE8" s="7">
        <v>10291</v>
      </c>
      <c r="AF8" s="7">
        <v>7290</v>
      </c>
    </row>
    <row r="9" spans="1:80" s="1" customFormat="1" x14ac:dyDescent="0.25"/>
    <row r="10" spans="1:80" s="7" customFormat="1" x14ac:dyDescent="0.25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Y10" s="7">
        <v>39669</v>
      </c>
      <c r="Z10" s="7">
        <f>200583-Y10-X10-W10</f>
        <v>43805</v>
      </c>
      <c r="AA10" s="7">
        <v>69702</v>
      </c>
      <c r="AB10" s="7">
        <v>45963</v>
      </c>
      <c r="AC10" s="7">
        <v>39296</v>
      </c>
      <c r="AD10" s="7">
        <f>201183-AC10-AB10-AA10</f>
        <v>46222</v>
      </c>
      <c r="AE10" s="7">
        <v>69138</v>
      </c>
      <c r="AF10" s="7">
        <v>46841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123</v>
      </c>
      <c r="AV10" s="7">
        <v>6742</v>
      </c>
      <c r="AW10" s="7">
        <v>13033</v>
      </c>
      <c r="AX10" s="7">
        <v>25179</v>
      </c>
      <c r="AY10" s="7">
        <v>45998</v>
      </c>
      <c r="AZ10" s="7">
        <v>78692</v>
      </c>
      <c r="BA10" s="7">
        <v>91279</v>
      </c>
      <c r="BB10" s="7">
        <v>101991</v>
      </c>
      <c r="BC10" s="7">
        <v>155041</v>
      </c>
      <c r="BD10" s="7">
        <v>136700</v>
      </c>
      <c r="BE10" s="7">
        <v>141319</v>
      </c>
      <c r="BF10" s="7">
        <v>164888</v>
      </c>
      <c r="BG10" s="7">
        <v>142381</v>
      </c>
      <c r="BH10" s="7">
        <f>SUM(K10:N10)</f>
        <v>137781</v>
      </c>
      <c r="BI10" s="7">
        <f>SUM(O10:R10)</f>
        <v>191973</v>
      </c>
      <c r="BJ10" s="7">
        <f>SUM(S10:V10)</f>
        <v>205489</v>
      </c>
      <c r="BK10" s="7">
        <v>200583</v>
      </c>
      <c r="BL10" s="7">
        <v>201183</v>
      </c>
      <c r="BM10" s="7">
        <f>+BM11*BM12/1000</f>
        <v>228116.70026193751</v>
      </c>
      <c r="BN10" s="7">
        <f t="shared" ref="BM10:CB10" si="1">+BN11*BN12/1000</f>
        <v>241037.23016477365</v>
      </c>
      <c r="BO10" s="7">
        <f t="shared" si="1"/>
        <v>254689.57888130643</v>
      </c>
      <c r="BP10" s="7">
        <f t="shared" si="1"/>
        <v>269115.19662914367</v>
      </c>
      <c r="BQ10" s="7">
        <f t="shared" si="1"/>
        <v>284357.88136621832</v>
      </c>
      <c r="BR10" s="7">
        <f t="shared" si="1"/>
        <v>297574.83569212013</v>
      </c>
      <c r="BS10" s="7">
        <f t="shared" si="1"/>
        <v>311406.11405508994</v>
      </c>
      <c r="BT10" s="7">
        <f t="shared" si="1"/>
        <v>325880.2702363705</v>
      </c>
      <c r="BU10" s="7">
        <f t="shared" si="1"/>
        <v>341027.18519695703</v>
      </c>
      <c r="BV10" s="7">
        <f t="shared" si="1"/>
        <v>353413.29256331059</v>
      </c>
      <c r="BW10" s="7">
        <f t="shared" si="1"/>
        <v>366249.26334921003</v>
      </c>
      <c r="BX10" s="7">
        <f t="shared" si="1"/>
        <v>379551.43659405335</v>
      </c>
      <c r="BY10" s="7">
        <f t="shared" si="1"/>
        <v>393336.74477114936</v>
      </c>
      <c r="BZ10" s="7">
        <f t="shared" si="1"/>
        <v>407622.73534123757</v>
      </c>
      <c r="CA10" s="7">
        <f t="shared" si="1"/>
        <v>422427.59308883129</v>
      </c>
      <c r="CB10" s="7">
        <f t="shared" si="1"/>
        <v>437770.16326981765</v>
      </c>
    </row>
    <row r="11" spans="1:80" s="7" customFormat="1" x14ac:dyDescent="0.25">
      <c r="B11" s="2" t="s">
        <v>84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f>+U10/U12*1000</f>
        <v>43260.117693779554</v>
      </c>
      <c r="AW11" s="7">
        <v>20731</v>
      </c>
      <c r="AX11" s="7">
        <v>39989</v>
      </c>
      <c r="AY11" s="7">
        <v>72293</v>
      </c>
      <c r="AZ11" s="7">
        <v>125046</v>
      </c>
      <c r="BA11" s="7">
        <v>150257</v>
      </c>
      <c r="BB11" s="7">
        <v>169219</v>
      </c>
      <c r="BC11" s="7">
        <v>231218</v>
      </c>
      <c r="BD11" s="7">
        <v>211884</v>
      </c>
      <c r="BE11" s="7">
        <v>216756</v>
      </c>
      <c r="BF11" s="7">
        <f>SUM(C11:F11)</f>
        <v>217722</v>
      </c>
      <c r="BG11" s="7">
        <f>SUM(G11:J11)</f>
        <v>185200</v>
      </c>
      <c r="BH11" s="7">
        <f>SUM(K11:N11)</f>
        <v>189800</v>
      </c>
      <c r="BI11" s="7">
        <f>SUM(O11:R11)</f>
        <v>239900</v>
      </c>
      <c r="BJ11" s="7">
        <f>SUM(S11:V11)</f>
        <v>183860.11769377955</v>
      </c>
      <c r="BK11" s="7">
        <f>+BJ11*1.01</f>
        <v>185698.71887071736</v>
      </c>
      <c r="BL11" s="7">
        <f>+BK11*1.01</f>
        <v>187555.70605942453</v>
      </c>
      <c r="BM11" s="7">
        <f t="shared" ref="BM11:CB11" si="2">+BL11*1.016</f>
        <v>190556.59735637534</v>
      </c>
      <c r="BN11" s="7">
        <f t="shared" si="2"/>
        <v>193605.50291407734</v>
      </c>
      <c r="BO11" s="7">
        <f t="shared" si="2"/>
        <v>196703.19096070257</v>
      </c>
      <c r="BP11" s="7">
        <f t="shared" si="2"/>
        <v>199850.44201607382</v>
      </c>
      <c r="BQ11" s="7">
        <f t="shared" si="2"/>
        <v>203048.049088331</v>
      </c>
      <c r="BR11" s="7">
        <f t="shared" si="2"/>
        <v>206296.81787374429</v>
      </c>
      <c r="BS11" s="7">
        <f t="shared" si="2"/>
        <v>209597.56695972421</v>
      </c>
      <c r="BT11" s="7">
        <f t="shared" si="2"/>
        <v>212951.1280310798</v>
      </c>
      <c r="BU11" s="7">
        <f t="shared" si="2"/>
        <v>216358.34607957708</v>
      </c>
      <c r="BV11" s="7">
        <f t="shared" si="2"/>
        <v>219820.07961685033</v>
      </c>
      <c r="BW11" s="7">
        <f t="shared" si="2"/>
        <v>223337.20089071995</v>
      </c>
      <c r="BX11" s="7">
        <f t="shared" si="2"/>
        <v>226910.59610497148</v>
      </c>
      <c r="BY11" s="7">
        <f t="shared" si="2"/>
        <v>230541.16564265103</v>
      </c>
      <c r="BZ11" s="7">
        <f t="shared" si="2"/>
        <v>234229.82429293345</v>
      </c>
      <c r="CA11" s="7">
        <f t="shared" si="2"/>
        <v>237977.50148162039</v>
      </c>
      <c r="CB11" s="7">
        <f t="shared" si="2"/>
        <v>241785.14150532632</v>
      </c>
    </row>
    <row r="12" spans="1:80" s="7" customFormat="1" ht="13" x14ac:dyDescent="0.3">
      <c r="B12" s="2" t="s">
        <v>85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T12" si="3">+K10*1000/K11</f>
        <v>758.22493224932248</v>
      </c>
      <c r="L12" s="7">
        <f t="shared" si="3"/>
        <v>789.15531335149865</v>
      </c>
      <c r="M12" s="7">
        <f t="shared" si="3"/>
        <v>702.60638297872345</v>
      </c>
      <c r="N12" s="7">
        <f t="shared" si="3"/>
        <v>634.14868105515586</v>
      </c>
      <c r="O12" s="7">
        <f t="shared" si="3"/>
        <v>728.04661487236399</v>
      </c>
      <c r="P12" s="7">
        <f t="shared" si="3"/>
        <v>868.44202898550725</v>
      </c>
      <c r="Q12" s="7">
        <f t="shared" si="3"/>
        <v>895.24886877828055</v>
      </c>
      <c r="R12" s="7">
        <f t="shared" si="3"/>
        <v>771.19047619047615</v>
      </c>
      <c r="S12" s="7">
        <f t="shared" si="3"/>
        <v>851.70035671819267</v>
      </c>
      <c r="T12" s="7">
        <f t="shared" si="3"/>
        <v>895.04424778761063</v>
      </c>
      <c r="U12" s="14">
        <f>+Q12*1.05</f>
        <v>940.01131221719459</v>
      </c>
      <c r="V12" s="14"/>
      <c r="AW12" s="7">
        <f>+AW10*1000/AW11</f>
        <v>628.67203704596977</v>
      </c>
      <c r="AX12" s="7">
        <f>+AX10*1000/AX11</f>
        <v>629.64815324214157</v>
      </c>
      <c r="AY12" s="7">
        <f>+AY10*1000/AY11</f>
        <v>636.27183821393498</v>
      </c>
      <c r="AZ12" s="7">
        <f>+AZ10*1000/AZ11</f>
        <v>629.3044159749212</v>
      </c>
      <c r="BA12" s="7">
        <f t="shared" ref="BA12:BE12" si="4">+BA10*1000/BA11</f>
        <v>607.48584092588032</v>
      </c>
      <c r="BB12" s="7">
        <f t="shared" si="4"/>
        <v>602.71600706776428</v>
      </c>
      <c r="BC12" s="7">
        <f t="shared" si="4"/>
        <v>670.54035585464794</v>
      </c>
      <c r="BD12" s="7">
        <f t="shared" si="4"/>
        <v>645.16433520228054</v>
      </c>
      <c r="BE12" s="7">
        <f t="shared" si="4"/>
        <v>651.97272509180834</v>
      </c>
      <c r="BF12" s="7">
        <f>+BF10*1000/BF11</f>
        <v>757.33274542765548</v>
      </c>
      <c r="BG12" s="7">
        <f>+BG10*1000/BG11</f>
        <v>768.79589632829379</v>
      </c>
      <c r="BH12" s="7">
        <f>+BH10*1000/BH11</f>
        <v>725.92729188619603</v>
      </c>
      <c r="BI12" s="7">
        <f>+BI10*1000/BI11</f>
        <v>800.22092538557729</v>
      </c>
      <c r="BJ12" s="7">
        <f>+BJ10*1000/BJ11</f>
        <v>1117.6377051071158</v>
      </c>
      <c r="BK12" s="7">
        <f>+BJ12*1.01</f>
        <v>1128.8140821581869</v>
      </c>
      <c r="BL12" s="7">
        <f>+BK12*1.01</f>
        <v>1140.1022229797688</v>
      </c>
      <c r="BM12" s="7">
        <f t="shared" ref="BM12" si="5">+BL12*1.05</f>
        <v>1197.1073341287574</v>
      </c>
      <c r="BN12" s="7">
        <f>+BM12*1.04</f>
        <v>1244.9916274939078</v>
      </c>
      <c r="BO12" s="7">
        <f>+BN12*1.04</f>
        <v>1294.7912925936641</v>
      </c>
      <c r="BP12" s="7">
        <f>+BO12*1.04</f>
        <v>1346.5829442974107</v>
      </c>
      <c r="BQ12" s="7">
        <f>+BP12*1.04</f>
        <v>1400.4462620693071</v>
      </c>
      <c r="BR12" s="7">
        <f>+BQ12*1.03</f>
        <v>1442.4596499313864</v>
      </c>
      <c r="BS12" s="7">
        <f>+BR12*1.03</f>
        <v>1485.733439429328</v>
      </c>
      <c r="BT12" s="7">
        <f t="shared" ref="BT12:BU12" si="6">+BS12*1.03</f>
        <v>1530.3054426122078</v>
      </c>
      <c r="BU12" s="7">
        <f t="shared" si="6"/>
        <v>1576.2146058905741</v>
      </c>
      <c r="BV12" s="7">
        <f>+BU12*1.02</f>
        <v>1607.7388980083856</v>
      </c>
      <c r="BW12" s="7">
        <f t="shared" ref="BW12:CB12" si="7">+BV12*1.02</f>
        <v>1639.8936759685535</v>
      </c>
      <c r="BX12" s="7">
        <f t="shared" si="7"/>
        <v>1672.6915494879245</v>
      </c>
      <c r="BY12" s="7">
        <f t="shared" si="7"/>
        <v>1706.1453804776829</v>
      </c>
      <c r="BZ12" s="7">
        <f t="shared" si="7"/>
        <v>1740.2682880872367</v>
      </c>
      <c r="CA12" s="7">
        <f t="shared" si="7"/>
        <v>1775.0736538489814</v>
      </c>
      <c r="CB12" s="7">
        <f t="shared" si="7"/>
        <v>1810.5751269259611</v>
      </c>
    </row>
    <row r="13" spans="1:80" s="7" customFormat="1" x14ac:dyDescent="0.25">
      <c r="B13" s="2"/>
    </row>
    <row r="14" spans="1:80" s="7" customFormat="1" x14ac:dyDescent="0.25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Y14" s="7">
        <v>6840</v>
      </c>
      <c r="Z14" s="7">
        <f>29357-Y14-X14-W14</f>
        <v>7614</v>
      </c>
      <c r="AA14" s="7">
        <v>7780</v>
      </c>
      <c r="AB14" s="7">
        <v>7451</v>
      </c>
      <c r="AC14" s="7">
        <v>7009</v>
      </c>
      <c r="AD14" s="7">
        <f>29984-AC14-AB14-AA14</f>
        <v>7744</v>
      </c>
      <c r="AE14" s="7">
        <v>8987</v>
      </c>
      <c r="AF14" s="7">
        <v>7949</v>
      </c>
      <c r="AN14" s="7">
        <f>2747+948+2381</f>
        <v>6076</v>
      </c>
      <c r="AO14" s="7">
        <v>4403</v>
      </c>
      <c r="AP14" s="7">
        <v>4534</v>
      </c>
      <c r="AQ14" s="7">
        <v>4491</v>
      </c>
      <c r="AR14" s="7">
        <v>4923</v>
      </c>
      <c r="AS14" s="7">
        <v>6275</v>
      </c>
      <c r="AT14" s="7">
        <v>7375</v>
      </c>
      <c r="AU14" s="7">
        <v>10314</v>
      </c>
      <c r="AV14" s="7">
        <v>14354</v>
      </c>
      <c r="AW14" s="7">
        <v>13859</v>
      </c>
      <c r="AX14" s="7">
        <v>17479</v>
      </c>
      <c r="AY14" s="7">
        <v>21783</v>
      </c>
      <c r="AZ14" s="7">
        <v>23221</v>
      </c>
      <c r="BA14" s="7">
        <v>21483</v>
      </c>
      <c r="BB14" s="7">
        <v>24079</v>
      </c>
      <c r="BC14" s="7">
        <v>25471</v>
      </c>
      <c r="BD14" s="7">
        <v>22831</v>
      </c>
      <c r="BE14" s="7">
        <v>25850</v>
      </c>
      <c r="BF14" s="7">
        <v>25198</v>
      </c>
      <c r="BG14" s="7">
        <v>25740</v>
      </c>
      <c r="BH14" s="7">
        <f t="shared" ref="BH14:BH15" si="8">SUM(K14:N14)</f>
        <v>28622</v>
      </c>
      <c r="BI14" s="7">
        <f t="shared" ref="BI14:BI15" si="9">SUM(O14:R14)</f>
        <v>35190</v>
      </c>
      <c r="BJ14" s="7">
        <f>SUM(S14:V14)</f>
        <v>40177</v>
      </c>
      <c r="BK14" s="7">
        <v>29357</v>
      </c>
      <c r="BL14" s="7">
        <v>29984</v>
      </c>
      <c r="BM14" s="7">
        <f t="shared" ref="BM14:BQ14" si="10">+BL14*1.07</f>
        <v>32082.880000000001</v>
      </c>
      <c r="BN14" s="7">
        <f t="shared" si="10"/>
        <v>34328.681600000004</v>
      </c>
      <c r="BO14" s="7">
        <f t="shared" si="10"/>
        <v>36731.68931200001</v>
      </c>
      <c r="BP14" s="7">
        <f t="shared" si="10"/>
        <v>39302.90756384001</v>
      </c>
      <c r="BQ14" s="7">
        <f t="shared" si="10"/>
        <v>42054.111093308813</v>
      </c>
      <c r="BR14" s="7">
        <f>+BQ14*1.06</f>
        <v>44577.357758907347</v>
      </c>
      <c r="BS14" s="7">
        <f t="shared" ref="BS14:BV14" si="11">+BR14*1.06</f>
        <v>47251.999224441788</v>
      </c>
      <c r="BT14" s="7">
        <f t="shared" si="11"/>
        <v>50087.119177908295</v>
      </c>
      <c r="BU14" s="7">
        <f t="shared" si="11"/>
        <v>53092.346328582797</v>
      </c>
      <c r="BV14" s="7">
        <f t="shared" si="11"/>
        <v>56277.887108297764</v>
      </c>
      <c r="BW14" s="7">
        <f>+BV14*1.05</f>
        <v>59091.781463712658</v>
      </c>
      <c r="BX14" s="7">
        <f t="shared" ref="BX14:CB14" si="12">+BW14*1.05</f>
        <v>62046.370536898292</v>
      </c>
      <c r="BY14" s="7">
        <f t="shared" si="12"/>
        <v>65148.689063743208</v>
      </c>
      <c r="BZ14" s="7">
        <f t="shared" si="12"/>
        <v>68406.123516930369</v>
      </c>
      <c r="CA14" s="7">
        <f t="shared" si="12"/>
        <v>71826.429692776888</v>
      </c>
      <c r="CB14" s="7">
        <f t="shared" si="12"/>
        <v>75417.751177415732</v>
      </c>
    </row>
    <row r="15" spans="1:80" s="7" customFormat="1" x14ac:dyDescent="0.25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Y15" s="7">
        <v>5791</v>
      </c>
      <c r="Z15" s="7">
        <f>28300-Y15-X15-W15</f>
        <v>6443</v>
      </c>
      <c r="AA15" s="7">
        <v>7023</v>
      </c>
      <c r="AB15" s="7">
        <v>5559</v>
      </c>
      <c r="AC15" s="7">
        <v>7162</v>
      </c>
      <c r="AD15" s="7">
        <f>26694-AC15-AB15-AA15</f>
        <v>6950</v>
      </c>
      <c r="AE15" s="7">
        <v>8088</v>
      </c>
      <c r="AF15" s="7">
        <v>6402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4958</v>
      </c>
      <c r="AY15" s="7">
        <v>19168</v>
      </c>
      <c r="AZ15" s="7">
        <v>30945</v>
      </c>
      <c r="BA15" s="7">
        <v>31980</v>
      </c>
      <c r="BB15" s="7">
        <v>30283</v>
      </c>
      <c r="BC15" s="7">
        <v>23227</v>
      </c>
      <c r="BD15" s="7">
        <v>20628</v>
      </c>
      <c r="BE15" s="7">
        <v>19222</v>
      </c>
      <c r="BF15" s="7">
        <v>18380</v>
      </c>
      <c r="BG15" s="7">
        <v>21280</v>
      </c>
      <c r="BH15" s="7">
        <f t="shared" si="8"/>
        <v>23724</v>
      </c>
      <c r="BI15" s="7">
        <f t="shared" si="9"/>
        <v>31862</v>
      </c>
      <c r="BJ15" s="7">
        <f>SUM(S15:V15)</f>
        <v>29292</v>
      </c>
      <c r="BK15" s="7">
        <v>28300</v>
      </c>
      <c r="BL15" s="7">
        <v>26694</v>
      </c>
      <c r="BM15" s="7">
        <f t="shared" ref="BM15:CB15" si="13">+BL15*1.04</f>
        <v>27761.760000000002</v>
      </c>
      <c r="BN15" s="7">
        <f t="shared" si="13"/>
        <v>28872.230400000004</v>
      </c>
      <c r="BO15" s="7">
        <f t="shared" si="13"/>
        <v>30027.119616000004</v>
      </c>
      <c r="BP15" s="7">
        <f t="shared" si="13"/>
        <v>31228.204400640006</v>
      </c>
      <c r="BQ15" s="7">
        <f t="shared" si="13"/>
        <v>32477.332576665609</v>
      </c>
      <c r="BR15" s="7">
        <f t="shared" si="13"/>
        <v>33776.425879732233</v>
      </c>
      <c r="BS15" s="7">
        <f t="shared" si="13"/>
        <v>35127.482914921522</v>
      </c>
      <c r="BT15" s="7">
        <f t="shared" si="13"/>
        <v>36532.582231518383</v>
      </c>
      <c r="BU15" s="7">
        <f t="shared" si="13"/>
        <v>37993.88552077912</v>
      </c>
      <c r="BV15" s="7">
        <f t="shared" si="13"/>
        <v>39513.640941610283</v>
      </c>
      <c r="BW15" s="7">
        <f t="shared" si="13"/>
        <v>41094.186579274698</v>
      </c>
      <c r="BX15" s="7">
        <f t="shared" si="13"/>
        <v>42737.954042445686</v>
      </c>
      <c r="BY15" s="7">
        <f t="shared" si="13"/>
        <v>44447.472204143516</v>
      </c>
      <c r="BZ15" s="7">
        <f t="shared" si="13"/>
        <v>46225.371092309259</v>
      </c>
      <c r="CA15" s="7">
        <f t="shared" si="13"/>
        <v>48074.385936001629</v>
      </c>
      <c r="CB15" s="7">
        <f t="shared" si="13"/>
        <v>49997.361373441694</v>
      </c>
    </row>
    <row r="16" spans="1:80" s="7" customFormat="1" x14ac:dyDescent="0.25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Y16" s="7">
        <v>8284</v>
      </c>
      <c r="Z16" s="7">
        <f>39845-Y16-X16-W16</f>
        <v>9322</v>
      </c>
      <c r="AA16" s="7">
        <v>11953</v>
      </c>
      <c r="AB16" s="7">
        <v>7913</v>
      </c>
      <c r="AC16" s="7">
        <v>8097</v>
      </c>
      <c r="AD16" s="7">
        <f>37005-AC16-AB16-AA16</f>
        <v>9042</v>
      </c>
      <c r="AE16" s="7">
        <v>11747</v>
      </c>
      <c r="AF16" s="7">
        <v>7522</v>
      </c>
      <c r="AN16" s="7">
        <v>809</v>
      </c>
      <c r="AO16" s="7">
        <v>387</v>
      </c>
      <c r="AP16" s="7">
        <f>143+4+527</f>
        <v>674</v>
      </c>
      <c r="AQ16" s="7">
        <f>345+691</f>
        <v>1036</v>
      </c>
      <c r="AR16" s="7">
        <f>1306+951</f>
        <v>2257</v>
      </c>
      <c r="AS16" s="7">
        <f>4540+1126</f>
        <v>5666</v>
      </c>
      <c r="AT16" s="7">
        <f>7676+1100</f>
        <v>8776</v>
      </c>
      <c r="AU16" s="7">
        <f>8305+1260</f>
        <v>9565</v>
      </c>
      <c r="AV16" s="7">
        <f>9153+1694</f>
        <v>10847</v>
      </c>
      <c r="AW16" s="7">
        <f>1475+8091</f>
        <v>9566</v>
      </c>
      <c r="AX16" s="7">
        <f>1814+8274</f>
        <v>10088</v>
      </c>
      <c r="AY16" s="7">
        <f>7453+4474</f>
        <v>11927</v>
      </c>
      <c r="AZ16" s="7">
        <f>5145+5615</f>
        <v>10760</v>
      </c>
      <c r="BA16" s="7">
        <f>4411+5706</f>
        <v>10117</v>
      </c>
      <c r="BB16" s="7">
        <f>6093+2286</f>
        <v>8379</v>
      </c>
      <c r="BC16" s="7">
        <v>10067</v>
      </c>
      <c r="BD16" s="7">
        <v>11132</v>
      </c>
      <c r="BE16" s="7">
        <v>12863</v>
      </c>
      <c r="BF16" s="7">
        <v>17381</v>
      </c>
      <c r="BG16" s="7">
        <v>24482</v>
      </c>
      <c r="BH16" s="7">
        <f t="shared" ref="BH16" si="14">SUM(K16:N16)</f>
        <v>30620</v>
      </c>
      <c r="BI16" s="7">
        <f t="shared" ref="BI16" si="15">SUM(O16:R16)</f>
        <v>38367</v>
      </c>
      <c r="BJ16" s="7">
        <f>SUM(S16:V16)</f>
        <v>41241</v>
      </c>
      <c r="BK16" s="7">
        <v>39845</v>
      </c>
      <c r="BL16" s="7">
        <v>37005</v>
      </c>
      <c r="BM16" s="7">
        <f t="shared" ref="BM16:CB16" si="16">+BL16*1.04</f>
        <v>38485.200000000004</v>
      </c>
      <c r="BN16" s="7">
        <f t="shared" si="16"/>
        <v>40024.608000000007</v>
      </c>
      <c r="BO16" s="7">
        <f t="shared" si="16"/>
        <v>41625.592320000011</v>
      </c>
      <c r="BP16" s="7">
        <f t="shared" si="16"/>
        <v>43290.616012800012</v>
      </c>
      <c r="BQ16" s="7">
        <f t="shared" si="16"/>
        <v>45022.240653312016</v>
      </c>
      <c r="BR16" s="7">
        <f t="shared" si="16"/>
        <v>46823.1302794445</v>
      </c>
      <c r="BS16" s="7">
        <f t="shared" si="16"/>
        <v>48696.055490622282</v>
      </c>
      <c r="BT16" s="7">
        <f t="shared" si="16"/>
        <v>50643.897710247176</v>
      </c>
      <c r="BU16" s="7">
        <f t="shared" si="16"/>
        <v>52669.653618657067</v>
      </c>
      <c r="BV16" s="7">
        <f t="shared" si="16"/>
        <v>54776.439763403352</v>
      </c>
      <c r="BW16" s="7">
        <f t="shared" si="16"/>
        <v>56967.497353939485</v>
      </c>
      <c r="BX16" s="7">
        <f t="shared" si="16"/>
        <v>59246.197248097065</v>
      </c>
      <c r="BY16" s="7">
        <f t="shared" si="16"/>
        <v>61616.045138020949</v>
      </c>
      <c r="BZ16" s="7">
        <f t="shared" si="16"/>
        <v>64080.68694354179</v>
      </c>
      <c r="CA16" s="7">
        <f t="shared" si="16"/>
        <v>66643.914421283465</v>
      </c>
      <c r="CB16" s="7">
        <f t="shared" si="16"/>
        <v>69309.67099813481</v>
      </c>
    </row>
    <row r="17" spans="2:192" s="7" customFormat="1" x14ac:dyDescent="0.25">
      <c r="B17" s="2"/>
    </row>
    <row r="18" spans="2:192" s="2" customFormat="1" x14ac:dyDescent="0.25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7">SUM(K14:K16)+K10</f>
        <v>79104</v>
      </c>
      <c r="L18" s="2">
        <f t="shared" si="17"/>
        <v>44965</v>
      </c>
      <c r="M18" s="2">
        <f t="shared" si="17"/>
        <v>46529</v>
      </c>
      <c r="N18" s="2">
        <f t="shared" si="17"/>
        <v>50149</v>
      </c>
      <c r="O18" s="2">
        <f t="shared" si="17"/>
        <v>95678</v>
      </c>
      <c r="P18" s="2">
        <f t="shared" si="17"/>
        <v>72683</v>
      </c>
      <c r="Q18" s="2">
        <f t="shared" si="17"/>
        <v>63948</v>
      </c>
      <c r="R18" s="2">
        <f t="shared" si="17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v>60584</v>
      </c>
      <c r="Z18" s="2">
        <v>67184</v>
      </c>
      <c r="AA18" s="2">
        <v>96458</v>
      </c>
      <c r="AB18" s="2">
        <v>66886</v>
      </c>
      <c r="AC18" s="2">
        <v>61564</v>
      </c>
      <c r="AD18" s="2">
        <v>69958</v>
      </c>
      <c r="AE18" s="2">
        <v>97960</v>
      </c>
      <c r="AF18" s="2">
        <v>68714</v>
      </c>
      <c r="AG18" s="2">
        <f t="shared" ref="AG18:AH18" si="18">+AC18*1.01</f>
        <v>62179.64</v>
      </c>
      <c r="AH18" s="2">
        <f t="shared" si="18"/>
        <v>70657.58</v>
      </c>
      <c r="AN18" s="2">
        <f t="shared" ref="AN18:AW18" si="19">SUM(AN14:AN16)+AN10</f>
        <v>6885</v>
      </c>
      <c r="AO18" s="2">
        <f t="shared" si="19"/>
        <v>4790</v>
      </c>
      <c r="AP18" s="2">
        <f t="shared" si="19"/>
        <v>5208</v>
      </c>
      <c r="AQ18" s="2">
        <f t="shared" si="19"/>
        <v>5527</v>
      </c>
      <c r="AR18" s="2">
        <f t="shared" si="19"/>
        <v>7180</v>
      </c>
      <c r="AS18" s="2">
        <f t="shared" si="19"/>
        <v>11941</v>
      </c>
      <c r="AT18" s="2">
        <f t="shared" si="19"/>
        <v>16151</v>
      </c>
      <c r="AU18" s="2">
        <f t="shared" si="19"/>
        <v>20002</v>
      </c>
      <c r="AV18" s="2">
        <f t="shared" si="19"/>
        <v>31943</v>
      </c>
      <c r="AW18" s="2">
        <f t="shared" si="19"/>
        <v>36458</v>
      </c>
      <c r="AX18" s="2">
        <f t="shared" ref="AX18:BI18" si="20">SUM(AX14:AX16)+AX10</f>
        <v>57704</v>
      </c>
      <c r="AY18" s="2">
        <f t="shared" si="20"/>
        <v>98876</v>
      </c>
      <c r="AZ18" s="2">
        <f t="shared" si="20"/>
        <v>143618</v>
      </c>
      <c r="BA18" s="2">
        <f t="shared" si="20"/>
        <v>154859</v>
      </c>
      <c r="BB18" s="2">
        <f t="shared" si="20"/>
        <v>164732</v>
      </c>
      <c r="BC18" s="2">
        <f t="shared" si="20"/>
        <v>213806</v>
      </c>
      <c r="BD18" s="2">
        <f t="shared" si="20"/>
        <v>191291</v>
      </c>
      <c r="BE18" s="2">
        <f t="shared" si="20"/>
        <v>199254</v>
      </c>
      <c r="BF18" s="2">
        <f t="shared" si="20"/>
        <v>225847</v>
      </c>
      <c r="BG18" s="2">
        <f t="shared" si="20"/>
        <v>213883</v>
      </c>
      <c r="BH18" s="2">
        <f t="shared" si="20"/>
        <v>220747</v>
      </c>
      <c r="BI18" s="2">
        <f t="shared" si="20"/>
        <v>297392</v>
      </c>
      <c r="BJ18" s="2">
        <f>SUM(BJ14:BJ16)+BJ10</f>
        <v>316199</v>
      </c>
      <c r="BK18" s="2">
        <f>SUM(W18:Z18)</f>
        <v>298085</v>
      </c>
      <c r="BL18" s="2">
        <f>SUM(AA18:AD18)</f>
        <v>294866</v>
      </c>
      <c r="BM18" s="2">
        <f t="shared" ref="BM18:CB18" si="21">SUM(BM14:BM16)+BM10</f>
        <v>326446.54026193754</v>
      </c>
      <c r="BN18" s="2">
        <f t="shared" si="21"/>
        <v>344262.75016477366</v>
      </c>
      <c r="BO18" s="2">
        <f t="shared" si="21"/>
        <v>363073.98012930644</v>
      </c>
      <c r="BP18" s="2">
        <f t="shared" si="21"/>
        <v>382936.92460642371</v>
      </c>
      <c r="BQ18" s="2">
        <f t="shared" si="21"/>
        <v>403911.56568950473</v>
      </c>
      <c r="BR18" s="2">
        <f t="shared" si="21"/>
        <v>422751.74961020425</v>
      </c>
      <c r="BS18" s="2">
        <f t="shared" si="21"/>
        <v>442481.65168507554</v>
      </c>
      <c r="BT18" s="2">
        <f t="shared" si="21"/>
        <v>463143.86935604434</v>
      </c>
      <c r="BU18" s="2">
        <f t="shared" si="21"/>
        <v>484783.07066497603</v>
      </c>
      <c r="BV18" s="2">
        <f t="shared" si="21"/>
        <v>503981.26037662197</v>
      </c>
      <c r="BW18" s="2">
        <f t="shared" si="21"/>
        <v>523402.72874613688</v>
      </c>
      <c r="BX18" s="2">
        <f t="shared" si="21"/>
        <v>543581.95842149435</v>
      </c>
      <c r="BY18" s="2">
        <f t="shared" si="21"/>
        <v>564548.951177057</v>
      </c>
      <c r="BZ18" s="2">
        <f t="shared" si="21"/>
        <v>586334.916894019</v>
      </c>
      <c r="CA18" s="2">
        <f t="shared" si="21"/>
        <v>608972.32313889323</v>
      </c>
      <c r="CB18" s="2">
        <f t="shared" si="21"/>
        <v>632494.94681880996</v>
      </c>
    </row>
    <row r="19" spans="2:192" s="2" customFormat="1" x14ac:dyDescent="0.25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v>22314</v>
      </c>
      <c r="AA19" s="2">
        <v>23117</v>
      </c>
      <c r="AB19" s="2">
        <v>23867</v>
      </c>
      <c r="AC19" s="2">
        <v>24213</v>
      </c>
      <c r="AD19" s="2">
        <v>24972</v>
      </c>
      <c r="AE19" s="2">
        <v>26340</v>
      </c>
      <c r="AF19" s="2">
        <v>26645</v>
      </c>
      <c r="AG19" s="2">
        <f t="shared" ref="AG19:AH19" si="22">+AC19*1.05</f>
        <v>25423.65</v>
      </c>
      <c r="AH19" s="2">
        <f t="shared" si="22"/>
        <v>26220.600000000002</v>
      </c>
      <c r="AN19" s="2">
        <v>1098</v>
      </c>
      <c r="AO19" s="2">
        <f>343+230</f>
        <v>573</v>
      </c>
      <c r="AP19" s="2">
        <f>307+227</f>
        <v>534</v>
      </c>
      <c r="AQ19" s="2">
        <f>644+36</f>
        <v>680</v>
      </c>
      <c r="AR19" s="2">
        <f>821+278</f>
        <v>1099</v>
      </c>
      <c r="AS19" s="2">
        <f>899+1091</f>
        <v>1990</v>
      </c>
      <c r="AT19" s="2">
        <f>1885+1279</f>
        <v>3164</v>
      </c>
      <c r="AU19" s="2">
        <f>2496+1508</f>
        <v>4004</v>
      </c>
      <c r="AV19" s="2">
        <f>2208+3340</f>
        <v>5548</v>
      </c>
      <c r="AW19" s="2">
        <f>2411+4036</f>
        <v>6447</v>
      </c>
      <c r="AX19" s="2">
        <f>2573+4948</f>
        <v>7521</v>
      </c>
      <c r="AY19" s="2">
        <v>9373</v>
      </c>
      <c r="AZ19" s="2">
        <v>12890</v>
      </c>
      <c r="BA19" s="2">
        <v>16051</v>
      </c>
      <c r="BB19" s="2">
        <v>18063</v>
      </c>
      <c r="BC19" s="2">
        <v>19909</v>
      </c>
      <c r="BD19" s="2">
        <v>24348</v>
      </c>
      <c r="BE19" s="2">
        <v>29980</v>
      </c>
      <c r="BF19" s="7">
        <v>39748</v>
      </c>
      <c r="BG19" s="7">
        <v>46291</v>
      </c>
      <c r="BH19" s="7">
        <f>SUM(K19:N19)</f>
        <v>53768</v>
      </c>
      <c r="BI19" s="7">
        <f t="shared" ref="BI19" si="23">SUM(O19:R19)</f>
        <v>68425</v>
      </c>
      <c r="BJ19" s="7">
        <f>SUM(S19:V19)</f>
        <v>78129</v>
      </c>
      <c r="BK19" s="2">
        <f>SUM(W19:Z19)</f>
        <v>85200</v>
      </c>
      <c r="BL19" s="2">
        <f>SUM(AA19:AD19)</f>
        <v>96169</v>
      </c>
      <c r="BM19" s="7">
        <f>+BL19*1.15</f>
        <v>110594.34999999999</v>
      </c>
      <c r="BN19" s="7">
        <f>+BM19*1.1</f>
        <v>121653.785</v>
      </c>
      <c r="BO19" s="7">
        <f>+BN19*1.1</f>
        <v>133819.16350000002</v>
      </c>
      <c r="BP19" s="7">
        <f>+BO19*1.1</f>
        <v>147201.07985000004</v>
      </c>
      <c r="BQ19" s="7">
        <f>+BP19*1.05</f>
        <v>154561.13384250004</v>
      </c>
      <c r="BR19" s="7">
        <f t="shared" ref="BR19:CB19" si="24">+BQ19*1.05</f>
        <v>162289.19053462506</v>
      </c>
      <c r="BS19" s="7">
        <f t="shared" si="24"/>
        <v>170403.65006135631</v>
      </c>
      <c r="BT19" s="7">
        <f t="shared" si="24"/>
        <v>178923.83256442414</v>
      </c>
      <c r="BU19" s="7">
        <f t="shared" si="24"/>
        <v>187870.02419264536</v>
      </c>
      <c r="BV19" s="7">
        <f t="shared" si="24"/>
        <v>197263.52540227765</v>
      </c>
      <c r="BW19" s="7">
        <f t="shared" si="24"/>
        <v>207126.70167239153</v>
      </c>
      <c r="BX19" s="7">
        <f t="shared" si="24"/>
        <v>217483.0367560111</v>
      </c>
      <c r="BY19" s="7">
        <f t="shared" si="24"/>
        <v>228357.18859381168</v>
      </c>
      <c r="BZ19" s="7">
        <f t="shared" si="24"/>
        <v>239775.04802350226</v>
      </c>
      <c r="CA19" s="7">
        <f t="shared" si="24"/>
        <v>251763.80042467738</v>
      </c>
      <c r="CB19" s="7">
        <f t="shared" si="24"/>
        <v>264351.99044591124</v>
      </c>
    </row>
    <row r="20" spans="2:192" s="8" customFormat="1" ht="13" x14ac:dyDescent="0.3">
      <c r="B20" s="8" t="s">
        <v>7</v>
      </c>
      <c r="C20" s="8">
        <f t="shared" ref="C20:F20" si="25">+C18+C19</f>
        <v>88293</v>
      </c>
      <c r="D20" s="8">
        <f t="shared" si="25"/>
        <v>61137</v>
      </c>
      <c r="E20" s="8">
        <f t="shared" si="25"/>
        <v>53265</v>
      </c>
      <c r="F20" s="8">
        <f t="shared" si="25"/>
        <v>62900</v>
      </c>
      <c r="K20" s="8">
        <f t="shared" ref="K20:N20" si="26">+K18+K19</f>
        <v>91819</v>
      </c>
      <c r="L20" s="8">
        <f t="shared" si="26"/>
        <v>58313</v>
      </c>
      <c r="M20" s="8">
        <f t="shared" si="26"/>
        <v>59685</v>
      </c>
      <c r="N20" s="8">
        <f t="shared" si="26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7">+R18+R19</f>
        <v>83360</v>
      </c>
      <c r="S20" s="8">
        <f t="shared" ref="S20" si="28">+S18+S19</f>
        <v>123945</v>
      </c>
      <c r="T20" s="8">
        <f>+T18+T19</f>
        <v>97278</v>
      </c>
      <c r="U20" s="8">
        <f t="shared" ref="U20" si="29">+U18+U19</f>
        <v>82959</v>
      </c>
      <c r="V20" s="8">
        <f>+V18+V19</f>
        <v>90146</v>
      </c>
      <c r="W20" s="8">
        <f>+W19+W18</f>
        <v>117154</v>
      </c>
      <c r="X20" s="8">
        <f t="shared" ref="X20:Z20" si="30">+X19+X18</f>
        <v>94836</v>
      </c>
      <c r="Y20" s="8">
        <f t="shared" si="30"/>
        <v>81797</v>
      </c>
      <c r="Z20" s="8">
        <f t="shared" si="30"/>
        <v>89498</v>
      </c>
      <c r="AA20" s="8">
        <f t="shared" ref="AA20:AB20" si="31">+AA19+AA18</f>
        <v>119575</v>
      </c>
      <c r="AB20" s="8">
        <f t="shared" si="31"/>
        <v>90753</v>
      </c>
      <c r="AC20" s="8">
        <f t="shared" ref="AC20:AF20" si="32">+AC19+AC18</f>
        <v>85777</v>
      </c>
      <c r="AD20" s="8">
        <f t="shared" si="32"/>
        <v>94930</v>
      </c>
      <c r="AE20" s="8">
        <f t="shared" si="32"/>
        <v>124300</v>
      </c>
      <c r="AF20" s="8">
        <f t="shared" si="32"/>
        <v>95359</v>
      </c>
      <c r="AG20" s="8">
        <f t="shared" ref="AG20:AH20" si="33">+AG19+AG18</f>
        <v>87603.290000000008</v>
      </c>
      <c r="AH20" s="8">
        <f t="shared" si="33"/>
        <v>96878.180000000008</v>
      </c>
      <c r="AL20" s="8">
        <v>5941</v>
      </c>
      <c r="AM20" s="8">
        <v>6134</v>
      </c>
      <c r="AN20" s="8">
        <f t="shared" ref="AN20:BF20" si="34">+AN18+AN19</f>
        <v>7983</v>
      </c>
      <c r="AO20" s="8">
        <f t="shared" si="34"/>
        <v>5363</v>
      </c>
      <c r="AP20" s="8">
        <f t="shared" si="34"/>
        <v>5742</v>
      </c>
      <c r="AQ20" s="8">
        <f t="shared" si="34"/>
        <v>6207</v>
      </c>
      <c r="AR20" s="8">
        <f t="shared" si="34"/>
        <v>8279</v>
      </c>
      <c r="AS20" s="8">
        <f t="shared" si="34"/>
        <v>13931</v>
      </c>
      <c r="AT20" s="8">
        <f t="shared" si="34"/>
        <v>19315</v>
      </c>
      <c r="AU20" s="16">
        <f t="shared" si="34"/>
        <v>24006</v>
      </c>
      <c r="AV20" s="8">
        <f t="shared" si="34"/>
        <v>37491</v>
      </c>
      <c r="AW20" s="8">
        <f t="shared" si="34"/>
        <v>42905</v>
      </c>
      <c r="AX20" s="8">
        <f t="shared" si="34"/>
        <v>65225</v>
      </c>
      <c r="AY20" s="8">
        <f t="shared" si="34"/>
        <v>108249</v>
      </c>
      <c r="AZ20" s="8">
        <f t="shared" si="34"/>
        <v>156508</v>
      </c>
      <c r="BA20" s="8">
        <f t="shared" si="34"/>
        <v>170910</v>
      </c>
      <c r="BB20" s="8">
        <f t="shared" si="34"/>
        <v>182795</v>
      </c>
      <c r="BC20" s="8">
        <f t="shared" si="34"/>
        <v>233715</v>
      </c>
      <c r="BD20" s="8">
        <f t="shared" si="34"/>
        <v>215639</v>
      </c>
      <c r="BE20" s="8">
        <f t="shared" si="34"/>
        <v>229234</v>
      </c>
      <c r="BF20" s="8">
        <f t="shared" si="34"/>
        <v>265595</v>
      </c>
      <c r="BG20" s="8">
        <f t="shared" ref="BG20" si="35">+BG18+BG19</f>
        <v>260174</v>
      </c>
      <c r="BH20" s="8">
        <f>+BH18+BH19</f>
        <v>274515</v>
      </c>
      <c r="BI20" s="8">
        <f>+BI18+BI19</f>
        <v>365817</v>
      </c>
      <c r="BJ20" s="8">
        <f>+BJ18+BJ19</f>
        <v>394328</v>
      </c>
      <c r="BK20" s="8">
        <f>+BK18+BK19</f>
        <v>383285</v>
      </c>
      <c r="BL20" s="8">
        <f t="shared" ref="BL20:CB20" si="36">+BL18+BL19</f>
        <v>391035</v>
      </c>
      <c r="BM20" s="8">
        <f t="shared" si="36"/>
        <v>437040.89026193751</v>
      </c>
      <c r="BN20" s="8">
        <f t="shared" si="36"/>
        <v>465916.5351647737</v>
      </c>
      <c r="BO20" s="8">
        <f t="shared" si="36"/>
        <v>496893.14362930646</v>
      </c>
      <c r="BP20" s="8">
        <f t="shared" si="36"/>
        <v>530138.00445642369</v>
      </c>
      <c r="BQ20" s="8">
        <f t="shared" si="36"/>
        <v>558472.69953200477</v>
      </c>
      <c r="BR20" s="8">
        <f t="shared" si="36"/>
        <v>585040.94014482934</v>
      </c>
      <c r="BS20" s="8">
        <f t="shared" si="36"/>
        <v>612885.30174643185</v>
      </c>
      <c r="BT20" s="8">
        <f t="shared" si="36"/>
        <v>642067.70192046848</v>
      </c>
      <c r="BU20" s="8">
        <f t="shared" si="36"/>
        <v>672653.09485762136</v>
      </c>
      <c r="BV20" s="8">
        <f t="shared" si="36"/>
        <v>701244.78577889968</v>
      </c>
      <c r="BW20" s="8">
        <f t="shared" si="36"/>
        <v>730529.43041852838</v>
      </c>
      <c r="BX20" s="8">
        <f t="shared" si="36"/>
        <v>761064.99517750542</v>
      </c>
      <c r="BY20" s="8">
        <f t="shared" si="36"/>
        <v>792906.1397708687</v>
      </c>
      <c r="BZ20" s="8">
        <f t="shared" si="36"/>
        <v>826109.96491752123</v>
      </c>
      <c r="CA20" s="8">
        <f t="shared" si="36"/>
        <v>860736.12356357067</v>
      </c>
      <c r="CB20" s="8">
        <f t="shared" si="36"/>
        <v>896846.93726472114</v>
      </c>
    </row>
    <row r="21" spans="2:192" s="2" customFormat="1" x14ac:dyDescent="0.25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v>42586</v>
      </c>
      <c r="AA21" s="2">
        <v>58440</v>
      </c>
      <c r="AB21" s="2">
        <v>42424</v>
      </c>
      <c r="AC21" s="2">
        <v>39803</v>
      </c>
      <c r="AD21" s="2">
        <v>44566</v>
      </c>
      <c r="AE21" s="2">
        <v>59447</v>
      </c>
      <c r="AF21" s="2">
        <v>44030</v>
      </c>
      <c r="BF21" s="7">
        <v>148164</v>
      </c>
      <c r="BG21" s="7">
        <v>144996</v>
      </c>
      <c r="BH21" s="7">
        <f>SUM(K21:N21)</f>
        <v>151286</v>
      </c>
      <c r="BI21" s="7">
        <f t="shared" ref="BI21:BI22" si="37">SUM(O21:R21)</f>
        <v>192266</v>
      </c>
      <c r="BJ21" s="7">
        <f t="shared" ref="BJ21:BJ22" si="38">SUM(S21:V21)</f>
        <v>201471</v>
      </c>
      <c r="BK21" s="2">
        <f>SUM(W21:Z21)</f>
        <v>189282</v>
      </c>
      <c r="BL21" s="2">
        <f t="shared" ref="BL21:BL22" si="39">SUM(AA21:AD21)</f>
        <v>185233</v>
      </c>
      <c r="BM21" s="2">
        <f t="shared" ref="BM21:CB21" si="40">+BM18*0.64</f>
        <v>208925.78576764002</v>
      </c>
      <c r="BN21" s="2">
        <f t="shared" si="40"/>
        <v>220328.16010545514</v>
      </c>
      <c r="BO21" s="2">
        <f t="shared" si="40"/>
        <v>232367.34728275612</v>
      </c>
      <c r="BP21" s="2">
        <f t="shared" si="40"/>
        <v>245079.63174811119</v>
      </c>
      <c r="BQ21" s="2">
        <f t="shared" si="40"/>
        <v>258503.40204128303</v>
      </c>
      <c r="BR21" s="2">
        <f t="shared" si="40"/>
        <v>270561.11975053075</v>
      </c>
      <c r="BS21" s="2">
        <f t="shared" si="40"/>
        <v>283188.25707844837</v>
      </c>
      <c r="BT21" s="2">
        <f t="shared" si="40"/>
        <v>296412.07638786838</v>
      </c>
      <c r="BU21" s="2">
        <f t="shared" si="40"/>
        <v>310261.16522558464</v>
      </c>
      <c r="BV21" s="2">
        <f t="shared" si="40"/>
        <v>322548.00664103805</v>
      </c>
      <c r="BW21" s="2">
        <f t="shared" si="40"/>
        <v>334977.74639752763</v>
      </c>
      <c r="BX21" s="2">
        <f t="shared" si="40"/>
        <v>347892.45338975638</v>
      </c>
      <c r="BY21" s="2">
        <f t="shared" si="40"/>
        <v>361311.32875331648</v>
      </c>
      <c r="BZ21" s="2">
        <f t="shared" si="40"/>
        <v>375254.34681217215</v>
      </c>
      <c r="CA21" s="2">
        <f t="shared" si="40"/>
        <v>389742.28680889169</v>
      </c>
      <c r="CB21" s="2">
        <f t="shared" si="40"/>
        <v>404796.76596403838</v>
      </c>
    </row>
    <row r="22" spans="2:192" s="2" customFormat="1" x14ac:dyDescent="0.25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v>6485</v>
      </c>
      <c r="AA22" s="2">
        <v>6280</v>
      </c>
      <c r="AB22" s="2">
        <v>6058</v>
      </c>
      <c r="AC22" s="2">
        <v>6296</v>
      </c>
      <c r="AD22" s="2">
        <v>6485</v>
      </c>
      <c r="AE22" s="2">
        <v>6578</v>
      </c>
      <c r="AF22" s="2">
        <v>6462</v>
      </c>
      <c r="BF22" s="7">
        <v>15592</v>
      </c>
      <c r="BG22" s="7">
        <v>16786</v>
      </c>
      <c r="BH22" s="7">
        <f>SUM(K22:N22)</f>
        <v>18273</v>
      </c>
      <c r="BI22" s="7">
        <f t="shared" si="37"/>
        <v>20715</v>
      </c>
      <c r="BJ22" s="7">
        <f t="shared" si="38"/>
        <v>22075</v>
      </c>
      <c r="BK22" s="2">
        <f>SUM(W22:Z22)</f>
        <v>24855</v>
      </c>
      <c r="BL22" s="2">
        <f t="shared" si="39"/>
        <v>25119</v>
      </c>
      <c r="BM22" s="2">
        <f t="shared" ref="BM22:CB22" si="41">+BM19*0.27</f>
        <v>29860.4745</v>
      </c>
      <c r="BN22" s="2">
        <f t="shared" si="41"/>
        <v>32846.521950000002</v>
      </c>
      <c r="BO22" s="2">
        <f t="shared" si="41"/>
        <v>36131.174145000012</v>
      </c>
      <c r="BP22" s="2">
        <f t="shared" si="41"/>
        <v>39744.291559500016</v>
      </c>
      <c r="BQ22" s="2">
        <f t="shared" si="41"/>
        <v>41731.506137475015</v>
      </c>
      <c r="BR22" s="2">
        <f t="shared" si="41"/>
        <v>43818.081444348769</v>
      </c>
      <c r="BS22" s="2">
        <f t="shared" si="41"/>
        <v>46008.985516566208</v>
      </c>
      <c r="BT22" s="2">
        <f t="shared" si="41"/>
        <v>48309.434792394524</v>
      </c>
      <c r="BU22" s="2">
        <f t="shared" si="41"/>
        <v>50724.906532014247</v>
      </c>
      <c r="BV22" s="2">
        <f t="shared" si="41"/>
        <v>53261.151858614969</v>
      </c>
      <c r="BW22" s="2">
        <f t="shared" si="41"/>
        <v>55924.209451545714</v>
      </c>
      <c r="BX22" s="2">
        <f t="shared" si="41"/>
        <v>58720.419924123002</v>
      </c>
      <c r="BY22" s="2">
        <f t="shared" si="41"/>
        <v>61656.440920329158</v>
      </c>
      <c r="BZ22" s="2">
        <f t="shared" si="41"/>
        <v>64739.26296634561</v>
      </c>
      <c r="CA22" s="2">
        <f t="shared" si="41"/>
        <v>67976.226114662903</v>
      </c>
      <c r="CB22" s="2">
        <f t="shared" si="41"/>
        <v>71375.037420396038</v>
      </c>
    </row>
    <row r="23" spans="2:192" s="2" customFormat="1" x14ac:dyDescent="0.25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42">+K21+K22</f>
        <v>56602</v>
      </c>
      <c r="L23" s="2">
        <f t="shared" si="42"/>
        <v>35943</v>
      </c>
      <c r="M23" s="2">
        <f t="shared" si="42"/>
        <v>37005</v>
      </c>
      <c r="N23" s="2">
        <f t="shared" si="42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43">+R21+R22</f>
        <v>48186</v>
      </c>
      <c r="S23" s="2">
        <f t="shared" ref="S23" si="44">+S21+S22</f>
        <v>69702</v>
      </c>
      <c r="T23" s="2">
        <f>+T21+T22</f>
        <v>54719</v>
      </c>
      <c r="U23" s="2">
        <f t="shared" ref="U23" si="45">+U21+U22</f>
        <v>47074</v>
      </c>
      <c r="V23" s="2">
        <f t="shared" ref="V23" si="46">+V21+V22</f>
        <v>52051</v>
      </c>
      <c r="W23" s="2">
        <f t="shared" ref="W23:AF23" si="47">+W21+W22</f>
        <v>66822</v>
      </c>
      <c r="X23" s="2">
        <f t="shared" si="47"/>
        <v>52860</v>
      </c>
      <c r="Y23" s="2">
        <f t="shared" si="47"/>
        <v>45384</v>
      </c>
      <c r="Z23" s="2">
        <f t="shared" si="47"/>
        <v>49071</v>
      </c>
      <c r="AA23" s="2">
        <f t="shared" si="47"/>
        <v>64720</v>
      </c>
      <c r="AB23" s="2">
        <f t="shared" si="47"/>
        <v>48482</v>
      </c>
      <c r="AC23" s="2">
        <f t="shared" si="47"/>
        <v>46099</v>
      </c>
      <c r="AD23" s="2">
        <f t="shared" si="47"/>
        <v>51051</v>
      </c>
      <c r="AE23" s="2">
        <f t="shared" si="47"/>
        <v>66025</v>
      </c>
      <c r="AF23" s="2">
        <f t="shared" si="47"/>
        <v>50492</v>
      </c>
      <c r="AN23" s="2">
        <v>5817</v>
      </c>
      <c r="AO23" s="2">
        <v>4128</v>
      </c>
      <c r="AP23" s="2">
        <v>4139</v>
      </c>
      <c r="AQ23" s="2">
        <v>4499</v>
      </c>
      <c r="AR23" s="2">
        <v>6020</v>
      </c>
      <c r="AS23" s="2">
        <v>9888</v>
      </c>
      <c r="AT23" s="2">
        <v>13717</v>
      </c>
      <c r="AU23" s="2">
        <v>15852</v>
      </c>
      <c r="AV23" s="2">
        <v>24294</v>
      </c>
      <c r="AW23" s="2">
        <v>25683</v>
      </c>
      <c r="AX23" s="2">
        <v>39541</v>
      </c>
      <c r="AY23" s="2">
        <v>64431</v>
      </c>
      <c r="AZ23" s="2">
        <v>87846</v>
      </c>
      <c r="BA23" s="2">
        <v>106606</v>
      </c>
      <c r="BB23" s="2">
        <v>112258</v>
      </c>
      <c r="BC23" s="2">
        <v>140089</v>
      </c>
      <c r="BD23" s="2">
        <v>131376</v>
      </c>
      <c r="BE23" s="2">
        <v>141048</v>
      </c>
      <c r="BF23" s="2">
        <f t="shared" ref="BF23:BG23" si="48">+BF21+BF22</f>
        <v>163756</v>
      </c>
      <c r="BG23" s="2">
        <f t="shared" si="48"/>
        <v>161782</v>
      </c>
      <c r="BH23" s="2">
        <f>+BH21+BH22</f>
        <v>169559</v>
      </c>
      <c r="BI23" s="2">
        <f>+BI21+BI22</f>
        <v>212981</v>
      </c>
      <c r="BJ23" s="2">
        <f>+BJ21+BJ22</f>
        <v>223546</v>
      </c>
      <c r="BK23" s="2">
        <f t="shared" ref="BK23:CB23" si="49">+BK21+BK22</f>
        <v>214137</v>
      </c>
      <c r="BL23" s="2">
        <f t="shared" si="49"/>
        <v>210352</v>
      </c>
      <c r="BM23" s="2">
        <f t="shared" si="49"/>
        <v>238786.26026764003</v>
      </c>
      <c r="BN23" s="2">
        <f t="shared" si="49"/>
        <v>253174.68205545514</v>
      </c>
      <c r="BO23" s="2">
        <f t="shared" si="49"/>
        <v>268498.52142775612</v>
      </c>
      <c r="BP23" s="2">
        <f t="shared" si="49"/>
        <v>284823.9233076112</v>
      </c>
      <c r="BQ23" s="2">
        <f t="shared" si="49"/>
        <v>300234.90817875805</v>
      </c>
      <c r="BR23" s="2">
        <f t="shared" si="49"/>
        <v>314379.20119487954</v>
      </c>
      <c r="BS23" s="2">
        <f t="shared" si="49"/>
        <v>329197.24259501457</v>
      </c>
      <c r="BT23" s="2">
        <f t="shared" si="49"/>
        <v>344721.5111802629</v>
      </c>
      <c r="BU23" s="2">
        <f t="shared" si="49"/>
        <v>360986.0717575989</v>
      </c>
      <c r="BV23" s="2">
        <f t="shared" si="49"/>
        <v>375809.15849965304</v>
      </c>
      <c r="BW23" s="2">
        <f t="shared" si="49"/>
        <v>390901.95584907336</v>
      </c>
      <c r="BX23" s="2">
        <f t="shared" si="49"/>
        <v>406612.87331387936</v>
      </c>
      <c r="BY23" s="2">
        <f t="shared" si="49"/>
        <v>422967.76967364561</v>
      </c>
      <c r="BZ23" s="2">
        <f t="shared" si="49"/>
        <v>439993.60977851774</v>
      </c>
      <c r="CA23" s="2">
        <f t="shared" si="49"/>
        <v>457718.51292355458</v>
      </c>
      <c r="CB23" s="2">
        <f t="shared" si="49"/>
        <v>476171.80338443443</v>
      </c>
    </row>
    <row r="24" spans="2:192" s="2" customFormat="1" x14ac:dyDescent="0.25">
      <c r="B24" s="2" t="s">
        <v>22</v>
      </c>
      <c r="C24" s="2">
        <f t="shared" ref="C24" si="50">+C20-C23</f>
        <v>33912</v>
      </c>
      <c r="D24" s="2">
        <f t="shared" ref="D24:F24" si="51">+D20-D23</f>
        <v>23422</v>
      </c>
      <c r="E24" s="2">
        <f t="shared" si="51"/>
        <v>20421</v>
      </c>
      <c r="F24" s="2">
        <f t="shared" si="51"/>
        <v>24084</v>
      </c>
      <c r="K24" s="2">
        <f t="shared" ref="K24:N24" si="52">+K20-K23</f>
        <v>35217</v>
      </c>
      <c r="L24" s="2">
        <f t="shared" si="52"/>
        <v>22370</v>
      </c>
      <c r="M24" s="2">
        <f t="shared" si="52"/>
        <v>22680</v>
      </c>
      <c r="N24" s="2">
        <f t="shared" si="52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53">+R20-R23</f>
        <v>35174</v>
      </c>
      <c r="S24" s="2">
        <f t="shared" ref="S24" si="54">+S20-S23</f>
        <v>54243</v>
      </c>
      <c r="T24" s="2">
        <f>+T20-T23</f>
        <v>42559</v>
      </c>
      <c r="U24" s="2">
        <f t="shared" ref="U24" si="55">+U20-U23</f>
        <v>35885</v>
      </c>
      <c r="V24" s="2">
        <f t="shared" ref="V24" si="56">+V20-V23</f>
        <v>38095</v>
      </c>
      <c r="W24" s="2">
        <f t="shared" ref="W24:AF24" si="57">+W20-W23</f>
        <v>50332</v>
      </c>
      <c r="X24" s="2">
        <f t="shared" si="57"/>
        <v>41976</v>
      </c>
      <c r="Y24" s="2">
        <f t="shared" si="57"/>
        <v>36413</v>
      </c>
      <c r="Z24" s="2">
        <f t="shared" si="57"/>
        <v>40427</v>
      </c>
      <c r="AA24" s="2">
        <f t="shared" si="57"/>
        <v>54855</v>
      </c>
      <c r="AB24" s="2">
        <f t="shared" si="57"/>
        <v>42271</v>
      </c>
      <c r="AC24" s="2">
        <f t="shared" si="57"/>
        <v>39678</v>
      </c>
      <c r="AD24" s="2">
        <f t="shared" si="57"/>
        <v>43879</v>
      </c>
      <c r="AE24" s="2">
        <f t="shared" si="57"/>
        <v>58275</v>
      </c>
      <c r="AF24" s="2">
        <f t="shared" si="57"/>
        <v>44867</v>
      </c>
      <c r="AG24" s="2">
        <f>+AG20*0.47</f>
        <v>41173.546300000002</v>
      </c>
      <c r="AH24" s="2">
        <f>+AH20*0.47</f>
        <v>45532.744599999998</v>
      </c>
      <c r="AN24" s="2">
        <f t="shared" ref="AN24:AO24" si="58">+AN20-AN23</f>
        <v>2166</v>
      </c>
      <c r="AO24" s="2">
        <f t="shared" si="58"/>
        <v>1235</v>
      </c>
      <c r="AP24" s="2">
        <f>+AP20-AP23</f>
        <v>1603</v>
      </c>
      <c r="AQ24" s="2">
        <f t="shared" ref="AQ24:AR24" si="59">+AQ20-AQ23</f>
        <v>1708</v>
      </c>
      <c r="AR24" s="2">
        <f t="shared" si="59"/>
        <v>2259</v>
      </c>
      <c r="AS24" s="2">
        <f t="shared" ref="AS24:AT24" si="60">+AS20-AS23</f>
        <v>4043</v>
      </c>
      <c r="AT24" s="2">
        <f t="shared" si="60"/>
        <v>5598</v>
      </c>
      <c r="AU24" s="2">
        <f t="shared" ref="AU24:AV24" si="61">+AU20-AU23</f>
        <v>8154</v>
      </c>
      <c r="AV24" s="2">
        <f t="shared" si="61"/>
        <v>13197</v>
      </c>
      <c r="AW24" s="2">
        <f t="shared" ref="AW24:AY24" si="62">+AW20-AW23</f>
        <v>17222</v>
      </c>
      <c r="AX24" s="2">
        <f t="shared" si="62"/>
        <v>25684</v>
      </c>
      <c r="AY24" s="2">
        <f t="shared" si="62"/>
        <v>43818</v>
      </c>
      <c r="AZ24" s="2">
        <f t="shared" ref="AZ24:BE24" si="63">+AZ20-AZ23</f>
        <v>68662</v>
      </c>
      <c r="BA24" s="2">
        <f t="shared" si="63"/>
        <v>64304</v>
      </c>
      <c r="BB24" s="2">
        <f t="shared" si="63"/>
        <v>70537</v>
      </c>
      <c r="BC24" s="2">
        <f t="shared" si="63"/>
        <v>93626</v>
      </c>
      <c r="BD24" s="2">
        <f t="shared" si="63"/>
        <v>84263</v>
      </c>
      <c r="BE24" s="2">
        <f t="shared" si="63"/>
        <v>88186</v>
      </c>
      <c r="BF24" s="2">
        <f t="shared" ref="BF24:BG24" si="64">+BF20-BF23</f>
        <v>101839</v>
      </c>
      <c r="BG24" s="2">
        <f t="shared" si="64"/>
        <v>98392</v>
      </c>
      <c r="BH24" s="2">
        <f>+BH20-BH23</f>
        <v>104956</v>
      </c>
      <c r="BI24" s="2">
        <f>+BI20-BI23</f>
        <v>152836</v>
      </c>
      <c r="BJ24" s="2">
        <f>+BJ20-BJ23</f>
        <v>170782</v>
      </c>
      <c r="BK24" s="2">
        <f t="shared" ref="BK24:CB24" si="65">+BK20-BK23</f>
        <v>169148</v>
      </c>
      <c r="BL24" s="2">
        <f t="shared" si="65"/>
        <v>180683</v>
      </c>
      <c r="BM24" s="2">
        <f t="shared" si="65"/>
        <v>198254.62999429749</v>
      </c>
      <c r="BN24" s="2">
        <f t="shared" si="65"/>
        <v>212741.85310931856</v>
      </c>
      <c r="BO24" s="2">
        <f t="shared" si="65"/>
        <v>228394.62220155034</v>
      </c>
      <c r="BP24" s="2">
        <f t="shared" si="65"/>
        <v>245314.08114881249</v>
      </c>
      <c r="BQ24" s="2">
        <f t="shared" si="65"/>
        <v>258237.79135324672</v>
      </c>
      <c r="BR24" s="2">
        <f t="shared" si="65"/>
        <v>270661.73894994979</v>
      </c>
      <c r="BS24" s="2">
        <f t="shared" si="65"/>
        <v>283688.05915141728</v>
      </c>
      <c r="BT24" s="2">
        <f t="shared" si="65"/>
        <v>297346.19074020558</v>
      </c>
      <c r="BU24" s="2">
        <f t="shared" si="65"/>
        <v>311667.02310002246</v>
      </c>
      <c r="BV24" s="2">
        <f t="shared" si="65"/>
        <v>325435.62727924663</v>
      </c>
      <c r="BW24" s="2">
        <f t="shared" si="65"/>
        <v>339627.47456945502</v>
      </c>
      <c r="BX24" s="2">
        <f t="shared" si="65"/>
        <v>354452.12186362606</v>
      </c>
      <c r="BY24" s="2">
        <f t="shared" si="65"/>
        <v>369938.37009722309</v>
      </c>
      <c r="BZ24" s="2">
        <f t="shared" si="65"/>
        <v>386116.35513900348</v>
      </c>
      <c r="CA24" s="2">
        <f t="shared" si="65"/>
        <v>403017.61064001609</v>
      </c>
      <c r="CB24" s="2">
        <f t="shared" si="65"/>
        <v>420675.13388028671</v>
      </c>
    </row>
    <row r="25" spans="2:192" s="2" customFormat="1" x14ac:dyDescent="0.25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v>7307</v>
      </c>
      <c r="AA25" s="2">
        <v>7696</v>
      </c>
      <c r="AB25" s="2">
        <v>7903</v>
      </c>
      <c r="AC25" s="2">
        <v>8006</v>
      </c>
      <c r="AD25" s="2">
        <v>7765</v>
      </c>
      <c r="AE25" s="2">
        <v>8268</v>
      </c>
      <c r="AF25" s="2">
        <v>8550</v>
      </c>
      <c r="AG25" s="2">
        <f t="shared" ref="AG25:AG26" si="66">+AC25</f>
        <v>8006</v>
      </c>
      <c r="AH25" s="2">
        <f t="shared" ref="AH25:AH26" si="67">+AD25</f>
        <v>7765</v>
      </c>
      <c r="AN25" s="2">
        <v>380</v>
      </c>
      <c r="AO25" s="2">
        <v>430</v>
      </c>
      <c r="AP25" s="2">
        <v>446</v>
      </c>
      <c r="AQ25" s="2">
        <v>471</v>
      </c>
      <c r="AR25" s="2">
        <v>489</v>
      </c>
      <c r="AS25" s="2">
        <v>534</v>
      </c>
      <c r="AT25" s="2">
        <v>712</v>
      </c>
      <c r="AU25" s="2">
        <v>782</v>
      </c>
      <c r="AV25" s="2">
        <v>1109</v>
      </c>
      <c r="AW25" s="2">
        <v>1333</v>
      </c>
      <c r="AX25" s="2">
        <v>1782</v>
      </c>
      <c r="AY25" s="2">
        <v>2429</v>
      </c>
      <c r="AZ25" s="2">
        <v>3381</v>
      </c>
      <c r="BA25" s="2">
        <v>4475</v>
      </c>
      <c r="BB25" s="2">
        <v>6041</v>
      </c>
      <c r="BC25" s="2">
        <v>8067</v>
      </c>
      <c r="BD25" s="2">
        <v>10045</v>
      </c>
      <c r="BE25" s="2">
        <v>11581</v>
      </c>
      <c r="BF25" s="7">
        <v>14236</v>
      </c>
      <c r="BG25" s="7">
        <v>16217</v>
      </c>
      <c r="BH25" s="7">
        <f>SUM(K25:N25)</f>
        <v>18752</v>
      </c>
      <c r="BI25" s="7">
        <f t="shared" ref="BI25:BI26" si="68">SUM(O25:R25)</f>
        <v>21914</v>
      </c>
      <c r="BJ25" s="7">
        <f t="shared" ref="BJ25:BJ26" si="69">SUM(S25:V25)</f>
        <v>26251</v>
      </c>
      <c r="BK25" s="2">
        <f>SUM(W25:Z25)</f>
        <v>29915</v>
      </c>
      <c r="BL25" s="2">
        <f t="shared" ref="BL25:BL26" si="70">SUM(AA25:AD25)</f>
        <v>31370</v>
      </c>
      <c r="BM25" s="2">
        <f t="shared" ref="BM25:CB25" si="71">+BL25*1.03</f>
        <v>32311.100000000002</v>
      </c>
      <c r="BN25" s="2">
        <f t="shared" si="71"/>
        <v>33280.433000000005</v>
      </c>
      <c r="BO25" s="2">
        <f t="shared" si="71"/>
        <v>34278.845990000009</v>
      </c>
      <c r="BP25" s="2">
        <f t="shared" si="71"/>
        <v>35307.21136970001</v>
      </c>
      <c r="BQ25" s="2">
        <f t="shared" si="71"/>
        <v>36366.427710791009</v>
      </c>
      <c r="BR25" s="2">
        <f t="shared" si="71"/>
        <v>37457.420542114742</v>
      </c>
      <c r="BS25" s="2">
        <f t="shared" si="71"/>
        <v>38581.143158378181</v>
      </c>
      <c r="BT25" s="2">
        <f t="shared" si="71"/>
        <v>39738.577453129525</v>
      </c>
      <c r="BU25" s="2">
        <f t="shared" si="71"/>
        <v>40930.73477672341</v>
      </c>
      <c r="BV25" s="2">
        <f t="shared" si="71"/>
        <v>42158.656820025113</v>
      </c>
      <c r="BW25" s="2">
        <f t="shared" si="71"/>
        <v>43423.416524625871</v>
      </c>
      <c r="BX25" s="2">
        <f t="shared" si="71"/>
        <v>44726.119020364647</v>
      </c>
      <c r="BY25" s="2">
        <f t="shared" si="71"/>
        <v>46067.902590975587</v>
      </c>
      <c r="BZ25" s="2">
        <f t="shared" si="71"/>
        <v>47449.939668704857</v>
      </c>
      <c r="CA25" s="2">
        <f t="shared" si="71"/>
        <v>48873.437858766003</v>
      </c>
      <c r="CB25" s="2">
        <f t="shared" si="71"/>
        <v>50339.640994528985</v>
      </c>
    </row>
    <row r="26" spans="2:192" s="2" customFormat="1" x14ac:dyDescent="0.25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v>6151</v>
      </c>
      <c r="AA26" s="2">
        <v>6786</v>
      </c>
      <c r="AB26" s="2">
        <v>6468</v>
      </c>
      <c r="AC26" s="2">
        <v>6320</v>
      </c>
      <c r="AD26" s="2">
        <v>6523</v>
      </c>
      <c r="AE26" s="2">
        <v>7175</v>
      </c>
      <c r="AF26" s="2">
        <v>6728</v>
      </c>
      <c r="AG26" s="2">
        <f t="shared" si="66"/>
        <v>6320</v>
      </c>
      <c r="AH26" s="2">
        <f t="shared" si="67"/>
        <v>6523</v>
      </c>
      <c r="AN26" s="2">
        <v>1166</v>
      </c>
      <c r="AO26" s="2">
        <v>1138</v>
      </c>
      <c r="AP26" s="2">
        <v>1109</v>
      </c>
      <c r="AQ26" s="2">
        <v>1212</v>
      </c>
      <c r="AR26" s="2">
        <v>1421</v>
      </c>
      <c r="AS26" s="2">
        <v>1859</v>
      </c>
      <c r="AT26" s="2">
        <v>2433</v>
      </c>
      <c r="AU26" s="2">
        <v>2963</v>
      </c>
      <c r="AV26" s="2">
        <v>3761</v>
      </c>
      <c r="AW26" s="2">
        <v>4149</v>
      </c>
      <c r="AX26" s="2">
        <v>5517</v>
      </c>
      <c r="AY26" s="2">
        <v>7599</v>
      </c>
      <c r="AZ26" s="2">
        <v>10040</v>
      </c>
      <c r="BA26" s="2">
        <v>10830</v>
      </c>
      <c r="BB26" s="2">
        <v>11993</v>
      </c>
      <c r="BC26" s="2">
        <v>14329</v>
      </c>
      <c r="BD26" s="2">
        <v>14194</v>
      </c>
      <c r="BE26" s="2">
        <v>15261</v>
      </c>
      <c r="BF26" s="7">
        <v>16705</v>
      </c>
      <c r="BG26" s="7">
        <v>18245</v>
      </c>
      <c r="BH26" s="7">
        <f>SUM(K26:N26)</f>
        <v>19916</v>
      </c>
      <c r="BI26" s="7">
        <f t="shared" si="68"/>
        <v>21973</v>
      </c>
      <c r="BJ26" s="7">
        <f t="shared" si="69"/>
        <v>25094</v>
      </c>
      <c r="BK26" s="2">
        <f>SUM(W26:Z26)</f>
        <v>24932</v>
      </c>
      <c r="BL26" s="2">
        <f t="shared" si="70"/>
        <v>26097</v>
      </c>
      <c r="BM26" s="2">
        <f t="shared" ref="BM26:CB26" si="72">+BL26*1.03</f>
        <v>26879.91</v>
      </c>
      <c r="BN26" s="2">
        <f t="shared" si="72"/>
        <v>27686.3073</v>
      </c>
      <c r="BO26" s="2">
        <f t="shared" si="72"/>
        <v>28516.896519000002</v>
      </c>
      <c r="BP26" s="2">
        <f t="shared" si="72"/>
        <v>29372.403414570002</v>
      </c>
      <c r="BQ26" s="2">
        <f t="shared" si="72"/>
        <v>30253.575517007102</v>
      </c>
      <c r="BR26" s="2">
        <f t="shared" si="72"/>
        <v>31161.182782517317</v>
      </c>
      <c r="BS26" s="2">
        <f t="shared" si="72"/>
        <v>32096.018265992836</v>
      </c>
      <c r="BT26" s="2">
        <f t="shared" si="72"/>
        <v>33058.898813972621</v>
      </c>
      <c r="BU26" s="2">
        <f t="shared" si="72"/>
        <v>34050.665778391798</v>
      </c>
      <c r="BV26" s="2">
        <f t="shared" si="72"/>
        <v>35072.185751743556</v>
      </c>
      <c r="BW26" s="2">
        <f t="shared" si="72"/>
        <v>36124.351324295865</v>
      </c>
      <c r="BX26" s="2">
        <f t="shared" si="72"/>
        <v>37208.081864024745</v>
      </c>
      <c r="BY26" s="2">
        <f t="shared" si="72"/>
        <v>38324.324319945488</v>
      </c>
      <c r="BZ26" s="2">
        <f t="shared" si="72"/>
        <v>39474.054049543854</v>
      </c>
      <c r="CA26" s="2">
        <f t="shared" si="72"/>
        <v>40658.275671030169</v>
      </c>
      <c r="CB26" s="2">
        <f t="shared" si="72"/>
        <v>41878.023941161075</v>
      </c>
    </row>
    <row r="27" spans="2:192" s="2" customFormat="1" x14ac:dyDescent="0.25">
      <c r="B27" s="2" t="s">
        <v>28</v>
      </c>
      <c r="C27" s="2">
        <f t="shared" ref="C27" si="73">+C25+C26</f>
        <v>7638</v>
      </c>
      <c r="D27" s="2">
        <f t="shared" ref="D27:F27" si="74">+D25+D26</f>
        <v>7528</v>
      </c>
      <c r="E27" s="2">
        <f t="shared" si="74"/>
        <v>7809</v>
      </c>
      <c r="F27" s="2">
        <f t="shared" si="74"/>
        <v>7966</v>
      </c>
      <c r="K27" s="2">
        <f t="shared" ref="K27:N27" si="75">+K25+K26</f>
        <v>9648</v>
      </c>
      <c r="L27" s="2">
        <f t="shared" si="75"/>
        <v>9517</v>
      </c>
      <c r="M27" s="2">
        <f t="shared" si="75"/>
        <v>9589</v>
      </c>
      <c r="N27" s="2">
        <f t="shared" si="75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76">+R25+R26</f>
        <v>11388</v>
      </c>
      <c r="S27" s="2">
        <f t="shared" ref="S27" si="77">+S25+S26</f>
        <v>12755</v>
      </c>
      <c r="T27" s="2">
        <f>+T25+T26</f>
        <v>12580</v>
      </c>
      <c r="U27" s="2">
        <f t="shared" ref="U27" si="78">+U25+U26</f>
        <v>12809</v>
      </c>
      <c r="V27" s="2">
        <f t="shared" ref="V27:Z27" si="79">+V25+V26</f>
        <v>13201</v>
      </c>
      <c r="W27" s="2">
        <f t="shared" si="79"/>
        <v>14316</v>
      </c>
      <c r="X27" s="2">
        <f t="shared" si="79"/>
        <v>13658</v>
      </c>
      <c r="Y27" s="2">
        <f t="shared" si="79"/>
        <v>13415</v>
      </c>
      <c r="Z27" s="2">
        <f t="shared" si="79"/>
        <v>13458</v>
      </c>
      <c r="AA27" s="2">
        <f t="shared" ref="AA27:AB27" si="80">+AA25+AA26</f>
        <v>14482</v>
      </c>
      <c r="AB27" s="2">
        <f t="shared" si="80"/>
        <v>14371</v>
      </c>
      <c r="AC27" s="2">
        <f t="shared" ref="AC27:AD27" si="81">+AC25+AC26</f>
        <v>14326</v>
      </c>
      <c r="AD27" s="2">
        <f t="shared" si="81"/>
        <v>14288</v>
      </c>
      <c r="AE27" s="2">
        <f t="shared" ref="AE27:AH27" si="82">+AE25+AE26</f>
        <v>15443</v>
      </c>
      <c r="AF27" s="2">
        <f t="shared" si="82"/>
        <v>15278</v>
      </c>
      <c r="AG27" s="2">
        <f t="shared" si="82"/>
        <v>14326</v>
      </c>
      <c r="AH27" s="2">
        <f t="shared" si="82"/>
        <v>14288</v>
      </c>
      <c r="AN27" s="2">
        <f t="shared" ref="AN27:AO27" si="83">+AN25+AN26</f>
        <v>1546</v>
      </c>
      <c r="AO27" s="2">
        <f t="shared" si="83"/>
        <v>1568</v>
      </c>
      <c r="AP27" s="2">
        <f t="shared" ref="AP27:AR27" si="84">+AP25+AP26</f>
        <v>1555</v>
      </c>
      <c r="AQ27" s="2">
        <f t="shared" si="84"/>
        <v>1683</v>
      </c>
      <c r="AR27" s="2">
        <f t="shared" si="84"/>
        <v>1910</v>
      </c>
      <c r="AS27" s="2">
        <f t="shared" ref="AS27:AT27" si="85">+AS25+AS26</f>
        <v>2393</v>
      </c>
      <c r="AT27" s="2">
        <f t="shared" si="85"/>
        <v>3145</v>
      </c>
      <c r="AU27" s="2">
        <f t="shared" ref="AU27:AV27" si="86">+AU25+AU26</f>
        <v>3745</v>
      </c>
      <c r="AV27" s="2">
        <f t="shared" si="86"/>
        <v>4870</v>
      </c>
      <c r="AW27" s="2">
        <f t="shared" ref="AW27:AY27" si="87">+AW25+AW26</f>
        <v>5482</v>
      </c>
      <c r="AX27" s="2">
        <f t="shared" si="87"/>
        <v>7299</v>
      </c>
      <c r="AY27" s="2">
        <f t="shared" si="87"/>
        <v>10028</v>
      </c>
      <c r="AZ27" s="2">
        <f t="shared" ref="AZ27:BE27" si="88">+AZ25+AZ26</f>
        <v>13421</v>
      </c>
      <c r="BA27" s="2">
        <f t="shared" si="88"/>
        <v>15305</v>
      </c>
      <c r="BB27" s="2">
        <f t="shared" si="88"/>
        <v>18034</v>
      </c>
      <c r="BC27" s="2">
        <f t="shared" si="88"/>
        <v>22396</v>
      </c>
      <c r="BD27" s="2">
        <f t="shared" si="88"/>
        <v>24239</v>
      </c>
      <c r="BE27" s="2">
        <f t="shared" si="88"/>
        <v>26842</v>
      </c>
      <c r="BF27" s="2">
        <f t="shared" ref="BF27:BG27" si="89">+BF25+BF26</f>
        <v>30941</v>
      </c>
      <c r="BG27" s="2">
        <f t="shared" si="89"/>
        <v>34462</v>
      </c>
      <c r="BH27" s="2">
        <f>+BH25+BH26</f>
        <v>38668</v>
      </c>
      <c r="BI27" s="2">
        <f>+BI25+BI26</f>
        <v>43887</v>
      </c>
      <c r="BJ27" s="2">
        <f>+BJ25+BJ26</f>
        <v>51345</v>
      </c>
      <c r="BK27" s="2">
        <f t="shared" ref="BK27:CB27" si="90">+BK25+BK26</f>
        <v>54847</v>
      </c>
      <c r="BL27" s="2">
        <f t="shared" si="90"/>
        <v>57467</v>
      </c>
      <c r="BM27" s="2">
        <f t="shared" si="90"/>
        <v>59191.01</v>
      </c>
      <c r="BN27" s="2">
        <f t="shared" si="90"/>
        <v>60966.740300000005</v>
      </c>
      <c r="BO27" s="2">
        <f t="shared" si="90"/>
        <v>62795.742509000011</v>
      </c>
      <c r="BP27" s="2">
        <f t="shared" si="90"/>
        <v>64679.614784270016</v>
      </c>
      <c r="BQ27" s="2">
        <f t="shared" si="90"/>
        <v>66620.003227798108</v>
      </c>
      <c r="BR27" s="2">
        <f t="shared" si="90"/>
        <v>68618.603324632059</v>
      </c>
      <c r="BS27" s="2">
        <f t="shared" si="90"/>
        <v>70677.161424371021</v>
      </c>
      <c r="BT27" s="2">
        <f t="shared" si="90"/>
        <v>72797.476267102145</v>
      </c>
      <c r="BU27" s="2">
        <f t="shared" si="90"/>
        <v>74981.400555115208</v>
      </c>
      <c r="BV27" s="2">
        <f t="shared" si="90"/>
        <v>77230.842571768677</v>
      </c>
      <c r="BW27" s="2">
        <f t="shared" si="90"/>
        <v>79547.767848921736</v>
      </c>
      <c r="BX27" s="2">
        <f t="shared" si="90"/>
        <v>81934.2008843894</v>
      </c>
      <c r="BY27" s="2">
        <f t="shared" si="90"/>
        <v>84392.226910921076</v>
      </c>
      <c r="BZ27" s="2">
        <f t="shared" si="90"/>
        <v>86923.993718248705</v>
      </c>
      <c r="CA27" s="2">
        <f t="shared" si="90"/>
        <v>89531.713529796165</v>
      </c>
      <c r="CB27" s="2">
        <f t="shared" si="90"/>
        <v>92217.66493569006</v>
      </c>
    </row>
    <row r="28" spans="2:192" s="2" customFormat="1" x14ac:dyDescent="0.25">
      <c r="B28" s="2" t="s">
        <v>29</v>
      </c>
      <c r="C28" s="2">
        <f t="shared" ref="C28" si="91">+C24-C27</f>
        <v>26274</v>
      </c>
      <c r="D28" s="2">
        <f t="shared" ref="D28:F28" si="92">+D24-D27</f>
        <v>15894</v>
      </c>
      <c r="E28" s="2">
        <f t="shared" si="92"/>
        <v>12612</v>
      </c>
      <c r="F28" s="2">
        <f t="shared" si="92"/>
        <v>16118</v>
      </c>
      <c r="K28" s="2">
        <f t="shared" ref="K28:N28" si="93">+K24-K27</f>
        <v>25569</v>
      </c>
      <c r="L28" s="2">
        <f t="shared" si="93"/>
        <v>12853</v>
      </c>
      <c r="M28" s="2">
        <f t="shared" si="93"/>
        <v>13091</v>
      </c>
      <c r="N28" s="2">
        <f t="shared" si="93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94">+R24-R27</f>
        <v>23786</v>
      </c>
      <c r="S28" s="2">
        <f t="shared" ref="S28" si="95">+S24-S27</f>
        <v>41488</v>
      </c>
      <c r="T28" s="2">
        <f>+T24-T27</f>
        <v>29979</v>
      </c>
      <c r="U28" s="2">
        <f t="shared" ref="U28" si="96">+U24-U27</f>
        <v>23076</v>
      </c>
      <c r="V28" s="2">
        <f t="shared" ref="V28:Z28" si="97">+V24-V27</f>
        <v>24894</v>
      </c>
      <c r="W28" s="2">
        <f t="shared" si="97"/>
        <v>36016</v>
      </c>
      <c r="X28" s="2">
        <f t="shared" si="97"/>
        <v>28318</v>
      </c>
      <c r="Y28" s="2">
        <f t="shared" si="97"/>
        <v>22998</v>
      </c>
      <c r="Z28" s="2">
        <f t="shared" si="97"/>
        <v>26969</v>
      </c>
      <c r="AA28" s="2">
        <f t="shared" ref="AA28:AB28" si="98">+AA24-AA27</f>
        <v>40373</v>
      </c>
      <c r="AB28" s="2">
        <f t="shared" si="98"/>
        <v>27900</v>
      </c>
      <c r="AC28" s="2">
        <f t="shared" ref="AC28:AD28" si="99">+AC24-AC27</f>
        <v>25352</v>
      </c>
      <c r="AD28" s="2">
        <f t="shared" si="99"/>
        <v>29591</v>
      </c>
      <c r="AE28" s="2">
        <f t="shared" ref="AE28:AH28" si="100">+AE24-AE27</f>
        <v>42832</v>
      </c>
      <c r="AF28" s="2">
        <f t="shared" si="100"/>
        <v>29589</v>
      </c>
      <c r="AG28" s="2">
        <f t="shared" si="100"/>
        <v>26847.546300000002</v>
      </c>
      <c r="AH28" s="2">
        <f t="shared" si="100"/>
        <v>31244.744599999998</v>
      </c>
      <c r="AN28" s="2">
        <f t="shared" ref="AN28:AO28" si="101">+AN24-AN27</f>
        <v>620</v>
      </c>
      <c r="AO28" s="2">
        <f t="shared" si="101"/>
        <v>-333</v>
      </c>
      <c r="AP28" s="2">
        <f t="shared" ref="AP28:AR28" si="102">+AP24-AP27</f>
        <v>48</v>
      </c>
      <c r="AQ28" s="2">
        <f t="shared" si="102"/>
        <v>25</v>
      </c>
      <c r="AR28" s="2">
        <f t="shared" si="102"/>
        <v>349</v>
      </c>
      <c r="AS28" s="2">
        <f t="shared" ref="AS28:AT28" si="103">+AS24-AS27</f>
        <v>1650</v>
      </c>
      <c r="AT28" s="2">
        <f t="shared" si="103"/>
        <v>2453</v>
      </c>
      <c r="AU28" s="2">
        <f t="shared" ref="AU28:AV28" si="104">+AU24-AU27</f>
        <v>4409</v>
      </c>
      <c r="AV28" s="2">
        <f t="shared" si="104"/>
        <v>8327</v>
      </c>
      <c r="AW28" s="2">
        <f t="shared" ref="AW28:AY28" si="105">+AW24-AW27</f>
        <v>11740</v>
      </c>
      <c r="AX28" s="2">
        <f t="shared" si="105"/>
        <v>18385</v>
      </c>
      <c r="AY28" s="2">
        <f t="shared" si="105"/>
        <v>33790</v>
      </c>
      <c r="AZ28" s="2">
        <f t="shared" ref="AZ28:BE28" si="106">+AZ24-AZ27</f>
        <v>55241</v>
      </c>
      <c r="BA28" s="2">
        <f t="shared" si="106"/>
        <v>48999</v>
      </c>
      <c r="BB28" s="2">
        <f t="shared" si="106"/>
        <v>52503</v>
      </c>
      <c r="BC28" s="2">
        <f t="shared" si="106"/>
        <v>71230</v>
      </c>
      <c r="BD28" s="2">
        <f t="shared" si="106"/>
        <v>60024</v>
      </c>
      <c r="BE28" s="2">
        <f t="shared" si="106"/>
        <v>61344</v>
      </c>
      <c r="BF28" s="2">
        <f t="shared" ref="BF28:BG28" si="107">+BF24-BF27</f>
        <v>70898</v>
      </c>
      <c r="BG28" s="2">
        <f t="shared" si="107"/>
        <v>63930</v>
      </c>
      <c r="BH28" s="2">
        <f>+BH24-BH27</f>
        <v>66288</v>
      </c>
      <c r="BI28" s="2">
        <f>+BI24-BI27</f>
        <v>108949</v>
      </c>
      <c r="BJ28" s="2">
        <f>+BJ24-BJ27</f>
        <v>119437</v>
      </c>
      <c r="BK28" s="2">
        <f t="shared" ref="BK28:CB28" si="108">+BK24-BK27</f>
        <v>114301</v>
      </c>
      <c r="BL28" s="2">
        <f t="shared" si="108"/>
        <v>123216</v>
      </c>
      <c r="BM28" s="2">
        <f t="shared" si="108"/>
        <v>139063.61999429748</v>
      </c>
      <c r="BN28" s="2">
        <f t="shared" si="108"/>
        <v>151775.11280931855</v>
      </c>
      <c r="BO28" s="2">
        <f t="shared" si="108"/>
        <v>165598.87969255034</v>
      </c>
      <c r="BP28" s="2">
        <f t="shared" si="108"/>
        <v>180634.46636454249</v>
      </c>
      <c r="BQ28" s="2">
        <f t="shared" si="108"/>
        <v>191617.78812544863</v>
      </c>
      <c r="BR28" s="2">
        <f t="shared" si="108"/>
        <v>202043.13562531775</v>
      </c>
      <c r="BS28" s="2">
        <f t="shared" si="108"/>
        <v>213010.89772704628</v>
      </c>
      <c r="BT28" s="2">
        <f t="shared" si="108"/>
        <v>224548.71447310344</v>
      </c>
      <c r="BU28" s="2">
        <f t="shared" si="108"/>
        <v>236685.62254490727</v>
      </c>
      <c r="BV28" s="2">
        <f t="shared" si="108"/>
        <v>248204.78470747796</v>
      </c>
      <c r="BW28" s="2">
        <f t="shared" si="108"/>
        <v>260079.70672053329</v>
      </c>
      <c r="BX28" s="2">
        <f t="shared" si="108"/>
        <v>272517.92097923666</v>
      </c>
      <c r="BY28" s="2">
        <f t="shared" si="108"/>
        <v>285546.14318630204</v>
      </c>
      <c r="BZ28" s="2">
        <f t="shared" si="108"/>
        <v>299192.36142075481</v>
      </c>
      <c r="CA28" s="2">
        <f t="shared" si="108"/>
        <v>313485.89711021993</v>
      </c>
      <c r="CB28" s="2">
        <f t="shared" si="108"/>
        <v>328457.46894459665</v>
      </c>
    </row>
    <row r="29" spans="2:192" s="2" customFormat="1" x14ac:dyDescent="0.25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v>29</v>
      </c>
      <c r="AA29" s="2">
        <v>-50</v>
      </c>
      <c r="AB29" s="2">
        <v>158</v>
      </c>
      <c r="AC29" s="2">
        <v>142</v>
      </c>
      <c r="AD29" s="2">
        <v>19</v>
      </c>
      <c r="AE29" s="2">
        <v>-248</v>
      </c>
      <c r="AF29" s="2">
        <v>-279</v>
      </c>
      <c r="AN29" s="2">
        <v>203</v>
      </c>
      <c r="AO29" s="2">
        <v>217</v>
      </c>
      <c r="AP29" s="2">
        <v>70</v>
      </c>
      <c r="AQ29" s="2">
        <v>93</v>
      </c>
      <c r="AR29" s="2">
        <v>57</v>
      </c>
      <c r="AS29" s="2">
        <v>165</v>
      </c>
      <c r="AT29" s="2">
        <v>365</v>
      </c>
      <c r="AU29" s="2">
        <v>599</v>
      </c>
      <c r="AV29" s="2">
        <v>620</v>
      </c>
      <c r="AW29" s="2">
        <v>326</v>
      </c>
      <c r="AX29" s="2">
        <v>155</v>
      </c>
      <c r="AY29" s="2">
        <v>415</v>
      </c>
      <c r="AZ29" s="2">
        <v>522</v>
      </c>
      <c r="BA29" s="2">
        <v>1156</v>
      </c>
      <c r="BB29" s="2">
        <v>980</v>
      </c>
      <c r="BC29" s="2">
        <v>1285</v>
      </c>
      <c r="BD29" s="2">
        <v>1348</v>
      </c>
      <c r="BE29" s="2">
        <v>2745</v>
      </c>
      <c r="BF29" s="7">
        <v>2005</v>
      </c>
      <c r="BG29" s="7">
        <v>1807</v>
      </c>
      <c r="BH29" s="7">
        <f>SUM(K29:N29)</f>
        <v>803</v>
      </c>
      <c r="BI29" s="7">
        <f t="shared" ref="BI29" si="109">SUM(O29:R29)</f>
        <v>258</v>
      </c>
      <c r="BJ29" s="7">
        <f t="shared" ref="BJ29" si="110">SUM(S29:V29)</f>
        <v>-334</v>
      </c>
      <c r="BK29" s="2">
        <f>SUM(W29:Z29)</f>
        <v>-565</v>
      </c>
      <c r="BL29" s="2">
        <f t="shared" ref="BL29:BL31" si="111">SUM(AA29:AD29)</f>
        <v>269</v>
      </c>
    </row>
    <row r="30" spans="2:192" s="2" customFormat="1" x14ac:dyDescent="0.25">
      <c r="B30" s="2" t="s">
        <v>34</v>
      </c>
      <c r="C30" s="2">
        <f t="shared" ref="C30" si="112">+C28+C29</f>
        <v>27030</v>
      </c>
      <c r="D30" s="2">
        <f t="shared" ref="D30:F30" si="113">+D28+D29</f>
        <v>16168</v>
      </c>
      <c r="E30" s="2">
        <f t="shared" si="113"/>
        <v>13284</v>
      </c>
      <c r="F30" s="2">
        <f t="shared" si="113"/>
        <v>16421</v>
      </c>
      <c r="K30" s="2">
        <f t="shared" ref="K30:N30" si="114">+K28+K29</f>
        <v>25918</v>
      </c>
      <c r="L30" s="2">
        <f t="shared" si="114"/>
        <v>13135</v>
      </c>
      <c r="M30" s="2">
        <f t="shared" si="114"/>
        <v>13137</v>
      </c>
      <c r="N30" s="2">
        <f t="shared" si="114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115">+R28+R29</f>
        <v>23248</v>
      </c>
      <c r="S30" s="2">
        <f t="shared" ref="S30" si="116">+S28+S29</f>
        <v>41241</v>
      </c>
      <c r="T30" s="2">
        <f>+T28+T29</f>
        <v>30139</v>
      </c>
      <c r="U30" s="2">
        <f t="shared" ref="U30:Z30" si="117">+U28+U29</f>
        <v>23066</v>
      </c>
      <c r="V30" s="2">
        <f t="shared" si="117"/>
        <v>24657</v>
      </c>
      <c r="W30" s="2">
        <f t="shared" si="117"/>
        <v>35623</v>
      </c>
      <c r="X30" s="2">
        <f t="shared" si="117"/>
        <v>28382</v>
      </c>
      <c r="Y30" s="2">
        <f t="shared" si="117"/>
        <v>22733</v>
      </c>
      <c r="Z30" s="2">
        <f t="shared" si="117"/>
        <v>26998</v>
      </c>
      <c r="AA30" s="2">
        <f t="shared" ref="AA30:AB30" si="118">+AA28+AA29</f>
        <v>40323</v>
      </c>
      <c r="AB30" s="2">
        <f t="shared" si="118"/>
        <v>28058</v>
      </c>
      <c r="AC30" s="2">
        <f t="shared" ref="AC30:AD30" si="119">+AC28+AC29</f>
        <v>25494</v>
      </c>
      <c r="AD30" s="2">
        <f t="shared" si="119"/>
        <v>29610</v>
      </c>
      <c r="AE30" s="2">
        <f t="shared" ref="AE30:AH30" si="120">+AE28+AE29</f>
        <v>42584</v>
      </c>
      <c r="AF30" s="2">
        <f t="shared" si="120"/>
        <v>29310</v>
      </c>
      <c r="AG30" s="2">
        <f t="shared" si="120"/>
        <v>26847.546300000002</v>
      </c>
      <c r="AH30" s="2">
        <f t="shared" si="120"/>
        <v>31244.744599999998</v>
      </c>
      <c r="AN30" s="2">
        <f t="shared" ref="AN30:AO30" si="121">+AN28+AN29</f>
        <v>823</v>
      </c>
      <c r="AO30" s="2">
        <f t="shared" si="121"/>
        <v>-116</v>
      </c>
      <c r="AP30" s="2">
        <f t="shared" ref="AP30:AR30" si="122">+AP28+AP29</f>
        <v>118</v>
      </c>
      <c r="AQ30" s="2">
        <f t="shared" si="122"/>
        <v>118</v>
      </c>
      <c r="AR30" s="2">
        <f t="shared" si="122"/>
        <v>406</v>
      </c>
      <c r="AS30" s="2">
        <f t="shared" ref="AS30:AT30" si="123">+AS28+AS29</f>
        <v>1815</v>
      </c>
      <c r="AT30" s="2">
        <f t="shared" si="123"/>
        <v>2818</v>
      </c>
      <c r="AU30" s="2">
        <f t="shared" ref="AU30:AV30" si="124">+AU28+AU29</f>
        <v>5008</v>
      </c>
      <c r="AV30" s="2">
        <f t="shared" si="124"/>
        <v>8947</v>
      </c>
      <c r="AW30" s="2">
        <f t="shared" ref="AW30:AY30" si="125">+AW28+AW29</f>
        <v>12066</v>
      </c>
      <c r="AX30" s="2">
        <f t="shared" si="125"/>
        <v>18540</v>
      </c>
      <c r="AY30" s="2">
        <f t="shared" si="125"/>
        <v>34205</v>
      </c>
      <c r="AZ30" s="2">
        <f t="shared" ref="AZ30:BE30" si="126">+AZ28+AZ29</f>
        <v>55763</v>
      </c>
      <c r="BA30" s="2">
        <f t="shared" si="126"/>
        <v>50155</v>
      </c>
      <c r="BB30" s="2">
        <f t="shared" si="126"/>
        <v>53483</v>
      </c>
      <c r="BC30" s="2">
        <f t="shared" si="126"/>
        <v>72515</v>
      </c>
      <c r="BD30" s="2">
        <f t="shared" si="126"/>
        <v>61372</v>
      </c>
      <c r="BE30" s="2">
        <f t="shared" si="126"/>
        <v>64089</v>
      </c>
      <c r="BF30" s="2">
        <f t="shared" ref="BF30:BG30" si="127">+BF28+BF29</f>
        <v>72903</v>
      </c>
      <c r="BG30" s="2">
        <f t="shared" si="127"/>
        <v>65737</v>
      </c>
      <c r="BH30" s="2">
        <f>+BH28+BH29</f>
        <v>67091</v>
      </c>
      <c r="BI30" s="2">
        <f>+BI28+BI29</f>
        <v>109207</v>
      </c>
      <c r="BJ30" s="2">
        <f>+BJ28+BJ29</f>
        <v>119103</v>
      </c>
      <c r="BK30" s="2">
        <f t="shared" ref="BK30:CB30" si="128">+BK28+BK29</f>
        <v>113736</v>
      </c>
      <c r="BL30" s="2">
        <f t="shared" si="128"/>
        <v>123485</v>
      </c>
      <c r="BM30" s="2">
        <f t="shared" si="128"/>
        <v>139063.61999429748</v>
      </c>
      <c r="BN30" s="2">
        <f t="shared" si="128"/>
        <v>151775.11280931855</v>
      </c>
      <c r="BO30" s="2">
        <f t="shared" si="128"/>
        <v>165598.87969255034</v>
      </c>
      <c r="BP30" s="2">
        <f t="shared" si="128"/>
        <v>180634.46636454249</v>
      </c>
      <c r="BQ30" s="2">
        <f t="shared" si="128"/>
        <v>191617.78812544863</v>
      </c>
      <c r="BR30" s="2">
        <f t="shared" si="128"/>
        <v>202043.13562531775</v>
      </c>
      <c r="BS30" s="2">
        <f t="shared" si="128"/>
        <v>213010.89772704628</v>
      </c>
      <c r="BT30" s="2">
        <f t="shared" si="128"/>
        <v>224548.71447310344</v>
      </c>
      <c r="BU30" s="2">
        <f t="shared" si="128"/>
        <v>236685.62254490727</v>
      </c>
      <c r="BV30" s="2">
        <f t="shared" si="128"/>
        <v>248204.78470747796</v>
      </c>
      <c r="BW30" s="2">
        <f t="shared" si="128"/>
        <v>260079.70672053329</v>
      </c>
      <c r="BX30" s="2">
        <f t="shared" si="128"/>
        <v>272517.92097923666</v>
      </c>
      <c r="BY30" s="2">
        <f t="shared" si="128"/>
        <v>285546.14318630204</v>
      </c>
      <c r="BZ30" s="2">
        <f t="shared" si="128"/>
        <v>299192.36142075481</v>
      </c>
      <c r="CA30" s="2">
        <f t="shared" si="128"/>
        <v>313485.89711021993</v>
      </c>
      <c r="CB30" s="2">
        <f t="shared" si="128"/>
        <v>328457.46894459665</v>
      </c>
    </row>
    <row r="31" spans="2:192" s="2" customFormat="1" x14ac:dyDescent="0.25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v>4042</v>
      </c>
      <c r="AA31" s="2">
        <v>6407</v>
      </c>
      <c r="AB31" s="2">
        <v>4422</v>
      </c>
      <c r="AC31" s="2">
        <v>4046</v>
      </c>
      <c r="AD31" s="2">
        <v>14874</v>
      </c>
      <c r="AE31" s="2">
        <v>6254</v>
      </c>
      <c r="AF31" s="2">
        <v>4530</v>
      </c>
      <c r="AG31" s="2">
        <f>+AG30*0.15</f>
        <v>4027.1319450000001</v>
      </c>
      <c r="AH31" s="2">
        <f>+AH30*0.15</f>
        <v>4686.7116899999992</v>
      </c>
      <c r="AN31" s="2">
        <v>306</v>
      </c>
      <c r="AO31" s="2">
        <v>0</v>
      </c>
      <c r="AP31" s="2">
        <v>22</v>
      </c>
      <c r="AQ31" s="2">
        <v>24</v>
      </c>
      <c r="AR31" s="2">
        <v>107</v>
      </c>
      <c r="AS31" s="2">
        <v>480</v>
      </c>
      <c r="AT31" s="2">
        <v>829</v>
      </c>
      <c r="AU31" s="2">
        <v>1512</v>
      </c>
      <c r="AV31" s="2">
        <v>2828</v>
      </c>
      <c r="AW31" s="2">
        <v>3831</v>
      </c>
      <c r="AX31" s="2">
        <v>4527</v>
      </c>
      <c r="AY31" s="2">
        <v>8283</v>
      </c>
      <c r="AZ31" s="2">
        <v>14030</v>
      </c>
      <c r="BA31" s="2">
        <v>13118</v>
      </c>
      <c r="BB31" s="2">
        <v>13973</v>
      </c>
      <c r="BC31" s="2">
        <v>19121</v>
      </c>
      <c r="BD31" s="2">
        <v>15685</v>
      </c>
      <c r="BE31" s="2">
        <v>15738</v>
      </c>
      <c r="BF31" s="7">
        <v>13372</v>
      </c>
      <c r="BG31" s="7">
        <v>10481</v>
      </c>
      <c r="BH31" s="7">
        <f>SUM(K31:N31)</f>
        <v>9680</v>
      </c>
      <c r="BI31" s="7">
        <f t="shared" ref="BI31" si="129">SUM(O31:R31)</f>
        <v>14527</v>
      </c>
      <c r="BJ31" s="7">
        <f t="shared" ref="BJ31" si="130">SUM(S31:V31)</f>
        <v>19300</v>
      </c>
      <c r="BK31" s="2">
        <f>SUM(W31:Z31)</f>
        <v>16741</v>
      </c>
      <c r="BL31" s="2">
        <f t="shared" si="111"/>
        <v>29749</v>
      </c>
      <c r="BM31" s="2">
        <f t="shared" ref="BM31:CB31" si="131">+BM30*0.2</f>
        <v>27812.723998859496</v>
      </c>
      <c r="BN31" s="2">
        <f t="shared" si="131"/>
        <v>30355.022561863712</v>
      </c>
      <c r="BO31" s="2">
        <f t="shared" si="131"/>
        <v>33119.775938510073</v>
      </c>
      <c r="BP31" s="2">
        <f t="shared" si="131"/>
        <v>36126.893272908499</v>
      </c>
      <c r="BQ31" s="2">
        <f t="shared" si="131"/>
        <v>38323.557625089728</v>
      </c>
      <c r="BR31" s="2">
        <f t="shared" si="131"/>
        <v>40408.627125063555</v>
      </c>
      <c r="BS31" s="2">
        <f t="shared" si="131"/>
        <v>42602.179545409257</v>
      </c>
      <c r="BT31" s="2">
        <f t="shared" si="131"/>
        <v>44909.742894620693</v>
      </c>
      <c r="BU31" s="2">
        <f t="shared" si="131"/>
        <v>47337.124508981455</v>
      </c>
      <c r="BV31" s="2">
        <f t="shared" si="131"/>
        <v>49640.956941495591</v>
      </c>
      <c r="BW31" s="2">
        <f t="shared" si="131"/>
        <v>52015.941344106657</v>
      </c>
      <c r="BX31" s="2">
        <f t="shared" si="131"/>
        <v>54503.584195847332</v>
      </c>
      <c r="BY31" s="2">
        <f t="shared" si="131"/>
        <v>57109.228637260414</v>
      </c>
      <c r="BZ31" s="2">
        <f t="shared" si="131"/>
        <v>59838.472284150965</v>
      </c>
      <c r="CA31" s="2">
        <f t="shared" si="131"/>
        <v>62697.179422043992</v>
      </c>
      <c r="CB31" s="2">
        <f t="shared" si="131"/>
        <v>65691.493788919339</v>
      </c>
    </row>
    <row r="32" spans="2:192" s="2" customFormat="1" x14ac:dyDescent="0.25">
      <c r="B32" s="2" t="s">
        <v>32</v>
      </c>
      <c r="C32" s="2">
        <f t="shared" ref="C32" si="132">+C30-C31</f>
        <v>20065</v>
      </c>
      <c r="D32" s="2">
        <f t="shared" ref="D32:F32" si="133">+D30-D31</f>
        <v>13822</v>
      </c>
      <c r="E32" s="2">
        <f t="shared" si="133"/>
        <v>11519</v>
      </c>
      <c r="F32" s="2">
        <f t="shared" si="133"/>
        <v>14125</v>
      </c>
      <c r="K32" s="2">
        <f t="shared" ref="K32:N32" si="134">+K30-K31</f>
        <v>22236</v>
      </c>
      <c r="L32" s="2">
        <f t="shared" si="134"/>
        <v>11249</v>
      </c>
      <c r="M32" s="2">
        <f t="shared" si="134"/>
        <v>11253</v>
      </c>
      <c r="N32" s="2">
        <f t="shared" si="134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35">+R30-R31</f>
        <v>20551</v>
      </c>
      <c r="S32" s="2">
        <f t="shared" ref="S32" si="136">+S30-S31</f>
        <v>34630</v>
      </c>
      <c r="T32" s="2">
        <f>+T30-T31</f>
        <v>25010</v>
      </c>
      <c r="U32" s="2">
        <f t="shared" ref="U32:AA32" si="137">+U30-U31</f>
        <v>19442</v>
      </c>
      <c r="V32" s="2">
        <f t="shared" si="137"/>
        <v>20721</v>
      </c>
      <c r="W32" s="2">
        <f t="shared" si="137"/>
        <v>29998</v>
      </c>
      <c r="X32" s="2">
        <f t="shared" si="137"/>
        <v>24160</v>
      </c>
      <c r="Y32" s="2">
        <f t="shared" si="137"/>
        <v>19881</v>
      </c>
      <c r="Z32" s="2">
        <f t="shared" si="137"/>
        <v>22956</v>
      </c>
      <c r="AA32" s="2">
        <f t="shared" si="137"/>
        <v>33916</v>
      </c>
      <c r="AB32" s="2">
        <f t="shared" ref="AB32:AC32" si="138">+AB30-AB31</f>
        <v>23636</v>
      </c>
      <c r="AC32" s="2">
        <f t="shared" si="138"/>
        <v>21448</v>
      </c>
      <c r="AD32" s="2">
        <f t="shared" ref="AD32:AH32" si="139">+AD30-AD31</f>
        <v>14736</v>
      </c>
      <c r="AE32" s="2">
        <f t="shared" si="139"/>
        <v>36330</v>
      </c>
      <c r="AF32" s="2">
        <f t="shared" si="139"/>
        <v>24780</v>
      </c>
      <c r="AG32" s="2">
        <f t="shared" si="139"/>
        <v>22820.414355000001</v>
      </c>
      <c r="AH32" s="2">
        <f t="shared" si="139"/>
        <v>26558.032909999998</v>
      </c>
      <c r="AN32" s="2">
        <f t="shared" ref="AN32:AO32" si="140">+AN30-AN31</f>
        <v>517</v>
      </c>
      <c r="AO32" s="2">
        <f t="shared" si="140"/>
        <v>-116</v>
      </c>
      <c r="AP32" s="2">
        <f t="shared" ref="AP32:AR32" si="141">+AP30-AP31</f>
        <v>96</v>
      </c>
      <c r="AQ32" s="2">
        <f t="shared" si="141"/>
        <v>94</v>
      </c>
      <c r="AR32" s="2">
        <f t="shared" si="141"/>
        <v>299</v>
      </c>
      <c r="AS32" s="2">
        <f t="shared" ref="AS32:AT32" si="142">+AS30-AS31</f>
        <v>1335</v>
      </c>
      <c r="AT32" s="2">
        <f t="shared" si="142"/>
        <v>1989</v>
      </c>
      <c r="AU32" s="2">
        <f t="shared" ref="AU32:AV32" si="143">+AU30-AU31</f>
        <v>3496</v>
      </c>
      <c r="AV32" s="2">
        <f t="shared" si="143"/>
        <v>6119</v>
      </c>
      <c r="AW32" s="2">
        <f t="shared" ref="AW32:AY32" si="144">+AW30-AW31</f>
        <v>8235</v>
      </c>
      <c r="AX32" s="2">
        <f t="shared" si="144"/>
        <v>14013</v>
      </c>
      <c r="AY32" s="2">
        <f t="shared" si="144"/>
        <v>25922</v>
      </c>
      <c r="AZ32" s="2">
        <f t="shared" ref="AZ32:BE32" si="145">+AZ30-AZ31</f>
        <v>41733</v>
      </c>
      <c r="BA32" s="2">
        <f t="shared" si="145"/>
        <v>37037</v>
      </c>
      <c r="BB32" s="2">
        <f t="shared" si="145"/>
        <v>39510</v>
      </c>
      <c r="BC32" s="2">
        <f t="shared" si="145"/>
        <v>53394</v>
      </c>
      <c r="BD32" s="2">
        <f t="shared" si="145"/>
        <v>45687</v>
      </c>
      <c r="BE32" s="2">
        <f t="shared" si="145"/>
        <v>48351</v>
      </c>
      <c r="BF32" s="2">
        <f t="shared" ref="BF32:BG32" si="146">+BF30-BF31</f>
        <v>59531</v>
      </c>
      <c r="BG32" s="2">
        <f t="shared" si="146"/>
        <v>55256</v>
      </c>
      <c r="BH32" s="2">
        <f>+BH30-BH31</f>
        <v>57411</v>
      </c>
      <c r="BI32" s="2">
        <f>+BI30-BI31</f>
        <v>94680</v>
      </c>
      <c r="BJ32" s="2">
        <f>+BJ30-BJ31</f>
        <v>99803</v>
      </c>
      <c r="BK32" s="2">
        <f>+BK30-BK31</f>
        <v>96995</v>
      </c>
      <c r="BL32" s="2">
        <f t="shared" ref="BL32:CB32" si="147">+BL30-BL31</f>
        <v>93736</v>
      </c>
      <c r="BM32" s="2">
        <f t="shared" si="147"/>
        <v>111250.89599543798</v>
      </c>
      <c r="BN32" s="2">
        <f t="shared" si="147"/>
        <v>121420.09024745485</v>
      </c>
      <c r="BO32" s="2">
        <f t="shared" si="147"/>
        <v>132479.10375404026</v>
      </c>
      <c r="BP32" s="2">
        <f t="shared" si="147"/>
        <v>144507.573091634</v>
      </c>
      <c r="BQ32" s="2">
        <f t="shared" si="147"/>
        <v>153294.23050035891</v>
      </c>
      <c r="BR32" s="2">
        <f t="shared" si="147"/>
        <v>161634.50850025419</v>
      </c>
      <c r="BS32" s="2">
        <f t="shared" si="147"/>
        <v>170408.71818163703</v>
      </c>
      <c r="BT32" s="2">
        <f t="shared" si="147"/>
        <v>179638.97157848274</v>
      </c>
      <c r="BU32" s="2">
        <f t="shared" si="147"/>
        <v>189348.49803592582</v>
      </c>
      <c r="BV32" s="2">
        <f t="shared" si="147"/>
        <v>198563.82776598237</v>
      </c>
      <c r="BW32" s="2">
        <f t="shared" si="147"/>
        <v>208063.76537642663</v>
      </c>
      <c r="BX32" s="2">
        <f t="shared" si="147"/>
        <v>218014.33678338933</v>
      </c>
      <c r="BY32" s="2">
        <f t="shared" si="147"/>
        <v>228436.91454904163</v>
      </c>
      <c r="BZ32" s="2">
        <f t="shared" si="147"/>
        <v>239353.88913660386</v>
      </c>
      <c r="CA32" s="2">
        <f t="shared" si="147"/>
        <v>250788.71768817594</v>
      </c>
      <c r="CB32" s="2">
        <f t="shared" si="147"/>
        <v>262765.9751556773</v>
      </c>
      <c r="CC32" s="2">
        <f>+CB32*(1+$CE$37)</f>
        <v>260138.31540412051</v>
      </c>
      <c r="CD32" s="2">
        <f t="shared" ref="CD32:EO32" si="148">+CC32*(1+$CE$37)</f>
        <v>257536.93225007929</v>
      </c>
      <c r="CE32" s="2">
        <f t="shared" si="148"/>
        <v>254961.56292757849</v>
      </c>
      <c r="CF32" s="2">
        <f t="shared" si="148"/>
        <v>252411.94729830269</v>
      </c>
      <c r="CG32" s="2">
        <f t="shared" si="148"/>
        <v>249887.82782531966</v>
      </c>
      <c r="CH32" s="2">
        <f t="shared" si="148"/>
        <v>247388.94954706647</v>
      </c>
      <c r="CI32" s="2">
        <f t="shared" si="148"/>
        <v>244915.06005159579</v>
      </c>
      <c r="CJ32" s="2">
        <f t="shared" si="148"/>
        <v>242465.90945107985</v>
      </c>
      <c r="CK32" s="2">
        <f t="shared" si="148"/>
        <v>240041.25035656904</v>
      </c>
      <c r="CL32" s="2">
        <f t="shared" si="148"/>
        <v>237640.83785300335</v>
      </c>
      <c r="CM32" s="2">
        <f t="shared" si="148"/>
        <v>235264.42947447332</v>
      </c>
      <c r="CN32" s="2">
        <f t="shared" si="148"/>
        <v>232911.78517972858</v>
      </c>
      <c r="CO32" s="2">
        <f t="shared" si="148"/>
        <v>230582.6673279313</v>
      </c>
      <c r="CP32" s="2">
        <f t="shared" si="148"/>
        <v>228276.84065465198</v>
      </c>
      <c r="CQ32" s="2">
        <f t="shared" si="148"/>
        <v>225994.07224810545</v>
      </c>
      <c r="CR32" s="2">
        <f t="shared" si="148"/>
        <v>223734.1315256244</v>
      </c>
      <c r="CS32" s="2">
        <f t="shared" si="148"/>
        <v>221496.79021036814</v>
      </c>
      <c r="CT32" s="2">
        <f t="shared" si="148"/>
        <v>219281.82230826447</v>
      </c>
      <c r="CU32" s="2">
        <f t="shared" si="148"/>
        <v>217089.00408518183</v>
      </c>
      <c r="CV32" s="2">
        <f t="shared" si="148"/>
        <v>214918.11404433002</v>
      </c>
      <c r="CW32" s="2">
        <f t="shared" si="148"/>
        <v>212768.93290388671</v>
      </c>
      <c r="CX32" s="2">
        <f t="shared" si="148"/>
        <v>210641.24357484785</v>
      </c>
      <c r="CY32" s="2">
        <f t="shared" si="148"/>
        <v>208534.83113909938</v>
      </c>
      <c r="CZ32" s="2">
        <f t="shared" si="148"/>
        <v>206449.48282770839</v>
      </c>
      <c r="DA32" s="2">
        <f t="shared" si="148"/>
        <v>204384.98799943129</v>
      </c>
      <c r="DB32" s="2">
        <f t="shared" si="148"/>
        <v>202341.13811943698</v>
      </c>
      <c r="DC32" s="2">
        <f t="shared" si="148"/>
        <v>200317.72673824261</v>
      </c>
      <c r="DD32" s="2">
        <f t="shared" si="148"/>
        <v>198314.54947086019</v>
      </c>
      <c r="DE32" s="2">
        <f t="shared" si="148"/>
        <v>196331.40397615157</v>
      </c>
      <c r="DF32" s="2">
        <f t="shared" si="148"/>
        <v>194368.08993639005</v>
      </c>
      <c r="DG32" s="2">
        <f t="shared" si="148"/>
        <v>192424.40903702614</v>
      </c>
      <c r="DH32" s="2">
        <f t="shared" si="148"/>
        <v>190500.16494665589</v>
      </c>
      <c r="DI32" s="2">
        <f t="shared" si="148"/>
        <v>188595.16329718934</v>
      </c>
      <c r="DJ32" s="2">
        <f t="shared" si="148"/>
        <v>186709.21166421744</v>
      </c>
      <c r="DK32" s="2">
        <f t="shared" si="148"/>
        <v>184842.11954757525</v>
      </c>
      <c r="DL32" s="2">
        <f t="shared" si="148"/>
        <v>182993.69835209948</v>
      </c>
      <c r="DM32" s="2">
        <f t="shared" si="148"/>
        <v>181163.76136857847</v>
      </c>
      <c r="DN32" s="2">
        <f t="shared" si="148"/>
        <v>179352.1237548927</v>
      </c>
      <c r="DO32" s="2">
        <f t="shared" si="148"/>
        <v>177558.60251734377</v>
      </c>
      <c r="DP32" s="2">
        <f t="shared" si="148"/>
        <v>175783.01649217034</v>
      </c>
      <c r="DQ32" s="2">
        <f t="shared" si="148"/>
        <v>174025.18632724864</v>
      </c>
      <c r="DR32" s="2">
        <f t="shared" si="148"/>
        <v>172284.93446397615</v>
      </c>
      <c r="DS32" s="2">
        <f t="shared" si="148"/>
        <v>170562.08511933638</v>
      </c>
      <c r="DT32" s="2">
        <f t="shared" si="148"/>
        <v>168856.46426814303</v>
      </c>
      <c r="DU32" s="2">
        <f t="shared" si="148"/>
        <v>167167.89962546161</v>
      </c>
      <c r="DV32" s="2">
        <f t="shared" si="148"/>
        <v>165496.22062920697</v>
      </c>
      <c r="DW32" s="2">
        <f t="shared" si="148"/>
        <v>163841.25842291489</v>
      </c>
      <c r="DX32" s="2">
        <f t="shared" si="148"/>
        <v>162202.84583868575</v>
      </c>
      <c r="DY32" s="2">
        <f t="shared" si="148"/>
        <v>160580.81738029889</v>
      </c>
      <c r="DZ32" s="2">
        <f t="shared" si="148"/>
        <v>158975.00920649589</v>
      </c>
      <c r="EA32" s="2">
        <f t="shared" si="148"/>
        <v>157385.25911443093</v>
      </c>
      <c r="EB32" s="2">
        <f t="shared" si="148"/>
        <v>155811.40652328663</v>
      </c>
      <c r="EC32" s="2">
        <f t="shared" si="148"/>
        <v>154253.29245805377</v>
      </c>
      <c r="ED32" s="2">
        <f t="shared" si="148"/>
        <v>152710.75953347323</v>
      </c>
      <c r="EE32" s="2">
        <f t="shared" si="148"/>
        <v>151183.6519381385</v>
      </c>
      <c r="EF32" s="2">
        <f t="shared" si="148"/>
        <v>149671.81541875712</v>
      </c>
      <c r="EG32" s="2">
        <f t="shared" si="148"/>
        <v>148175.09726456954</v>
      </c>
      <c r="EH32" s="2">
        <f t="shared" si="148"/>
        <v>146693.34629192384</v>
      </c>
      <c r="EI32" s="2">
        <f t="shared" si="148"/>
        <v>145226.41282900461</v>
      </c>
      <c r="EJ32" s="2">
        <f t="shared" si="148"/>
        <v>143774.14870071455</v>
      </c>
      <c r="EK32" s="2">
        <f t="shared" si="148"/>
        <v>142336.4072137074</v>
      </c>
      <c r="EL32" s="2">
        <f t="shared" si="148"/>
        <v>140913.04314157032</v>
      </c>
      <c r="EM32" s="2">
        <f t="shared" si="148"/>
        <v>139503.9127101546</v>
      </c>
      <c r="EN32" s="2">
        <f t="shared" si="148"/>
        <v>138108.87358305306</v>
      </c>
      <c r="EO32" s="2">
        <f t="shared" si="148"/>
        <v>136727.78484722253</v>
      </c>
      <c r="EP32" s="2">
        <f t="shared" ref="EP32:GJ32" si="149">+EO32*(1+$CE$37)</f>
        <v>135360.50699875029</v>
      </c>
      <c r="EQ32" s="2">
        <f t="shared" si="149"/>
        <v>134006.90192876279</v>
      </c>
      <c r="ER32" s="2">
        <f t="shared" si="149"/>
        <v>132666.83290947517</v>
      </c>
      <c r="ES32" s="2">
        <f t="shared" si="149"/>
        <v>131340.16458038043</v>
      </c>
      <c r="ET32" s="2">
        <f t="shared" si="149"/>
        <v>130026.76293457662</v>
      </c>
      <c r="EU32" s="2">
        <f t="shared" si="149"/>
        <v>128726.49530523086</v>
      </c>
      <c r="EV32" s="2">
        <f t="shared" si="149"/>
        <v>127439.23035217855</v>
      </c>
      <c r="EW32" s="2">
        <f t="shared" si="149"/>
        <v>126164.83804865676</v>
      </c>
      <c r="EX32" s="2">
        <f t="shared" si="149"/>
        <v>124903.18966817019</v>
      </c>
      <c r="EY32" s="2">
        <f t="shared" si="149"/>
        <v>123654.15777148849</v>
      </c>
      <c r="EZ32" s="2">
        <f t="shared" si="149"/>
        <v>122417.6161937736</v>
      </c>
      <c r="FA32" s="2">
        <f t="shared" si="149"/>
        <v>121193.44003183587</v>
      </c>
      <c r="FB32" s="2">
        <f t="shared" si="149"/>
        <v>119981.5056315175</v>
      </c>
      <c r="FC32" s="2">
        <f t="shared" si="149"/>
        <v>118781.69057520233</v>
      </c>
      <c r="FD32" s="2">
        <f t="shared" si="149"/>
        <v>117593.8736694503</v>
      </c>
      <c r="FE32" s="2">
        <f t="shared" si="149"/>
        <v>116417.9349327558</v>
      </c>
      <c r="FF32" s="2">
        <f t="shared" si="149"/>
        <v>115253.75558342824</v>
      </c>
      <c r="FG32" s="2">
        <f t="shared" si="149"/>
        <v>114101.21802759396</v>
      </c>
      <c r="FH32" s="2">
        <f t="shared" si="149"/>
        <v>112960.20584731802</v>
      </c>
      <c r="FI32" s="2">
        <f t="shared" si="149"/>
        <v>111830.60378884485</v>
      </c>
      <c r="FJ32" s="2">
        <f t="shared" si="149"/>
        <v>110712.29775095639</v>
      </c>
      <c r="FK32" s="2">
        <f t="shared" si="149"/>
        <v>109605.17477344682</v>
      </c>
      <c r="FL32" s="2">
        <f t="shared" si="149"/>
        <v>108509.12302571235</v>
      </c>
      <c r="FM32" s="2">
        <f t="shared" si="149"/>
        <v>107424.03179545523</v>
      </c>
      <c r="FN32" s="2">
        <f t="shared" si="149"/>
        <v>106349.79147750068</v>
      </c>
      <c r="FO32" s="2">
        <f t="shared" si="149"/>
        <v>105286.29356272567</v>
      </c>
      <c r="FP32" s="2">
        <f t="shared" si="149"/>
        <v>104233.43062709841</v>
      </c>
      <c r="FQ32" s="2">
        <f t="shared" si="149"/>
        <v>103191.09632082742</v>
      </c>
      <c r="FR32" s="2">
        <f t="shared" si="149"/>
        <v>102159.18535761915</v>
      </c>
      <c r="FS32" s="2">
        <f t="shared" si="149"/>
        <v>101137.59350404296</v>
      </c>
      <c r="FT32" s="2">
        <f t="shared" si="149"/>
        <v>100126.21756900253</v>
      </c>
      <c r="FU32" s="2">
        <f t="shared" si="149"/>
        <v>99124.955393312499</v>
      </c>
      <c r="FV32" s="2">
        <f t="shared" si="149"/>
        <v>98133.70583937937</v>
      </c>
      <c r="FW32" s="2">
        <f t="shared" si="149"/>
        <v>97152.368780985576</v>
      </c>
      <c r="FX32" s="2">
        <f t="shared" si="149"/>
        <v>96180.845093175725</v>
      </c>
      <c r="FY32" s="2">
        <f t="shared" si="149"/>
        <v>95219.036642243969</v>
      </c>
      <c r="FZ32" s="2">
        <f t="shared" si="149"/>
        <v>94266.846275821532</v>
      </c>
      <c r="GA32" s="2">
        <f t="shared" si="149"/>
        <v>93324.177813063317</v>
      </c>
      <c r="GB32" s="2">
        <f t="shared" si="149"/>
        <v>92390.936034932689</v>
      </c>
      <c r="GC32" s="2">
        <f t="shared" si="149"/>
        <v>91467.026674583365</v>
      </c>
      <c r="GD32" s="2">
        <f t="shared" si="149"/>
        <v>90552.356407837535</v>
      </c>
      <c r="GE32" s="2">
        <f t="shared" si="149"/>
        <v>89646.832843759155</v>
      </c>
      <c r="GF32" s="2">
        <f t="shared" si="149"/>
        <v>88750.364515321562</v>
      </c>
      <c r="GG32" s="2">
        <f t="shared" si="149"/>
        <v>87862.860870168341</v>
      </c>
      <c r="GH32" s="2">
        <f t="shared" si="149"/>
        <v>86984.232261466663</v>
      </c>
      <c r="GI32" s="2">
        <f t="shared" si="149"/>
        <v>86114.389938851993</v>
      </c>
      <c r="GJ32" s="2">
        <f t="shared" si="149"/>
        <v>85253.246039463469</v>
      </c>
    </row>
    <row r="33" spans="2:83" s="4" customFormat="1" ht="13" x14ac:dyDescent="0.3">
      <c r="B33" s="4" t="s">
        <v>36</v>
      </c>
      <c r="C33" s="12">
        <f t="shared" ref="C33" si="150">+C32/C34</f>
        <v>0.97255857987156114</v>
      </c>
      <c r="D33" s="12">
        <f t="shared" ref="D33:F33" si="151">+D32/D34</f>
        <v>0.68176083107937602</v>
      </c>
      <c r="E33" s="12">
        <f t="shared" si="151"/>
        <v>0.58452984598534197</v>
      </c>
      <c r="F33" s="12">
        <f t="shared" si="151"/>
        <v>0.70623460408563088</v>
      </c>
      <c r="G33" s="12"/>
      <c r="H33" s="12"/>
      <c r="I33" s="12"/>
      <c r="J33" s="12"/>
      <c r="K33" s="12">
        <f t="shared" ref="K33:N33" si="152">+K32/K34</f>
        <v>1.2479223042091785</v>
      </c>
      <c r="L33" s="12">
        <f t="shared" si="152"/>
        <v>0.63846699811252383</v>
      </c>
      <c r="M33" s="12">
        <f t="shared" si="152"/>
        <v>0.64601300384622584</v>
      </c>
      <c r="N33" s="12">
        <f t="shared" si="152"/>
        <v>0.73438904632051849</v>
      </c>
      <c r="O33" s="12">
        <f>+O32/O34</f>
        <v>1.6802339741147556</v>
      </c>
      <c r="P33" s="12">
        <f>+P32/P34</f>
        <v>1.3958166966021994</v>
      </c>
      <c r="Q33" s="12">
        <f>+Q32/Q34</f>
        <v>1.2956943963183782</v>
      </c>
      <c r="R33" s="12">
        <f t="shared" ref="R33" si="153">+R32/R34</f>
        <v>1.2354000701047909</v>
      </c>
      <c r="S33" s="12">
        <f t="shared" ref="S33" si="154">+S32/S34</f>
        <v>2.0963369432743812</v>
      </c>
      <c r="T33" s="12">
        <f>+T32/T34</f>
        <v>1.5246917147727936</v>
      </c>
      <c r="U33" s="12">
        <f t="shared" ref="U33:Z33" si="155">+U32/U34</f>
        <v>1.1955329791418789</v>
      </c>
      <c r="V33" s="12">
        <f t="shared" si="155"/>
        <v>1.2855442500262897</v>
      </c>
      <c r="W33" s="12">
        <f t="shared" si="155"/>
        <v>1.8800783518485347</v>
      </c>
      <c r="X33" s="12">
        <f t="shared" si="155"/>
        <v>1.5245739743359175</v>
      </c>
      <c r="Y33" s="12">
        <f t="shared" si="155"/>
        <v>1.2602852614896989</v>
      </c>
      <c r="Z33" s="12">
        <f t="shared" si="155"/>
        <v>1.4647405630279984</v>
      </c>
      <c r="AA33" s="12">
        <f t="shared" ref="AA33:AB33" si="156">+AA32/AA34</f>
        <v>2.1773628858750742</v>
      </c>
      <c r="AB33" s="12">
        <f t="shared" si="156"/>
        <v>1.5283831076291186</v>
      </c>
      <c r="AC33" s="12">
        <f t="shared" ref="AC33:AD33" si="157">+AC32/AC34</f>
        <v>1.3974299876043894</v>
      </c>
      <c r="AD33" s="12">
        <f t="shared" si="157"/>
        <v>0.96674815403651804</v>
      </c>
      <c r="AE33" s="12">
        <f t="shared" ref="AE33:AH33" si="158">+AE32/AE34</f>
        <v>2.3978828931549452</v>
      </c>
      <c r="AF33" s="12">
        <f t="shared" si="158"/>
        <v>1.6458409340565736</v>
      </c>
      <c r="AG33" s="12">
        <f t="shared" si="158"/>
        <v>1.5156889458269265</v>
      </c>
      <c r="AH33" s="12">
        <f t="shared" si="158"/>
        <v>1.7639345315294437</v>
      </c>
      <c r="AI33" s="12"/>
      <c r="AJ33" s="12"/>
      <c r="AN33" s="12">
        <f t="shared" ref="AN33:AO33" si="159">+AN32/AN34</f>
        <v>1.4348197733151276</v>
      </c>
      <c r="AO33" s="12">
        <f t="shared" si="159"/>
        <v>-0.33563552296933274</v>
      </c>
      <c r="AP33" s="12">
        <f t="shared" ref="AP33:AR33" si="160">+AP32/AP34</f>
        <v>0.26535096811642273</v>
      </c>
      <c r="AQ33" s="12">
        <f t="shared" si="160"/>
        <v>0.12931058200767059</v>
      </c>
      <c r="AR33" s="12">
        <f t="shared" si="160"/>
        <v>0.38599471742346592</v>
      </c>
      <c r="AS33" s="12">
        <f t="shared" ref="AS33:AT33" si="161">+AS32/AS34</f>
        <v>1.5581596209061837</v>
      </c>
      <c r="AT33" s="12">
        <f t="shared" si="161"/>
        <v>2.266599508162721</v>
      </c>
      <c r="AU33" s="12">
        <f t="shared" ref="AU33:AV33" si="162">+AU32/AU34</f>
        <v>3.9312171930029729</v>
      </c>
      <c r="AV33" s="12">
        <f t="shared" si="162"/>
        <v>6.7827685090656757</v>
      </c>
      <c r="AW33" s="12">
        <f t="shared" ref="AW33:AY33" si="163">+AW32/AW34</f>
        <v>9.0793325284866118</v>
      </c>
      <c r="AX33" s="12">
        <f t="shared" si="163"/>
        <v>15.15390737872981</v>
      </c>
      <c r="AY33" s="12">
        <f t="shared" si="163"/>
        <v>27.675373273759003</v>
      </c>
      <c r="AZ33" s="12">
        <f t="shared" ref="AZ33:BE33" si="164">+AZ32/AZ34</f>
        <v>6.3064763445557777</v>
      </c>
      <c r="BA33" s="12">
        <f t="shared" si="164"/>
        <v>5.6790982137298718</v>
      </c>
      <c r="BB33" s="12">
        <f t="shared" si="164"/>
        <v>6.4530744220284548</v>
      </c>
      <c r="BC33" s="12">
        <f t="shared" si="164"/>
        <v>9.216876236067618</v>
      </c>
      <c r="BD33" s="12">
        <f t="shared" si="164"/>
        <v>8.3063028961611227</v>
      </c>
      <c r="BE33" s="12">
        <f t="shared" si="164"/>
        <v>9.2067470826545037</v>
      </c>
      <c r="BF33" s="12">
        <f t="shared" ref="BF33:BG33" si="165">+BF32/BF34</f>
        <v>2.9764851126245446</v>
      </c>
      <c r="BG33" s="12">
        <f t="shared" si="165"/>
        <v>2.9714474637107351</v>
      </c>
      <c r="BH33" s="12">
        <f>+BH32/BH34</f>
        <v>3.2753479151477172</v>
      </c>
      <c r="BI33" s="12">
        <f>+BI32/BI34</f>
        <v>5.6140203576723327</v>
      </c>
      <c r="BJ33" s="12">
        <f>+BJ32/BJ34</f>
        <v>6.1132002950847406</v>
      </c>
      <c r="BK33" s="12">
        <f>+BK32/BK34</f>
        <v>6.1340548534195198</v>
      </c>
      <c r="BL33" s="12">
        <f t="shared" ref="BL33:CB33" si="166">+BL32/BL34</f>
        <v>6.0835556272062066</v>
      </c>
      <c r="BM33" s="12">
        <f t="shared" si="166"/>
        <v>7.3774703879303285</v>
      </c>
      <c r="BN33" s="12">
        <f t="shared" si="166"/>
        <v>8.0518283676309341</v>
      </c>
      <c r="BO33" s="12">
        <f t="shared" si="166"/>
        <v>8.7851936491824745</v>
      </c>
      <c r="BP33" s="12">
        <f t="shared" si="166"/>
        <v>9.5828472371038202</v>
      </c>
      <c r="BQ33" s="12">
        <f t="shared" si="166"/>
        <v>10.165523936124877</v>
      </c>
      <c r="BR33" s="12">
        <f t="shared" si="166"/>
        <v>10.718599517411498</v>
      </c>
      <c r="BS33" s="12">
        <f t="shared" si="166"/>
        <v>11.300450760250458</v>
      </c>
      <c r="BT33" s="12">
        <f t="shared" si="166"/>
        <v>11.912543997783709</v>
      </c>
      <c r="BU33" s="12">
        <f t="shared" si="166"/>
        <v>12.556419656309188</v>
      </c>
      <c r="BV33" s="12">
        <f t="shared" si="166"/>
        <v>13.167523248690989</v>
      </c>
      <c r="BW33" s="12">
        <f t="shared" si="166"/>
        <v>13.797500272975919</v>
      </c>
      <c r="BX33" s="12">
        <f t="shared" si="166"/>
        <v>14.457360539637175</v>
      </c>
      <c r="BY33" s="12">
        <f t="shared" si="166"/>
        <v>15.148521344626593</v>
      </c>
      <c r="BZ33" s="12">
        <f t="shared" si="166"/>
        <v>15.872467484789194</v>
      </c>
      <c r="CA33" s="12">
        <f t="shared" si="166"/>
        <v>16.630754492506799</v>
      </c>
      <c r="CB33" s="12">
        <f t="shared" si="166"/>
        <v>17.425012026385289</v>
      </c>
    </row>
    <row r="34" spans="2:83" s="2" customFormat="1" x14ac:dyDescent="0.25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</v>
      </c>
      <c r="Z34" s="2">
        <v>15672.4</v>
      </c>
      <c r="AA34" s="2">
        <v>15576.641</v>
      </c>
      <c r="AB34" s="2">
        <v>15464.709000000001</v>
      </c>
      <c r="AC34" s="2">
        <v>15348.174999999999</v>
      </c>
      <c r="AD34" s="2">
        <v>15242.852999999999</v>
      </c>
      <c r="AE34" s="2">
        <v>15150.865</v>
      </c>
      <c r="AF34" s="2">
        <v>15056.133</v>
      </c>
      <c r="AG34" s="2">
        <f>+AF34</f>
        <v>15056.133</v>
      </c>
      <c r="AH34" s="2">
        <f>+AG34</f>
        <v>15056.133</v>
      </c>
      <c r="AN34" s="2">
        <v>360.32400000000001</v>
      </c>
      <c r="AO34" s="2">
        <v>345.613</v>
      </c>
      <c r="AP34" s="2">
        <v>361.78500000000003</v>
      </c>
      <c r="AQ34" s="2">
        <v>726.93200000000002</v>
      </c>
      <c r="AR34" s="2">
        <v>774.62199999999996</v>
      </c>
      <c r="AS34" s="2">
        <v>856.78</v>
      </c>
      <c r="AT34" s="2">
        <v>877.52599999999995</v>
      </c>
      <c r="AU34" s="2">
        <v>889.29200000000003</v>
      </c>
      <c r="AV34" s="2">
        <v>902.13900000000001</v>
      </c>
      <c r="AW34" s="2">
        <v>907.005</v>
      </c>
      <c r="AX34" s="2">
        <v>924.71199999999999</v>
      </c>
      <c r="AY34" s="2">
        <v>936.64499999999998</v>
      </c>
      <c r="AZ34" s="2">
        <v>6617.4830000000002</v>
      </c>
      <c r="BA34" s="2">
        <v>6521.634</v>
      </c>
      <c r="BB34" s="2">
        <v>6122.6629999999996</v>
      </c>
      <c r="BC34" s="2">
        <v>5793.0690000000004</v>
      </c>
      <c r="BD34" s="2">
        <v>5500.2809999999999</v>
      </c>
      <c r="BE34" s="2">
        <v>5251.692</v>
      </c>
      <c r="BF34" s="2">
        <f>5000.109*4</f>
        <v>20000.436000000002</v>
      </c>
      <c r="BG34" s="2">
        <v>18595.651000000002</v>
      </c>
      <c r="BH34" s="2">
        <f>AVERAGE(K34:N34)</f>
        <v>17528.214249999997</v>
      </c>
      <c r="BI34" s="2">
        <f>AVERAGE(O34:R34)</f>
        <v>16864.919249999999</v>
      </c>
      <c r="BJ34" s="2">
        <f>AVERAGE(S34:V34)</f>
        <v>16325.818750000002</v>
      </c>
      <c r="BK34" s="2">
        <f>AVERAGE(W34:Z34)</f>
        <v>15812.541999999999</v>
      </c>
      <c r="BL34" s="2">
        <f>AVERAGE(AA34:AD34)</f>
        <v>15408.094499999999</v>
      </c>
      <c r="BM34" s="2">
        <f>AVERAGE(AE34:AH34)</f>
        <v>15079.816000000001</v>
      </c>
      <c r="BN34" s="2">
        <f t="shared" ref="BN34:CB34" si="167">+BM34</f>
        <v>15079.816000000001</v>
      </c>
      <c r="BO34" s="2">
        <f t="shared" si="167"/>
        <v>15079.816000000001</v>
      </c>
      <c r="BP34" s="2">
        <f t="shared" si="167"/>
        <v>15079.816000000001</v>
      </c>
      <c r="BQ34" s="2">
        <f t="shared" si="167"/>
        <v>15079.816000000001</v>
      </c>
      <c r="BR34" s="2">
        <f t="shared" si="167"/>
        <v>15079.816000000001</v>
      </c>
      <c r="BS34" s="2">
        <f t="shared" si="167"/>
        <v>15079.816000000001</v>
      </c>
      <c r="BT34" s="2">
        <f t="shared" si="167"/>
        <v>15079.816000000001</v>
      </c>
      <c r="BU34" s="2">
        <f t="shared" si="167"/>
        <v>15079.816000000001</v>
      </c>
      <c r="BV34" s="2">
        <f t="shared" si="167"/>
        <v>15079.816000000001</v>
      </c>
      <c r="BW34" s="2">
        <f t="shared" si="167"/>
        <v>15079.816000000001</v>
      </c>
      <c r="BX34" s="2">
        <f t="shared" si="167"/>
        <v>15079.816000000001</v>
      </c>
      <c r="BY34" s="2">
        <f t="shared" si="167"/>
        <v>15079.816000000001</v>
      </c>
      <c r="BZ34" s="2">
        <f t="shared" si="167"/>
        <v>15079.816000000001</v>
      </c>
      <c r="CA34" s="2">
        <f t="shared" si="167"/>
        <v>15079.816000000001</v>
      </c>
      <c r="CB34" s="2">
        <f t="shared" si="167"/>
        <v>15079.816000000001</v>
      </c>
    </row>
    <row r="36" spans="2:83" s="4" customFormat="1" ht="13" x14ac:dyDescent="0.3">
      <c r="B36" s="8" t="s">
        <v>41</v>
      </c>
      <c r="L36" s="9"/>
      <c r="M36" s="9"/>
      <c r="N36" s="9"/>
      <c r="O36" s="9">
        <f>O20/K20-1</f>
        <v>0.21368126422635836</v>
      </c>
      <c r="P36" s="9">
        <f t="shared" ref="P36" si="168">P20/L20-1</f>
        <v>0.53626121105070901</v>
      </c>
      <c r="Q36" s="9">
        <f t="shared" ref="Q36" si="169">Q20/M20-1</f>
        <v>0.36439641450950822</v>
      </c>
      <c r="R36" s="9">
        <f t="shared" ref="R36" si="170">R20/N20-1</f>
        <v>0.28844786546724777</v>
      </c>
      <c r="S36" s="9">
        <f>S20/O20-1</f>
        <v>0.11222283042740866</v>
      </c>
      <c r="T36" s="9">
        <f>T20/P20-1</f>
        <v>8.5885872477228009E-2</v>
      </c>
      <c r="U36" s="9">
        <f>U20/Q20-1</f>
        <v>1.8726821720657316E-2</v>
      </c>
      <c r="V36" s="9">
        <f>V20/R20-1</f>
        <v>8.1405950095969182E-2</v>
      </c>
      <c r="W36" s="9">
        <f t="shared" ref="W36:Z36" si="171">W20/S20-1</f>
        <v>-5.4790431239662762E-2</v>
      </c>
      <c r="X36" s="9">
        <f t="shared" si="171"/>
        <v>-2.5103312156911084E-2</v>
      </c>
      <c r="Y36" s="9">
        <f t="shared" si="171"/>
        <v>-1.4006919080509661E-2</v>
      </c>
      <c r="Z36" s="9">
        <f t="shared" si="171"/>
        <v>-7.1883389168682088E-3</v>
      </c>
      <c r="AA36" s="9">
        <f t="shared" ref="AA36" si="172">AA20/W20-1</f>
        <v>2.0665107465387411E-2</v>
      </c>
      <c r="AB36" s="9">
        <f t="shared" ref="AB36" si="173">AB20/X20-1</f>
        <v>-4.3053270909781061E-2</v>
      </c>
      <c r="AC36" s="9">
        <f t="shared" ref="AC36" si="174">AC20/Y20-1</f>
        <v>4.8657041211780383E-2</v>
      </c>
      <c r="AD36" s="9">
        <f t="shared" ref="AD36:AH36" si="175">AD20/Z20-1</f>
        <v>6.0694093722764686E-2</v>
      </c>
      <c r="AE36" s="9">
        <f t="shared" si="175"/>
        <v>3.9514948776918191E-2</v>
      </c>
      <c r="AF36" s="9">
        <f t="shared" si="175"/>
        <v>5.075314314678292E-2</v>
      </c>
      <c r="AG36" s="9">
        <f t="shared" si="175"/>
        <v>2.1291138650221031E-2</v>
      </c>
      <c r="AH36" s="9">
        <f t="shared" si="175"/>
        <v>2.0522279574423319E-2</v>
      </c>
      <c r="AI36" s="9"/>
      <c r="AJ36" s="9"/>
      <c r="AN36" s="9">
        <f t="shared" ref="AN36:AT36" si="176">+AN20/AM20-1</f>
        <v>0.30143462667101395</v>
      </c>
      <c r="AO36" s="9">
        <f t="shared" si="176"/>
        <v>-0.32819741951647252</v>
      </c>
      <c r="AP36" s="9">
        <f t="shared" si="176"/>
        <v>7.0669401454409808E-2</v>
      </c>
      <c r="AQ36" s="9">
        <f t="shared" si="176"/>
        <v>8.0982236154649945E-2</v>
      </c>
      <c r="AR36" s="9">
        <f t="shared" si="176"/>
        <v>0.33381665861124543</v>
      </c>
      <c r="AS36" s="9">
        <f t="shared" si="176"/>
        <v>0.68269114627370464</v>
      </c>
      <c r="AT36" s="9">
        <f t="shared" si="176"/>
        <v>0.38647620414902017</v>
      </c>
      <c r="AU36" s="9">
        <f t="shared" ref="AU36:AV36" si="177">+AU20/AT20-1</f>
        <v>0.24286823712140815</v>
      </c>
      <c r="AV36" s="9">
        <f t="shared" si="177"/>
        <v>0.56173456635841035</v>
      </c>
      <c r="AW36" s="9">
        <f t="shared" ref="AW36:BB36" si="178">+AW20/AV20-1</f>
        <v>0.14440799125123371</v>
      </c>
      <c r="AX36" s="9">
        <f t="shared" si="178"/>
        <v>0.52021908868430256</v>
      </c>
      <c r="AY36" s="9">
        <f t="shared" si="178"/>
        <v>0.65962437715599842</v>
      </c>
      <c r="AZ36" s="9">
        <f t="shared" si="178"/>
        <v>0.44581474193756976</v>
      </c>
      <c r="BA36" s="9">
        <f t="shared" si="178"/>
        <v>9.2020855163953197E-2</v>
      </c>
      <c r="BB36" s="9">
        <f t="shared" si="178"/>
        <v>6.9539523725937524E-2</v>
      </c>
      <c r="BC36" s="9">
        <f t="shared" ref="BC36:BF36" si="179">+BC20/BB20-1</f>
        <v>0.27856341803659834</v>
      </c>
      <c r="BD36" s="9">
        <f t="shared" si="179"/>
        <v>-7.7342061913013738E-2</v>
      </c>
      <c r="BE36" s="9">
        <f t="shared" si="179"/>
        <v>6.304518199398057E-2</v>
      </c>
      <c r="BF36" s="9">
        <f t="shared" si="179"/>
        <v>0.15861957650261305</v>
      </c>
      <c r="BG36" s="9">
        <f>+BG20/BF20-1</f>
        <v>-2.04107758052674E-2</v>
      </c>
      <c r="BH36" s="9">
        <f>+BH20/BG20-1</f>
        <v>5.5120803769784787E-2</v>
      </c>
      <c r="BI36" s="9">
        <f t="shared" ref="BI36:CB36" si="180">+BI20/BH20-1</f>
        <v>0.33259384733074704</v>
      </c>
      <c r="BJ36" s="9">
        <f t="shared" si="180"/>
        <v>7.7937876041846099E-2</v>
      </c>
      <c r="BK36" s="9">
        <f t="shared" si="180"/>
        <v>-2.800460530319937E-2</v>
      </c>
      <c r="BL36" s="9">
        <f t="shared" si="180"/>
        <v>2.021994077514111E-2</v>
      </c>
      <c r="BM36" s="9">
        <f t="shared" si="180"/>
        <v>0.11765159195963926</v>
      </c>
      <c r="BN36" s="9">
        <f t="shared" si="180"/>
        <v>6.6070808352805876E-2</v>
      </c>
      <c r="BO36" s="9">
        <f t="shared" si="180"/>
        <v>6.6485316846670361E-2</v>
      </c>
      <c r="BP36" s="9">
        <f t="shared" si="180"/>
        <v>6.6905452919508779E-2</v>
      </c>
      <c r="BQ36" s="9">
        <f t="shared" si="180"/>
        <v>5.3447771782809683E-2</v>
      </c>
      <c r="BR36" s="9">
        <f t="shared" si="180"/>
        <v>4.7573033802885023E-2</v>
      </c>
      <c r="BS36" s="9">
        <f t="shared" si="180"/>
        <v>4.7593868549967722E-2</v>
      </c>
      <c r="BT36" s="9">
        <f t="shared" si="180"/>
        <v>4.7614782229041364E-2</v>
      </c>
      <c r="BU36" s="9">
        <f t="shared" si="180"/>
        <v>4.7635775550880277E-2</v>
      </c>
      <c r="BV36" s="9">
        <f t="shared" si="180"/>
        <v>4.2505849062257406E-2</v>
      </c>
      <c r="BW36" s="9">
        <f t="shared" si="180"/>
        <v>4.1760944585279347E-2</v>
      </c>
      <c r="BX36" s="9">
        <f t="shared" si="180"/>
        <v>4.1799225996251632E-2</v>
      </c>
      <c r="BY36" s="9">
        <f t="shared" si="180"/>
        <v>4.183761544036968E-2</v>
      </c>
      <c r="BZ36" s="9">
        <f t="shared" si="180"/>
        <v>4.1876110527089283E-2</v>
      </c>
      <c r="CA36" s="9">
        <f t="shared" si="180"/>
        <v>4.1914708836016112E-2</v>
      </c>
      <c r="CB36" s="9">
        <f t="shared" si="180"/>
        <v>4.1953407917453944E-2</v>
      </c>
      <c r="CD36" s="4" t="s">
        <v>93</v>
      </c>
      <c r="CE36" s="15">
        <v>7.4999999999999997E-2</v>
      </c>
    </row>
    <row r="37" spans="2:83" s="4" customFormat="1" ht="13" x14ac:dyDescent="0.3">
      <c r="B37" s="8" t="s">
        <v>42</v>
      </c>
      <c r="L37" s="9"/>
      <c r="M37" s="9"/>
      <c r="N37" s="9"/>
      <c r="O37" s="9">
        <f t="shared" ref="O37:X37" si="181">+O10/K10-1</f>
        <v>0.1722751398395197</v>
      </c>
      <c r="P37" s="9">
        <f t="shared" si="181"/>
        <v>0.65520336993301576</v>
      </c>
      <c r="Q37" s="9">
        <f t="shared" si="181"/>
        <v>0.49784238019532134</v>
      </c>
      <c r="R37" s="9">
        <f t="shared" si="181"/>
        <v>0.46982302223566785</v>
      </c>
      <c r="S37" s="9">
        <f t="shared" si="181"/>
        <v>9.1940180191167231E-2</v>
      </c>
      <c r="T37" s="9">
        <f t="shared" si="181"/>
        <v>5.4904251324627618E-2</v>
      </c>
      <c r="U37" s="9">
        <f t="shared" si="181"/>
        <v>2.7672479150871787E-2</v>
      </c>
      <c r="V37" s="9">
        <f t="shared" si="181"/>
        <v>9.6686220026757308E-2</v>
      </c>
      <c r="W37" s="9">
        <f t="shared" si="181"/>
        <v>-8.1713854917071505E-2</v>
      </c>
      <c r="X37" s="9">
        <f t="shared" si="181"/>
        <v>1.510777140597197E-2</v>
      </c>
      <c r="AU37" s="9"/>
      <c r="AV37" s="9">
        <f t="shared" ref="AV37" si="182">+AV10/AU10-1</f>
        <v>53.8130081300813</v>
      </c>
      <c r="AW37" s="9">
        <f t="shared" ref="AW37:BD37" si="183">+AW10/AV10-1</f>
        <v>0.93310590329279153</v>
      </c>
      <c r="AX37" s="9">
        <f t="shared" si="183"/>
        <v>0.93194199340136574</v>
      </c>
      <c r="AY37" s="9">
        <f t="shared" si="183"/>
        <v>0.82683982683982693</v>
      </c>
      <c r="AZ37" s="9">
        <f t="shared" si="183"/>
        <v>0.71077003347971646</v>
      </c>
      <c r="BA37" s="9">
        <f t="shared" si="183"/>
        <v>0.15995272708788688</v>
      </c>
      <c r="BB37" s="9">
        <f t="shared" si="183"/>
        <v>0.11735448460215392</v>
      </c>
      <c r="BC37" s="9">
        <f t="shared" si="183"/>
        <v>0.52014393426870997</v>
      </c>
      <c r="BD37" s="9">
        <f t="shared" si="183"/>
        <v>-0.11829774059764842</v>
      </c>
      <c r="BE37" s="9">
        <f t="shared" ref="BE37:BI37" si="184">+BE10/BD10-1</f>
        <v>3.3789319678127372E-2</v>
      </c>
      <c r="BF37" s="9">
        <f t="shared" si="184"/>
        <v>0.16677870633106662</v>
      </c>
      <c r="BG37" s="9">
        <f>+BG10/BF10-1</f>
        <v>-0.13649871427878313</v>
      </c>
      <c r="BH37" s="9">
        <f>+BH10/BG10-1</f>
        <v>-3.2307681502447672E-2</v>
      </c>
      <c r="BI37" s="9">
        <f t="shared" si="184"/>
        <v>0.39331983364905176</v>
      </c>
      <c r="BJ37" s="9">
        <f>+BJ10/BI10-1</f>
        <v>7.0405734139696641E-2</v>
      </c>
      <c r="BK37" s="9">
        <f>+BK10/BJ10-1</f>
        <v>-2.3874757286278081E-2</v>
      </c>
      <c r="BL37" s="9">
        <f t="shared" ref="BL37:CB37" si="185">+BL10/BK10-1</f>
        <v>2.9912804175826757E-3</v>
      </c>
      <c r="BM37" s="9">
        <f t="shared" si="185"/>
        <v>0.13387662109590526</v>
      </c>
      <c r="BN37" s="9">
        <f t="shared" si="185"/>
        <v>5.6640000000000024E-2</v>
      </c>
      <c r="BO37" s="9">
        <f t="shared" si="185"/>
        <v>5.6640000000000024E-2</v>
      </c>
      <c r="BP37" s="9">
        <f t="shared" si="185"/>
        <v>5.6640000000000246E-2</v>
      </c>
      <c r="BQ37" s="9">
        <f t="shared" si="185"/>
        <v>5.6639999999999802E-2</v>
      </c>
      <c r="BR37" s="9">
        <f t="shared" si="185"/>
        <v>4.6479999999999855E-2</v>
      </c>
      <c r="BS37" s="9">
        <f t="shared" si="185"/>
        <v>4.6480000000000299E-2</v>
      </c>
      <c r="BT37" s="9">
        <f t="shared" si="185"/>
        <v>4.6479999999999855E-2</v>
      </c>
      <c r="BU37" s="9">
        <f t="shared" si="185"/>
        <v>4.6480000000000077E-2</v>
      </c>
      <c r="BV37" s="9">
        <f t="shared" si="185"/>
        <v>3.6320000000000352E-2</v>
      </c>
      <c r="BW37" s="9">
        <f t="shared" si="185"/>
        <v>3.6319999999999908E-2</v>
      </c>
      <c r="BX37" s="9">
        <f t="shared" si="185"/>
        <v>3.632000000000013E-2</v>
      </c>
      <c r="BY37" s="9">
        <f t="shared" si="185"/>
        <v>3.6319999999999908E-2</v>
      </c>
      <c r="BZ37" s="9">
        <f t="shared" si="185"/>
        <v>3.632000000000013E-2</v>
      </c>
      <c r="CA37" s="9">
        <f t="shared" si="185"/>
        <v>3.6319999999999908E-2</v>
      </c>
      <c r="CB37" s="9">
        <f t="shared" si="185"/>
        <v>3.632000000000013E-2</v>
      </c>
      <c r="CD37" s="4" t="s">
        <v>95</v>
      </c>
      <c r="CE37" s="15">
        <v>-0.01</v>
      </c>
    </row>
    <row r="38" spans="2:83" s="4" customFormat="1" ht="13" x14ac:dyDescent="0.3">
      <c r="B38" s="8" t="s">
        <v>72</v>
      </c>
      <c r="L38" s="9"/>
      <c r="M38" s="9"/>
      <c r="N38" s="9"/>
      <c r="O38" s="9">
        <f>+O19/K19-1</f>
        <v>0.23955957530475813</v>
      </c>
      <c r="P38" s="9">
        <f t="shared" ref="P38:W38" si="186">+P19/L19-1</f>
        <v>0.26618219958046141</v>
      </c>
      <c r="Q38" s="9">
        <f t="shared" si="186"/>
        <v>0.32912739434478566</v>
      </c>
      <c r="R38" s="9">
        <f t="shared" si="186"/>
        <v>0.25623754209911342</v>
      </c>
      <c r="S38" s="9">
        <f t="shared" si="186"/>
        <v>0.23824630416851722</v>
      </c>
      <c r="T38" s="9">
        <f t="shared" si="186"/>
        <v>0.17277084196201398</v>
      </c>
      <c r="U38" s="9">
        <f t="shared" si="186"/>
        <v>0.12112547180601618</v>
      </c>
      <c r="V38" s="9">
        <f t="shared" si="186"/>
        <v>4.984406631285232E-2</v>
      </c>
      <c r="W38" s="9">
        <f t="shared" si="186"/>
        <v>6.4050010248001721E-2</v>
      </c>
      <c r="X38" s="9">
        <f>+X19/T19-1</f>
        <v>5.4790373845921003E-2</v>
      </c>
      <c r="Y38" s="9">
        <f t="shared" ref="Y38:Z38" si="187">+Y19/U19-1</f>
        <v>8.2075086716996593E-2</v>
      </c>
      <c r="Z38" s="9">
        <f t="shared" si="187"/>
        <v>0.16291432145090678</v>
      </c>
      <c r="AA38" s="9">
        <f t="shared" ref="AA38" si="188">+AA19/W19-1</f>
        <v>0.11321390734855052</v>
      </c>
      <c r="AB38" s="9">
        <f t="shared" ref="AB38" si="189">+AB19/X19-1</f>
        <v>0.14157937532883724</v>
      </c>
      <c r="AC38" s="9">
        <f t="shared" ref="AC38" si="190">+AC19/Y19-1</f>
        <v>0.1414227124876255</v>
      </c>
      <c r="AD38" s="9">
        <f t="shared" ref="AD38:AE38" si="191">+AD19/Z19-1</f>
        <v>0.11911804248453883</v>
      </c>
      <c r="AE38" s="9">
        <f t="shared" si="191"/>
        <v>0.13942120517368162</v>
      </c>
      <c r="AF38" s="9">
        <f t="shared" ref="AF38" si="192">+AF19/AB19-1</f>
        <v>0.11639502241588806</v>
      </c>
      <c r="AG38" s="9">
        <f t="shared" ref="AG38" si="193">+AG19/AC19-1</f>
        <v>5.0000000000000044E-2</v>
      </c>
      <c r="AH38" s="9">
        <f t="shared" ref="AH38" si="194">+AH19/AD19-1</f>
        <v>5.0000000000000044E-2</v>
      </c>
      <c r="AI38" s="9"/>
      <c r="AJ38" s="9"/>
      <c r="BG38" s="9">
        <f>+BG19/BF19-1</f>
        <v>0.16461205595250084</v>
      </c>
      <c r="BH38" s="9">
        <f t="shared" ref="BH38:BJ38" si="195">+BH19/BG19-1</f>
        <v>0.16152167807997242</v>
      </c>
      <c r="BI38" s="9">
        <f t="shared" si="195"/>
        <v>0.27259708376729663</v>
      </c>
      <c r="BJ38" s="9">
        <f t="shared" si="195"/>
        <v>0.14181951041286078</v>
      </c>
      <c r="BK38" s="9">
        <f>+BK19/BJ19-1</f>
        <v>9.0504166186691215E-2</v>
      </c>
      <c r="BL38" s="9">
        <f t="shared" ref="BL38:CB38" si="196">+BL19/BK19-1</f>
        <v>0.12874413145539898</v>
      </c>
      <c r="BM38" s="9">
        <f t="shared" si="196"/>
        <v>0.14999999999999991</v>
      </c>
      <c r="BN38" s="9">
        <f t="shared" si="196"/>
        <v>0.10000000000000009</v>
      </c>
      <c r="BO38" s="9">
        <f t="shared" si="196"/>
        <v>0.10000000000000009</v>
      </c>
      <c r="BP38" s="9">
        <f t="shared" si="196"/>
        <v>0.10000000000000009</v>
      </c>
      <c r="BQ38" s="9">
        <f t="shared" si="196"/>
        <v>5.0000000000000044E-2</v>
      </c>
      <c r="BR38" s="9">
        <f t="shared" si="196"/>
        <v>5.0000000000000044E-2</v>
      </c>
      <c r="BS38" s="9">
        <f t="shared" si="196"/>
        <v>5.0000000000000044E-2</v>
      </c>
      <c r="BT38" s="9">
        <f t="shared" si="196"/>
        <v>5.0000000000000044E-2</v>
      </c>
      <c r="BU38" s="9">
        <f t="shared" si="196"/>
        <v>5.0000000000000044E-2</v>
      </c>
      <c r="BV38" s="9">
        <f t="shared" si="196"/>
        <v>5.0000000000000044E-2</v>
      </c>
      <c r="BW38" s="9">
        <f t="shared" si="196"/>
        <v>5.0000000000000044E-2</v>
      </c>
      <c r="BX38" s="9">
        <f t="shared" si="196"/>
        <v>5.0000000000000044E-2</v>
      </c>
      <c r="BY38" s="9">
        <f t="shared" si="196"/>
        <v>5.0000000000000044E-2</v>
      </c>
      <c r="BZ38" s="9">
        <f t="shared" si="196"/>
        <v>5.0000000000000044E-2</v>
      </c>
      <c r="CA38" s="9">
        <f t="shared" si="196"/>
        <v>5.0000000000000044E-2</v>
      </c>
      <c r="CB38" s="9">
        <f t="shared" si="196"/>
        <v>5.0000000000000044E-2</v>
      </c>
      <c r="CD38" s="4" t="s">
        <v>94</v>
      </c>
      <c r="CE38" s="8">
        <f>NPV(CE36,BK32:GJ32)+Main!O5-Main!O6</f>
        <v>2390626.1071151011</v>
      </c>
    </row>
    <row r="39" spans="2:83" ht="13" x14ac:dyDescent="0.3">
      <c r="B39" t="s">
        <v>31</v>
      </c>
      <c r="C39" s="5"/>
      <c r="D39" s="5"/>
      <c r="E39" s="5">
        <f t="shared" ref="E39" si="197">+E24/E20</f>
        <v>0.38338496198254013</v>
      </c>
      <c r="K39" s="5">
        <f t="shared" ref="K39" si="198">+K24/K20</f>
        <v>0.38354806739345887</v>
      </c>
      <c r="L39" s="5">
        <f t="shared" ref="L39:N39" si="199">+L24/L20</f>
        <v>0.38361943305952362</v>
      </c>
      <c r="M39" s="5">
        <f t="shared" si="199"/>
        <v>0.37999497361146017</v>
      </c>
      <c r="N39" s="5">
        <f t="shared" si="199"/>
        <v>0.38160375900336951</v>
      </c>
      <c r="O39" s="5">
        <f t="shared" ref="O39:Q39" si="200">+O24/O20</f>
        <v>0.39777815665969724</v>
      </c>
      <c r="P39" s="5">
        <f t="shared" si="200"/>
        <v>0.42506474370423292</v>
      </c>
      <c r="Q39" s="5">
        <f t="shared" si="200"/>
        <v>0.43292727853230839</v>
      </c>
      <c r="R39" s="5">
        <f t="shared" ref="R39" si="201">+R24/R20</f>
        <v>0.42195297504798462</v>
      </c>
      <c r="S39" s="5">
        <f>+S24/S20</f>
        <v>0.43763766186615033</v>
      </c>
      <c r="T39" s="5">
        <f>+T24/T20</f>
        <v>0.43749871502292398</v>
      </c>
      <c r="U39" s="5">
        <f>+U24/U20</f>
        <v>0.43256307332537758</v>
      </c>
      <c r="V39" s="5">
        <f t="shared" ref="V39:X39" si="202">+V24/V20</f>
        <v>0.4225922392563175</v>
      </c>
      <c r="W39" s="5">
        <f t="shared" si="202"/>
        <v>0.42962254809908323</v>
      </c>
      <c r="X39" s="5">
        <f t="shared" si="202"/>
        <v>0.44261672782487665</v>
      </c>
      <c r="Y39" s="5">
        <f t="shared" ref="Y39:Z39" si="203">+Y24/Y20</f>
        <v>0.44516302553883397</v>
      </c>
      <c r="Z39" s="5">
        <f t="shared" si="203"/>
        <v>0.45170841806520817</v>
      </c>
      <c r="AA39" s="5">
        <f t="shared" ref="AA39:AD39" si="204">+AA24/AA20</f>
        <v>0.45874973865774621</v>
      </c>
      <c r="AB39" s="5">
        <f t="shared" si="204"/>
        <v>0.46578074554009236</v>
      </c>
      <c r="AC39" s="5">
        <f t="shared" si="204"/>
        <v>0.46257155181458898</v>
      </c>
      <c r="AD39" s="5">
        <f t="shared" si="204"/>
        <v>0.4622247972190035</v>
      </c>
      <c r="AE39" s="5">
        <f t="shared" ref="AE39" si="205">+AE24/AE20</f>
        <v>0.46882542236524538</v>
      </c>
      <c r="AF39" s="5">
        <f t="shared" ref="AF39:AH39" si="206">+AF24/AF20</f>
        <v>0.47050619238876246</v>
      </c>
      <c r="AG39" s="5">
        <f t="shared" si="206"/>
        <v>0.47</v>
      </c>
      <c r="AH39" s="5">
        <f t="shared" si="206"/>
        <v>0.46999999999999992</v>
      </c>
      <c r="AI39" s="5"/>
      <c r="AJ39" s="5"/>
      <c r="AN39" s="5">
        <f t="shared" ref="AN39:AO39" si="207">+AN24/AN20</f>
        <v>0.27132656895903795</v>
      </c>
      <c r="AO39" s="5">
        <f t="shared" si="207"/>
        <v>0.23028155882901361</v>
      </c>
      <c r="AP39" s="5">
        <f t="shared" ref="AP39:AS39" si="208">+AP24/AP20</f>
        <v>0.27917102055033088</v>
      </c>
      <c r="AQ39" s="5">
        <f t="shared" si="208"/>
        <v>0.27517319155791847</v>
      </c>
      <c r="AR39" s="5">
        <f t="shared" si="208"/>
        <v>0.27285904094697427</v>
      </c>
      <c r="AS39" s="5">
        <f t="shared" si="208"/>
        <v>0.29021606489124974</v>
      </c>
      <c r="AT39" s="5">
        <f t="shared" ref="AT39:AV39" si="209">+AT24/AT20</f>
        <v>0.28982655966865128</v>
      </c>
      <c r="AU39" s="5">
        <f t="shared" si="209"/>
        <v>0.33966508372906773</v>
      </c>
      <c r="AV39" s="5">
        <f t="shared" si="209"/>
        <v>0.35200448107545812</v>
      </c>
      <c r="AW39" s="5">
        <f t="shared" ref="AW39:AX39" si="210">+AW24/AW20</f>
        <v>0.40139843841044165</v>
      </c>
      <c r="AX39" s="5">
        <f t="shared" si="210"/>
        <v>0.39377539287083174</v>
      </c>
      <c r="AY39" s="5">
        <f t="shared" ref="AY39:BB39" si="211">+AY24/AY20</f>
        <v>0.40478895878945764</v>
      </c>
      <c r="AZ39" s="5">
        <f t="shared" si="211"/>
        <v>0.43871239808827661</v>
      </c>
      <c r="BA39" s="5">
        <f t="shared" si="211"/>
        <v>0.37624480720847231</v>
      </c>
      <c r="BB39" s="5">
        <f t="shared" si="211"/>
        <v>0.38588035777783858</v>
      </c>
      <c r="BC39" s="5">
        <f>+BC24/BC20</f>
        <v>0.40059902017414373</v>
      </c>
      <c r="BD39" s="5">
        <f>+BD24/BD20</f>
        <v>0.39075955648097049</v>
      </c>
      <c r="BE39" s="5">
        <f>+BE24/BE20</f>
        <v>0.38469860491899105</v>
      </c>
      <c r="BF39" s="5">
        <f t="shared" ref="BF39:BJ39" si="212">+BF24/BF20</f>
        <v>0.38343718820007905</v>
      </c>
      <c r="BG39" s="5">
        <f t="shared" si="212"/>
        <v>0.37817768109034722</v>
      </c>
      <c r="BH39" s="5">
        <f t="shared" si="212"/>
        <v>0.38233247727810865</v>
      </c>
      <c r="BI39" s="5">
        <f t="shared" si="212"/>
        <v>0.41779359625167778</v>
      </c>
      <c r="BJ39" s="5">
        <f t="shared" si="212"/>
        <v>0.43309630561360085</v>
      </c>
      <c r="BK39" s="5">
        <f>+BK24/BK20</f>
        <v>0.44131129577207562</v>
      </c>
      <c r="BL39" s="5">
        <f t="shared" ref="BL39:BU39" si="213">+BL24/BL20</f>
        <v>0.46206349815233932</v>
      </c>
      <c r="BM39" s="5">
        <f t="shared" si="213"/>
        <v>0.45362947589520725</v>
      </c>
      <c r="BN39" s="5">
        <f t="shared" si="213"/>
        <v>0.45660936466674518</v>
      </c>
      <c r="BO39" s="5">
        <f t="shared" si="213"/>
        <v>0.45964534856197958</v>
      </c>
      <c r="BP39" s="5">
        <f t="shared" si="213"/>
        <v>0.46273626694683956</v>
      </c>
      <c r="BQ39" s="5">
        <f t="shared" si="213"/>
        <v>0.46240002701949035</v>
      </c>
      <c r="BR39" s="5">
        <f t="shared" si="213"/>
        <v>0.46263726241610775</v>
      </c>
      <c r="BS39" s="5">
        <f t="shared" si="213"/>
        <v>0.46287300142953525</v>
      </c>
      <c r="BT39" s="5">
        <f t="shared" si="213"/>
        <v>0.46310722350746308</v>
      </c>
      <c r="BU39" s="5">
        <f t="shared" si="213"/>
        <v>0.46333990801899477</v>
      </c>
      <c r="BV39" s="5">
        <f t="shared" ref="BV39:CB39" si="214">+BV24/BV20</f>
        <v>0.46408277662667069</v>
      </c>
      <c r="BW39" s="5">
        <f t="shared" si="214"/>
        <v>0.46490594413818304</v>
      </c>
      <c r="BX39" s="5">
        <f t="shared" si="214"/>
        <v>0.46573173659229478</v>
      </c>
      <c r="BY39" s="5">
        <f t="shared" si="214"/>
        <v>0.46656010281888677</v>
      </c>
      <c r="BZ39" s="5">
        <f t="shared" si="214"/>
        <v>0.4673909909530668</v>
      </c>
      <c r="CA39" s="5">
        <f t="shared" si="214"/>
        <v>0.46822434844661281</v>
      </c>
      <c r="CB39" s="5">
        <f t="shared" si="214"/>
        <v>0.46906012207980208</v>
      </c>
      <c r="CD39" s="4" t="s">
        <v>96</v>
      </c>
      <c r="CE39" s="6">
        <f>CE38/Main!O3</f>
        <v>158.7822866043505</v>
      </c>
    </row>
    <row r="40" spans="2:83" ht="13" x14ac:dyDescent="0.3">
      <c r="B40" s="2" t="s">
        <v>73</v>
      </c>
      <c r="C40" s="13"/>
      <c r="D40" s="13"/>
      <c r="E40" s="13" t="s">
        <v>86</v>
      </c>
      <c r="K40" s="5">
        <f>(K19-K22)/K19</f>
        <v>0.64396382225717652</v>
      </c>
      <c r="L40" s="5">
        <f t="shared" ref="L40:U40" si="215">(L19-L22)/L19</f>
        <v>0.65373089601438417</v>
      </c>
      <c r="M40" s="5">
        <f t="shared" si="215"/>
        <v>0.67224080267558528</v>
      </c>
      <c r="N40" s="5">
        <f t="shared" si="215"/>
        <v>0.66925561894288266</v>
      </c>
      <c r="O40" s="5">
        <f t="shared" si="215"/>
        <v>0.6839667533785927</v>
      </c>
      <c r="P40" s="5">
        <f t="shared" si="215"/>
        <v>0.70072776758771671</v>
      </c>
      <c r="Q40" s="5">
        <f t="shared" si="215"/>
        <v>0.69804414960539862</v>
      </c>
      <c r="R40" s="5">
        <f t="shared" si="215"/>
        <v>0.704765552333534</v>
      </c>
      <c r="S40" s="5">
        <f t="shared" si="215"/>
        <v>0.72366263578602175</v>
      </c>
      <c r="T40" s="5">
        <f t="shared" si="215"/>
        <v>0.72609858231168967</v>
      </c>
      <c r="U40" s="5">
        <f t="shared" si="215"/>
        <v>0.71490512140379514</v>
      </c>
      <c r="V40" s="5">
        <f t="shared" ref="V40:X40" si="216">(V19-V22)/V19</f>
        <v>0.70481550969355844</v>
      </c>
      <c r="W40" s="5">
        <f t="shared" si="216"/>
        <v>0.70832129442357705</v>
      </c>
      <c r="X40" s="5">
        <f t="shared" si="216"/>
        <v>0.70990577318601422</v>
      </c>
      <c r="Y40" s="5">
        <f t="shared" ref="Y40:Z40" si="217">(Y19-Y22)/Y19</f>
        <v>0.70546363079243857</v>
      </c>
      <c r="Z40" s="5">
        <f t="shared" si="217"/>
        <v>0.70937528009321504</v>
      </c>
      <c r="AA40" s="5">
        <f t="shared" ref="AA40:AD40" si="218">(AA19-AA22)/AA19</f>
        <v>0.728338452221309</v>
      </c>
      <c r="AB40" s="5">
        <f t="shared" si="218"/>
        <v>0.74617672937528801</v>
      </c>
      <c r="AC40" s="5">
        <f t="shared" si="218"/>
        <v>0.73997439392062114</v>
      </c>
      <c r="AD40" s="5">
        <f t="shared" si="218"/>
        <v>0.74030914624379307</v>
      </c>
      <c r="AE40" s="5">
        <f t="shared" ref="AE40" si="219">(AE19-AE22)/AE19</f>
        <v>0.75026575550493546</v>
      </c>
      <c r="AF40" s="5">
        <f t="shared" ref="AF40:AH40" si="220">(AF19-AF22)/AF19</f>
        <v>0.75747795083505343</v>
      </c>
      <c r="AG40" s="5">
        <f t="shared" si="220"/>
        <v>1</v>
      </c>
      <c r="AH40" s="5">
        <f t="shared" si="220"/>
        <v>1</v>
      </c>
      <c r="AI40" s="5"/>
      <c r="AJ40" s="5"/>
      <c r="AN40" s="5">
        <f t="shared" ref="AN40:AO40" si="221">(AN19-AN22)/AN19</f>
        <v>1</v>
      </c>
      <c r="AO40" s="5">
        <f t="shared" si="221"/>
        <v>1</v>
      </c>
      <c r="AP40" s="5">
        <f t="shared" ref="AP40:AS40" si="222">(AP19-AP22)/AP19</f>
        <v>1</v>
      </c>
      <c r="AQ40" s="5">
        <f t="shared" si="222"/>
        <v>1</v>
      </c>
      <c r="AR40" s="5">
        <f t="shared" si="222"/>
        <v>1</v>
      </c>
      <c r="AS40" s="5">
        <f t="shared" si="222"/>
        <v>1</v>
      </c>
      <c r="AT40" s="5">
        <f t="shared" ref="AT40:AV40" si="223">(AT19-AT22)/AT19</f>
        <v>1</v>
      </c>
      <c r="AU40" s="5">
        <f t="shared" si="223"/>
        <v>1</v>
      </c>
      <c r="AV40" s="5">
        <f t="shared" si="223"/>
        <v>1</v>
      </c>
      <c r="AW40" s="5">
        <f t="shared" ref="AW40:AX40" si="224">(AW19-AW22)/AW19</f>
        <v>1</v>
      </c>
      <c r="AX40" s="5">
        <f t="shared" si="224"/>
        <v>1</v>
      </c>
      <c r="AY40" s="5">
        <f t="shared" ref="AY40:BB40" si="225">(AY19-AY22)/AY19</f>
        <v>1</v>
      </c>
      <c r="AZ40" s="5">
        <f t="shared" si="225"/>
        <v>1</v>
      </c>
      <c r="BA40" s="5">
        <f t="shared" si="225"/>
        <v>1</v>
      </c>
      <c r="BB40" s="5">
        <f t="shared" si="225"/>
        <v>1</v>
      </c>
      <c r="BC40" s="5">
        <f>(BC19-BC22)/BC19</f>
        <v>1</v>
      </c>
      <c r="BD40" s="5">
        <f>(BD19-BD22)/BD19</f>
        <v>1</v>
      </c>
      <c r="BE40" s="5">
        <f>(BE19-BE22)/BE19</f>
        <v>1</v>
      </c>
      <c r="BF40" s="5">
        <f t="shared" ref="BF40:BJ40" si="226">(BF19-BF22)/BF19</f>
        <v>0.60772869075173597</v>
      </c>
      <c r="BG40" s="5">
        <f t="shared" si="226"/>
        <v>0.63738091637683347</v>
      </c>
      <c r="BH40" s="5">
        <f t="shared" si="226"/>
        <v>0.66015101919357233</v>
      </c>
      <c r="BI40" s="5">
        <f t="shared" si="226"/>
        <v>0.69725977347460721</v>
      </c>
      <c r="BJ40" s="5">
        <f t="shared" si="226"/>
        <v>0.71745446633132381</v>
      </c>
      <c r="BK40" s="5">
        <f>(BK19-BK22)/BK19</f>
        <v>0.70827464788732397</v>
      </c>
      <c r="BL40" s="5">
        <f t="shared" ref="BL40:BU40" si="227">(BL19-BL22)/BL19</f>
        <v>0.7388035645582256</v>
      </c>
      <c r="BM40" s="5">
        <f t="shared" si="227"/>
        <v>0.73</v>
      </c>
      <c r="BN40" s="5">
        <f t="shared" si="227"/>
        <v>0.73000000000000009</v>
      </c>
      <c r="BO40" s="5">
        <f t="shared" si="227"/>
        <v>0.73</v>
      </c>
      <c r="BP40" s="5">
        <f t="shared" si="227"/>
        <v>0.73</v>
      </c>
      <c r="BQ40" s="5">
        <f t="shared" si="227"/>
        <v>0.73</v>
      </c>
      <c r="BR40" s="5">
        <f t="shared" si="227"/>
        <v>0.73</v>
      </c>
      <c r="BS40" s="5">
        <f t="shared" si="227"/>
        <v>0.73</v>
      </c>
      <c r="BT40" s="5">
        <f t="shared" si="227"/>
        <v>0.73</v>
      </c>
      <c r="BU40" s="5">
        <f t="shared" si="227"/>
        <v>0.73</v>
      </c>
      <c r="BV40" s="5">
        <f t="shared" ref="BV40:CB40" si="228">(BV19-BV22)/BV19</f>
        <v>0.73</v>
      </c>
      <c r="BW40" s="5">
        <f t="shared" si="228"/>
        <v>0.73000000000000009</v>
      </c>
      <c r="BX40" s="5">
        <f t="shared" si="228"/>
        <v>0.73</v>
      </c>
      <c r="BY40" s="5">
        <f t="shared" si="228"/>
        <v>0.73</v>
      </c>
      <c r="BZ40" s="5">
        <f t="shared" si="228"/>
        <v>0.73</v>
      </c>
      <c r="CA40" s="5">
        <f t="shared" si="228"/>
        <v>0.73</v>
      </c>
      <c r="CB40" s="5">
        <f t="shared" si="228"/>
        <v>0.73</v>
      </c>
      <c r="CD40" s="4" t="s">
        <v>97</v>
      </c>
      <c r="CE40" s="5">
        <f>CE39/Main!O2-1</f>
        <v>-0.21782124825443105</v>
      </c>
    </row>
    <row r="41" spans="2:83" x14ac:dyDescent="0.25">
      <c r="B41" s="2" t="s">
        <v>74</v>
      </c>
      <c r="C41" s="13"/>
      <c r="D41" s="13"/>
      <c r="E41" s="13" t="s">
        <v>86</v>
      </c>
      <c r="K41" s="5">
        <f>(K18-K21)/K18</f>
        <v>0.3416894215210356</v>
      </c>
      <c r="L41" s="5">
        <f t="shared" ref="L41:V41" si="229">(L18-L21)/L18</f>
        <v>0.30343600578227509</v>
      </c>
      <c r="M41" s="5">
        <f t="shared" si="229"/>
        <v>0.29736293494379851</v>
      </c>
      <c r="N41" s="5">
        <f t="shared" si="229"/>
        <v>0.2981515085046561</v>
      </c>
      <c r="O41" s="5">
        <f t="shared" si="229"/>
        <v>0.35063441961579467</v>
      </c>
      <c r="P41" s="5">
        <f t="shared" si="229"/>
        <v>0.3609647372838215</v>
      </c>
      <c r="Q41" s="5">
        <f t="shared" si="229"/>
        <v>0.36043347720022517</v>
      </c>
      <c r="R41" s="5">
        <f t="shared" si="229"/>
        <v>0.34253184395310604</v>
      </c>
      <c r="S41" s="5">
        <f t="shared" si="229"/>
        <v>0.38418446983117716</v>
      </c>
      <c r="T41" s="5">
        <f t="shared" si="229"/>
        <v>0.36364692668190091</v>
      </c>
      <c r="U41" s="5">
        <f t="shared" si="229"/>
        <v>0.34519769552521506</v>
      </c>
      <c r="V41" s="5">
        <f t="shared" si="229"/>
        <v>0.34627526142224979</v>
      </c>
      <c r="W41" s="5">
        <f t="shared" ref="W41:X41" si="230">(W18-W21)/W18</f>
        <v>0.36957920073038136</v>
      </c>
      <c r="X41" s="5">
        <f t="shared" si="230"/>
        <v>0.36702782399329087</v>
      </c>
      <c r="Y41" s="5">
        <f t="shared" ref="Y41:Z41" si="231">(Y18-Y21)/Y18</f>
        <v>0.35402086359434837</v>
      </c>
      <c r="Z41" s="5">
        <f t="shared" si="231"/>
        <v>0.36612884020004766</v>
      </c>
      <c r="AA41" s="5">
        <f t="shared" ref="AA41:AD41" si="232">(AA18-AA21)/AA18</f>
        <v>0.39414045491301913</v>
      </c>
      <c r="AB41" s="5">
        <f t="shared" si="232"/>
        <v>0.36572675896301171</v>
      </c>
      <c r="AC41" s="5">
        <f t="shared" si="232"/>
        <v>0.35346956013254499</v>
      </c>
      <c r="AD41" s="5">
        <f t="shared" si="232"/>
        <v>0.36296063352297092</v>
      </c>
      <c r="AE41" s="5">
        <f t="shared" ref="AE41" si="233">(AE18-AE21)/AE18</f>
        <v>0.39315026541445486</v>
      </c>
      <c r="AF41" s="5">
        <f t="shared" ref="AF41:AH41" si="234">(AF18-AF21)/AF18</f>
        <v>0.35922810489856505</v>
      </c>
      <c r="AG41" s="5">
        <f t="shared" si="234"/>
        <v>1</v>
      </c>
      <c r="AH41" s="5">
        <f t="shared" si="234"/>
        <v>1</v>
      </c>
      <c r="AI41" s="5"/>
      <c r="AJ41" s="5"/>
      <c r="AN41" s="5">
        <f t="shared" ref="AN41:AO41" si="235">(AN18-AN21)/AN18</f>
        <v>1</v>
      </c>
      <c r="AO41" s="5">
        <f t="shared" si="235"/>
        <v>1</v>
      </c>
      <c r="AP41" s="5">
        <f t="shared" ref="AP41:AS41" si="236">(AP18-AP21)/AP18</f>
        <v>1</v>
      </c>
      <c r="AQ41" s="5">
        <f t="shared" si="236"/>
        <v>1</v>
      </c>
      <c r="AR41" s="5">
        <f t="shared" si="236"/>
        <v>1</v>
      </c>
      <c r="AS41" s="5">
        <f t="shared" si="236"/>
        <v>1</v>
      </c>
      <c r="AT41" s="5">
        <f t="shared" ref="AT41:AV41" si="237">(AT18-AT21)/AT18</f>
        <v>1</v>
      </c>
      <c r="AU41" s="5">
        <f t="shared" si="237"/>
        <v>1</v>
      </c>
      <c r="AV41" s="5">
        <f t="shared" si="237"/>
        <v>1</v>
      </c>
      <c r="AW41" s="5">
        <f t="shared" ref="AW41:AX41" si="238">(AW18-AW21)/AW18</f>
        <v>1</v>
      </c>
      <c r="AX41" s="5">
        <f t="shared" si="238"/>
        <v>1</v>
      </c>
      <c r="AY41" s="5">
        <f t="shared" ref="AY41:BB41" si="239">(AY18-AY21)/AY18</f>
        <v>1</v>
      </c>
      <c r="AZ41" s="5">
        <f t="shared" si="239"/>
        <v>1</v>
      </c>
      <c r="BA41" s="5">
        <f t="shared" si="239"/>
        <v>1</v>
      </c>
      <c r="BB41" s="5">
        <f t="shared" si="239"/>
        <v>1</v>
      </c>
      <c r="BC41" s="5">
        <f>(BC18-BC21)/BC18</f>
        <v>1</v>
      </c>
      <c r="BD41" s="5">
        <f>(BD18-BD21)/BD18</f>
        <v>1</v>
      </c>
      <c r="BE41" s="5">
        <f>(BE18-BE21)/BE18</f>
        <v>1</v>
      </c>
      <c r="BF41" s="5">
        <f t="shared" ref="BF41:BJ41" si="240">(BF18-BF21)/BF18</f>
        <v>0.34396294836770025</v>
      </c>
      <c r="BG41" s="5">
        <f t="shared" si="240"/>
        <v>0.32207795851002652</v>
      </c>
      <c r="BH41" s="5">
        <f t="shared" si="240"/>
        <v>0.31466339293399231</v>
      </c>
      <c r="BI41" s="5">
        <f t="shared" si="240"/>
        <v>0.35349303276483562</v>
      </c>
      <c r="BJ41" s="5">
        <f t="shared" si="240"/>
        <v>0.36283479707399452</v>
      </c>
      <c r="BK41" s="5">
        <f>(BK18-BK21)/BK18</f>
        <v>0.36500662562691849</v>
      </c>
      <c r="BL41" s="5">
        <f t="shared" ref="BL41:BU41" si="241">(BL18-BL21)/BL18</f>
        <v>0.37180617636485724</v>
      </c>
      <c r="BM41" s="5">
        <f t="shared" si="241"/>
        <v>0.36000000000000004</v>
      </c>
      <c r="BN41" s="5">
        <f t="shared" si="241"/>
        <v>0.36</v>
      </c>
      <c r="BO41" s="5">
        <f t="shared" si="241"/>
        <v>0.36</v>
      </c>
      <c r="BP41" s="5">
        <f t="shared" si="241"/>
        <v>0.35999999999999993</v>
      </c>
      <c r="BQ41" s="5">
        <f t="shared" si="241"/>
        <v>0.36</v>
      </c>
      <c r="BR41" s="5">
        <f t="shared" si="241"/>
        <v>0.35999999999999993</v>
      </c>
      <c r="BS41" s="5">
        <f t="shared" si="241"/>
        <v>0.35999999999999993</v>
      </c>
      <c r="BT41" s="5">
        <f t="shared" si="241"/>
        <v>0.36</v>
      </c>
      <c r="BU41" s="5">
        <f t="shared" si="241"/>
        <v>0.36000000000000004</v>
      </c>
      <c r="BV41" s="5">
        <f t="shared" ref="BV41:CB41" si="242">(BV18-BV21)/BV18</f>
        <v>0.36</v>
      </c>
      <c r="BW41" s="5">
        <f t="shared" si="242"/>
        <v>0.35999999999999993</v>
      </c>
      <c r="BX41" s="5">
        <f t="shared" si="242"/>
        <v>0.36</v>
      </c>
      <c r="BY41" s="5">
        <f t="shared" si="242"/>
        <v>0.36</v>
      </c>
      <c r="BZ41" s="5">
        <f t="shared" si="242"/>
        <v>0.36</v>
      </c>
      <c r="CA41" s="5">
        <f t="shared" si="242"/>
        <v>0.36</v>
      </c>
      <c r="CB41" s="5">
        <f t="shared" si="242"/>
        <v>0.36</v>
      </c>
    </row>
    <row r="42" spans="2:83" x14ac:dyDescent="0.25">
      <c r="B42" t="s">
        <v>30</v>
      </c>
      <c r="C42" s="5"/>
      <c r="D42" s="5"/>
      <c r="E42" s="5">
        <f t="shared" ref="E42" si="243">+E28/E20</f>
        <v>0.23677837228949591</v>
      </c>
      <c r="K42" s="5">
        <f t="shared" ref="K42" si="244">+K28/K20</f>
        <v>0.2784717759940753</v>
      </c>
      <c r="L42" s="5">
        <f t="shared" ref="L42:N42" si="245">+L28/L20</f>
        <v>0.22041397287054346</v>
      </c>
      <c r="M42" s="5">
        <f t="shared" si="245"/>
        <v>0.21933484124989527</v>
      </c>
      <c r="N42" s="5">
        <f t="shared" si="245"/>
        <v>0.2283687285542057</v>
      </c>
      <c r="O42" s="5">
        <f t="shared" ref="O42:Q42" si="246">+O28/O20</f>
        <v>0.30091799100853384</v>
      </c>
      <c r="P42" s="5">
        <f t="shared" si="246"/>
        <v>0.30700794784782998</v>
      </c>
      <c r="Q42" s="5">
        <f t="shared" si="246"/>
        <v>0.29626445956234498</v>
      </c>
      <c r="R42" s="5">
        <f t="shared" ref="R42" si="247">+R28/R20</f>
        <v>0.28534069097888676</v>
      </c>
      <c r="S42" s="5">
        <f>+S28/S20</f>
        <v>0.33472911371979508</v>
      </c>
      <c r="T42" s="5">
        <f>+T28/T20</f>
        <v>0.30817862209338187</v>
      </c>
      <c r="U42" s="5">
        <f>+U28/U20</f>
        <v>0.27816150146457891</v>
      </c>
      <c r="V42" s="5">
        <f t="shared" ref="V42:X42" si="248">+V28/V20</f>
        <v>0.27615202005635303</v>
      </c>
      <c r="W42" s="5">
        <f t="shared" si="248"/>
        <v>0.30742441572630896</v>
      </c>
      <c r="X42" s="5">
        <f t="shared" si="248"/>
        <v>0.29859968788223878</v>
      </c>
      <c r="Y42" s="5">
        <f t="shared" ref="Y42:Z42" si="249">+Y28/Y20</f>
        <v>0.28115945572576012</v>
      </c>
      <c r="Z42" s="5">
        <f t="shared" si="249"/>
        <v>0.30133634271156895</v>
      </c>
      <c r="AA42" s="5">
        <f t="shared" ref="AA42:AD42" si="250">+AA28/AA20</f>
        <v>0.33763746602550698</v>
      </c>
      <c r="AB42" s="5">
        <f t="shared" si="250"/>
        <v>0.30742785362467356</v>
      </c>
      <c r="AC42" s="5">
        <f t="shared" si="250"/>
        <v>0.29555708406682446</v>
      </c>
      <c r="AD42" s="5">
        <f t="shared" si="250"/>
        <v>0.31171389444854103</v>
      </c>
      <c r="AE42" s="5">
        <f t="shared" ref="AE42" si="251">+AE28/AE20</f>
        <v>0.34458567980691873</v>
      </c>
      <c r="AF42" s="5">
        <f t="shared" ref="AF42:AH42" si="252">+AF28/AF20</f>
        <v>0.31029058610094484</v>
      </c>
      <c r="AG42" s="5">
        <f t="shared" si="252"/>
        <v>0.30646732902383006</v>
      </c>
      <c r="AH42" s="5">
        <f t="shared" si="252"/>
        <v>0.32251580902944293</v>
      </c>
      <c r="AI42" s="5"/>
      <c r="AJ42" s="5"/>
      <c r="AN42" s="5">
        <f t="shared" ref="AN42:AO42" si="253">+AN28/AN20</f>
        <v>7.7665038206188156E-2</v>
      </c>
      <c r="AO42" s="5">
        <f t="shared" si="253"/>
        <v>-6.2092112623531606E-2</v>
      </c>
      <c r="AP42" s="5">
        <f t="shared" ref="AP42:AS42" si="254">+AP28/AP20</f>
        <v>8.3594566353187051E-3</v>
      </c>
      <c r="AQ42" s="5">
        <f t="shared" si="254"/>
        <v>4.0277106492669565E-3</v>
      </c>
      <c r="AR42" s="5">
        <f t="shared" si="254"/>
        <v>4.2154849619519263E-2</v>
      </c>
      <c r="AS42" s="5">
        <f t="shared" si="254"/>
        <v>0.11844088722991888</v>
      </c>
      <c r="AT42" s="5">
        <f t="shared" ref="AT42:AV42" si="255">+AT28/AT20</f>
        <v>0.1269997411338338</v>
      </c>
      <c r="AU42" s="5">
        <f t="shared" si="255"/>
        <v>0.1836624177289011</v>
      </c>
      <c r="AV42" s="5">
        <f t="shared" si="255"/>
        <v>0.22210663892667573</v>
      </c>
      <c r="AW42" s="5">
        <f t="shared" ref="AW42:AX42" si="256">+AW28/AW20</f>
        <v>0.2736277823097541</v>
      </c>
      <c r="AX42" s="5">
        <f t="shared" si="256"/>
        <v>0.28187044844768111</v>
      </c>
      <c r="AY42" s="5">
        <f t="shared" ref="AY42:BB42" si="257">+AY28/AY20</f>
        <v>0.31215068961376086</v>
      </c>
      <c r="AZ42" s="5">
        <f t="shared" si="257"/>
        <v>0.35295959311984054</v>
      </c>
      <c r="BA42" s="5">
        <f t="shared" si="257"/>
        <v>0.28669475162366159</v>
      </c>
      <c r="BB42" s="5">
        <f t="shared" si="257"/>
        <v>0.28722339232473537</v>
      </c>
      <c r="BC42" s="5">
        <f>+BC28/BC20</f>
        <v>0.30477290717326661</v>
      </c>
      <c r="BD42" s="5">
        <f>+BD28/BD20</f>
        <v>0.27835410106706115</v>
      </c>
      <c r="BE42" s="5">
        <f>+BE28/BE20</f>
        <v>0.26760428208729942</v>
      </c>
      <c r="BF42" s="5">
        <f t="shared" ref="BF42:BJ42" si="258">+BF28/BF20</f>
        <v>0.26694026619477024</v>
      </c>
      <c r="BG42" s="5">
        <f t="shared" si="258"/>
        <v>0.24572017188496928</v>
      </c>
      <c r="BH42" s="5">
        <f t="shared" si="258"/>
        <v>0.24147314354406862</v>
      </c>
      <c r="BI42" s="5">
        <f t="shared" si="258"/>
        <v>0.29782377527561593</v>
      </c>
      <c r="BJ42" s="5">
        <f t="shared" si="258"/>
        <v>0.30288744395528594</v>
      </c>
      <c r="BK42" s="5">
        <f>+BK28/BK20</f>
        <v>0.29821412265024722</v>
      </c>
      <c r="BL42" s="5">
        <f t="shared" ref="BL42:BU42" si="259">+BL28/BL20</f>
        <v>0.31510222870075566</v>
      </c>
      <c r="BM42" s="5">
        <f t="shared" si="259"/>
        <v>0.318193613213058</v>
      </c>
      <c r="BN42" s="5">
        <f t="shared" si="259"/>
        <v>0.32575601283530864</v>
      </c>
      <c r="BO42" s="5">
        <f t="shared" si="259"/>
        <v>0.33326859469828157</v>
      </c>
      <c r="BP42" s="5">
        <f t="shared" si="259"/>
        <v>0.34073102634804647</v>
      </c>
      <c r="BQ42" s="5">
        <f t="shared" si="259"/>
        <v>0.3431103942699843</v>
      </c>
      <c r="BR42" s="5">
        <f t="shared" si="259"/>
        <v>0.34534871281880053</v>
      </c>
      <c r="BS42" s="5">
        <f t="shared" si="259"/>
        <v>0.34755426034865977</v>
      </c>
      <c r="BT42" s="5">
        <f t="shared" si="259"/>
        <v>0.34972747235449292</v>
      </c>
      <c r="BU42" s="5">
        <f t="shared" si="259"/>
        <v>0.35186877805863043</v>
      </c>
      <c r="BV42" s="5">
        <f t="shared" ref="BV42:CB42" si="260">+BV28/BV20</f>
        <v>0.35394884887705413</v>
      </c>
      <c r="BW42" s="5">
        <f t="shared" si="260"/>
        <v>0.35601537171682562</v>
      </c>
      <c r="BX42" s="5">
        <f t="shared" si="260"/>
        <v>0.35807443872211797</v>
      </c>
      <c r="BY42" s="5">
        <f t="shared" si="260"/>
        <v>0.3601260336675135</v>
      </c>
      <c r="BZ42" s="5">
        <f t="shared" si="260"/>
        <v>0.36217013972301637</v>
      </c>
      <c r="CA42" s="5">
        <f t="shared" si="260"/>
        <v>0.36420673947358395</v>
      </c>
      <c r="CB42" s="5">
        <f t="shared" si="260"/>
        <v>0.3662358149388944</v>
      </c>
    </row>
    <row r="43" spans="2:83" x14ac:dyDescent="0.25">
      <c r="B43" t="s">
        <v>70</v>
      </c>
      <c r="C43" s="5"/>
      <c r="D43" s="5"/>
      <c r="E43" s="5">
        <f>E31/E30</f>
        <v>0.13286660644384221</v>
      </c>
      <c r="K43" s="5">
        <f>K31/K30</f>
        <v>0.14206343082027933</v>
      </c>
      <c r="L43" s="5">
        <f t="shared" ref="L43:U43" si="261">L31/L30</f>
        <v>0.14358583936048724</v>
      </c>
      <c r="M43" s="5">
        <f t="shared" si="261"/>
        <v>0.14341173783968944</v>
      </c>
      <c r="N43" s="5">
        <f t="shared" si="261"/>
        <v>0.14952016643178309</v>
      </c>
      <c r="O43" s="5">
        <f t="shared" si="261"/>
        <v>0.14366121683194855</v>
      </c>
      <c r="P43" s="5">
        <f t="shared" si="261"/>
        <v>0.1564028417407447</v>
      </c>
      <c r="Q43" s="5">
        <f t="shared" si="261"/>
        <v>0.10771882309491568</v>
      </c>
      <c r="R43" s="5">
        <f t="shared" si="261"/>
        <v>0.11600997935306263</v>
      </c>
      <c r="S43" s="5">
        <f t="shared" si="261"/>
        <v>0.16030164157028201</v>
      </c>
      <c r="T43" s="5">
        <f t="shared" si="261"/>
        <v>0.17017817445834302</v>
      </c>
      <c r="U43" s="5">
        <f t="shared" si="261"/>
        <v>0.15711436746726784</v>
      </c>
      <c r="V43" s="5">
        <f t="shared" ref="V43:X43" si="262">V31/V30</f>
        <v>0.15963012531938192</v>
      </c>
      <c r="W43" s="5">
        <f t="shared" si="262"/>
        <v>0.15790360160570419</v>
      </c>
      <c r="X43" s="5">
        <f t="shared" si="262"/>
        <v>0.14875625396377987</v>
      </c>
      <c r="Y43" s="5">
        <f t="shared" ref="Y43:Z43" si="263">Y31/Y30</f>
        <v>0.12545638499098227</v>
      </c>
      <c r="Z43" s="5">
        <f t="shared" si="263"/>
        <v>0.14971479368842136</v>
      </c>
      <c r="AA43" s="5">
        <f t="shared" ref="AA43:AD43" si="264">AA31/AA30</f>
        <v>0.15889194752374575</v>
      </c>
      <c r="AB43" s="5">
        <f t="shared" si="264"/>
        <v>0.1576021099151757</v>
      </c>
      <c r="AC43" s="5">
        <f t="shared" si="264"/>
        <v>0.15870400878638111</v>
      </c>
      <c r="AD43" s="5">
        <f t="shared" si="264"/>
        <v>0.50233029381965555</v>
      </c>
      <c r="AE43" s="5">
        <f t="shared" ref="AE43" si="265">AE31/AE30</f>
        <v>0.14686267142588766</v>
      </c>
      <c r="AF43" s="5">
        <f t="shared" ref="AF43:AH43" si="266">AF31/AF30</f>
        <v>0.15455475946775846</v>
      </c>
      <c r="AG43" s="5">
        <f t="shared" si="266"/>
        <v>0.15</v>
      </c>
      <c r="AH43" s="5">
        <f t="shared" si="266"/>
        <v>0.15</v>
      </c>
      <c r="AI43" s="5"/>
      <c r="AJ43" s="5"/>
      <c r="AN43" s="5">
        <f t="shared" ref="AN43:AO43" si="267">AN31/AN30</f>
        <v>0.37181044957472659</v>
      </c>
      <c r="AO43" s="5">
        <f t="shared" si="267"/>
        <v>0</v>
      </c>
      <c r="AP43" s="5">
        <f t="shared" ref="AP43:AS43" si="268">AP31/AP30</f>
        <v>0.1864406779661017</v>
      </c>
      <c r="AQ43" s="5">
        <f t="shared" si="268"/>
        <v>0.20338983050847459</v>
      </c>
      <c r="AR43" s="5">
        <f t="shared" si="268"/>
        <v>0.26354679802955666</v>
      </c>
      <c r="AS43" s="5">
        <f t="shared" si="268"/>
        <v>0.26446280991735538</v>
      </c>
      <c r="AT43" s="5">
        <f t="shared" ref="AT43:AV43" si="269">AT31/AT30</f>
        <v>0.29418026969481903</v>
      </c>
      <c r="AU43" s="5">
        <f t="shared" si="269"/>
        <v>0.30191693290734822</v>
      </c>
      <c r="AV43" s="5">
        <f t="shared" si="269"/>
        <v>0.3160836034424947</v>
      </c>
      <c r="AW43" s="5">
        <f t="shared" ref="AW43:AX43" si="270">AW31/AW30</f>
        <v>0.31750372948781702</v>
      </c>
      <c r="AX43" s="5">
        <f t="shared" si="270"/>
        <v>0.24417475728155341</v>
      </c>
      <c r="AY43" s="5">
        <f t="shared" ref="AY43:BB43" si="271">AY31/AY30</f>
        <v>0.24215757930127174</v>
      </c>
      <c r="AZ43" s="5">
        <f t="shared" si="271"/>
        <v>0.25160052364471064</v>
      </c>
      <c r="BA43" s="5">
        <f t="shared" si="271"/>
        <v>0.26154919748778788</v>
      </c>
      <c r="BB43" s="5">
        <f t="shared" si="271"/>
        <v>0.26126058747639436</v>
      </c>
      <c r="BC43" s="5">
        <f t="shared" ref="BC43:BD43" si="272">BC31/BC30</f>
        <v>0.26368337585327173</v>
      </c>
      <c r="BD43" s="5">
        <f t="shared" si="272"/>
        <v>0.25557257381216192</v>
      </c>
      <c r="BE43" s="5">
        <f t="shared" ref="BE43" si="273">BE31/BE30</f>
        <v>0.24556476150353415</v>
      </c>
      <c r="BF43" s="5">
        <f t="shared" ref="BF43:BJ43" si="274">BF31/BF30</f>
        <v>0.18342180705869443</v>
      </c>
      <c r="BG43" s="5">
        <f t="shared" si="274"/>
        <v>0.15943836804235059</v>
      </c>
      <c r="BH43" s="5">
        <f t="shared" si="274"/>
        <v>0.14428164731484103</v>
      </c>
      <c r="BI43" s="5">
        <f t="shared" si="274"/>
        <v>0.13302260844085087</v>
      </c>
      <c r="BJ43" s="5">
        <f t="shared" si="274"/>
        <v>0.16204461684424407</v>
      </c>
      <c r="BK43" s="5">
        <f>BK31/BK30</f>
        <v>0.14719174228036858</v>
      </c>
      <c r="BL43" s="5">
        <f t="shared" ref="BL43:BU43" si="275">BL31/BL30</f>
        <v>0.24091185164189982</v>
      </c>
      <c r="BM43" s="5">
        <f t="shared" si="275"/>
        <v>0.2</v>
      </c>
      <c r="BN43" s="5">
        <f t="shared" si="275"/>
        <v>0.2</v>
      </c>
      <c r="BO43" s="5">
        <f t="shared" si="275"/>
        <v>0.20000000000000004</v>
      </c>
      <c r="BP43" s="5">
        <f t="shared" si="275"/>
        <v>0.2</v>
      </c>
      <c r="BQ43" s="5">
        <f t="shared" si="275"/>
        <v>0.2</v>
      </c>
      <c r="BR43" s="5">
        <f t="shared" si="275"/>
        <v>0.2</v>
      </c>
      <c r="BS43" s="5">
        <f t="shared" si="275"/>
        <v>0.2</v>
      </c>
      <c r="BT43" s="5">
        <f t="shared" si="275"/>
        <v>0.20000000000000004</v>
      </c>
      <c r="BU43" s="5">
        <f t="shared" si="275"/>
        <v>0.2</v>
      </c>
      <c r="BV43" s="5">
        <f t="shared" ref="BV43:CB43" si="276">BV31/BV30</f>
        <v>0.2</v>
      </c>
      <c r="BW43" s="5">
        <f t="shared" si="276"/>
        <v>0.2</v>
      </c>
      <c r="BX43" s="5">
        <f t="shared" si="276"/>
        <v>0.2</v>
      </c>
      <c r="BY43" s="5">
        <f t="shared" si="276"/>
        <v>0.2</v>
      </c>
      <c r="BZ43" s="5">
        <f t="shared" si="276"/>
        <v>0.2</v>
      </c>
      <c r="CA43" s="5">
        <f t="shared" si="276"/>
        <v>0.2</v>
      </c>
      <c r="CB43" s="5">
        <f t="shared" si="276"/>
        <v>0.20000000000000004</v>
      </c>
    </row>
    <row r="44" spans="2:83" x14ac:dyDescent="0.25">
      <c r="B44" t="s">
        <v>159</v>
      </c>
      <c r="C44" s="5"/>
      <c r="D44" s="5"/>
      <c r="E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>
        <f t="shared" ref="V44:AD44" si="277">+V33/R33-1</f>
        <v>4.058942615831751E-2</v>
      </c>
      <c r="W44" s="5">
        <f t="shared" si="277"/>
        <v>-0.10316022532525748</v>
      </c>
      <c r="X44" s="5">
        <f t="shared" si="277"/>
        <v>-7.7222454700431875E-5</v>
      </c>
      <c r="Y44" s="5">
        <f t="shared" si="277"/>
        <v>5.4161853731795384E-2</v>
      </c>
      <c r="Z44" s="5">
        <f t="shared" si="277"/>
        <v>0.13939334487945021</v>
      </c>
      <c r="AA44" s="5">
        <f t="shared" si="277"/>
        <v>0.15812348125504605</v>
      </c>
      <c r="AB44" s="5">
        <f t="shared" si="277"/>
        <v>2.4984903043883122E-3</v>
      </c>
      <c r="AC44" s="5">
        <f t="shared" si="277"/>
        <v>0.10882038400780858</v>
      </c>
      <c r="AD44" s="5">
        <f t="shared" si="277"/>
        <v>-0.33998676732349176</v>
      </c>
      <c r="AE44" s="5">
        <f>+AE33/AA33-1</f>
        <v>0.10127848174065157</v>
      </c>
      <c r="AF44" s="5">
        <f t="shared" ref="AF44:AH44" si="278">+AF33/AB33-1</f>
        <v>7.6851036785966498E-2</v>
      </c>
      <c r="AG44" s="5">
        <f t="shared" si="278"/>
        <v>8.4626034414266416E-2</v>
      </c>
      <c r="AH44" s="5">
        <f t="shared" si="278"/>
        <v>0.82460605087725125</v>
      </c>
      <c r="AI44" s="5"/>
      <c r="AJ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</row>
    <row r="46" spans="2:83" s="2" customFormat="1" x14ac:dyDescent="0.25">
      <c r="B46" s="2" t="s">
        <v>109</v>
      </c>
      <c r="AP46" s="2">
        <v>10211</v>
      </c>
      <c r="AQ46" s="2">
        <v>10912</v>
      </c>
      <c r="AR46" s="2">
        <v>11695</v>
      </c>
      <c r="AS46" s="2">
        <v>14800</v>
      </c>
      <c r="AT46" s="2">
        <v>17787</v>
      </c>
    </row>
    <row r="47" spans="2:83" s="2" customFormat="1" x14ac:dyDescent="0.25"/>
    <row r="48" spans="2:83" x14ac:dyDescent="0.25">
      <c r="B48" t="s">
        <v>128</v>
      </c>
      <c r="R48" s="2">
        <f t="shared" ref="R48:W48" si="279">R49-R61</f>
        <v>65797</v>
      </c>
      <c r="S48" s="2">
        <f t="shared" si="279"/>
        <v>79798</v>
      </c>
      <c r="T48" s="2">
        <f t="shared" si="279"/>
        <v>72749</v>
      </c>
      <c r="U48" s="2">
        <f t="shared" si="279"/>
        <v>59617</v>
      </c>
      <c r="V48" s="2">
        <f t="shared" si="279"/>
        <v>49040</v>
      </c>
      <c r="W48" s="2">
        <f t="shared" ref="W48:AF48" si="280">W49-W61</f>
        <v>54340</v>
      </c>
      <c r="X48" s="2">
        <f t="shared" si="280"/>
        <v>56718</v>
      </c>
      <c r="Y48" s="2">
        <f t="shared" si="280"/>
        <v>57263</v>
      </c>
      <c r="Z48" s="2">
        <f t="shared" si="280"/>
        <v>51011</v>
      </c>
      <c r="AA48" s="2">
        <f t="shared" si="280"/>
        <v>64535</v>
      </c>
      <c r="AB48" s="2">
        <f t="shared" si="280"/>
        <v>57747</v>
      </c>
      <c r="AC48" s="2">
        <f t="shared" si="280"/>
        <v>51737</v>
      </c>
      <c r="AD48" s="2">
        <f t="shared" si="280"/>
        <v>50021</v>
      </c>
      <c r="AE48" s="2">
        <f t="shared" si="280"/>
        <v>44569</v>
      </c>
      <c r="AF48" s="2">
        <f t="shared" si="280"/>
        <v>34736</v>
      </c>
    </row>
    <row r="49" spans="2:32" s="2" customFormat="1" x14ac:dyDescent="0.25">
      <c r="B49" s="2" t="s">
        <v>3</v>
      </c>
      <c r="R49" s="2">
        <f>34940+27699+127877</f>
        <v>190516</v>
      </c>
      <c r="S49" s="2">
        <f>37119+26794+138683</f>
        <v>202596</v>
      </c>
      <c r="T49" s="2">
        <f>28098+23413+141219</f>
        <v>192730</v>
      </c>
      <c r="U49" s="2">
        <f>27502+20729+131077</f>
        <v>179308</v>
      </c>
      <c r="V49" s="2">
        <f>23646+24658+120805</f>
        <v>169109</v>
      </c>
      <c r="W49" s="2">
        <f>20535+30820+114095</f>
        <v>165450</v>
      </c>
      <c r="X49" s="2">
        <f>24687+31185+110461</f>
        <v>166333</v>
      </c>
      <c r="Y49" s="2">
        <f>28408+34074+104061</f>
        <v>166543</v>
      </c>
      <c r="Z49" s="2">
        <f>29965+31590+100544</f>
        <v>162099</v>
      </c>
      <c r="AA49" s="2">
        <f>40760+32340+99475</f>
        <v>172575</v>
      </c>
      <c r="AB49" s="2">
        <f>32695+34455+95187</f>
        <v>162337</v>
      </c>
      <c r="AC49" s="2">
        <f>25565+36236+91240</f>
        <v>153041</v>
      </c>
      <c r="AD49" s="2">
        <f>29943+35228+91479</f>
        <v>156650</v>
      </c>
      <c r="AE49" s="2">
        <f>30299+23476+87593</f>
        <v>141368</v>
      </c>
      <c r="AF49" s="2">
        <f>28162+20336+84424</f>
        <v>132922</v>
      </c>
    </row>
    <row r="50" spans="2:32" s="2" customFormat="1" x14ac:dyDescent="0.25">
      <c r="B50" s="2" t="s">
        <v>115</v>
      </c>
      <c r="R50" s="2">
        <v>26278</v>
      </c>
      <c r="S50" s="2">
        <v>30213</v>
      </c>
      <c r="T50" s="2">
        <v>20815</v>
      </c>
      <c r="U50" s="2">
        <v>21803</v>
      </c>
      <c r="V50" s="2">
        <v>28184</v>
      </c>
      <c r="W50" s="2">
        <v>23752</v>
      </c>
      <c r="X50" s="2">
        <v>17936</v>
      </c>
      <c r="Y50" s="2">
        <v>19549</v>
      </c>
      <c r="Z50" s="2">
        <v>29508</v>
      </c>
      <c r="AA50" s="2">
        <v>23194</v>
      </c>
      <c r="AB50" s="2">
        <v>21837</v>
      </c>
      <c r="AC50" s="2">
        <v>22795</v>
      </c>
      <c r="AD50" s="2">
        <v>33410</v>
      </c>
      <c r="AE50" s="2">
        <v>29639</v>
      </c>
      <c r="AF50" s="2">
        <v>26136</v>
      </c>
    </row>
    <row r="51" spans="2:32" s="2" customFormat="1" x14ac:dyDescent="0.25">
      <c r="B51" s="2" t="s">
        <v>116</v>
      </c>
      <c r="R51" s="2">
        <v>6580</v>
      </c>
      <c r="S51" s="2">
        <v>5876</v>
      </c>
      <c r="T51" s="2">
        <v>5460</v>
      </c>
      <c r="U51" s="2">
        <v>5433</v>
      </c>
      <c r="V51" s="2">
        <v>4946</v>
      </c>
      <c r="W51" s="2">
        <v>6820</v>
      </c>
      <c r="X51" s="2">
        <v>7482</v>
      </c>
      <c r="Y51" s="2">
        <v>7351</v>
      </c>
      <c r="Z51" s="2">
        <v>31477</v>
      </c>
      <c r="AA51" s="2">
        <v>26908</v>
      </c>
      <c r="AB51" s="2">
        <v>19313</v>
      </c>
      <c r="AC51" s="2">
        <v>20377</v>
      </c>
      <c r="AD51" s="2">
        <v>32833</v>
      </c>
      <c r="AE51" s="2">
        <v>29667</v>
      </c>
      <c r="AF51" s="2">
        <v>23662</v>
      </c>
    </row>
    <row r="52" spans="2:32" s="2" customFormat="1" x14ac:dyDescent="0.25">
      <c r="B52" s="2" t="s">
        <v>117</v>
      </c>
      <c r="R52" s="2">
        <v>25228</v>
      </c>
      <c r="S52" s="2">
        <v>35040</v>
      </c>
      <c r="T52" s="2">
        <v>24585</v>
      </c>
      <c r="U52" s="2">
        <v>20439</v>
      </c>
      <c r="V52" s="2">
        <v>32748</v>
      </c>
      <c r="W52" s="2">
        <v>30428</v>
      </c>
      <c r="X52" s="2">
        <v>17963</v>
      </c>
      <c r="Y52" s="2">
        <v>19637</v>
      </c>
      <c r="Z52" s="2">
        <v>6331</v>
      </c>
      <c r="AA52" s="2">
        <v>6511</v>
      </c>
      <c r="AB52" s="2">
        <v>6232</v>
      </c>
      <c r="AC52" s="2">
        <v>6165</v>
      </c>
      <c r="AD52" s="2">
        <v>7286</v>
      </c>
      <c r="AE52" s="2">
        <v>6911</v>
      </c>
      <c r="AF52" s="2">
        <v>6269</v>
      </c>
    </row>
    <row r="53" spans="2:32" s="2" customFormat="1" x14ac:dyDescent="0.25">
      <c r="B53" s="2" t="s">
        <v>118</v>
      </c>
      <c r="R53" s="2">
        <v>14111</v>
      </c>
      <c r="S53" s="2">
        <v>18112</v>
      </c>
      <c r="T53" s="2">
        <v>15809</v>
      </c>
      <c r="U53" s="2">
        <v>16386</v>
      </c>
      <c r="V53" s="2">
        <v>21223</v>
      </c>
      <c r="W53" s="2">
        <v>16422</v>
      </c>
      <c r="X53" s="2">
        <v>13660</v>
      </c>
      <c r="Y53" s="2">
        <v>13640</v>
      </c>
      <c r="Z53" s="2">
        <v>14695</v>
      </c>
      <c r="AA53" s="2">
        <v>13979</v>
      </c>
      <c r="AB53" s="2">
        <v>13884</v>
      </c>
      <c r="AC53" s="2">
        <v>14297</v>
      </c>
      <c r="AD53" s="2">
        <v>14287</v>
      </c>
      <c r="AE53" s="2">
        <v>13248</v>
      </c>
      <c r="AF53" s="2">
        <v>14109</v>
      </c>
    </row>
    <row r="54" spans="2:32" s="2" customFormat="1" x14ac:dyDescent="0.25">
      <c r="B54" s="2" t="s">
        <v>119</v>
      </c>
      <c r="R54" s="2">
        <v>39440</v>
      </c>
      <c r="S54" s="2">
        <v>39245</v>
      </c>
      <c r="T54" s="2">
        <v>39304</v>
      </c>
      <c r="U54" s="2">
        <v>40335</v>
      </c>
      <c r="V54" s="2">
        <v>42117</v>
      </c>
      <c r="W54" s="2">
        <v>42951</v>
      </c>
      <c r="X54" s="2">
        <v>43398</v>
      </c>
      <c r="Y54" s="2">
        <v>43550</v>
      </c>
      <c r="Z54" s="2">
        <v>43715</v>
      </c>
      <c r="AA54" s="2">
        <v>43666</v>
      </c>
      <c r="AB54" s="2">
        <v>43546</v>
      </c>
      <c r="AC54" s="2">
        <v>44502</v>
      </c>
      <c r="AD54" s="2">
        <v>45680</v>
      </c>
      <c r="AE54" s="2">
        <v>46069</v>
      </c>
      <c r="AF54" s="2">
        <v>46876</v>
      </c>
    </row>
    <row r="55" spans="2:32" s="2" customFormat="1" x14ac:dyDescent="0.25">
      <c r="B55" s="2" t="s">
        <v>120</v>
      </c>
      <c r="R55" s="2">
        <v>48849</v>
      </c>
      <c r="S55" s="2">
        <v>50109</v>
      </c>
      <c r="T55" s="2">
        <v>51959</v>
      </c>
      <c r="U55" s="2">
        <v>52605</v>
      </c>
      <c r="V55" s="2">
        <v>54428</v>
      </c>
      <c r="W55" s="2">
        <v>60924</v>
      </c>
      <c r="X55" s="2">
        <v>65388</v>
      </c>
      <c r="Y55" s="2">
        <v>64768</v>
      </c>
      <c r="Z55" s="2">
        <v>64758</v>
      </c>
      <c r="AA55" s="2">
        <v>66681</v>
      </c>
      <c r="AB55" s="2">
        <v>70262</v>
      </c>
      <c r="AC55" s="2">
        <v>70435</v>
      </c>
      <c r="AD55" s="2">
        <v>74834</v>
      </c>
      <c r="AE55" s="2">
        <v>77183</v>
      </c>
      <c r="AF55" s="2">
        <v>81259</v>
      </c>
    </row>
    <row r="56" spans="2:32" s="2" customFormat="1" x14ac:dyDescent="0.25">
      <c r="B56" s="2" t="s">
        <v>121</v>
      </c>
      <c r="R56" s="2">
        <f t="shared" ref="R56:V56" si="281">SUM(R49:R55)</f>
        <v>351002</v>
      </c>
      <c r="S56" s="2">
        <f t="shared" si="281"/>
        <v>381191</v>
      </c>
      <c r="T56" s="2">
        <f t="shared" si="281"/>
        <v>350662</v>
      </c>
      <c r="U56" s="2">
        <f t="shared" si="281"/>
        <v>336309</v>
      </c>
      <c r="V56" s="2">
        <f t="shared" ref="V56:AF56" si="282">SUM(V49:V55)</f>
        <v>352755</v>
      </c>
      <c r="W56" s="2">
        <f t="shared" si="282"/>
        <v>346747</v>
      </c>
      <c r="X56" s="2">
        <f t="shared" si="282"/>
        <v>332160</v>
      </c>
      <c r="Y56" s="2">
        <f t="shared" si="282"/>
        <v>335038</v>
      </c>
      <c r="Z56" s="2">
        <f t="shared" si="282"/>
        <v>352583</v>
      </c>
      <c r="AA56" s="2">
        <f t="shared" si="282"/>
        <v>353514</v>
      </c>
      <c r="AB56" s="2">
        <f t="shared" si="282"/>
        <v>337411</v>
      </c>
      <c r="AC56" s="2">
        <f t="shared" si="282"/>
        <v>331612</v>
      </c>
      <c r="AD56" s="2">
        <f t="shared" si="282"/>
        <v>364980</v>
      </c>
      <c r="AE56" s="2">
        <f t="shared" si="282"/>
        <v>344085</v>
      </c>
      <c r="AF56" s="2">
        <f t="shared" si="282"/>
        <v>331233</v>
      </c>
    </row>
    <row r="57" spans="2:32" x14ac:dyDescent="0.25">
      <c r="AF57" s="2"/>
    </row>
    <row r="58" spans="2:32" x14ac:dyDescent="0.25">
      <c r="B58" s="2" t="s">
        <v>122</v>
      </c>
      <c r="R58" s="2">
        <v>54763</v>
      </c>
      <c r="S58" s="2">
        <v>74362</v>
      </c>
      <c r="T58" s="2">
        <v>52682</v>
      </c>
      <c r="U58" s="2">
        <v>48343</v>
      </c>
      <c r="V58" s="2">
        <v>64115</v>
      </c>
      <c r="W58" s="2">
        <v>57918</v>
      </c>
      <c r="X58" s="2">
        <v>42945</v>
      </c>
      <c r="Y58" s="2">
        <v>46699</v>
      </c>
      <c r="Z58" s="2">
        <v>62611</v>
      </c>
      <c r="AA58" s="2">
        <v>58146</v>
      </c>
      <c r="AB58" s="2">
        <v>45753</v>
      </c>
      <c r="AC58" s="2">
        <v>47574</v>
      </c>
      <c r="AD58" s="2">
        <v>68960</v>
      </c>
      <c r="AE58" s="2">
        <v>61910</v>
      </c>
      <c r="AF58" s="2">
        <v>54126</v>
      </c>
    </row>
    <row r="59" spans="2:32" x14ac:dyDescent="0.25">
      <c r="B59" s="2" t="s">
        <v>123</v>
      </c>
      <c r="R59" s="2">
        <v>47493</v>
      </c>
      <c r="S59" s="2">
        <v>49167</v>
      </c>
      <c r="T59" s="2">
        <v>50248</v>
      </c>
      <c r="U59" s="2">
        <v>48811</v>
      </c>
      <c r="V59" s="2">
        <v>60845</v>
      </c>
      <c r="W59" s="2">
        <v>59893</v>
      </c>
      <c r="X59" s="2">
        <v>56425</v>
      </c>
      <c r="Y59" s="2">
        <v>58897</v>
      </c>
      <c r="Z59" s="2">
        <v>58829</v>
      </c>
      <c r="AA59" s="2">
        <v>54611</v>
      </c>
      <c r="AB59" s="2">
        <v>57298</v>
      </c>
      <c r="AC59" s="2">
        <v>60889</v>
      </c>
      <c r="AD59" s="2">
        <v>78304</v>
      </c>
      <c r="AE59" s="2">
        <v>61151</v>
      </c>
      <c r="AF59" s="2">
        <v>61849</v>
      </c>
    </row>
    <row r="60" spans="2:32" x14ac:dyDescent="0.25">
      <c r="B60" s="2" t="s">
        <v>124</v>
      </c>
      <c r="R60" s="2">
        <v>7612</v>
      </c>
      <c r="S60" s="2">
        <v>7876</v>
      </c>
      <c r="T60" s="2">
        <v>7920</v>
      </c>
      <c r="U60" s="2">
        <v>7728</v>
      </c>
      <c r="V60" s="2">
        <v>7912</v>
      </c>
      <c r="W60" s="2">
        <v>7992</v>
      </c>
      <c r="X60" s="2">
        <v>8131</v>
      </c>
      <c r="Y60" s="2">
        <v>8158</v>
      </c>
      <c r="Z60" s="2">
        <v>8061</v>
      </c>
      <c r="AA60" s="2">
        <v>8264</v>
      </c>
      <c r="AB60" s="2">
        <v>8012</v>
      </c>
      <c r="AC60" s="2">
        <v>8053</v>
      </c>
      <c r="AD60" s="2">
        <v>8249</v>
      </c>
      <c r="AE60" s="2">
        <v>8461</v>
      </c>
      <c r="AF60" s="2">
        <v>8976</v>
      </c>
    </row>
    <row r="61" spans="2:32" x14ac:dyDescent="0.25">
      <c r="B61" s="2" t="s">
        <v>4</v>
      </c>
      <c r="R61">
        <f>6000+9613+109106</f>
        <v>124719</v>
      </c>
      <c r="S61">
        <f>5000+106629+11169</f>
        <v>122798</v>
      </c>
      <c r="T61" s="2">
        <f>6999+9659+103323</f>
        <v>119981</v>
      </c>
      <c r="U61" s="2">
        <f>10982+14009+94700</f>
        <v>119691</v>
      </c>
      <c r="V61" s="2">
        <f>9982+11128+98959</f>
        <v>120069</v>
      </c>
      <c r="W61" s="2">
        <f>1743+9740+99627</f>
        <v>111110</v>
      </c>
      <c r="X61" s="2">
        <f>1996+10578+97041</f>
        <v>109615</v>
      </c>
      <c r="Y61" s="2">
        <f>3993+98071+7216</f>
        <v>109280</v>
      </c>
      <c r="Z61" s="2">
        <f>5985+9822+95281</f>
        <v>111088</v>
      </c>
      <c r="AA61" s="2">
        <f>1998+10954+95088</f>
        <v>108040</v>
      </c>
      <c r="AB61" s="2">
        <f>1997+10762+91831</f>
        <v>104590</v>
      </c>
      <c r="AC61" s="2">
        <f>2994+12114+86196</f>
        <v>101304</v>
      </c>
      <c r="AD61" s="2">
        <f>9967+10912+85750</f>
        <v>106629</v>
      </c>
      <c r="AE61" s="2">
        <f>1995+83956+10848</f>
        <v>96799</v>
      </c>
      <c r="AF61" s="2">
        <f>5982+13638+78566</f>
        <v>98186</v>
      </c>
    </row>
    <row r="62" spans="2:32" x14ac:dyDescent="0.25">
      <c r="B62" s="2" t="s">
        <v>127</v>
      </c>
      <c r="R62" s="2">
        <v>53325</v>
      </c>
      <c r="S62" s="2">
        <v>55056</v>
      </c>
      <c r="T62" s="2">
        <v>52432</v>
      </c>
      <c r="U62" s="2">
        <v>53629</v>
      </c>
      <c r="V62" s="2">
        <v>49142</v>
      </c>
      <c r="W62" s="2">
        <v>53107</v>
      </c>
      <c r="X62" s="2">
        <v>52886</v>
      </c>
      <c r="Y62" s="2">
        <v>51730</v>
      </c>
      <c r="Z62" s="2">
        <v>49848</v>
      </c>
      <c r="AA62" s="2">
        <v>50353</v>
      </c>
      <c r="AB62" s="2">
        <v>47564</v>
      </c>
      <c r="AC62" s="2">
        <v>47084</v>
      </c>
      <c r="AD62" s="2">
        <v>45888</v>
      </c>
      <c r="AE62" s="2">
        <v>49006</v>
      </c>
      <c r="AF62" s="2">
        <v>41300</v>
      </c>
    </row>
    <row r="63" spans="2:32" x14ac:dyDescent="0.25">
      <c r="B63" s="2" t="s">
        <v>126</v>
      </c>
      <c r="R63" s="2">
        <v>63090</v>
      </c>
      <c r="S63" s="2">
        <v>71932</v>
      </c>
      <c r="T63" s="2">
        <v>67399</v>
      </c>
      <c r="U63" s="2">
        <v>58107</v>
      </c>
      <c r="V63" s="2">
        <v>50672</v>
      </c>
      <c r="W63" s="2">
        <v>56727</v>
      </c>
      <c r="X63" s="2">
        <v>62158</v>
      </c>
      <c r="Y63" s="2">
        <v>60274</v>
      </c>
      <c r="Z63" s="2">
        <v>62146</v>
      </c>
      <c r="AA63" s="2">
        <v>74100</v>
      </c>
      <c r="AB63" s="2">
        <v>74194</v>
      </c>
      <c r="AC63" s="2">
        <v>66708</v>
      </c>
      <c r="AD63" s="2">
        <v>56950</v>
      </c>
      <c r="AE63" s="2">
        <v>66758</v>
      </c>
      <c r="AF63" s="2">
        <v>66796</v>
      </c>
    </row>
    <row r="64" spans="2:32" x14ac:dyDescent="0.25">
      <c r="B64" s="2" t="s">
        <v>125</v>
      </c>
      <c r="R64" s="2">
        <f t="shared" ref="R64:V64" si="283">SUM(R58:R63)</f>
        <v>351002</v>
      </c>
      <c r="S64" s="2">
        <f t="shared" si="283"/>
        <v>381191</v>
      </c>
      <c r="T64" s="2">
        <f t="shared" si="283"/>
        <v>350662</v>
      </c>
      <c r="U64" s="2">
        <f t="shared" si="283"/>
        <v>336309</v>
      </c>
      <c r="V64" s="2">
        <f t="shared" ref="V64:AF64" si="284">SUM(V58:V63)</f>
        <v>352755</v>
      </c>
      <c r="W64" s="2">
        <f t="shared" si="284"/>
        <v>346747</v>
      </c>
      <c r="X64" s="2">
        <f t="shared" si="284"/>
        <v>332160</v>
      </c>
      <c r="Y64" s="2">
        <f t="shared" si="284"/>
        <v>335038</v>
      </c>
      <c r="Z64" s="2">
        <f t="shared" si="284"/>
        <v>352583</v>
      </c>
      <c r="AA64" s="2">
        <f t="shared" si="284"/>
        <v>353514</v>
      </c>
      <c r="AB64" s="2">
        <f t="shared" si="284"/>
        <v>337411</v>
      </c>
      <c r="AC64" s="2">
        <f t="shared" si="284"/>
        <v>331612</v>
      </c>
      <c r="AD64" s="2">
        <f t="shared" si="284"/>
        <v>364980</v>
      </c>
      <c r="AE64" s="2">
        <f t="shared" si="284"/>
        <v>344085</v>
      </c>
      <c r="AF64" s="2">
        <f t="shared" si="284"/>
        <v>331233</v>
      </c>
    </row>
    <row r="66" spans="2:64" x14ac:dyDescent="0.25">
      <c r="B66" s="2" t="s">
        <v>129</v>
      </c>
      <c r="O66" s="2">
        <f t="shared" ref="O66" si="285">O32</f>
        <v>28755</v>
      </c>
      <c r="S66" s="2">
        <f t="shared" ref="S66:V66" si="286">S32</f>
        <v>34630</v>
      </c>
      <c r="T66" s="2">
        <f t="shared" si="286"/>
        <v>25010</v>
      </c>
      <c r="U66" s="2">
        <f t="shared" si="286"/>
        <v>19442</v>
      </c>
      <c r="V66" s="2">
        <f>V32</f>
        <v>20721</v>
      </c>
      <c r="W66" s="2">
        <f t="shared" ref="V66:AF66" si="287">W32</f>
        <v>29998</v>
      </c>
      <c r="X66" s="2">
        <f t="shared" si="287"/>
        <v>24160</v>
      </c>
      <c r="Y66" s="2">
        <f t="shared" si="287"/>
        <v>19881</v>
      </c>
      <c r="Z66" s="2">
        <f t="shared" si="287"/>
        <v>22956</v>
      </c>
      <c r="AA66" s="2">
        <f t="shared" si="287"/>
        <v>33916</v>
      </c>
      <c r="AB66" s="2">
        <f t="shared" si="287"/>
        <v>23636</v>
      </c>
      <c r="AC66" s="2">
        <f t="shared" si="287"/>
        <v>21448</v>
      </c>
      <c r="AD66" s="2">
        <f t="shared" si="287"/>
        <v>14736</v>
      </c>
      <c r="AE66" s="2">
        <f t="shared" si="287"/>
        <v>36330</v>
      </c>
      <c r="AF66" s="2">
        <f t="shared" si="287"/>
        <v>24780</v>
      </c>
      <c r="BD66" s="2">
        <f t="shared" ref="BD66:BL66" si="288">BD32</f>
        <v>45687</v>
      </c>
      <c r="BE66" s="2">
        <f t="shared" si="288"/>
        <v>48351</v>
      </c>
      <c r="BF66" s="2">
        <f t="shared" si="288"/>
        <v>59531</v>
      </c>
      <c r="BG66" s="2">
        <f t="shared" si="288"/>
        <v>55256</v>
      </c>
      <c r="BH66" s="2">
        <f t="shared" si="288"/>
        <v>57411</v>
      </c>
      <c r="BI66" s="2">
        <f t="shared" si="288"/>
        <v>94680</v>
      </c>
      <c r="BJ66" s="2">
        <f t="shared" si="288"/>
        <v>99803</v>
      </c>
      <c r="BK66" s="2">
        <f t="shared" si="288"/>
        <v>96995</v>
      </c>
      <c r="BL66" s="2">
        <f t="shared" si="288"/>
        <v>93736</v>
      </c>
    </row>
    <row r="67" spans="2:64" s="2" customFormat="1" x14ac:dyDescent="0.25">
      <c r="B67" s="2" t="s">
        <v>130</v>
      </c>
      <c r="O67" s="2">
        <v>28755</v>
      </c>
      <c r="S67" s="2">
        <v>34630</v>
      </c>
      <c r="T67" s="2">
        <f>59640-S67</f>
        <v>25010</v>
      </c>
      <c r="U67" s="2">
        <f>79082-T67-S67</f>
        <v>19442</v>
      </c>
      <c r="V67" s="2">
        <f>99803-U67-T67-S67</f>
        <v>20721</v>
      </c>
      <c r="W67" s="2">
        <v>29998</v>
      </c>
      <c r="X67" s="2">
        <f>54158-W67</f>
        <v>24160</v>
      </c>
      <c r="Y67" s="2">
        <f>74039-X67-W67</f>
        <v>19881</v>
      </c>
      <c r="Z67" s="2">
        <f>96995-Y67-X67-W67</f>
        <v>22956</v>
      </c>
      <c r="AA67" s="2">
        <v>33916</v>
      </c>
      <c r="AB67" s="2">
        <f>57552-AA67</f>
        <v>23636</v>
      </c>
      <c r="AC67" s="2">
        <f>79000-AB67-AA67</f>
        <v>21448</v>
      </c>
      <c r="AD67" s="2">
        <f>93736-AC67-AB67-AA67</f>
        <v>14736</v>
      </c>
      <c r="AE67" s="2">
        <v>36330</v>
      </c>
      <c r="AF67" s="2">
        <f>61110-AE67</f>
        <v>24780</v>
      </c>
    </row>
    <row r="68" spans="2:64" s="2" customFormat="1" x14ac:dyDescent="0.25">
      <c r="B68" s="2" t="s">
        <v>132</v>
      </c>
      <c r="O68" s="2">
        <v>2666</v>
      </c>
      <c r="S68" s="2">
        <v>2697</v>
      </c>
      <c r="T68" s="2">
        <f>5434-S68</f>
        <v>2737</v>
      </c>
      <c r="U68" s="2">
        <f>8239-T68-S68</f>
        <v>2805</v>
      </c>
      <c r="V68" s="2">
        <f>11104-U68-T68-S68</f>
        <v>2865</v>
      </c>
      <c r="W68" s="2">
        <v>2916</v>
      </c>
      <c r="X68" s="2">
        <f>5814-W68</f>
        <v>2898</v>
      </c>
      <c r="Y68" s="2">
        <f>8866-X68-W68</f>
        <v>3052</v>
      </c>
      <c r="Z68" s="2">
        <f>11519-Y68-X68-W68</f>
        <v>2653</v>
      </c>
      <c r="AA68" s="2">
        <v>2848</v>
      </c>
      <c r="AB68" s="2">
        <f>5684-AA68</f>
        <v>2836</v>
      </c>
      <c r="AC68" s="2">
        <f>8534-AB68-AA68</f>
        <v>2850</v>
      </c>
      <c r="AD68" s="2">
        <f>11445-AC68-AB68-AA68</f>
        <v>2911</v>
      </c>
      <c r="AE68" s="2">
        <v>3080</v>
      </c>
      <c r="AF68" s="2">
        <f>5741-AE68</f>
        <v>2661</v>
      </c>
    </row>
    <row r="69" spans="2:64" s="2" customFormat="1" x14ac:dyDescent="0.25">
      <c r="B69" s="2" t="s">
        <v>133</v>
      </c>
      <c r="O69" s="2">
        <v>2020</v>
      </c>
      <c r="S69" s="2">
        <v>2265</v>
      </c>
      <c r="T69" s="2">
        <f>4517-S69</f>
        <v>2252</v>
      </c>
      <c r="U69" s="2">
        <f>6760-T69-S69</f>
        <v>2243</v>
      </c>
      <c r="V69" s="2">
        <f>9038-U69-T69-S69</f>
        <v>2278</v>
      </c>
      <c r="W69" s="2">
        <v>2905</v>
      </c>
      <c r="X69" s="2">
        <f>5591-W69</f>
        <v>2686</v>
      </c>
      <c r="Y69" s="2">
        <f>8208-X69-W69</f>
        <v>2617</v>
      </c>
      <c r="Z69" s="2">
        <f>10833-Y69-X69-W69</f>
        <v>2625</v>
      </c>
      <c r="AA69" s="2">
        <v>2997</v>
      </c>
      <c r="AB69" s="2">
        <f>5961-AA69</f>
        <v>2964</v>
      </c>
      <c r="AC69" s="2">
        <f>8830-AB69-AA69</f>
        <v>2869</v>
      </c>
      <c r="AD69" s="2">
        <f>11688-AC69-AB69-AA69</f>
        <v>2858</v>
      </c>
      <c r="AE69" s="2">
        <v>3286</v>
      </c>
      <c r="AF69" s="2">
        <f>6512-AE69</f>
        <v>3226</v>
      </c>
    </row>
    <row r="70" spans="2:64" s="2" customFormat="1" x14ac:dyDescent="0.25">
      <c r="B70" s="2" t="s">
        <v>134</v>
      </c>
      <c r="O70" s="2">
        <f>-58+25</f>
        <v>-33</v>
      </c>
      <c r="S70" s="2">
        <f>682+167</f>
        <v>849</v>
      </c>
      <c r="T70" s="2">
        <f>1088-20-S70</f>
        <v>219</v>
      </c>
      <c r="U70" s="2">
        <f>2756-61-T70-S70</f>
        <v>1627</v>
      </c>
      <c r="V70" s="2">
        <f>895+111-U70-T70-S70</f>
        <v>-1689</v>
      </c>
      <c r="W70" s="2">
        <v>-317</v>
      </c>
      <c r="X70" s="2">
        <f>-1732-W70</f>
        <v>-1415</v>
      </c>
      <c r="Y70" s="2">
        <f>-1651-X70-W70</f>
        <v>81</v>
      </c>
      <c r="Z70" s="2">
        <f>-2227-Y70-X70-W70</f>
        <v>-576</v>
      </c>
      <c r="AA70" s="2">
        <v>-989</v>
      </c>
      <c r="AB70" s="2">
        <f>-1971-AA70</f>
        <v>-982</v>
      </c>
      <c r="AC70" s="2">
        <f>-1964-AB70-AA70</f>
        <v>7</v>
      </c>
      <c r="AD70" s="2">
        <f>-2266-AC70-AB70-AA70</f>
        <v>-302</v>
      </c>
      <c r="AE70" s="2">
        <v>-2009</v>
      </c>
      <c r="AF70" s="2">
        <f>-2217-AE70</f>
        <v>-208</v>
      </c>
    </row>
    <row r="71" spans="2:64" s="2" customFormat="1" x14ac:dyDescent="0.25">
      <c r="B71" s="2" t="s">
        <v>135</v>
      </c>
      <c r="O71" s="2">
        <f>-10945-950-10194-3526+21670+1341+7959</f>
        <v>5355</v>
      </c>
      <c r="S71" s="2">
        <f>-3934+681-9812-4921+19813+462+4236</f>
        <v>6525</v>
      </c>
      <c r="T71" s="2">
        <f>5542+1065+643-3542-1750+627+1888-S71</f>
        <v>-2052</v>
      </c>
      <c r="U71" s="2">
        <f>4561+1049+4789-3289-6108+260-14-T71-S71</f>
        <v>-3225</v>
      </c>
      <c r="V71" s="2">
        <f>-1823+1484-7520-6499+9448+478+5632-U71-T71-S71</f>
        <v>-48</v>
      </c>
      <c r="W71" s="2">
        <f>4275-1807+2320-4099-6075+131+3758</f>
        <v>-1497</v>
      </c>
      <c r="X71" s="2">
        <f>9596-2548+14785-4092-20764+1757-W71</f>
        <v>231</v>
      </c>
      <c r="Y71" s="2">
        <f>7609-2570+13111-4863-16790+2986-X71-W71</f>
        <v>749</v>
      </c>
      <c r="Z71" s="2">
        <f>-1688+1271-1618-5684-1889+3031-Y71-X71-W71</f>
        <v>-6060</v>
      </c>
      <c r="AA71" s="2">
        <f>6555+4569-137-1457-4542-3865</f>
        <v>1123</v>
      </c>
      <c r="AB71" s="2">
        <f>7727+12164+53-4438-16710-3437-AA71</f>
        <v>-5764</v>
      </c>
      <c r="AC71" s="2">
        <f>6697+11100+41-5626-15171+2-AB71-AA71</f>
        <v>1684</v>
      </c>
      <c r="AD71" s="2">
        <f>-3788-1356-1046-11731+6020+15552-AC71-AB71-AA71</f>
        <v>6608</v>
      </c>
      <c r="AE71" s="2">
        <f>3597+3166+215+939-6671-11998</f>
        <v>-10752</v>
      </c>
      <c r="AF71" s="2">
        <f>7266+9171+858-4371-14604-15579-AE71</f>
        <v>-6507</v>
      </c>
    </row>
    <row r="72" spans="2:64" s="2" customFormat="1" x14ac:dyDescent="0.25">
      <c r="B72" s="2" t="s">
        <v>131</v>
      </c>
      <c r="O72" s="2">
        <f t="shared" ref="O72:S72" si="289">SUM(O67:O71)</f>
        <v>38763</v>
      </c>
      <c r="P72" s="2">
        <f t="shared" si="289"/>
        <v>0</v>
      </c>
      <c r="Q72" s="2">
        <f t="shared" si="289"/>
        <v>0</v>
      </c>
      <c r="R72" s="2">
        <f t="shared" si="289"/>
        <v>0</v>
      </c>
      <c r="S72" s="2">
        <f t="shared" ref="S72:W72" si="290">SUM(S67:S71)</f>
        <v>46966</v>
      </c>
      <c r="T72" s="2">
        <f t="shared" si="290"/>
        <v>28166</v>
      </c>
      <c r="U72" s="2">
        <f t="shared" si="290"/>
        <v>22892</v>
      </c>
      <c r="V72" s="2">
        <f>SUM(V67:V71)</f>
        <v>24127</v>
      </c>
      <c r="W72" s="2">
        <f t="shared" ref="W72:AF72" si="291">SUM(W67:W71)</f>
        <v>34005</v>
      </c>
      <c r="X72" s="2">
        <f t="shared" si="291"/>
        <v>28560</v>
      </c>
      <c r="Y72" s="2">
        <f t="shared" si="291"/>
        <v>26380</v>
      </c>
      <c r="Z72" s="2">
        <f t="shared" si="291"/>
        <v>21598</v>
      </c>
      <c r="AA72" s="2">
        <f t="shared" si="291"/>
        <v>39895</v>
      </c>
      <c r="AB72" s="2">
        <f t="shared" si="291"/>
        <v>22690</v>
      </c>
      <c r="AC72" s="2">
        <f t="shared" si="291"/>
        <v>28858</v>
      </c>
      <c r="AD72" s="2">
        <f t="shared" si="291"/>
        <v>26811</v>
      </c>
      <c r="AE72" s="2">
        <f t="shared" si="291"/>
        <v>29935</v>
      </c>
      <c r="AF72" s="2">
        <f t="shared" si="291"/>
        <v>23952</v>
      </c>
      <c r="BD72" s="2">
        <v>66231</v>
      </c>
      <c r="BE72" s="2">
        <v>64225</v>
      </c>
      <c r="BF72" s="2">
        <v>77434</v>
      </c>
      <c r="BG72" s="2">
        <v>69391</v>
      </c>
      <c r="BH72" s="2">
        <v>80674</v>
      </c>
      <c r="BI72" s="2">
        <v>104038</v>
      </c>
      <c r="BJ72" s="2">
        <v>122151</v>
      </c>
      <c r="BK72" s="2">
        <v>110543</v>
      </c>
      <c r="BL72" s="2">
        <v>118254</v>
      </c>
    </row>
    <row r="74" spans="2:64" x14ac:dyDescent="0.25">
      <c r="B74" s="2" t="s">
        <v>136</v>
      </c>
      <c r="O74" s="2">
        <f>-39800+25177+9344</f>
        <v>-5279</v>
      </c>
      <c r="P74" s="2"/>
      <c r="Q74" s="2"/>
      <c r="R74" s="2"/>
      <c r="S74" s="2">
        <f>-34913+11309+10675</f>
        <v>-12929</v>
      </c>
      <c r="T74" s="2">
        <f>-61987+18000+24668-S74</f>
        <v>-6390</v>
      </c>
      <c r="U74" s="2">
        <f>-70178+24203+33609-T74-S74</f>
        <v>6953</v>
      </c>
      <c r="V74" s="2">
        <f>-76923+29917+37446-U74-T74-S74</f>
        <v>2806</v>
      </c>
      <c r="W74" s="2">
        <f>-5153+7127+509</f>
        <v>2483</v>
      </c>
      <c r="X74" s="2">
        <f>-11197+17124+1897-W74</f>
        <v>5341</v>
      </c>
      <c r="Y74" s="2">
        <f>-20956+27857+3959-X74-W74</f>
        <v>3036</v>
      </c>
      <c r="Z74" s="2">
        <f>-29513+39686+5828-Y74-X74-W74</f>
        <v>5141</v>
      </c>
      <c r="AA74" s="2">
        <f>-9780+13046+1337</f>
        <v>4603</v>
      </c>
      <c r="AB74" s="2">
        <f>-25042+27462+4314-AA74</f>
        <v>2131</v>
      </c>
      <c r="AC74" s="2">
        <f>-38074+39838+7382-AB74-AA74</f>
        <v>2412</v>
      </c>
      <c r="AD74" s="2">
        <f>-48656+51211+11135-AC74-AB74-AA74</f>
        <v>4544</v>
      </c>
      <c r="AE74" s="2">
        <f>-6124+15967+3492</f>
        <v>13335</v>
      </c>
      <c r="AF74" s="2">
        <f>-12442+26587+5210-AE74</f>
        <v>6020</v>
      </c>
    </row>
    <row r="75" spans="2:64" x14ac:dyDescent="0.25">
      <c r="B75" s="2" t="s">
        <v>137</v>
      </c>
      <c r="O75" s="2">
        <v>-3500</v>
      </c>
      <c r="P75" s="2"/>
      <c r="Q75" s="2"/>
      <c r="R75" s="2"/>
      <c r="S75" s="2">
        <v>-2803</v>
      </c>
      <c r="T75" s="2">
        <f>-5317-S75</f>
        <v>-2514</v>
      </c>
      <c r="U75" s="2">
        <f>-7419-T75-S75</f>
        <v>-2102</v>
      </c>
      <c r="V75" s="2">
        <f>-10708-U75-T75-S75</f>
        <v>-3289</v>
      </c>
      <c r="W75" s="2">
        <v>-3787</v>
      </c>
      <c r="X75" s="2">
        <f>-6703-W75</f>
        <v>-2916</v>
      </c>
      <c r="Y75" s="2">
        <f>-8796-X75-W75</f>
        <v>-2093</v>
      </c>
      <c r="Z75" s="2">
        <f>-10959-Y75-X75-W75</f>
        <v>-2163</v>
      </c>
      <c r="AA75" s="2">
        <v>-2392</v>
      </c>
      <c r="AB75" s="2">
        <f>-4388-AA75</f>
        <v>-1996</v>
      </c>
      <c r="AC75" s="2">
        <f>-6539-AB75-AA75</f>
        <v>-2151</v>
      </c>
      <c r="AD75" s="2">
        <f>-9447-AC75-AB75-AA75</f>
        <v>-2908</v>
      </c>
      <c r="AE75" s="2">
        <v>-2940</v>
      </c>
      <c r="AF75" s="2">
        <f>-6011-AE75</f>
        <v>-3071</v>
      </c>
      <c r="BD75" s="2">
        <v>-12734</v>
      </c>
      <c r="BE75" s="2">
        <v>-12451</v>
      </c>
      <c r="BF75" s="2">
        <v>-13313</v>
      </c>
      <c r="BG75" s="2">
        <v>-10495</v>
      </c>
      <c r="BH75" s="2">
        <v>-7309</v>
      </c>
      <c r="BI75" s="2">
        <v>-11085</v>
      </c>
      <c r="BJ75" s="2">
        <v>-10708</v>
      </c>
      <c r="BK75" s="2">
        <v>-10959</v>
      </c>
      <c r="BL75" s="2">
        <v>-9447</v>
      </c>
    </row>
    <row r="76" spans="2:64" x14ac:dyDescent="0.25">
      <c r="B76" s="2" t="s">
        <v>134</v>
      </c>
      <c r="O76" s="2">
        <v>195</v>
      </c>
      <c r="P76" s="2"/>
      <c r="Q76" s="2"/>
      <c r="R76" s="2"/>
      <c r="S76" s="2">
        <v>-374</v>
      </c>
      <c r="T76" s="2">
        <f>-167-568-S76</f>
        <v>-361</v>
      </c>
      <c r="U76" s="2">
        <f>-169-1183-T76-S76</f>
        <v>-617</v>
      </c>
      <c r="V76" s="2">
        <f>-306-1780-U76-T76-S76</f>
        <v>-734</v>
      </c>
      <c r="W76" s="2">
        <v>-141</v>
      </c>
      <c r="X76" s="2">
        <f>-247-W76</f>
        <v>-106</v>
      </c>
      <c r="Y76" s="2">
        <f>-753-X76-W76</f>
        <v>-506</v>
      </c>
      <c r="Z76" s="2">
        <f>-1337-Y76-X76-W76</f>
        <v>-584</v>
      </c>
      <c r="AA76" s="2">
        <v>-284</v>
      </c>
      <c r="AB76" s="2">
        <f>-729-AA76</f>
        <v>-445</v>
      </c>
      <c r="AC76" s="2">
        <f>-1117-AB76-AA76</f>
        <v>-388</v>
      </c>
      <c r="AD76" s="2">
        <f>-1308-AC76-AB76-AA76</f>
        <v>-191</v>
      </c>
      <c r="AE76" s="2">
        <v>-603</v>
      </c>
      <c r="AF76" s="2">
        <f>-635-AE76</f>
        <v>-32</v>
      </c>
    </row>
    <row r="77" spans="2:64" x14ac:dyDescent="0.25">
      <c r="B77" s="2" t="s">
        <v>138</v>
      </c>
      <c r="O77" s="2">
        <f t="shared" ref="O77:S77" si="292">SUM(O74:O76)</f>
        <v>-8584</v>
      </c>
      <c r="P77" s="2">
        <f t="shared" si="292"/>
        <v>0</v>
      </c>
      <c r="Q77" s="2">
        <f t="shared" si="292"/>
        <v>0</v>
      </c>
      <c r="R77" s="2">
        <f t="shared" si="292"/>
        <v>0</v>
      </c>
      <c r="S77" s="2">
        <f t="shared" ref="S77:W77" si="293">SUM(S74:S76)</f>
        <v>-16106</v>
      </c>
      <c r="T77" s="2">
        <f t="shared" si="293"/>
        <v>-9265</v>
      </c>
      <c r="U77" s="2">
        <f t="shared" si="293"/>
        <v>4234</v>
      </c>
      <c r="V77" s="2">
        <f t="shared" si="293"/>
        <v>-1217</v>
      </c>
      <c r="W77" s="2">
        <f t="shared" ref="W77:AF77" si="294">SUM(W74:W76)</f>
        <v>-1445</v>
      </c>
      <c r="X77" s="2">
        <f t="shared" si="294"/>
        <v>2319</v>
      </c>
      <c r="Y77" s="2">
        <f t="shared" si="294"/>
        <v>437</v>
      </c>
      <c r="Z77" s="2">
        <f t="shared" si="294"/>
        <v>2394</v>
      </c>
      <c r="AA77" s="2">
        <f t="shared" si="294"/>
        <v>1927</v>
      </c>
      <c r="AB77" s="2">
        <f t="shared" si="294"/>
        <v>-310</v>
      </c>
      <c r="AC77" s="2">
        <f t="shared" si="294"/>
        <v>-127</v>
      </c>
      <c r="AD77" s="2">
        <f t="shared" si="294"/>
        <v>1445</v>
      </c>
      <c r="AE77" s="2">
        <f t="shared" si="294"/>
        <v>9792</v>
      </c>
      <c r="AF77" s="2">
        <f t="shared" si="294"/>
        <v>2917</v>
      </c>
    </row>
    <row r="79" spans="2:64" x14ac:dyDescent="0.25">
      <c r="B79" s="2" t="s">
        <v>139</v>
      </c>
      <c r="O79" s="2">
        <v>-2861</v>
      </c>
      <c r="P79" s="2"/>
      <c r="Q79" s="2"/>
      <c r="R79" s="2"/>
      <c r="S79" s="2">
        <v>-2888</v>
      </c>
      <c r="T79" s="2">
        <f>-3218-S79</f>
        <v>-330</v>
      </c>
      <c r="U79" s="2">
        <f>-5915-T79-S79</f>
        <v>-2697</v>
      </c>
      <c r="V79" s="2">
        <f>-6223-U79-T79-S79</f>
        <v>-308</v>
      </c>
      <c r="W79" s="2">
        <v>-2316</v>
      </c>
      <c r="X79" s="2">
        <f>-2734-W79</f>
        <v>-418</v>
      </c>
      <c r="Y79" s="2">
        <f>-5119-X79-W79</f>
        <v>-2385</v>
      </c>
      <c r="Z79" s="2">
        <f>-5431-Y79-X79-W79</f>
        <v>-312</v>
      </c>
      <c r="AA79" s="2">
        <v>-2591</v>
      </c>
      <c r="AB79" s="2">
        <f>-2875-AA79</f>
        <v>-284</v>
      </c>
      <c r="AC79" s="2">
        <f>-5163-AB79-AA79</f>
        <v>-2288</v>
      </c>
      <c r="AD79" s="2">
        <f>-5441-AC79-AB79-AA79</f>
        <v>-278</v>
      </c>
      <c r="AE79" s="2">
        <v>-2921</v>
      </c>
      <c r="AF79" s="2">
        <f>-3205-AE79</f>
        <v>-284</v>
      </c>
    </row>
    <row r="80" spans="2:64" x14ac:dyDescent="0.25">
      <c r="B80" s="2" t="s">
        <v>140</v>
      </c>
      <c r="O80" s="2">
        <v>-3613</v>
      </c>
      <c r="P80" s="2"/>
      <c r="Q80" s="2"/>
      <c r="R80" s="2"/>
      <c r="S80" s="2">
        <v>-3732</v>
      </c>
      <c r="T80" s="2">
        <f>-7327-S80</f>
        <v>-3595</v>
      </c>
      <c r="U80" s="2">
        <f>-11138-T80-S80</f>
        <v>-3811</v>
      </c>
      <c r="V80" s="2">
        <f>-14841-U80-T80-S80</f>
        <v>-3703</v>
      </c>
      <c r="W80" s="2">
        <v>-3768</v>
      </c>
      <c r="X80" s="2">
        <f>-7418-W80</f>
        <v>-3650</v>
      </c>
      <c r="Y80" s="2">
        <f>-11267-X80-W80</f>
        <v>-3849</v>
      </c>
      <c r="Z80" s="2">
        <f>-15025-Y80-X80-W80</f>
        <v>-3758</v>
      </c>
      <c r="AA80" s="2">
        <v>-3825</v>
      </c>
      <c r="AB80" s="2">
        <f>-7535-AA80</f>
        <v>-3710</v>
      </c>
      <c r="AC80" s="2">
        <f>-11430-AB80-AA80</f>
        <v>-3895</v>
      </c>
      <c r="AD80" s="2">
        <f>-15234-AC80-AB80-AA80</f>
        <v>-3804</v>
      </c>
      <c r="AE80" s="2">
        <v>-3856</v>
      </c>
      <c r="AF80" s="2">
        <f>-7614-AE80</f>
        <v>-3758</v>
      </c>
    </row>
    <row r="81" spans="2:64" x14ac:dyDescent="0.25">
      <c r="B81" s="2" t="s">
        <v>141</v>
      </c>
      <c r="O81" s="2">
        <v>-24775</v>
      </c>
      <c r="P81" s="2"/>
      <c r="Q81" s="2"/>
      <c r="R81" s="2"/>
      <c r="S81" s="2">
        <v>-20478</v>
      </c>
      <c r="T81" s="2">
        <f>-43109-S81</f>
        <v>-22631</v>
      </c>
      <c r="U81" s="2">
        <f>-64974-T81-S81</f>
        <v>-21865</v>
      </c>
      <c r="V81" s="2">
        <f>-89402-U81-T81-S81</f>
        <v>-24428</v>
      </c>
      <c r="W81" s="2">
        <v>-19475</v>
      </c>
      <c r="X81" s="2">
        <f>-39069-W81</f>
        <v>-19594</v>
      </c>
      <c r="Y81" s="2">
        <f>-56547-X81-W81</f>
        <v>-17478</v>
      </c>
      <c r="Z81" s="2">
        <f>-77550-Y81-X81-W81</f>
        <v>-21003</v>
      </c>
      <c r="AA81" s="2">
        <v>-20139</v>
      </c>
      <c r="AB81" s="2">
        <f>-43344-AA81</f>
        <v>-23205</v>
      </c>
      <c r="AC81" s="2">
        <f>-69866-AB81-AA81</f>
        <v>-26522</v>
      </c>
      <c r="AD81" s="2">
        <f>-94949-AC81-AB81-AA81</f>
        <v>-25083</v>
      </c>
      <c r="AE81" s="2">
        <v>-23606</v>
      </c>
      <c r="AF81" s="2">
        <f>-49504-AE81</f>
        <v>-25898</v>
      </c>
    </row>
    <row r="82" spans="2:64" x14ac:dyDescent="0.25">
      <c r="B82" s="2" t="s">
        <v>4</v>
      </c>
      <c r="O82" s="2">
        <v>-1000</v>
      </c>
      <c r="P82" s="2"/>
      <c r="Q82" s="2"/>
      <c r="R82" s="2"/>
      <c r="S82" s="2">
        <v>-1000</v>
      </c>
      <c r="T82" s="2">
        <f>-3750+999-S82</f>
        <v>-1751</v>
      </c>
      <c r="U82" s="2">
        <f>-6750+4970-T82-S82</f>
        <v>971</v>
      </c>
      <c r="V82" s="2">
        <f>5465-9543+3955-U82-T82-S82</f>
        <v>1657</v>
      </c>
      <c r="W82" s="2">
        <f>-1401-8214</f>
        <v>-9615</v>
      </c>
      <c r="X82" s="2">
        <f>-3651-7960-W82</f>
        <v>-1996</v>
      </c>
      <c r="Y82" s="2">
        <f>5228-11151-5971-X82-W82</f>
        <v>-283</v>
      </c>
      <c r="Z82" s="2">
        <f>5228-11151-3978-Y82-X82-W82</f>
        <v>1993</v>
      </c>
      <c r="AA82" s="2">
        <v>-3984</v>
      </c>
      <c r="AB82" s="2">
        <f>-3150-AA82-3982</f>
        <v>-3148</v>
      </c>
      <c r="AC82" s="2">
        <f>-7400-2985-AB82-AA82</f>
        <v>-3253</v>
      </c>
      <c r="AD82" s="2">
        <f>-9958+3960-AC82-AB82-AA82</f>
        <v>4387</v>
      </c>
      <c r="AE82" s="2">
        <f>-1009-7944</f>
        <v>-8953</v>
      </c>
      <c r="AF82" s="2">
        <f>-4009-3968-AE82</f>
        <v>976</v>
      </c>
    </row>
    <row r="83" spans="2:64" x14ac:dyDescent="0.25">
      <c r="B83" s="2" t="s">
        <v>134</v>
      </c>
      <c r="O83" s="2">
        <v>0</v>
      </c>
      <c r="P83" s="2"/>
      <c r="Q83" s="2"/>
      <c r="R83" s="2"/>
      <c r="S83" s="2">
        <v>-61</v>
      </c>
      <c r="T83" s="2">
        <f>-105-S83</f>
        <v>-44</v>
      </c>
      <c r="U83" s="2">
        <f>-148-T83-S83</f>
        <v>-43</v>
      </c>
      <c r="V83" s="2">
        <f>-160-U83-T83-S83</f>
        <v>-12</v>
      </c>
      <c r="W83" s="2">
        <v>-389</v>
      </c>
      <c r="X83" s="2">
        <f>-455-W83</f>
        <v>-66</v>
      </c>
      <c r="Y83" s="2">
        <f>-508-X83-W83</f>
        <v>-53</v>
      </c>
      <c r="Z83" s="2">
        <f>-581-Y83-X83-W83</f>
        <v>-73</v>
      </c>
      <c r="AA83" s="2">
        <v>-46</v>
      </c>
      <c r="AB83" s="2">
        <f>-132-AA83</f>
        <v>-86</v>
      </c>
      <c r="AC83" s="2">
        <f>-191-AB83-AA83</f>
        <v>-59</v>
      </c>
      <c r="AD83" s="2">
        <f>-361-AC83-AB83-AA83</f>
        <v>-170</v>
      </c>
      <c r="AE83" s="2">
        <v>-35</v>
      </c>
      <c r="AF83" s="2">
        <f>-77-AE83</f>
        <v>-42</v>
      </c>
    </row>
    <row r="84" spans="2:64" x14ac:dyDescent="0.25">
      <c r="B84" s="2" t="s">
        <v>142</v>
      </c>
      <c r="O84" s="2">
        <f t="shared" ref="O84:S84" si="295">SUM(O79:O83)</f>
        <v>-32249</v>
      </c>
      <c r="P84" s="2">
        <f t="shared" si="295"/>
        <v>0</v>
      </c>
      <c r="Q84" s="2">
        <f t="shared" si="295"/>
        <v>0</v>
      </c>
      <c r="R84" s="2">
        <f t="shared" si="295"/>
        <v>0</v>
      </c>
      <c r="S84" s="2">
        <f t="shared" ref="S84:W84" si="296">SUM(S79:S83)</f>
        <v>-28159</v>
      </c>
      <c r="T84" s="2">
        <f t="shared" si="296"/>
        <v>-28351</v>
      </c>
      <c r="U84" s="2">
        <f t="shared" si="296"/>
        <v>-27445</v>
      </c>
      <c r="V84" s="2">
        <f t="shared" si="296"/>
        <v>-26794</v>
      </c>
      <c r="W84" s="2">
        <f t="shared" ref="W84:AF84" si="297">SUM(W79:W83)</f>
        <v>-35563</v>
      </c>
      <c r="X84" s="2">
        <f t="shared" si="297"/>
        <v>-25724</v>
      </c>
      <c r="Y84" s="2">
        <f t="shared" si="297"/>
        <v>-24048</v>
      </c>
      <c r="Z84" s="2">
        <f t="shared" si="297"/>
        <v>-23153</v>
      </c>
      <c r="AA84" s="2">
        <f t="shared" si="297"/>
        <v>-30585</v>
      </c>
      <c r="AB84" s="2">
        <f t="shared" si="297"/>
        <v>-30433</v>
      </c>
      <c r="AC84" s="2">
        <f t="shared" si="297"/>
        <v>-36017</v>
      </c>
      <c r="AD84" s="2">
        <f t="shared" si="297"/>
        <v>-24948</v>
      </c>
      <c r="AE84" s="2">
        <f t="shared" si="297"/>
        <v>-39371</v>
      </c>
      <c r="AF84" s="2">
        <f t="shared" si="297"/>
        <v>-29006</v>
      </c>
    </row>
    <row r="85" spans="2:64" x14ac:dyDescent="0.25">
      <c r="AE85" s="2"/>
    </row>
    <row r="86" spans="2:64" x14ac:dyDescent="0.25">
      <c r="B86" s="2" t="s">
        <v>143</v>
      </c>
      <c r="O86" s="2">
        <f t="shared" ref="O86" si="298">O84+O77+O72</f>
        <v>-2070</v>
      </c>
      <c r="S86" s="2">
        <f t="shared" ref="S86:W86" si="299">S84+S77+S72</f>
        <v>2701</v>
      </c>
      <c r="T86" s="2">
        <f t="shared" si="299"/>
        <v>-9450</v>
      </c>
      <c r="U86" s="2">
        <f t="shared" si="299"/>
        <v>-319</v>
      </c>
      <c r="V86" s="2">
        <f t="shared" si="299"/>
        <v>-3884</v>
      </c>
      <c r="W86" s="2">
        <f>W84+W77+W72</f>
        <v>-3003</v>
      </c>
      <c r="X86" s="2">
        <f t="shared" ref="X86:Z86" si="300">X84+X77+X72</f>
        <v>5155</v>
      </c>
      <c r="Y86" s="2">
        <f t="shared" si="300"/>
        <v>2769</v>
      </c>
      <c r="Z86" s="2">
        <f t="shared" si="300"/>
        <v>839</v>
      </c>
      <c r="AA86" s="2">
        <f>AA84+AA77+AA72</f>
        <v>11237</v>
      </c>
      <c r="AB86" s="2">
        <f>AB84+AB77+AB72</f>
        <v>-8053</v>
      </c>
      <c r="AC86" s="2">
        <f>AC84+AC77+AC72</f>
        <v>-7286</v>
      </c>
      <c r="AD86" s="2">
        <f>AD84+AD77+AD72</f>
        <v>3308</v>
      </c>
      <c r="AE86" s="2">
        <f>AE84+AE77+AE72</f>
        <v>356</v>
      </c>
      <c r="AF86" s="2">
        <f>-1781-AE86</f>
        <v>-2137</v>
      </c>
    </row>
    <row r="88" spans="2:64" x14ac:dyDescent="0.25">
      <c r="B88" s="2" t="s">
        <v>160</v>
      </c>
      <c r="O88" s="2">
        <f t="shared" ref="O88" si="301">+O72+O75</f>
        <v>35263</v>
      </c>
      <c r="S88" s="2">
        <f t="shared" ref="S88:W88" si="302">+S72+S75</f>
        <v>44163</v>
      </c>
      <c r="T88" s="2">
        <f t="shared" si="302"/>
        <v>25652</v>
      </c>
      <c r="U88" s="2">
        <f t="shared" si="302"/>
        <v>20790</v>
      </c>
      <c r="V88" s="2">
        <f t="shared" si="302"/>
        <v>20838</v>
      </c>
      <c r="W88" s="2">
        <f t="shared" ref="W88:Z88" si="303">+W72+W75</f>
        <v>30218</v>
      </c>
      <c r="X88" s="2">
        <f t="shared" si="303"/>
        <v>25644</v>
      </c>
      <c r="Y88" s="2">
        <f t="shared" si="303"/>
        <v>24287</v>
      </c>
      <c r="Z88" s="2">
        <f t="shared" si="303"/>
        <v>19435</v>
      </c>
      <c r="AA88" s="2">
        <f>+AA72+AA75</f>
        <v>37503</v>
      </c>
      <c r="AB88" s="2">
        <f>+AB72+AB75</f>
        <v>20694</v>
      </c>
      <c r="AC88" s="2">
        <f>+AC72+AC75</f>
        <v>26707</v>
      </c>
      <c r="AD88" s="2">
        <f>+AD72+AD75</f>
        <v>23903</v>
      </c>
      <c r="AE88" s="2">
        <f>+AE72+AE75</f>
        <v>26995</v>
      </c>
      <c r="AF88" s="2">
        <f>+AF72+AF75</f>
        <v>20881</v>
      </c>
      <c r="BD88" s="2">
        <f t="shared" ref="BD88:BL88" si="304">+BD75+BD72</f>
        <v>53497</v>
      </c>
      <c r="BE88" s="2">
        <f t="shared" si="304"/>
        <v>51774</v>
      </c>
      <c r="BF88" s="2">
        <f t="shared" si="304"/>
        <v>64121</v>
      </c>
      <c r="BG88" s="2">
        <f t="shared" si="304"/>
        <v>58896</v>
      </c>
      <c r="BH88" s="2">
        <f t="shared" si="304"/>
        <v>73365</v>
      </c>
      <c r="BI88" s="2">
        <f t="shared" si="304"/>
        <v>92953</v>
      </c>
      <c r="BJ88" s="2">
        <f t="shared" si="304"/>
        <v>111443</v>
      </c>
      <c r="BK88" s="2">
        <f t="shared" si="304"/>
        <v>99584</v>
      </c>
      <c r="BL88" s="2">
        <f t="shared" si="304"/>
        <v>108807</v>
      </c>
    </row>
    <row r="89" spans="2:64" x14ac:dyDescent="0.25">
      <c r="B89" t="s">
        <v>161</v>
      </c>
      <c r="V89" s="2">
        <f t="shared" ref="V89" si="305">SUM(S88:V88)</f>
        <v>111443</v>
      </c>
      <c r="W89" s="2">
        <f t="shared" ref="W89" si="306">SUM(T88:W88)</f>
        <v>97498</v>
      </c>
      <c r="X89" s="2">
        <f t="shared" ref="X89" si="307">SUM(U88:X88)</f>
        <v>97490</v>
      </c>
      <c r="Y89" s="2">
        <f t="shared" ref="Y89" si="308">SUM(V88:Y88)</f>
        <v>100987</v>
      </c>
      <c r="Z89" s="2">
        <f t="shared" ref="Z89:AC89" si="309">SUM(W88:Z88)</f>
        <v>99584</v>
      </c>
      <c r="AA89" s="2">
        <f t="shared" si="309"/>
        <v>106869</v>
      </c>
      <c r="AB89" s="2">
        <f t="shared" si="309"/>
        <v>101919</v>
      </c>
      <c r="AC89" s="2">
        <f t="shared" si="309"/>
        <v>104339</v>
      </c>
      <c r="AD89" s="2">
        <f>SUM(AA88:AD88)</f>
        <v>108807</v>
      </c>
      <c r="AE89" s="2">
        <f>SUM(AB88:AE88)</f>
        <v>98299</v>
      </c>
      <c r="AF89" s="2">
        <f>SUM(AC88:AF88)</f>
        <v>98486</v>
      </c>
      <c r="BL89" s="5"/>
    </row>
    <row r="90" spans="2:64" x14ac:dyDescent="0.25">
      <c r="Z90" s="5">
        <f t="shared" ref="Z90" si="310">+Z89/V89-1</f>
        <v>-0.1064131439390541</v>
      </c>
      <c r="AA90" s="5">
        <f t="shared" ref="AA90" si="311">+AA89/W89-1</f>
        <v>9.6114792098299429E-2</v>
      </c>
      <c r="AB90" s="5">
        <f t="shared" ref="AB90" si="312">+AB89/X89-1</f>
        <v>4.5430300543645608E-2</v>
      </c>
      <c r="AC90" s="5">
        <f t="shared" ref="AC90" si="313">+AC89/Y89-1</f>
        <v>3.319239109984462E-2</v>
      </c>
      <c r="AD90" s="5">
        <f t="shared" ref="AD90:AE90" si="314">+AD89/Z89-1</f>
        <v>9.2615279562981989E-2</v>
      </c>
      <c r="AE90" s="5">
        <f t="shared" si="314"/>
        <v>-8.0191636489533868E-2</v>
      </c>
      <c r="AF90" s="5">
        <f>+AF89/AB89-1</f>
        <v>-3.3683611495403221E-2</v>
      </c>
      <c r="BL90" s="5"/>
    </row>
  </sheetData>
  <phoneticPr fontId="3" type="noConversion"/>
  <hyperlinks>
    <hyperlink ref="A1" location="Main!A1" display="Main" xr:uid="{8359FE81-84D5-48DA-AAE3-BF56C6A2A8A2}"/>
    <hyperlink ref="AU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defaultColWidth="8.81640625" defaultRowHeight="12.5" x14ac:dyDescent="0.25"/>
  <sheetData>
    <row r="1" spans="1:3" x14ac:dyDescent="0.25">
      <c r="A1" t="s">
        <v>6</v>
      </c>
    </row>
    <row r="2" spans="1:3" x14ac:dyDescent="0.25">
      <c r="B2" t="s">
        <v>76</v>
      </c>
      <c r="C2" t="s">
        <v>37</v>
      </c>
    </row>
    <row r="3" spans="1:3" x14ac:dyDescent="0.25">
      <c r="B3" t="s">
        <v>77</v>
      </c>
      <c r="C3" t="s">
        <v>78</v>
      </c>
    </row>
    <row r="4" spans="1:3" x14ac:dyDescent="0.25">
      <c r="C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2022-08-26T02:02:45Z</dcterms:created>
  <dcterms:modified xsi:type="dcterms:W3CDTF">2025-07-07T18:44:02Z</dcterms:modified>
</cp:coreProperties>
</file>