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D79E949F-9639-4520-8D35-3EE4261740D4}" xr6:coauthVersionLast="47" xr6:coauthVersionMax="47" xr10:uidLastSave="{00000000-0000-0000-0000-000000000000}"/>
  <bookViews>
    <workbookView xWindow="40830" yWindow="2720" windowWidth="28980" windowHeight="14360" xr2:uid="{1DFF4005-BD0C-4C09-A1C4-CA5C3CA974D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31" i="2" l="1"/>
  <c r="BC31" i="2" s="1"/>
  <c r="BD31" i="2" s="1"/>
  <c r="BE31" i="2" s="1"/>
  <c r="BF31" i="2" s="1"/>
  <c r="BF26" i="2"/>
  <c r="BE26" i="2"/>
  <c r="BD26" i="2"/>
  <c r="BC26" i="2"/>
  <c r="BB23" i="2"/>
  <c r="BC23" i="2" s="1"/>
  <c r="BD23" i="2" s="1"/>
  <c r="BE23" i="2" s="1"/>
  <c r="BF23" i="2" s="1"/>
  <c r="BB22" i="2"/>
  <c r="BB24" i="2" s="1"/>
  <c r="BB18" i="2"/>
  <c r="BC18" i="2" s="1"/>
  <c r="BD18" i="2" s="1"/>
  <c r="BE18" i="2" s="1"/>
  <c r="BF18" i="2" s="1"/>
  <c r="BB17" i="2"/>
  <c r="BC17" i="2" s="1"/>
  <c r="BD17" i="2" s="1"/>
  <c r="BE17" i="2" s="1"/>
  <c r="BF17" i="2" s="1"/>
  <c r="BD16" i="2"/>
  <c r="BE16" i="2" s="1"/>
  <c r="BF16" i="2" s="1"/>
  <c r="BC16" i="2"/>
  <c r="BB16" i="2"/>
  <c r="BC15" i="2"/>
  <c r="BD15" i="2" s="1"/>
  <c r="BE15" i="2" s="1"/>
  <c r="BF15" i="2" s="1"/>
  <c r="BB15" i="2"/>
  <c r="BB14" i="2"/>
  <c r="BC14" i="2" s="1"/>
  <c r="BD14" i="2" s="1"/>
  <c r="BE14" i="2" s="1"/>
  <c r="BF14" i="2" s="1"/>
  <c r="BB13" i="2"/>
  <c r="BC13" i="2" s="1"/>
  <c r="BD13" i="2" s="1"/>
  <c r="BE13" i="2" s="1"/>
  <c r="BF13" i="2" s="1"/>
  <c r="BB12" i="2"/>
  <c r="BC12" i="2" s="1"/>
  <c r="BD12" i="2" s="1"/>
  <c r="BE12" i="2" s="1"/>
  <c r="BF12" i="2" s="1"/>
  <c r="BB11" i="2"/>
  <c r="BC11" i="2" s="1"/>
  <c r="BD11" i="2" s="1"/>
  <c r="BE11" i="2" s="1"/>
  <c r="BF11" i="2" s="1"/>
  <c r="BB10" i="2"/>
  <c r="BC10" i="2" s="1"/>
  <c r="BD10" i="2" s="1"/>
  <c r="BE10" i="2" s="1"/>
  <c r="BF10" i="2" s="1"/>
  <c r="BB9" i="2"/>
  <c r="BC9" i="2" s="1"/>
  <c r="BD9" i="2" s="1"/>
  <c r="BE9" i="2" s="1"/>
  <c r="BF9" i="2" s="1"/>
  <c r="BB8" i="2"/>
  <c r="BC8" i="2" s="1"/>
  <c r="BD8" i="2" s="1"/>
  <c r="BE8" i="2" s="1"/>
  <c r="BF8" i="2" s="1"/>
  <c r="BB7" i="2"/>
  <c r="BC7" i="2" s="1"/>
  <c r="BD7" i="2" s="1"/>
  <c r="BE7" i="2" s="1"/>
  <c r="BF7" i="2" s="1"/>
  <c r="BB6" i="2"/>
  <c r="BC6" i="2" s="1"/>
  <c r="BD6" i="2" s="1"/>
  <c r="BE6" i="2" s="1"/>
  <c r="BF6" i="2" s="1"/>
  <c r="BB5" i="2"/>
  <c r="BC5" i="2" s="1"/>
  <c r="BD5" i="2" s="1"/>
  <c r="BE5" i="2" s="1"/>
  <c r="BF5" i="2" s="1"/>
  <c r="BB4" i="2"/>
  <c r="BB19" i="2" s="1"/>
  <c r="BB3" i="2"/>
  <c r="BC3" i="2" s="1"/>
  <c r="BD3" i="2" s="1"/>
  <c r="BE3" i="2" s="1"/>
  <c r="BF3" i="2" s="1"/>
  <c r="AY17" i="2"/>
  <c r="AX17" i="2"/>
  <c r="AW17" i="2"/>
  <c r="AW26" i="2"/>
  <c r="AV40" i="2"/>
  <c r="Z40" i="2"/>
  <c r="Y40" i="2"/>
  <c r="X40" i="2"/>
  <c r="W40" i="2"/>
  <c r="AX31" i="2"/>
  <c r="AY31" i="2" s="1"/>
  <c r="AZ31" i="2" s="1"/>
  <c r="BA31" i="2" s="1"/>
  <c r="AW31" i="2"/>
  <c r="AX23" i="2"/>
  <c r="AY23" i="2" s="1"/>
  <c r="AZ23" i="2" s="1"/>
  <c r="BA23" i="2" s="1"/>
  <c r="AW22" i="2"/>
  <c r="AX22" i="2" s="1"/>
  <c r="AW23" i="2"/>
  <c r="AW24" i="2"/>
  <c r="AV38" i="2"/>
  <c r="AV33" i="2"/>
  <c r="AW16" i="2"/>
  <c r="AX16" i="2" s="1"/>
  <c r="AY16" i="2" s="1"/>
  <c r="AZ16" i="2" s="1"/>
  <c r="BA16" i="2" s="1"/>
  <c r="AX15" i="2"/>
  <c r="AY15" i="2" s="1"/>
  <c r="AZ15" i="2" s="1"/>
  <c r="BA15" i="2" s="1"/>
  <c r="AW15" i="2"/>
  <c r="AW14" i="2"/>
  <c r="AX14" i="2" s="1"/>
  <c r="AY14" i="2" s="1"/>
  <c r="AZ14" i="2" s="1"/>
  <c r="BA14" i="2" s="1"/>
  <c r="AW13" i="2"/>
  <c r="AX13" i="2" s="1"/>
  <c r="AY13" i="2" s="1"/>
  <c r="AZ13" i="2" s="1"/>
  <c r="BA13" i="2" s="1"/>
  <c r="AW12" i="2"/>
  <c r="AX12" i="2" s="1"/>
  <c r="AY12" i="2" s="1"/>
  <c r="AZ12" i="2" s="1"/>
  <c r="BA12" i="2" s="1"/>
  <c r="AW11" i="2"/>
  <c r="AX11" i="2" s="1"/>
  <c r="AY11" i="2" s="1"/>
  <c r="AZ11" i="2" s="1"/>
  <c r="BA11" i="2" s="1"/>
  <c r="AW10" i="2"/>
  <c r="AX10" i="2" s="1"/>
  <c r="AY10" i="2" s="1"/>
  <c r="AZ10" i="2" s="1"/>
  <c r="BA10" i="2" s="1"/>
  <c r="AW9" i="2"/>
  <c r="AX9" i="2" s="1"/>
  <c r="AY9" i="2" s="1"/>
  <c r="AZ9" i="2" s="1"/>
  <c r="BA9" i="2" s="1"/>
  <c r="AW8" i="2"/>
  <c r="AX8" i="2" s="1"/>
  <c r="AY8" i="2" s="1"/>
  <c r="AZ8" i="2" s="1"/>
  <c r="BA8" i="2" s="1"/>
  <c r="AW7" i="2"/>
  <c r="AX7" i="2" s="1"/>
  <c r="AY7" i="2" s="1"/>
  <c r="AZ7" i="2" s="1"/>
  <c r="BA7" i="2" s="1"/>
  <c r="AW6" i="2"/>
  <c r="AX6" i="2" s="1"/>
  <c r="AY6" i="2" s="1"/>
  <c r="AZ6" i="2" s="1"/>
  <c r="BA6" i="2" s="1"/>
  <c r="AW5" i="2"/>
  <c r="AX5" i="2" s="1"/>
  <c r="AY5" i="2" s="1"/>
  <c r="AZ5" i="2" s="1"/>
  <c r="BA5" i="2" s="1"/>
  <c r="AW4" i="2"/>
  <c r="AX4" i="2" s="1"/>
  <c r="AY4" i="2" s="1"/>
  <c r="AW18" i="2"/>
  <c r="BA18" i="2"/>
  <c r="AZ18" i="2"/>
  <c r="AY18" i="2"/>
  <c r="AX18" i="2"/>
  <c r="Z28" i="2"/>
  <c r="Y28" i="2"/>
  <c r="X28" i="2"/>
  <c r="Z26" i="2"/>
  <c r="Y26" i="2"/>
  <c r="X26" i="2"/>
  <c r="Z23" i="2"/>
  <c r="Z37" i="2" s="1"/>
  <c r="Y23" i="2"/>
  <c r="Y37" i="2" s="1"/>
  <c r="X23" i="2"/>
  <c r="X24" i="2" s="1"/>
  <c r="Z22" i="2"/>
  <c r="Z36" i="2" s="1"/>
  <c r="Y22" i="2"/>
  <c r="Y24" i="2" s="1"/>
  <c r="X22" i="2"/>
  <c r="X36" i="2"/>
  <c r="Z35" i="2"/>
  <c r="Y35" i="2"/>
  <c r="X35" i="2"/>
  <c r="R37" i="2"/>
  <c r="Q37" i="2"/>
  <c r="P37" i="2"/>
  <c r="R36" i="2"/>
  <c r="Q36" i="2"/>
  <c r="P36" i="2"/>
  <c r="V37" i="2"/>
  <c r="U37" i="2"/>
  <c r="T37" i="2"/>
  <c r="S37" i="2"/>
  <c r="V36" i="2"/>
  <c r="U36" i="2"/>
  <c r="T36" i="2"/>
  <c r="S36" i="2"/>
  <c r="W37" i="2"/>
  <c r="W36" i="2"/>
  <c r="Z7" i="2"/>
  <c r="Y7" i="2"/>
  <c r="X7" i="2"/>
  <c r="Z6" i="2"/>
  <c r="Y6" i="2"/>
  <c r="X6" i="2"/>
  <c r="Z5" i="2"/>
  <c r="Y5" i="2"/>
  <c r="X5" i="2"/>
  <c r="Z4" i="2"/>
  <c r="Y4" i="2"/>
  <c r="X4" i="2"/>
  <c r="Z9" i="2"/>
  <c r="Y9" i="2"/>
  <c r="X9" i="2"/>
  <c r="AV9" i="2" s="1"/>
  <c r="Z8" i="2"/>
  <c r="Y8" i="2"/>
  <c r="X8" i="2"/>
  <c r="AV8" i="2" s="1"/>
  <c r="X10" i="2"/>
  <c r="Z11" i="2"/>
  <c r="Y11" i="2"/>
  <c r="X11" i="2"/>
  <c r="Z10" i="2"/>
  <c r="Y10" i="2"/>
  <c r="Z12" i="2"/>
  <c r="Y12" i="2"/>
  <c r="X12" i="2"/>
  <c r="Z13" i="2"/>
  <c r="Y13" i="2"/>
  <c r="X13" i="2"/>
  <c r="Z14" i="2"/>
  <c r="Y14" i="2"/>
  <c r="X14" i="2"/>
  <c r="Z15" i="2"/>
  <c r="Y15" i="2"/>
  <c r="X15" i="2"/>
  <c r="Z16" i="2"/>
  <c r="Y16" i="2"/>
  <c r="X16" i="2"/>
  <c r="Z17" i="2"/>
  <c r="Y17" i="2"/>
  <c r="X17" i="2"/>
  <c r="AV17" i="2" s="1"/>
  <c r="R35" i="2"/>
  <c r="Q35" i="2"/>
  <c r="P35" i="2"/>
  <c r="O35" i="2"/>
  <c r="N35" i="2"/>
  <c r="V35" i="2"/>
  <c r="U35" i="2"/>
  <c r="T35" i="2"/>
  <c r="S35" i="2"/>
  <c r="W35" i="2"/>
  <c r="Z18" i="2"/>
  <c r="Z34" i="2" s="1"/>
  <c r="Y18" i="2"/>
  <c r="Y34" i="2" s="1"/>
  <c r="X18" i="2"/>
  <c r="X34" i="2" s="1"/>
  <c r="M34" i="2"/>
  <c r="L34" i="2"/>
  <c r="K34" i="2"/>
  <c r="Q34" i="2"/>
  <c r="P34" i="2"/>
  <c r="O34" i="2"/>
  <c r="N34" i="2"/>
  <c r="T34" i="2"/>
  <c r="S34" i="2"/>
  <c r="R34" i="2"/>
  <c r="V34" i="2"/>
  <c r="U34" i="2"/>
  <c r="W34" i="2"/>
  <c r="Z24" i="2"/>
  <c r="X31" i="2"/>
  <c r="Y31" i="2" s="1"/>
  <c r="Z31" i="2" s="1"/>
  <c r="AV31" i="2" s="1"/>
  <c r="AV16" i="2"/>
  <c r="AV15" i="2"/>
  <c r="AV6" i="2"/>
  <c r="AV5" i="2"/>
  <c r="AV4" i="2"/>
  <c r="U26" i="2"/>
  <c r="V26" i="2"/>
  <c r="V19" i="2"/>
  <c r="V21" i="2" s="1"/>
  <c r="W19" i="2"/>
  <c r="W21" i="2" s="1"/>
  <c r="W38" i="2" s="1"/>
  <c r="W75" i="2"/>
  <c r="W79" i="2" s="1"/>
  <c r="W73" i="2"/>
  <c r="W68" i="2"/>
  <c r="W57" i="2"/>
  <c r="W55" i="2"/>
  <c r="W58" i="2" s="1"/>
  <c r="W41" i="2"/>
  <c r="W46" i="2"/>
  <c r="W48" i="2" s="1"/>
  <c r="W26" i="2"/>
  <c r="W24" i="2"/>
  <c r="AT69" i="2"/>
  <c r="AS69" i="2"/>
  <c r="AR69" i="2"/>
  <c r="AU17" i="2"/>
  <c r="AU15" i="2"/>
  <c r="AU11" i="2"/>
  <c r="AU9" i="2"/>
  <c r="AU8" i="2"/>
  <c r="AU7" i="2"/>
  <c r="AU6" i="2"/>
  <c r="AU5" i="2"/>
  <c r="AT31" i="2"/>
  <c r="AT28" i="2"/>
  <c r="AT26" i="2"/>
  <c r="AT23" i="2"/>
  <c r="AT22" i="2"/>
  <c r="AU18" i="2"/>
  <c r="AU4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I19" i="2"/>
  <c r="I21" i="2" s="1"/>
  <c r="I38" i="2" s="1"/>
  <c r="M19" i="2"/>
  <c r="M33" i="2" s="1"/>
  <c r="N19" i="2"/>
  <c r="N20" i="2" s="1"/>
  <c r="O24" i="2"/>
  <c r="O25" i="2" s="1"/>
  <c r="O27" i="2" s="1"/>
  <c r="O29" i="2" s="1"/>
  <c r="O30" i="2" s="1"/>
  <c r="O19" i="2"/>
  <c r="P24" i="2"/>
  <c r="P19" i="2"/>
  <c r="P20" i="2" s="1"/>
  <c r="Q24" i="2"/>
  <c r="Q25" i="2" s="1"/>
  <c r="Q27" i="2" s="1"/>
  <c r="Q29" i="2" s="1"/>
  <c r="Q30" i="2" s="1"/>
  <c r="Q19" i="2"/>
  <c r="Q20" i="2" s="1"/>
  <c r="R24" i="2"/>
  <c r="R25" i="2" s="1"/>
  <c r="R27" i="2" s="1"/>
  <c r="R29" i="2" s="1"/>
  <c r="R30" i="2" s="1"/>
  <c r="R19" i="2"/>
  <c r="S24" i="2"/>
  <c r="S25" i="2" s="1"/>
  <c r="S27" i="2" s="1"/>
  <c r="S29" i="2" s="1"/>
  <c r="S30" i="2" s="1"/>
  <c r="S19" i="2"/>
  <c r="S20" i="2" s="1"/>
  <c r="T24" i="2"/>
  <c r="T25" i="2" s="1"/>
  <c r="T27" i="2" s="1"/>
  <c r="T29" i="2" s="1"/>
  <c r="T30" i="2" s="1"/>
  <c r="T19" i="2"/>
  <c r="T20" i="2" s="1"/>
  <c r="AR31" i="2"/>
  <c r="AR28" i="2"/>
  <c r="AL33" i="2"/>
  <c r="AM33" i="2"/>
  <c r="AN33" i="2"/>
  <c r="AO33" i="2"/>
  <c r="AM26" i="2"/>
  <c r="AN26" i="2"/>
  <c r="AM24" i="2"/>
  <c r="AM21" i="2"/>
  <c r="AM38" i="2" s="1"/>
  <c r="AN24" i="2"/>
  <c r="AN21" i="2"/>
  <c r="AN38" i="2" s="1"/>
  <c r="AN11" i="2"/>
  <c r="AN10" i="2"/>
  <c r="AN5" i="2"/>
  <c r="AO11" i="2"/>
  <c r="AO10" i="2"/>
  <c r="AO5" i="2"/>
  <c r="AP4" i="2"/>
  <c r="AQ4" i="2"/>
  <c r="AQ26" i="2"/>
  <c r="AP26" i="2"/>
  <c r="AO26" i="2"/>
  <c r="AQ24" i="2"/>
  <c r="AP24" i="2"/>
  <c r="AO24" i="2"/>
  <c r="AR23" i="2"/>
  <c r="AR22" i="2"/>
  <c r="AR20" i="2"/>
  <c r="AO21" i="2"/>
  <c r="AO38" i="2" s="1"/>
  <c r="AQ11" i="2"/>
  <c r="AP11" i="2"/>
  <c r="AQ10" i="2"/>
  <c r="AP10" i="2"/>
  <c r="AR10" i="2"/>
  <c r="AP5" i="2"/>
  <c r="AQ5" i="2"/>
  <c r="AR18" i="2"/>
  <c r="AR17" i="2"/>
  <c r="AR16" i="2"/>
  <c r="AR15" i="2"/>
  <c r="AR14" i="2"/>
  <c r="AR13" i="2"/>
  <c r="AR12" i="2"/>
  <c r="AR11" i="2"/>
  <c r="AR9" i="2"/>
  <c r="AR8" i="2"/>
  <c r="AR7" i="2"/>
  <c r="AR6" i="2"/>
  <c r="AR5" i="2"/>
  <c r="AR4" i="2"/>
  <c r="AS15" i="2"/>
  <c r="AS14" i="2"/>
  <c r="AS13" i="2"/>
  <c r="AS12" i="2"/>
  <c r="AS11" i="2"/>
  <c r="AS9" i="2"/>
  <c r="AS8" i="2"/>
  <c r="AS7" i="2"/>
  <c r="AS6" i="2"/>
  <c r="AS5" i="2"/>
  <c r="AS4" i="2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AS18" i="2"/>
  <c r="AS17" i="2"/>
  <c r="AS16" i="2"/>
  <c r="AS10" i="2"/>
  <c r="AS31" i="2"/>
  <c r="AS23" i="2"/>
  <c r="N24" i="2"/>
  <c r="H19" i="2"/>
  <c r="H21" i="2" s="1"/>
  <c r="H38" i="2" s="1"/>
  <c r="L19" i="2"/>
  <c r="H26" i="2"/>
  <c r="L26" i="2"/>
  <c r="L24" i="2"/>
  <c r="M57" i="2"/>
  <c r="M55" i="2"/>
  <c r="M53" i="2"/>
  <c r="M46" i="2"/>
  <c r="M41" i="2"/>
  <c r="I26" i="2"/>
  <c r="M26" i="2"/>
  <c r="M24" i="2"/>
  <c r="M21" i="2"/>
  <c r="M38" i="2" s="1"/>
  <c r="J26" i="2"/>
  <c r="J19" i="2"/>
  <c r="J21" i="2" s="1"/>
  <c r="J38" i="2" s="1"/>
  <c r="G26" i="2"/>
  <c r="K26" i="2"/>
  <c r="J24" i="2"/>
  <c r="I24" i="2"/>
  <c r="H24" i="2"/>
  <c r="G24" i="2"/>
  <c r="K24" i="2"/>
  <c r="G19" i="2"/>
  <c r="G21" i="2" s="1"/>
  <c r="G38" i="2" s="1"/>
  <c r="K19" i="2"/>
  <c r="L4" i="1"/>
  <c r="L7" i="1" s="1"/>
  <c r="BB21" i="2" l="1"/>
  <c r="BB25" i="2" s="1"/>
  <c r="BC22" i="2"/>
  <c r="BC4" i="2"/>
  <c r="AZ17" i="2"/>
  <c r="BA17" i="2" s="1"/>
  <c r="AX24" i="2"/>
  <c r="AY22" i="2"/>
  <c r="AZ4" i="2"/>
  <c r="AY19" i="2"/>
  <c r="AX19" i="2"/>
  <c r="AW19" i="2"/>
  <c r="AV28" i="2"/>
  <c r="AV26" i="2"/>
  <c r="Y36" i="2"/>
  <c r="AV22" i="2"/>
  <c r="AV24" i="2" s="1"/>
  <c r="AV23" i="2"/>
  <c r="X37" i="2"/>
  <c r="AV11" i="2"/>
  <c r="AV13" i="2"/>
  <c r="AV12" i="2"/>
  <c r="AV10" i="2"/>
  <c r="M48" i="2"/>
  <c r="AV7" i="2"/>
  <c r="AV14" i="2"/>
  <c r="Y19" i="2"/>
  <c r="X19" i="2"/>
  <c r="X33" i="2" s="1"/>
  <c r="AV18" i="2"/>
  <c r="Z19" i="2"/>
  <c r="Z33" i="2" s="1"/>
  <c r="M58" i="2"/>
  <c r="L33" i="2"/>
  <c r="Y21" i="2"/>
  <c r="Y38" i="2" s="1"/>
  <c r="O33" i="2"/>
  <c r="AU16" i="2"/>
  <c r="AT19" i="2"/>
  <c r="U19" i="2"/>
  <c r="W33" i="2"/>
  <c r="AT24" i="2"/>
  <c r="AU14" i="2"/>
  <c r="AU10" i="2"/>
  <c r="V38" i="2"/>
  <c r="V33" i="2"/>
  <c r="AR24" i="2"/>
  <c r="AU13" i="2"/>
  <c r="AU23" i="2"/>
  <c r="AU26" i="2"/>
  <c r="W25" i="2"/>
  <c r="W27" i="2" s="1"/>
  <c r="W29" i="2" s="1"/>
  <c r="AU31" i="2"/>
  <c r="AU12" i="2"/>
  <c r="W81" i="2"/>
  <c r="V24" i="2"/>
  <c r="U24" i="2"/>
  <c r="AU22" i="2"/>
  <c r="T38" i="2"/>
  <c r="T33" i="2"/>
  <c r="P33" i="2"/>
  <c r="R20" i="2"/>
  <c r="S33" i="2"/>
  <c r="O20" i="2"/>
  <c r="S38" i="2"/>
  <c r="R38" i="2"/>
  <c r="P38" i="2"/>
  <c r="O38" i="2"/>
  <c r="R33" i="2"/>
  <c r="P25" i="2"/>
  <c r="P27" i="2" s="1"/>
  <c r="P29" i="2" s="1"/>
  <c r="P30" i="2" s="1"/>
  <c r="Q33" i="2"/>
  <c r="Q38" i="2"/>
  <c r="AQ19" i="2"/>
  <c r="AQ21" i="2" s="1"/>
  <c r="AQ38" i="2" s="1"/>
  <c r="AP19" i="2"/>
  <c r="AP33" i="2" s="1"/>
  <c r="AS26" i="2"/>
  <c r="AR26" i="2"/>
  <c r="AS19" i="2"/>
  <c r="AM25" i="2"/>
  <c r="AM27" i="2" s="1"/>
  <c r="AM29" i="2" s="1"/>
  <c r="AM30" i="2" s="1"/>
  <c r="AR19" i="2"/>
  <c r="AR21" i="2" s="1"/>
  <c r="AR38" i="2" s="1"/>
  <c r="AO25" i="2"/>
  <c r="AO27" i="2" s="1"/>
  <c r="AO29" i="2" s="1"/>
  <c r="AO30" i="2" s="1"/>
  <c r="AS22" i="2"/>
  <c r="AS24" i="2" s="1"/>
  <c r="L21" i="2"/>
  <c r="AN25" i="2"/>
  <c r="AN27" i="2" s="1"/>
  <c r="AN29" i="2" s="1"/>
  <c r="AN30" i="2" s="1"/>
  <c r="M25" i="2"/>
  <c r="M27" i="2" s="1"/>
  <c r="M29" i="2" s="1"/>
  <c r="M30" i="2" s="1"/>
  <c r="K33" i="2"/>
  <c r="M40" i="2"/>
  <c r="G25" i="2"/>
  <c r="G27" i="2" s="1"/>
  <c r="G29" i="2" s="1"/>
  <c r="G30" i="2" s="1"/>
  <c r="H25" i="2"/>
  <c r="H27" i="2" s="1"/>
  <c r="H29" i="2" s="1"/>
  <c r="H30" i="2" s="1"/>
  <c r="I25" i="2"/>
  <c r="I27" i="2" s="1"/>
  <c r="I29" i="2" s="1"/>
  <c r="I30" i="2" s="1"/>
  <c r="K21" i="2"/>
  <c r="J25" i="2"/>
  <c r="J27" i="2" s="1"/>
  <c r="J29" i="2" s="1"/>
  <c r="J30" i="2" s="1"/>
  <c r="BD4" i="2" l="1"/>
  <c r="BC19" i="2"/>
  <c r="BC24" i="2"/>
  <c r="BD22" i="2"/>
  <c r="BB20" i="2"/>
  <c r="AW33" i="2"/>
  <c r="AW21" i="2"/>
  <c r="AW20" i="2" s="1"/>
  <c r="AX33" i="2"/>
  <c r="AX21" i="2"/>
  <c r="AX38" i="2" s="1"/>
  <c r="AY33" i="2"/>
  <c r="AY21" i="2"/>
  <c r="AY38" i="2" s="1"/>
  <c r="AY24" i="2"/>
  <c r="AY25" i="2" s="1"/>
  <c r="AZ22" i="2"/>
  <c r="BA4" i="2"/>
  <c r="BA19" i="2" s="1"/>
  <c r="AZ19" i="2"/>
  <c r="AT20" i="2"/>
  <c r="AV19" i="2"/>
  <c r="AU24" i="2"/>
  <c r="X21" i="2"/>
  <c r="X38" i="2" s="1"/>
  <c r="Z21" i="2"/>
  <c r="Z20" i="2" s="1"/>
  <c r="Y25" i="2"/>
  <c r="Y27" i="2" s="1"/>
  <c r="Y29" i="2" s="1"/>
  <c r="Y30" i="2" s="1"/>
  <c r="Y20" i="2"/>
  <c r="U33" i="2"/>
  <c r="U21" i="2"/>
  <c r="AT33" i="2"/>
  <c r="Y33" i="2"/>
  <c r="AU19" i="2"/>
  <c r="AU33" i="2" s="1"/>
  <c r="AT21" i="2"/>
  <c r="AT38" i="2" s="1"/>
  <c r="U38" i="2"/>
  <c r="W30" i="2"/>
  <c r="W60" i="2"/>
  <c r="AU20" i="2"/>
  <c r="AT25" i="2"/>
  <c r="AT27" i="2" s="1"/>
  <c r="AT29" i="2" s="1"/>
  <c r="AT30" i="2" s="1"/>
  <c r="V25" i="2"/>
  <c r="V27" i="2" s="1"/>
  <c r="AQ25" i="2"/>
  <c r="AQ27" i="2" s="1"/>
  <c r="AQ29" i="2" s="1"/>
  <c r="AQ30" i="2" s="1"/>
  <c r="AP21" i="2"/>
  <c r="AP38" i="2" s="1"/>
  <c r="AQ33" i="2"/>
  <c r="AR33" i="2"/>
  <c r="K25" i="2"/>
  <c r="K27" i="2" s="1"/>
  <c r="K29" i="2" s="1"/>
  <c r="K30" i="2" s="1"/>
  <c r="K38" i="2"/>
  <c r="N33" i="2"/>
  <c r="AS20" i="2"/>
  <c r="AS21" i="2" s="1"/>
  <c r="L25" i="2"/>
  <c r="L27" i="2" s="1"/>
  <c r="L29" i="2" s="1"/>
  <c r="L30" i="2" s="1"/>
  <c r="L38" i="2"/>
  <c r="AS33" i="2"/>
  <c r="AR25" i="2"/>
  <c r="AR27" i="2" s="1"/>
  <c r="AR29" i="2" s="1"/>
  <c r="AR30" i="2" s="1"/>
  <c r="BE22" i="2" l="1"/>
  <c r="BD24" i="2"/>
  <c r="BC21" i="2"/>
  <c r="BC25" i="2" s="1"/>
  <c r="BC27" i="2" s="1"/>
  <c r="BE4" i="2"/>
  <c r="BD19" i="2"/>
  <c r="AX25" i="2"/>
  <c r="AZ33" i="2"/>
  <c r="AZ21" i="2"/>
  <c r="AZ38" i="2" s="1"/>
  <c r="BA21" i="2"/>
  <c r="BA38" i="2" s="1"/>
  <c r="BA33" i="2"/>
  <c r="BA20" i="2"/>
  <c r="AY20" i="2"/>
  <c r="AX20" i="2"/>
  <c r="AW38" i="2"/>
  <c r="AW25" i="2"/>
  <c r="AW27" i="2" s="1"/>
  <c r="BA22" i="2"/>
  <c r="BA24" i="2" s="1"/>
  <c r="BA25" i="2" s="1"/>
  <c r="AZ24" i="2"/>
  <c r="AZ25" i="2" s="1"/>
  <c r="X20" i="2"/>
  <c r="AV20" i="2" s="1"/>
  <c r="AV21" i="2" s="1"/>
  <c r="AV25" i="2" s="1"/>
  <c r="AV27" i="2" s="1"/>
  <c r="AV29" i="2" s="1"/>
  <c r="AV30" i="2" s="1"/>
  <c r="X25" i="2"/>
  <c r="X27" i="2" s="1"/>
  <c r="X29" i="2" s="1"/>
  <c r="X30" i="2" s="1"/>
  <c r="Z38" i="2"/>
  <c r="Z25" i="2"/>
  <c r="Z27" i="2" s="1"/>
  <c r="Z29" i="2" s="1"/>
  <c r="Z30" i="2" s="1"/>
  <c r="AU21" i="2"/>
  <c r="AU38" i="2" s="1"/>
  <c r="U25" i="2"/>
  <c r="U27" i="2" s="1"/>
  <c r="V29" i="2"/>
  <c r="V30" i="2" s="1"/>
  <c r="AP25" i="2"/>
  <c r="AP27" i="2" s="1"/>
  <c r="AP29" i="2" s="1"/>
  <c r="AP30" i="2" s="1"/>
  <c r="AS38" i="2"/>
  <c r="AS25" i="2"/>
  <c r="AS27" i="2" s="1"/>
  <c r="N38" i="2"/>
  <c r="N25" i="2"/>
  <c r="N27" i="2" s="1"/>
  <c r="BC28" i="2" l="1"/>
  <c r="BC29" i="2" s="1"/>
  <c r="BC30" i="2" s="1"/>
  <c r="BC20" i="2"/>
  <c r="BE24" i="2"/>
  <c r="BF22" i="2"/>
  <c r="BF24" i="2" s="1"/>
  <c r="BD21" i="2"/>
  <c r="BD25" i="2" s="1"/>
  <c r="BD27" i="2" s="1"/>
  <c r="BF4" i="2"/>
  <c r="BF19" i="2" s="1"/>
  <c r="BE19" i="2"/>
  <c r="AW28" i="2"/>
  <c r="AW29" i="2" s="1"/>
  <c r="AZ20" i="2"/>
  <c r="AU28" i="2"/>
  <c r="AU25" i="2"/>
  <c r="AU27" i="2" s="1"/>
  <c r="U29" i="2"/>
  <c r="U30" i="2" s="1"/>
  <c r="AS28" i="2"/>
  <c r="AS29" i="2" s="1"/>
  <c r="AS30" i="2" s="1"/>
  <c r="BE21" i="2" l="1"/>
  <c r="BE25" i="2" s="1"/>
  <c r="BE27" i="2" s="1"/>
  <c r="BE20" i="2"/>
  <c r="BF20" i="2"/>
  <c r="BF21" i="2"/>
  <c r="BF25" i="2" s="1"/>
  <c r="BF27" i="2" s="1"/>
  <c r="BD28" i="2"/>
  <c r="BD29" i="2" s="1"/>
  <c r="BD30" i="2" s="1"/>
  <c r="BD20" i="2"/>
  <c r="AW40" i="2"/>
  <c r="AW30" i="2"/>
  <c r="AU29" i="2"/>
  <c r="AU30" i="2" s="1"/>
  <c r="N29" i="2"/>
  <c r="N30" i="2" s="1"/>
  <c r="BE28" i="2" l="1"/>
  <c r="BE29" i="2" s="1"/>
  <c r="BE30" i="2" s="1"/>
  <c r="BF28" i="2"/>
  <c r="BF29" i="2" s="1"/>
  <c r="BF30" i="2" s="1"/>
  <c r="AX26" i="2"/>
  <c r="AX27" i="2" s="1"/>
  <c r="AX28" i="2" s="1"/>
  <c r="AX29" i="2" s="1"/>
  <c r="AX30" i="2" s="1"/>
  <c r="AX40" i="2" l="1"/>
  <c r="AY26" i="2" l="1"/>
  <c r="AY27" i="2" s="1"/>
  <c r="AY28" i="2" s="1"/>
  <c r="AY29" i="2" s="1"/>
  <c r="AY30" i="2" l="1"/>
  <c r="AY40" i="2"/>
  <c r="AZ26" i="2" l="1"/>
  <c r="AZ27" i="2" s="1"/>
  <c r="AZ28" i="2" s="1"/>
  <c r="AZ29" i="2" s="1"/>
  <c r="AZ40" i="2"/>
  <c r="BA26" i="2" l="1"/>
  <c r="BA27" i="2" s="1"/>
  <c r="BA28" i="2" s="1"/>
  <c r="BA29" i="2" s="1"/>
  <c r="BA40" i="2" s="1"/>
  <c r="BB26" i="2" s="1"/>
  <c r="BB27" i="2" s="1"/>
  <c r="AZ30" i="2"/>
  <c r="BB28" i="2" l="1"/>
  <c r="BB29" i="2" s="1"/>
  <c r="BB30" i="2" s="1"/>
  <c r="BA30" i="2"/>
  <c r="BG29" i="2" l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BI36" i="2" l="1"/>
  <c r="BI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tc={DEC28CAE-3B18-448E-9B03-42CBC7D02E25}</author>
  </authors>
  <commentList>
    <comment ref="AN19" authorId="0" shapeId="0" xr:uid="{DEC28CAE-3B18-448E-9B03-42CBC7D02E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STJ acquisition</t>
      </text>
    </comment>
  </commentList>
</comments>
</file>

<file path=xl/sharedStrings.xml><?xml version="1.0" encoding="utf-8"?>
<sst xmlns="http://schemas.openxmlformats.org/spreadsheetml/2006/main" count="164" uniqueCount="144">
  <si>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</si>
  <si>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</si>
  <si>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</si>
  <si>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</si>
  <si>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</si>
  <si>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</si>
  <si>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</si>
  <si>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</si>
  <si>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</si>
  <si>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</si>
  <si>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</si>
  <si>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</si>
  <si>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</si>
  <si>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</si>
  <si>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</si>
  <si>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</si>
  <si>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</si>
  <si>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</si>
  <si>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</si>
  <si>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</si>
  <si>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Diabetes</t>
  </si>
  <si>
    <t>Rapid Diagnostics</t>
  </si>
  <si>
    <t>Core Lab</t>
  </si>
  <si>
    <t>Molecular Dx</t>
  </si>
  <si>
    <t>PoC Dx</t>
  </si>
  <si>
    <t>Neuromodulation</t>
  </si>
  <si>
    <t>Structural Heart</t>
  </si>
  <si>
    <t>Vascular</t>
  </si>
  <si>
    <t>Heart Failure</t>
  </si>
  <si>
    <t>Electrophysiology</t>
  </si>
  <si>
    <t>Rhythm</t>
  </si>
  <si>
    <t>Adult Nutritionals</t>
  </si>
  <si>
    <t>Pediatric Nutritionals</t>
  </si>
  <si>
    <t>Pharma</t>
  </si>
  <si>
    <t>Other</t>
  </si>
  <si>
    <t>Operating Expenses</t>
  </si>
  <si>
    <t>Operating Income</t>
  </si>
  <si>
    <t>COGS</t>
  </si>
  <si>
    <t>Gross Profit</t>
  </si>
  <si>
    <t>SG&amp;A</t>
  </si>
  <si>
    <t>R&amp;D</t>
  </si>
  <si>
    <t>Interest Income</t>
  </si>
  <si>
    <t>Pretax Income</t>
  </si>
  <si>
    <t>Taxes</t>
  </si>
  <si>
    <t>Net Income</t>
  </si>
  <si>
    <t>EPS</t>
  </si>
  <si>
    <t>Revenue Growth</t>
  </si>
  <si>
    <t>Q123</t>
  </si>
  <si>
    <t>Q223</t>
  </si>
  <si>
    <t>Q323</t>
  </si>
  <si>
    <t>Q423</t>
  </si>
  <si>
    <t>AP</t>
  </si>
  <si>
    <t>Salaries</t>
  </si>
  <si>
    <t>AL</t>
  </si>
  <si>
    <t>Dividends</t>
  </si>
  <si>
    <t>Pension</t>
  </si>
  <si>
    <t>SE+NCI</t>
  </si>
  <si>
    <t>AR</t>
  </si>
  <si>
    <t>Inventories</t>
  </si>
  <si>
    <t>Prepaids</t>
  </si>
  <si>
    <t>Goodwill</t>
  </si>
  <si>
    <t>PP&amp;E</t>
  </si>
  <si>
    <t>DT</t>
  </si>
  <si>
    <t>Assets</t>
  </si>
  <si>
    <t>L+SE</t>
  </si>
  <si>
    <t>Net Debt</t>
  </si>
  <si>
    <t>Gross Margin</t>
  </si>
  <si>
    <t>Q124</t>
  </si>
  <si>
    <t>Q224</t>
  </si>
  <si>
    <t>Q324</t>
  </si>
  <si>
    <t>Q424</t>
  </si>
  <si>
    <t>Founded:</t>
  </si>
  <si>
    <t>FreeStyle, FreeStyle Libre, sensors, test strips</t>
  </si>
  <si>
    <t>DexCom</t>
  </si>
  <si>
    <t>XIENCE DES</t>
  </si>
  <si>
    <t>StarClose (clip closure system), Perclose ProGlide, Perclose ProStyle (suture system)</t>
  </si>
  <si>
    <t>Assurity, Endurity pacemakers</t>
  </si>
  <si>
    <t>Aveir single and dual-chamber leadless pacemakers</t>
  </si>
  <si>
    <t>Ellipse, Fortify Assura, Gallant ICD</t>
  </si>
  <si>
    <t>Quadra Assura ICD-CRT</t>
  </si>
  <si>
    <t>Confirm Rx, Jot Dx, Assert IQ implantable cardiac monitors</t>
  </si>
  <si>
    <t>TactiFlex, TactiCath ablation catheters</t>
  </si>
  <si>
    <t>FlexAbility irrigated ablation catheter</t>
  </si>
  <si>
    <t>EnSite cardiac mapping system</t>
  </si>
  <si>
    <t>Agilis NxT, Swartz - introducer catheters</t>
  </si>
  <si>
    <t>Advisor HD Grid mapping catheter</t>
  </si>
  <si>
    <t>ViewFlex intracardiac echo catheter</t>
  </si>
  <si>
    <t>HeartMate LVAD</t>
  </si>
  <si>
    <t>CardioMEMS HF System pulmonary artery sensor</t>
  </si>
  <si>
    <t>CentriMag - circulatory support system</t>
  </si>
  <si>
    <t>MitraClip - transcatheter mitral valve repair system</t>
  </si>
  <si>
    <t>TriClip - tricuspid transcatheter repair</t>
  </si>
  <si>
    <t>Epic - aortic valve and mitral valve replacement devices</t>
  </si>
  <si>
    <t>Portico Navitor - transcatheter aortic heart valves</t>
  </si>
  <si>
    <t>Regent and Masters Series mechanical heart valves</t>
  </si>
  <si>
    <t>2017: Closes St. Jude Medical acquisition for $25B.</t>
  </si>
  <si>
    <t>Amplatzer PFO occluder</t>
  </si>
  <si>
    <t>Amplatzer Amulet occluder</t>
  </si>
  <si>
    <t>Tendyne transcatheter mitral valve replacement system</t>
  </si>
  <si>
    <t>Proclaim spinal cord stimulator</t>
  </si>
  <si>
    <t>Infinity DBS system</t>
  </si>
  <si>
    <t>Nutritional</t>
  </si>
  <si>
    <t>Similac</t>
  </si>
  <si>
    <t>Ensure</t>
  </si>
  <si>
    <t>Pediasure</t>
  </si>
  <si>
    <t>Enteral Feeding: Glucerna, Osmolite</t>
  </si>
  <si>
    <t>Diagnostics</t>
  </si>
  <si>
    <t>Alinity</t>
  </si>
  <si>
    <t>core lab</t>
  </si>
  <si>
    <t>Alinity m, m2000</t>
  </si>
  <si>
    <t>molecular diagnostics/PCR</t>
  </si>
  <si>
    <t>iSTAT</t>
  </si>
  <si>
    <t>POC system</t>
  </si>
  <si>
    <t>BinaxNOW, PanBio</t>
  </si>
  <si>
    <t>Rapid diagnostics</t>
  </si>
  <si>
    <t>Pharmaceuticals</t>
  </si>
  <si>
    <t>Creon, Duspatal, Dicetel, Heptral, Transmetil, Samyr, Duphalac, Duphaston, Femoston, TriCor, Serc, Brufen, Sevedol, clarithromycin</t>
  </si>
  <si>
    <t>Q125</t>
  </si>
  <si>
    <t>Q225</t>
  </si>
  <si>
    <t>Q325</t>
  </si>
  <si>
    <t>Q425</t>
  </si>
  <si>
    <t>CIC</t>
  </si>
  <si>
    <t>FX</t>
  </si>
  <si>
    <t>CFFF</t>
  </si>
  <si>
    <t>Options Proceeds</t>
  </si>
  <si>
    <t>Buyback</t>
  </si>
  <si>
    <t>CFFI</t>
  </si>
  <si>
    <t>CapEx</t>
  </si>
  <si>
    <t>Investments</t>
  </si>
  <si>
    <t>CFFO</t>
  </si>
  <si>
    <t>Model NI</t>
  </si>
  <si>
    <t>Reported NI</t>
  </si>
  <si>
    <t>Depreciation</t>
  </si>
  <si>
    <t>Amortization</t>
  </si>
  <si>
    <t>SBC</t>
  </si>
  <si>
    <t>Diabetes y/y</t>
  </si>
  <si>
    <t>Vascular y/y</t>
  </si>
  <si>
    <t>SG&amp;A y/y</t>
  </si>
  <si>
    <t>R&amp;D y/y</t>
  </si>
  <si>
    <t>NPV</t>
  </si>
  <si>
    <t>Discount</t>
  </si>
  <si>
    <t>Maturity</t>
  </si>
  <si>
    <t>ROIC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</si>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</sst>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63927</xdr:colOff>
      <xdr:row>0</xdr:row>
      <xdr:rowOff>0</xdr:rowOff>
    </xdr:from>
    <xdr:to>
      <xdr:col>23</xdr:col>
      <xdr:colOff>63927</xdr:colOff>
      <xdr:row>81</xdr:row>
      <xdr:rowOff>102821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B7D2B6-EE12-C73C-03DF-8EB2CB34AD53}"/>
            </a:ext>
          </a:extLst>
        </xdr:cNvPr>
        <xdr:cNvCxnSpPr/>
      </xdr:nvCxnSpPr>
      <xdr:spPr>
        <a:xfrm>
          <a:off x="14414927" y="0"/>
          <a:ext cx="0" cy="12890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33307</xdr:colOff>
      <xdr:row>0</xdr:row>
      <xdr:rowOff>0</xdr:rowOff>
    </xdr:from>
    <xdr:to>
      <xdr:col>47</xdr:col>
      <xdr:colOff>33307</xdr:colOff>
      <xdr:row>75</xdr:row>
      <xdr:rowOff>151424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B05243-6FE7-4A1D-B9B1-1E4090294687}"/>
            </a:ext>
          </a:extLst>
        </xdr:cNvPr>
        <xdr:cNvCxnSpPr/>
      </xdr:nvCxnSpPr>
      <xdr:spPr>
        <a:xfrm>
          <a:off x="29038153" y="0"/>
          <a:ext cx="0" cy="122750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F949183-79EC-44FB-BA6D-BE13BEB03E9C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19" dT="2023-01-07T00:44:46.14" personId="{2F949183-79EC-44FB-BA6D-BE13BEB03E9C}" id="{DEC28CAE-3B18-448E-9B03-42CBC7D02E25}">
    <text>STJ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650F-BB24-4124-8C12-116214A91726}">
  <dimension ref="B2:M55"/>
  <sheetViews>
    <sheetView tabSelected="1" zoomScale="115" zoomScaleNormal="115" workbookViewId="0">
      <selection activeCell="L3" sqref="L3"/>
    </sheetView>
  </sheetViews>
  <sheetFormatPr defaultRowHeight="12.75" x14ac:dyDescent="0.2"/>
  <cols>
    <col min="1" max="1" width="6" customWidth="1"/>
    <col min="3" max="3" width="12.140625" customWidth="1"/>
  </cols>
  <sheetData>
    <row r="2" spans="2:13" x14ac:dyDescent="0.2">
      <c r="B2" t="s">
        <v>20</v>
      </c>
      <c r="K2" t="s">
        <v>0</v>
      </c>
      <c r="L2" s="1">
        <v>132</v>
      </c>
    </row>
    <row r="3" spans="2:13" x14ac:dyDescent="0.2">
      <c r="C3" t="s">
        <v>72</v>
      </c>
      <c r="K3" t="s">
        <v>1</v>
      </c>
      <c r="L3" s="2">
        <v>1747</v>
      </c>
      <c r="M3" s="3" t="s">
        <v>117</v>
      </c>
    </row>
    <row r="4" spans="2:13" x14ac:dyDescent="0.2">
      <c r="D4" t="s">
        <v>73</v>
      </c>
      <c r="K4" t="s">
        <v>2</v>
      </c>
      <c r="L4" s="2">
        <f>+L2*L3</f>
        <v>230604</v>
      </c>
    </row>
    <row r="5" spans="2:13" x14ac:dyDescent="0.2">
      <c r="B5" t="s">
        <v>27</v>
      </c>
      <c r="K5" t="s">
        <v>3</v>
      </c>
      <c r="L5" s="2">
        <v>7751</v>
      </c>
      <c r="M5" s="3" t="s">
        <v>117</v>
      </c>
    </row>
    <row r="6" spans="2:13" x14ac:dyDescent="0.2">
      <c r="C6" t="s">
        <v>74</v>
      </c>
      <c r="K6" t="s">
        <v>4</v>
      </c>
      <c r="L6" s="2">
        <v>13242</v>
      </c>
      <c r="M6" s="3" t="s">
        <v>117</v>
      </c>
    </row>
    <row r="7" spans="2:13" x14ac:dyDescent="0.2">
      <c r="C7" t="s">
        <v>75</v>
      </c>
      <c r="K7" t="s">
        <v>5</v>
      </c>
      <c r="L7" s="2">
        <f>+L4-L5+L6</f>
        <v>236095</v>
      </c>
    </row>
    <row r="8" spans="2:13" x14ac:dyDescent="0.2">
      <c r="B8" t="s">
        <v>30</v>
      </c>
    </row>
    <row r="9" spans="2:13" x14ac:dyDescent="0.2">
      <c r="C9" t="s">
        <v>76</v>
      </c>
    </row>
    <row r="10" spans="2:13" x14ac:dyDescent="0.2">
      <c r="C10" t="s">
        <v>77</v>
      </c>
      <c r="K10" t="s">
        <v>71</v>
      </c>
      <c r="L10">
        <v>1900</v>
      </c>
    </row>
    <row r="11" spans="2:13" x14ac:dyDescent="0.2">
      <c r="C11" t="s">
        <v>78</v>
      </c>
    </row>
    <row r="12" spans="2:13" x14ac:dyDescent="0.2">
      <c r="C12" t="s">
        <v>79</v>
      </c>
    </row>
    <row r="13" spans="2:13" x14ac:dyDescent="0.2">
      <c r="C13" t="s">
        <v>80</v>
      </c>
    </row>
    <row r="14" spans="2:13" x14ac:dyDescent="0.2">
      <c r="B14" t="s">
        <v>29</v>
      </c>
    </row>
    <row r="15" spans="2:13" x14ac:dyDescent="0.2">
      <c r="C15" t="s">
        <v>81</v>
      </c>
      <c r="K15" t="s">
        <v>95</v>
      </c>
    </row>
    <row r="16" spans="2:13" x14ac:dyDescent="0.2">
      <c r="C16" t="s">
        <v>82</v>
      </c>
    </row>
    <row r="17" spans="2:3" x14ac:dyDescent="0.2">
      <c r="C17" t="s">
        <v>83</v>
      </c>
    </row>
    <row r="18" spans="2:3" x14ac:dyDescent="0.2">
      <c r="C18" t="s">
        <v>84</v>
      </c>
    </row>
    <row r="19" spans="2:3" x14ac:dyDescent="0.2">
      <c r="C19" t="s">
        <v>85</v>
      </c>
    </row>
    <row r="20" spans="2:3" x14ac:dyDescent="0.2">
      <c r="C20" t="s">
        <v>86</v>
      </c>
    </row>
    <row r="22" spans="2:3" x14ac:dyDescent="0.2">
      <c r="B22" t="s">
        <v>28</v>
      </c>
    </row>
    <row r="23" spans="2:3" x14ac:dyDescent="0.2">
      <c r="C23" t="s">
        <v>87</v>
      </c>
    </row>
    <row r="24" spans="2:3" x14ac:dyDescent="0.2">
      <c r="C24" t="s">
        <v>88</v>
      </c>
    </row>
    <row r="25" spans="2:3" x14ac:dyDescent="0.2">
      <c r="C25" t="s">
        <v>89</v>
      </c>
    </row>
    <row r="27" spans="2:3" x14ac:dyDescent="0.2">
      <c r="B27" t="s">
        <v>26</v>
      </c>
    </row>
    <row r="28" spans="2:3" x14ac:dyDescent="0.2">
      <c r="C28" t="s">
        <v>90</v>
      </c>
    </row>
    <row r="29" spans="2:3" x14ac:dyDescent="0.2">
      <c r="C29" t="s">
        <v>91</v>
      </c>
    </row>
    <row r="30" spans="2:3" x14ac:dyDescent="0.2">
      <c r="C30" t="s">
        <v>92</v>
      </c>
    </row>
    <row r="31" spans="2:3" x14ac:dyDescent="0.2">
      <c r="C31" t="s">
        <v>93</v>
      </c>
    </row>
    <row r="32" spans="2:3" x14ac:dyDescent="0.2">
      <c r="C32" t="s">
        <v>94</v>
      </c>
    </row>
    <row r="33" spans="2:3" x14ac:dyDescent="0.2">
      <c r="C33" t="s">
        <v>96</v>
      </c>
    </row>
    <row r="34" spans="2:3" x14ac:dyDescent="0.2">
      <c r="C34" t="s">
        <v>97</v>
      </c>
    </row>
    <row r="35" spans="2:3" x14ac:dyDescent="0.2">
      <c r="C35" t="s">
        <v>98</v>
      </c>
    </row>
    <row r="37" spans="2:3" x14ac:dyDescent="0.2">
      <c r="B37" t="s">
        <v>25</v>
      </c>
    </row>
    <row r="38" spans="2:3" x14ac:dyDescent="0.2">
      <c r="C38" t="s">
        <v>99</v>
      </c>
    </row>
    <row r="39" spans="2:3" x14ac:dyDescent="0.2">
      <c r="C39" t="s">
        <v>100</v>
      </c>
    </row>
    <row r="42" spans="2:3" x14ac:dyDescent="0.2">
      <c r="B42" t="s">
        <v>101</v>
      </c>
    </row>
    <row r="43" spans="2:3" x14ac:dyDescent="0.2">
      <c r="C43" t="s">
        <v>102</v>
      </c>
    </row>
    <row r="44" spans="2:3" x14ac:dyDescent="0.2">
      <c r="C44" t="s">
        <v>103</v>
      </c>
    </row>
    <row r="45" spans="2:3" x14ac:dyDescent="0.2">
      <c r="C45" t="s">
        <v>104</v>
      </c>
    </row>
    <row r="46" spans="2:3" x14ac:dyDescent="0.2">
      <c r="C46" t="s">
        <v>105</v>
      </c>
    </row>
    <row r="48" spans="2:3" x14ac:dyDescent="0.2">
      <c r="B48" t="s">
        <v>106</v>
      </c>
    </row>
    <row r="49" spans="2:4" x14ac:dyDescent="0.2">
      <c r="C49" t="s">
        <v>107</v>
      </c>
      <c r="D49" t="s">
        <v>108</v>
      </c>
    </row>
    <row r="50" spans="2:4" x14ac:dyDescent="0.2">
      <c r="C50" t="s">
        <v>109</v>
      </c>
      <c r="D50" t="s">
        <v>110</v>
      </c>
    </row>
    <row r="51" spans="2:4" x14ac:dyDescent="0.2">
      <c r="C51" t="s">
        <v>111</v>
      </c>
      <c r="D51" t="s">
        <v>112</v>
      </c>
    </row>
    <row r="52" spans="2:4" x14ac:dyDescent="0.2">
      <c r="C52" t="s">
        <v>113</v>
      </c>
      <c r="D52" t="s">
        <v>114</v>
      </c>
    </row>
    <row r="54" spans="2:4" x14ac:dyDescent="0.2">
      <c r="B54" t="s">
        <v>115</v>
      </c>
    </row>
    <row r="55" spans="2:4" x14ac:dyDescent="0.2">
      <c r="C55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D345-0DC4-47FD-B223-F1519D82AF4D}">
  <dimension ref="A1:DU81"/>
  <sheetViews>
    <sheetView zoomScale="130" zoomScaleNormal="130" workbookViewId="0">
      <pane xSplit="2" ySplit="3" topLeftCell="W21" activePane="bottomRight" state="frozen"/>
      <selection pane="topRight" activeCell="C1" sqref="C1"/>
      <selection pane="bottomLeft" activeCell="A4" sqref="A4"/>
      <selection pane="bottomRight" activeCell="W46" sqref="W46"/>
    </sheetView>
  </sheetViews>
  <sheetFormatPr defaultRowHeight="12.75" x14ac:dyDescent="0.2"/>
  <cols>
    <col min="1" max="1" width="5" bestFit="1" customWidth="1"/>
    <col min="2" max="2" width="17.85546875" customWidth="1"/>
    <col min="3" max="14" width="9.140625" style="3"/>
    <col min="54" max="58" width="8.85546875" customWidth="1"/>
    <col min="61" max="61" width="9" customWidth="1"/>
  </cols>
  <sheetData>
    <row r="1" spans="1:58" x14ac:dyDescent="0.2">
      <c r="A1" s="11" t="s">
        <v>7</v>
      </c>
    </row>
    <row r="3" spans="1:58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6</v>
      </c>
      <c r="L3" s="3" t="s">
        <v>17</v>
      </c>
      <c r="M3" s="3" t="s">
        <v>18</v>
      </c>
      <c r="N3" s="3" t="s">
        <v>19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67</v>
      </c>
      <c r="T3" s="3" t="s">
        <v>68</v>
      </c>
      <c r="U3" s="3" t="s">
        <v>69</v>
      </c>
      <c r="V3" s="3" t="s">
        <v>70</v>
      </c>
      <c r="W3" s="3" t="s">
        <v>117</v>
      </c>
      <c r="X3" s="3" t="s">
        <v>118</v>
      </c>
      <c r="Y3" s="3" t="s">
        <v>119</v>
      </c>
      <c r="Z3" s="3" t="s">
        <v>120</v>
      </c>
      <c r="AA3" s="3"/>
      <c r="AB3">
        <v>2005</v>
      </c>
      <c r="AC3">
        <f>+AB3+1</f>
        <v>2006</v>
      </c>
      <c r="AD3">
        <f t="shared" ref="AD3:AT3" si="0">+AC3+1</f>
        <v>2007</v>
      </c>
      <c r="AE3">
        <f t="shared" si="0"/>
        <v>2008</v>
      </c>
      <c r="AF3">
        <f t="shared" si="0"/>
        <v>2009</v>
      </c>
      <c r="AG3">
        <f t="shared" si="0"/>
        <v>2010</v>
      </c>
      <c r="AH3">
        <f t="shared" si="0"/>
        <v>2011</v>
      </c>
      <c r="AI3">
        <f t="shared" si="0"/>
        <v>2012</v>
      </c>
      <c r="AJ3">
        <f t="shared" si="0"/>
        <v>2013</v>
      </c>
      <c r="AK3">
        <f t="shared" si="0"/>
        <v>2014</v>
      </c>
      <c r="AL3">
        <f t="shared" si="0"/>
        <v>2015</v>
      </c>
      <c r="AM3">
        <f t="shared" si="0"/>
        <v>2016</v>
      </c>
      <c r="AN3">
        <f t="shared" si="0"/>
        <v>2017</v>
      </c>
      <c r="AO3">
        <f t="shared" si="0"/>
        <v>2018</v>
      </c>
      <c r="AP3">
        <f t="shared" si="0"/>
        <v>2019</v>
      </c>
      <c r="AQ3">
        <f t="shared" si="0"/>
        <v>2020</v>
      </c>
      <c r="AR3">
        <f t="shared" si="0"/>
        <v>2021</v>
      </c>
      <c r="AS3">
        <f t="shared" si="0"/>
        <v>2022</v>
      </c>
      <c r="AT3">
        <f t="shared" si="0"/>
        <v>2023</v>
      </c>
      <c r="AU3">
        <f t="shared" ref="AU3:BA3" si="1">+AT3+1</f>
        <v>2024</v>
      </c>
      <c r="AV3">
        <f t="shared" si="1"/>
        <v>2025</v>
      </c>
      <c r="AW3">
        <f t="shared" si="1"/>
        <v>2026</v>
      </c>
      <c r="AX3">
        <f t="shared" si="1"/>
        <v>2027</v>
      </c>
      <c r="AY3">
        <f t="shared" si="1"/>
        <v>2028</v>
      </c>
      <c r="AZ3">
        <f t="shared" si="1"/>
        <v>2029</v>
      </c>
      <c r="BA3">
        <f t="shared" si="1"/>
        <v>2030</v>
      </c>
      <c r="BB3">
        <f t="shared" ref="BB3:BF3" si="2">+BA3+1</f>
        <v>2031</v>
      </c>
      <c r="BC3">
        <f t="shared" si="2"/>
        <v>2032</v>
      </c>
      <c r="BD3">
        <f t="shared" si="2"/>
        <v>2033</v>
      </c>
      <c r="BE3">
        <f t="shared" si="2"/>
        <v>2034</v>
      </c>
      <c r="BF3">
        <f t="shared" si="2"/>
        <v>2035</v>
      </c>
    </row>
    <row r="4" spans="1:58" s="2" customFormat="1" x14ac:dyDescent="0.2">
      <c r="B4" s="2" t="s">
        <v>34</v>
      </c>
      <c r="C4" s="4"/>
      <c r="D4" s="4"/>
      <c r="E4" s="4"/>
      <c r="F4" s="4"/>
      <c r="G4" s="4">
        <v>16</v>
      </c>
      <c r="H4" s="4">
        <v>22</v>
      </c>
      <c r="I4" s="4">
        <v>11</v>
      </c>
      <c r="J4" s="4">
        <v>3</v>
      </c>
      <c r="K4" s="4">
        <v>3</v>
      </c>
      <c r="L4" s="4">
        <v>2</v>
      </c>
      <c r="M4" s="4">
        <v>3</v>
      </c>
      <c r="N4" s="4"/>
      <c r="V4" s="2">
        <v>5</v>
      </c>
      <c r="W4" s="2">
        <v>3</v>
      </c>
      <c r="X4" s="2">
        <f t="shared" ref="X4:X7" si="3">+T4</f>
        <v>0</v>
      </c>
      <c r="Y4" s="2">
        <f t="shared" ref="Y4:Y7" si="4">+U4</f>
        <v>0</v>
      </c>
      <c r="Z4" s="2">
        <f t="shared" ref="Z4:Z7" si="5">+V4</f>
        <v>5</v>
      </c>
      <c r="AP4" s="2">
        <f>31904-31847</f>
        <v>57</v>
      </c>
      <c r="AQ4" s="2">
        <f>34608-34542</f>
        <v>66</v>
      </c>
      <c r="AR4" s="2">
        <f>SUM(G4:J4)</f>
        <v>52</v>
      </c>
      <c r="AS4" s="2">
        <f>SUM(K4:N4)</f>
        <v>8</v>
      </c>
      <c r="AT4" s="2">
        <f t="shared" ref="AT4:AT18" si="6">SUM(O4:R4)</f>
        <v>0</v>
      </c>
      <c r="AU4" s="2">
        <f>SUM(S4:V4)</f>
        <v>5</v>
      </c>
      <c r="AV4" s="2">
        <f>SUM(W4:Z4)</f>
        <v>8</v>
      </c>
      <c r="AW4" s="2">
        <f t="shared" ref="AW4:BA4" si="7">+AV4*1.03</f>
        <v>8.24</v>
      </c>
      <c r="AX4" s="2">
        <f t="shared" si="7"/>
        <v>8.4871999999999996</v>
      </c>
      <c r="AY4" s="2">
        <f t="shared" si="7"/>
        <v>8.741816</v>
      </c>
      <c r="AZ4" s="2">
        <f t="shared" si="7"/>
        <v>9.0040704800000011</v>
      </c>
      <c r="BA4" s="2">
        <f t="shared" si="7"/>
        <v>9.2741925944000005</v>
      </c>
      <c r="BB4" s="2">
        <f t="shared" ref="BB4:BF4" si="8">+BA4*1.03</f>
        <v>9.5524183722320011</v>
      </c>
      <c r="BC4" s="2">
        <f t="shared" si="8"/>
        <v>9.8389909233989616</v>
      </c>
      <c r="BD4" s="2">
        <f t="shared" si="8"/>
        <v>10.134160651100931</v>
      </c>
      <c r="BE4" s="2">
        <f t="shared" si="8"/>
        <v>10.438185470633959</v>
      </c>
      <c r="BF4" s="2">
        <f t="shared" si="8"/>
        <v>10.751331034752978</v>
      </c>
    </row>
    <row r="5" spans="1:58" s="2" customFormat="1" x14ac:dyDescent="0.2">
      <c r="B5" s="2" t="s">
        <v>33</v>
      </c>
      <c r="C5" s="4"/>
      <c r="D5" s="4"/>
      <c r="E5" s="4"/>
      <c r="F5" s="4"/>
      <c r="G5" s="4">
        <v>1070</v>
      </c>
      <c r="H5" s="4">
        <v>1180</v>
      </c>
      <c r="I5" s="4">
        <v>1265</v>
      </c>
      <c r="J5" s="4">
        <v>1203</v>
      </c>
      <c r="K5" s="4">
        <v>1147</v>
      </c>
      <c r="L5" s="4">
        <v>1223</v>
      </c>
      <c r="M5" s="4">
        <v>1326</v>
      </c>
      <c r="N5" s="4">
        <v>1216</v>
      </c>
      <c r="O5" s="2">
        <v>1189</v>
      </c>
      <c r="P5" s="2">
        <v>1287</v>
      </c>
      <c r="Q5" s="2">
        <v>1368</v>
      </c>
      <c r="R5" s="2">
        <v>1222</v>
      </c>
      <c r="S5" s="2">
        <v>1226.4000000000001</v>
      </c>
      <c r="T5" s="2">
        <v>1294</v>
      </c>
      <c r="U5" s="4">
        <v>1406</v>
      </c>
      <c r="V5" s="4">
        <v>1268</v>
      </c>
      <c r="W5" s="2">
        <v>1260</v>
      </c>
      <c r="X5" s="2">
        <f t="shared" si="3"/>
        <v>1294</v>
      </c>
      <c r="Y5" s="2">
        <f t="shared" si="4"/>
        <v>1406</v>
      </c>
      <c r="Z5" s="2">
        <f t="shared" si="5"/>
        <v>1268</v>
      </c>
      <c r="AN5" s="2">
        <f>3307+980</f>
        <v>4287</v>
      </c>
      <c r="AO5" s="2">
        <f>3363+1059</f>
        <v>4422</v>
      </c>
      <c r="AP5" s="2">
        <f>3392+1094</f>
        <v>4486</v>
      </c>
      <c r="AQ5" s="2">
        <f>3209+1094</f>
        <v>4303</v>
      </c>
      <c r="AR5" s="2">
        <f t="shared" ref="AR5:AR20" si="9">SUM(G5:J5)</f>
        <v>4718</v>
      </c>
      <c r="AS5" s="2">
        <f t="shared" ref="AS5:AS20" si="10">SUM(K5:N5)</f>
        <v>4912</v>
      </c>
      <c r="AT5" s="2">
        <f t="shared" si="6"/>
        <v>5066</v>
      </c>
      <c r="AU5" s="2">
        <f>SUM(S5:V5)</f>
        <v>5194.3999999999996</v>
      </c>
      <c r="AV5" s="2">
        <f t="shared" ref="AV5:AV23" si="11">SUM(W5:Z5)</f>
        <v>5228</v>
      </c>
      <c r="AW5" s="2">
        <f t="shared" ref="AW5:BA5" si="12">+AV5*1.03</f>
        <v>5384.84</v>
      </c>
      <c r="AX5" s="2">
        <f t="shared" si="12"/>
        <v>5546.3852000000006</v>
      </c>
      <c r="AY5" s="2">
        <f t="shared" si="12"/>
        <v>5712.7767560000011</v>
      </c>
      <c r="AZ5" s="2">
        <f t="shared" si="12"/>
        <v>5884.1600586800014</v>
      </c>
      <c r="BA5" s="2">
        <f t="shared" si="12"/>
        <v>6060.6848604404013</v>
      </c>
      <c r="BB5" s="2">
        <f t="shared" ref="BB5:BF5" si="13">+BA5*1.03</f>
        <v>6242.5054062536137</v>
      </c>
      <c r="BC5" s="2">
        <f t="shared" si="13"/>
        <v>6429.7805684412224</v>
      </c>
      <c r="BD5" s="2">
        <f t="shared" si="13"/>
        <v>6622.673985494459</v>
      </c>
      <c r="BE5" s="2">
        <f t="shared" si="13"/>
        <v>6821.3542050592932</v>
      </c>
      <c r="BF5" s="2">
        <f t="shared" si="13"/>
        <v>7025.9948312110719</v>
      </c>
    </row>
    <row r="6" spans="1:58" s="2" customFormat="1" x14ac:dyDescent="0.2">
      <c r="B6" s="2" t="s">
        <v>24</v>
      </c>
      <c r="C6" s="4"/>
      <c r="D6" s="4"/>
      <c r="E6" s="4"/>
      <c r="F6" s="4"/>
      <c r="G6" s="4">
        <v>129</v>
      </c>
      <c r="H6" s="4">
        <v>137</v>
      </c>
      <c r="I6" s="4">
        <v>135</v>
      </c>
      <c r="J6" s="4">
        <v>135</v>
      </c>
      <c r="K6" s="4">
        <v>128</v>
      </c>
      <c r="L6" s="4">
        <v>139</v>
      </c>
      <c r="M6" s="4">
        <v>127</v>
      </c>
      <c r="N6" s="4">
        <v>131</v>
      </c>
      <c r="O6" s="2">
        <v>134</v>
      </c>
      <c r="P6" s="2">
        <v>142</v>
      </c>
      <c r="Q6" s="2">
        <v>140</v>
      </c>
      <c r="R6" s="2">
        <v>149</v>
      </c>
      <c r="S6" s="2">
        <v>139.4</v>
      </c>
      <c r="T6" s="2">
        <v>156</v>
      </c>
      <c r="U6" s="4">
        <v>146</v>
      </c>
      <c r="V6" s="4">
        <v>147</v>
      </c>
      <c r="W6" s="2">
        <v>142</v>
      </c>
      <c r="X6" s="2">
        <f t="shared" si="3"/>
        <v>156</v>
      </c>
      <c r="Y6" s="2">
        <f t="shared" si="4"/>
        <v>146</v>
      </c>
      <c r="Z6" s="2">
        <f t="shared" si="5"/>
        <v>147</v>
      </c>
      <c r="AN6" s="2">
        <v>550</v>
      </c>
      <c r="AO6" s="2">
        <v>553</v>
      </c>
      <c r="AP6" s="2">
        <v>561</v>
      </c>
      <c r="AQ6" s="2">
        <v>516</v>
      </c>
      <c r="AR6" s="2">
        <f t="shared" si="9"/>
        <v>536</v>
      </c>
      <c r="AS6" s="2">
        <f t="shared" si="10"/>
        <v>525</v>
      </c>
      <c r="AT6" s="2">
        <f t="shared" si="6"/>
        <v>565</v>
      </c>
      <c r="AU6" s="2">
        <f t="shared" ref="AU6:AU20" si="14">SUM(S6:V6)</f>
        <v>588.4</v>
      </c>
      <c r="AV6" s="2">
        <f t="shared" si="11"/>
        <v>591</v>
      </c>
      <c r="AW6" s="2">
        <f t="shared" ref="AW6:BA6" si="15">+AV6*1.03</f>
        <v>608.73</v>
      </c>
      <c r="AX6" s="2">
        <f t="shared" si="15"/>
        <v>626.99189999999999</v>
      </c>
      <c r="AY6" s="2">
        <f t="shared" si="15"/>
        <v>645.80165699999998</v>
      </c>
      <c r="AZ6" s="2">
        <f t="shared" si="15"/>
        <v>665.17570670999999</v>
      </c>
      <c r="BA6" s="2">
        <f t="shared" si="15"/>
        <v>685.13097791129996</v>
      </c>
      <c r="BB6" s="2">
        <f t="shared" ref="BB6:BF6" si="16">+BA6*1.03</f>
        <v>705.68490724863898</v>
      </c>
      <c r="BC6" s="2">
        <f t="shared" si="16"/>
        <v>726.85545446609819</v>
      </c>
      <c r="BD6" s="2">
        <f t="shared" si="16"/>
        <v>748.66111810008113</v>
      </c>
      <c r="BE6" s="2">
        <f t="shared" si="16"/>
        <v>771.12095164308357</v>
      </c>
      <c r="BF6" s="2">
        <f t="shared" si="16"/>
        <v>794.25458019237612</v>
      </c>
    </row>
    <row r="7" spans="1:58" s="2" customFormat="1" x14ac:dyDescent="0.2">
      <c r="B7" s="2" t="s">
        <v>23</v>
      </c>
      <c r="C7" s="4"/>
      <c r="D7" s="4"/>
      <c r="E7" s="4"/>
      <c r="F7" s="4"/>
      <c r="G7" s="4">
        <v>447</v>
      </c>
      <c r="H7" s="4">
        <v>290</v>
      </c>
      <c r="I7" s="4">
        <v>345</v>
      </c>
      <c r="J7" s="4">
        <v>345</v>
      </c>
      <c r="K7" s="4">
        <v>420</v>
      </c>
      <c r="L7" s="4">
        <v>212</v>
      </c>
      <c r="M7" s="4">
        <v>183</v>
      </c>
      <c r="N7" s="4">
        <v>180</v>
      </c>
      <c r="O7" s="2">
        <v>147</v>
      </c>
      <c r="P7" s="2">
        <v>141</v>
      </c>
      <c r="Q7" s="2">
        <v>133</v>
      </c>
      <c r="R7" s="2">
        <v>153</v>
      </c>
      <c r="S7" s="2">
        <v>129.4</v>
      </c>
      <c r="T7" s="2">
        <v>127</v>
      </c>
      <c r="U7" s="4">
        <v>128</v>
      </c>
      <c r="V7" s="4">
        <v>137</v>
      </c>
      <c r="W7" s="2">
        <v>122</v>
      </c>
      <c r="X7" s="2">
        <f t="shared" si="3"/>
        <v>127</v>
      </c>
      <c r="Y7" s="2">
        <f t="shared" si="4"/>
        <v>128</v>
      </c>
      <c r="Z7" s="2">
        <f t="shared" si="5"/>
        <v>137</v>
      </c>
      <c r="AN7" s="2">
        <v>463</v>
      </c>
      <c r="AO7" s="2">
        <v>484</v>
      </c>
      <c r="AP7" s="2">
        <v>442</v>
      </c>
      <c r="AQ7" s="2">
        <v>1438</v>
      </c>
      <c r="AR7" s="2">
        <f t="shared" si="9"/>
        <v>1427</v>
      </c>
      <c r="AS7" s="2">
        <f t="shared" si="10"/>
        <v>995</v>
      </c>
      <c r="AT7" s="2">
        <f t="shared" si="6"/>
        <v>574</v>
      </c>
      <c r="AU7" s="2">
        <f t="shared" si="14"/>
        <v>521.4</v>
      </c>
      <c r="AV7" s="2">
        <f t="shared" si="11"/>
        <v>514</v>
      </c>
      <c r="AW7" s="2">
        <f t="shared" ref="AW7:BA7" si="17">+AV7*1.03</f>
        <v>529.41999999999996</v>
      </c>
      <c r="AX7" s="2">
        <f t="shared" si="17"/>
        <v>545.30259999999998</v>
      </c>
      <c r="AY7" s="2">
        <f t="shared" si="17"/>
        <v>561.66167800000005</v>
      </c>
      <c r="AZ7" s="2">
        <f t="shared" si="17"/>
        <v>578.51152834000004</v>
      </c>
      <c r="BA7" s="2">
        <f t="shared" si="17"/>
        <v>595.86687419020006</v>
      </c>
      <c r="BB7" s="2">
        <f t="shared" ref="BB7:BF7" si="18">+BA7*1.03</f>
        <v>613.74288041590603</v>
      </c>
      <c r="BC7" s="2">
        <f t="shared" si="18"/>
        <v>632.15516682838324</v>
      </c>
      <c r="BD7" s="2">
        <f t="shared" si="18"/>
        <v>651.11982183323471</v>
      </c>
      <c r="BE7" s="2">
        <f t="shared" si="18"/>
        <v>670.65341648823176</v>
      </c>
      <c r="BF7" s="2">
        <f t="shared" si="18"/>
        <v>690.77301898287874</v>
      </c>
    </row>
    <row r="8" spans="1:58" s="2" customFormat="1" x14ac:dyDescent="0.2">
      <c r="B8" s="2" t="s">
        <v>22</v>
      </c>
      <c r="C8" s="4"/>
      <c r="D8" s="4"/>
      <c r="E8" s="4"/>
      <c r="F8" s="4"/>
      <c r="G8" s="4">
        <v>1182</v>
      </c>
      <c r="H8" s="4">
        <v>1306</v>
      </c>
      <c r="I8" s="4">
        <v>1292</v>
      </c>
      <c r="J8" s="4">
        <v>1348</v>
      </c>
      <c r="K8" s="4">
        <v>1184</v>
      </c>
      <c r="L8" s="4">
        <v>1221</v>
      </c>
      <c r="M8" s="4">
        <v>1219</v>
      </c>
      <c r="N8" s="4">
        <v>1264</v>
      </c>
      <c r="O8" s="2">
        <v>1182</v>
      </c>
      <c r="P8" s="2">
        <v>1293</v>
      </c>
      <c r="Q8" s="2">
        <v>1314</v>
      </c>
      <c r="R8" s="2">
        <v>1370</v>
      </c>
      <c r="S8" s="2">
        <v>1205.4000000000001</v>
      </c>
      <c r="T8" s="2">
        <v>1329</v>
      </c>
      <c r="U8" s="4">
        <v>1314</v>
      </c>
      <c r="V8" s="4">
        <v>1387</v>
      </c>
      <c r="W8" s="2">
        <v>1177</v>
      </c>
      <c r="X8" s="2">
        <f t="shared" ref="X8:X9" si="19">+T8</f>
        <v>1329</v>
      </c>
      <c r="Y8" s="2">
        <f t="shared" ref="Y8:Y9" si="20">+U8</f>
        <v>1314</v>
      </c>
      <c r="Z8" s="2">
        <f t="shared" ref="Z8:Z9" si="21">+V8</f>
        <v>1387</v>
      </c>
      <c r="AN8" s="2">
        <v>4063</v>
      </c>
      <c r="AO8" s="2">
        <v>4386</v>
      </c>
      <c r="AP8" s="2">
        <v>4656</v>
      </c>
      <c r="AQ8" s="2">
        <v>4475</v>
      </c>
      <c r="AR8" s="2">
        <f t="shared" si="9"/>
        <v>5128</v>
      </c>
      <c r="AS8" s="2">
        <f t="shared" si="10"/>
        <v>4888</v>
      </c>
      <c r="AT8" s="2">
        <f t="shared" si="6"/>
        <v>5159</v>
      </c>
      <c r="AU8" s="2">
        <f t="shared" si="14"/>
        <v>5235.3999999999996</v>
      </c>
      <c r="AV8" s="2">
        <f t="shared" si="11"/>
        <v>5207</v>
      </c>
      <c r="AW8" s="2">
        <f t="shared" ref="AW8:BA8" si="22">+AV8*1.03</f>
        <v>5363.21</v>
      </c>
      <c r="AX8" s="2">
        <f t="shared" si="22"/>
        <v>5524.1063000000004</v>
      </c>
      <c r="AY8" s="2">
        <f t="shared" si="22"/>
        <v>5689.8294890000006</v>
      </c>
      <c r="AZ8" s="2">
        <f t="shared" si="22"/>
        <v>5860.5243736700004</v>
      </c>
      <c r="BA8" s="2">
        <f t="shared" si="22"/>
        <v>6036.3401048801006</v>
      </c>
      <c r="BB8" s="2">
        <f t="shared" ref="BB8:BF8" si="23">+BA8*1.03</f>
        <v>6217.4303080265036</v>
      </c>
      <c r="BC8" s="2">
        <f t="shared" si="23"/>
        <v>6403.9532172672989</v>
      </c>
      <c r="BD8" s="2">
        <f t="shared" si="23"/>
        <v>6596.0718137853182</v>
      </c>
      <c r="BE8" s="2">
        <f t="shared" si="23"/>
        <v>6793.9539681988781</v>
      </c>
      <c r="BF8" s="2">
        <f t="shared" si="23"/>
        <v>6997.7725872448445</v>
      </c>
    </row>
    <row r="9" spans="1:58" s="2" customFormat="1" x14ac:dyDescent="0.2">
      <c r="B9" s="2" t="s">
        <v>21</v>
      </c>
      <c r="C9" s="4"/>
      <c r="D9" s="4"/>
      <c r="E9" s="4"/>
      <c r="F9" s="4"/>
      <c r="G9" s="4">
        <v>2256</v>
      </c>
      <c r="H9" s="4">
        <v>1514</v>
      </c>
      <c r="I9" s="4">
        <v>2140</v>
      </c>
      <c r="J9" s="4">
        <v>2643</v>
      </c>
      <c r="K9" s="4">
        <v>3554</v>
      </c>
      <c r="L9" s="4">
        <v>2750</v>
      </c>
      <c r="M9" s="4">
        <v>2142</v>
      </c>
      <c r="N9" s="4">
        <v>1730</v>
      </c>
      <c r="O9" s="2">
        <v>1225</v>
      </c>
      <c r="P9" s="2">
        <v>741</v>
      </c>
      <c r="Q9" s="2">
        <v>862</v>
      </c>
      <c r="R9" s="2">
        <v>862</v>
      </c>
      <c r="S9" s="2">
        <v>741.4</v>
      </c>
      <c r="T9" s="2">
        <v>583</v>
      </c>
      <c r="U9" s="4">
        <v>824</v>
      </c>
      <c r="V9" s="4">
        <v>849</v>
      </c>
      <c r="W9" s="2">
        <v>613</v>
      </c>
      <c r="X9" s="2">
        <f t="shared" si="19"/>
        <v>583</v>
      </c>
      <c r="Y9" s="2">
        <f t="shared" si="20"/>
        <v>824</v>
      </c>
      <c r="Z9" s="2">
        <f t="shared" si="21"/>
        <v>849</v>
      </c>
      <c r="AN9" s="2">
        <v>540</v>
      </c>
      <c r="AO9" s="2">
        <v>2072</v>
      </c>
      <c r="AP9" s="2">
        <v>2054</v>
      </c>
      <c r="AQ9" s="2">
        <v>4376</v>
      </c>
      <c r="AR9" s="2">
        <f t="shared" si="9"/>
        <v>8553</v>
      </c>
      <c r="AS9" s="2">
        <f t="shared" si="10"/>
        <v>10176</v>
      </c>
      <c r="AT9" s="2">
        <f t="shared" si="6"/>
        <v>3690</v>
      </c>
      <c r="AU9" s="2">
        <f t="shared" si="14"/>
        <v>2997.4</v>
      </c>
      <c r="AV9" s="2">
        <f t="shared" si="11"/>
        <v>2869</v>
      </c>
      <c r="AW9" s="2">
        <f t="shared" ref="AW9:BA9" si="24">+AV9*1.03</f>
        <v>2955.07</v>
      </c>
      <c r="AX9" s="2">
        <f t="shared" si="24"/>
        <v>3043.7221000000004</v>
      </c>
      <c r="AY9" s="2">
        <f t="shared" si="24"/>
        <v>3135.0337630000004</v>
      </c>
      <c r="AZ9" s="2">
        <f t="shared" si="24"/>
        <v>3229.0847758900004</v>
      </c>
      <c r="BA9" s="2">
        <f t="shared" si="24"/>
        <v>3325.9573191667005</v>
      </c>
      <c r="BB9" s="2">
        <f t="shared" ref="BB9:BF9" si="25">+BA9*1.03</f>
        <v>3425.7360387417016</v>
      </c>
      <c r="BC9" s="2">
        <f t="shared" si="25"/>
        <v>3528.5081199039528</v>
      </c>
      <c r="BD9" s="2">
        <f t="shared" si="25"/>
        <v>3634.3633635010715</v>
      </c>
      <c r="BE9" s="2">
        <f t="shared" si="25"/>
        <v>3743.394264406104</v>
      </c>
      <c r="BF9" s="2">
        <f t="shared" si="25"/>
        <v>3855.6960923382871</v>
      </c>
    </row>
    <row r="10" spans="1:58" s="2" customFormat="1" x14ac:dyDescent="0.2">
      <c r="B10" s="2" t="s">
        <v>32</v>
      </c>
      <c r="C10" s="4"/>
      <c r="D10" s="4"/>
      <c r="E10" s="4"/>
      <c r="F10" s="4"/>
      <c r="G10" s="4">
        <v>1066</v>
      </c>
      <c r="H10" s="4">
        <v>1093</v>
      </c>
      <c r="I10" s="4">
        <v>1100</v>
      </c>
      <c r="J10" s="4">
        <v>1039</v>
      </c>
      <c r="K10" s="4">
        <v>847</v>
      </c>
      <c r="L10" s="4">
        <v>925</v>
      </c>
      <c r="M10" s="4">
        <v>827</v>
      </c>
      <c r="N10" s="4">
        <v>882</v>
      </c>
      <c r="O10" s="2">
        <v>924</v>
      </c>
      <c r="P10" s="2">
        <v>1024</v>
      </c>
      <c r="Q10" s="2">
        <v>1001</v>
      </c>
      <c r="R10" s="2">
        <v>985</v>
      </c>
      <c r="S10" s="2">
        <v>1009.4</v>
      </c>
      <c r="T10" s="2">
        <v>1059</v>
      </c>
      <c r="U10" s="4">
        <v>955</v>
      </c>
      <c r="V10" s="4">
        <v>1000</v>
      </c>
      <c r="W10" s="2">
        <v>1041</v>
      </c>
      <c r="X10" s="2">
        <f>+T10</f>
        <v>1059</v>
      </c>
      <c r="Y10" s="2">
        <f t="shared" ref="Y10:Y11" si="26">+U10</f>
        <v>955</v>
      </c>
      <c r="Z10" s="2">
        <f t="shared" ref="Z10:Z11" si="27">+V10</f>
        <v>1000</v>
      </c>
      <c r="AN10" s="2">
        <f>2112+1777</f>
        <v>3889</v>
      </c>
      <c r="AO10" s="2">
        <f>1843+2254</f>
        <v>4097</v>
      </c>
      <c r="AP10" s="2">
        <f>1879+2282</f>
        <v>4161</v>
      </c>
      <c r="AQ10" s="2">
        <f>2140+1987</f>
        <v>4127</v>
      </c>
      <c r="AR10" s="2">
        <f>SUM(G10:J10)</f>
        <v>4298</v>
      </c>
      <c r="AS10" s="2">
        <f>SUM(K10:N10)</f>
        <v>3481</v>
      </c>
      <c r="AT10" s="2">
        <f t="shared" si="6"/>
        <v>3934</v>
      </c>
      <c r="AU10" s="2">
        <f t="shared" si="14"/>
        <v>4023.4</v>
      </c>
      <c r="AV10" s="2">
        <f t="shared" si="11"/>
        <v>4055</v>
      </c>
      <c r="AW10" s="2">
        <f t="shared" ref="AW10:BA10" si="28">+AV10*1.03</f>
        <v>4176.6500000000005</v>
      </c>
      <c r="AX10" s="2">
        <f t="shared" si="28"/>
        <v>4301.9495000000006</v>
      </c>
      <c r="AY10" s="2">
        <f t="shared" si="28"/>
        <v>4431.0079850000011</v>
      </c>
      <c r="AZ10" s="2">
        <f t="shared" si="28"/>
        <v>4563.938224550001</v>
      </c>
      <c r="BA10" s="2">
        <f t="shared" si="28"/>
        <v>4700.8563712865016</v>
      </c>
      <c r="BB10" s="2">
        <f t="shared" ref="BB10:BF10" si="29">+BA10*1.03</f>
        <v>4841.8820624250966</v>
      </c>
      <c r="BC10" s="2">
        <f t="shared" si="29"/>
        <v>4987.1385242978495</v>
      </c>
      <c r="BD10" s="2">
        <f t="shared" si="29"/>
        <v>5136.7526800267851</v>
      </c>
      <c r="BE10" s="2">
        <f t="shared" si="29"/>
        <v>5290.8552604275892</v>
      </c>
      <c r="BF10" s="2">
        <f t="shared" si="29"/>
        <v>5449.5809182404173</v>
      </c>
    </row>
    <row r="11" spans="1:58" s="2" customFormat="1" x14ac:dyDescent="0.2">
      <c r="B11" s="2" t="s">
        <v>31</v>
      </c>
      <c r="C11" s="4"/>
      <c r="D11" s="4"/>
      <c r="E11" s="4"/>
      <c r="F11" s="4"/>
      <c r="G11" s="4">
        <v>970</v>
      </c>
      <c r="H11" s="4">
        <v>1015</v>
      </c>
      <c r="I11" s="4">
        <v>1008</v>
      </c>
      <c r="J11" s="4">
        <v>1003</v>
      </c>
      <c r="K11" s="4">
        <v>1047</v>
      </c>
      <c r="L11" s="4">
        <v>1028</v>
      </c>
      <c r="M11" s="4">
        <v>968</v>
      </c>
      <c r="N11" s="4">
        <v>935</v>
      </c>
      <c r="O11" s="2">
        <v>1043</v>
      </c>
      <c r="P11" s="2">
        <v>1052</v>
      </c>
      <c r="Q11" s="2">
        <v>1072</v>
      </c>
      <c r="R11" s="2">
        <v>1053</v>
      </c>
      <c r="S11" s="2">
        <v>1059.4000000000001</v>
      </c>
      <c r="T11" s="2">
        <v>1091</v>
      </c>
      <c r="U11" s="4">
        <v>1111</v>
      </c>
      <c r="V11" s="4">
        <v>1129</v>
      </c>
      <c r="W11" s="2">
        <v>1105</v>
      </c>
      <c r="X11" s="2">
        <f t="shared" ref="X11" si="30">+T11</f>
        <v>1091</v>
      </c>
      <c r="Y11" s="2">
        <f t="shared" si="26"/>
        <v>1111</v>
      </c>
      <c r="Z11" s="2">
        <f t="shared" si="27"/>
        <v>1129</v>
      </c>
      <c r="AN11" s="2">
        <f>1782+1254</f>
        <v>3036</v>
      </c>
      <c r="AO11" s="2">
        <f>1900+1232</f>
        <v>3132</v>
      </c>
      <c r="AP11" s="2">
        <f>1231+2017</f>
        <v>3248</v>
      </c>
      <c r="AQ11" s="2">
        <f>1292+2228</f>
        <v>3520</v>
      </c>
      <c r="AR11" s="2">
        <f t="shared" si="9"/>
        <v>3996</v>
      </c>
      <c r="AS11" s="2">
        <f t="shared" si="10"/>
        <v>3978</v>
      </c>
      <c r="AT11" s="2">
        <f t="shared" si="6"/>
        <v>4220</v>
      </c>
      <c r="AU11" s="2">
        <f t="shared" si="14"/>
        <v>4390.3999999999996</v>
      </c>
      <c r="AV11" s="2">
        <f t="shared" si="11"/>
        <v>4436</v>
      </c>
      <c r="AW11" s="2">
        <f t="shared" ref="AW11:BA11" si="31">+AV11*1.03</f>
        <v>4569.08</v>
      </c>
      <c r="AX11" s="2">
        <f t="shared" si="31"/>
        <v>4706.1523999999999</v>
      </c>
      <c r="AY11" s="2">
        <f t="shared" si="31"/>
        <v>4847.3369720000001</v>
      </c>
      <c r="AZ11" s="2">
        <f t="shared" si="31"/>
        <v>4992.7570811599999</v>
      </c>
      <c r="BA11" s="2">
        <f t="shared" si="31"/>
        <v>5142.5397935948004</v>
      </c>
      <c r="BB11" s="2">
        <f t="shared" ref="BB11:BF11" si="32">+BA11*1.03</f>
        <v>5296.8159874026442</v>
      </c>
      <c r="BC11" s="2">
        <f t="shared" si="32"/>
        <v>5455.7204670247238</v>
      </c>
      <c r="BD11" s="2">
        <f t="shared" si="32"/>
        <v>5619.3920810354657</v>
      </c>
      <c r="BE11" s="2">
        <f t="shared" si="32"/>
        <v>5787.9738434665296</v>
      </c>
      <c r="BF11" s="2">
        <f t="shared" si="32"/>
        <v>5961.6130587705256</v>
      </c>
    </row>
    <row r="12" spans="1:58" s="2" customFormat="1" x14ac:dyDescent="0.2">
      <c r="B12" s="2" t="s">
        <v>25</v>
      </c>
      <c r="C12" s="4"/>
      <c r="D12" s="4"/>
      <c r="E12" s="4"/>
      <c r="F12" s="4"/>
      <c r="G12" s="4">
        <v>184</v>
      </c>
      <c r="H12" s="4">
        <v>210</v>
      </c>
      <c r="I12" s="4">
        <v>190</v>
      </c>
      <c r="J12" s="4">
        <v>197</v>
      </c>
      <c r="K12" s="4">
        <v>179</v>
      </c>
      <c r="L12" s="4">
        <v>197</v>
      </c>
      <c r="M12" s="4">
        <v>192</v>
      </c>
      <c r="N12" s="4">
        <v>202</v>
      </c>
      <c r="O12" s="2">
        <v>196</v>
      </c>
      <c r="P12" s="2">
        <v>227</v>
      </c>
      <c r="Q12" s="2">
        <v>227</v>
      </c>
      <c r="R12" s="2">
        <v>240</v>
      </c>
      <c r="S12" s="2">
        <v>226</v>
      </c>
      <c r="T12" s="2">
        <v>243</v>
      </c>
      <c r="U12" s="4">
        <v>236</v>
      </c>
      <c r="V12" s="4">
        <v>257</v>
      </c>
      <c r="W12" s="2">
        <v>228</v>
      </c>
      <c r="X12" s="2">
        <f>+T12</f>
        <v>243</v>
      </c>
      <c r="Y12" s="2">
        <f>+U12</f>
        <v>236</v>
      </c>
      <c r="Z12" s="2">
        <f>+V12</f>
        <v>257</v>
      </c>
      <c r="AN12" s="2">
        <v>808</v>
      </c>
      <c r="AO12" s="2">
        <v>864</v>
      </c>
      <c r="AP12" s="2">
        <v>831</v>
      </c>
      <c r="AQ12" s="2">
        <v>702</v>
      </c>
      <c r="AR12" s="2">
        <f t="shared" si="9"/>
        <v>781</v>
      </c>
      <c r="AS12" s="2">
        <f t="shared" si="10"/>
        <v>770</v>
      </c>
      <c r="AT12" s="2">
        <f t="shared" si="6"/>
        <v>890</v>
      </c>
      <c r="AU12" s="2">
        <f t="shared" si="14"/>
        <v>962</v>
      </c>
      <c r="AV12" s="2">
        <f t="shared" si="11"/>
        <v>964</v>
      </c>
      <c r="AW12" s="2">
        <f t="shared" ref="AW12:BA12" si="33">+AV12*1.03</f>
        <v>992.92000000000007</v>
      </c>
      <c r="AX12" s="2">
        <f t="shared" si="33"/>
        <v>1022.7076000000001</v>
      </c>
      <c r="AY12" s="2">
        <f t="shared" si="33"/>
        <v>1053.3888280000001</v>
      </c>
      <c r="AZ12" s="2">
        <f t="shared" si="33"/>
        <v>1084.9904928400001</v>
      </c>
      <c r="BA12" s="2">
        <f t="shared" si="33"/>
        <v>1117.5402076252001</v>
      </c>
      <c r="BB12" s="2">
        <f t="shared" ref="BB12:BF12" si="34">+BA12*1.03</f>
        <v>1151.0664138539562</v>
      </c>
      <c r="BC12" s="2">
        <f t="shared" si="34"/>
        <v>1185.598406269575</v>
      </c>
      <c r="BD12" s="2">
        <f t="shared" si="34"/>
        <v>1221.1663584576622</v>
      </c>
      <c r="BE12" s="2">
        <f t="shared" si="34"/>
        <v>1257.8013492113921</v>
      </c>
      <c r="BF12" s="2">
        <f t="shared" si="34"/>
        <v>1295.5353896877339</v>
      </c>
    </row>
    <row r="13" spans="1:58" s="2" customFormat="1" x14ac:dyDescent="0.2">
      <c r="B13" s="2" t="s">
        <v>28</v>
      </c>
      <c r="C13" s="4"/>
      <c r="D13" s="4"/>
      <c r="E13" s="4"/>
      <c r="F13" s="4"/>
      <c r="G13" s="4">
        <v>194</v>
      </c>
      <c r="H13" s="4">
        <v>227</v>
      </c>
      <c r="I13" s="4">
        <v>229</v>
      </c>
      <c r="J13" s="4">
        <v>239</v>
      </c>
      <c r="K13" s="4">
        <v>221</v>
      </c>
      <c r="L13" s="4">
        <v>241</v>
      </c>
      <c r="M13" s="4">
        <v>228</v>
      </c>
      <c r="N13" s="4">
        <v>230</v>
      </c>
      <c r="O13" s="2">
        <v>281</v>
      </c>
      <c r="P13" s="2">
        <v>295</v>
      </c>
      <c r="Q13" s="2">
        <v>284</v>
      </c>
      <c r="R13" s="2">
        <v>301</v>
      </c>
      <c r="S13" s="2">
        <v>305</v>
      </c>
      <c r="T13" s="2">
        <v>321</v>
      </c>
      <c r="U13" s="4">
        <v>322</v>
      </c>
      <c r="V13" s="4">
        <v>331</v>
      </c>
      <c r="W13" s="2">
        <v>339</v>
      </c>
      <c r="X13" s="2">
        <f>+T13*1.1</f>
        <v>353.1</v>
      </c>
      <c r="Y13" s="2">
        <f>+U13*1.1</f>
        <v>354.20000000000005</v>
      </c>
      <c r="Z13" s="2">
        <f>+V13*1.1</f>
        <v>364.1</v>
      </c>
      <c r="AN13" s="2">
        <v>643</v>
      </c>
      <c r="AO13" s="2">
        <v>646</v>
      </c>
      <c r="AP13" s="2">
        <v>769</v>
      </c>
      <c r="AQ13" s="2">
        <v>740</v>
      </c>
      <c r="AR13" s="2">
        <f t="shared" si="9"/>
        <v>889</v>
      </c>
      <c r="AS13" s="2">
        <f t="shared" si="10"/>
        <v>920</v>
      </c>
      <c r="AT13" s="2">
        <f t="shared" si="6"/>
        <v>1161</v>
      </c>
      <c r="AU13" s="2">
        <f t="shared" si="14"/>
        <v>1279</v>
      </c>
      <c r="AV13" s="2">
        <f t="shared" si="11"/>
        <v>1410.4</v>
      </c>
      <c r="AW13" s="2">
        <f t="shared" ref="AW13:BA13" si="35">+AV13*1.03</f>
        <v>1452.7120000000002</v>
      </c>
      <c r="AX13" s="2">
        <f t="shared" si="35"/>
        <v>1496.2933600000003</v>
      </c>
      <c r="AY13" s="2">
        <f t="shared" si="35"/>
        <v>1541.1821608000005</v>
      </c>
      <c r="AZ13" s="2">
        <f t="shared" si="35"/>
        <v>1587.4176256240005</v>
      </c>
      <c r="BA13" s="2">
        <f t="shared" si="35"/>
        <v>1635.0401543927205</v>
      </c>
      <c r="BB13" s="2">
        <f t="shared" ref="BB13:BF13" si="36">+BA13*1.03</f>
        <v>1684.0913590245023</v>
      </c>
      <c r="BC13" s="2">
        <f t="shared" si="36"/>
        <v>1734.6140997952373</v>
      </c>
      <c r="BD13" s="2">
        <f t="shared" si="36"/>
        <v>1786.6525227890945</v>
      </c>
      <c r="BE13" s="2">
        <f t="shared" si="36"/>
        <v>1840.2520984727673</v>
      </c>
      <c r="BF13" s="2">
        <f t="shared" si="36"/>
        <v>1895.4596614269503</v>
      </c>
    </row>
    <row r="14" spans="1:58" s="2" customFormat="1" x14ac:dyDescent="0.2">
      <c r="B14" s="2" t="s">
        <v>26</v>
      </c>
      <c r="C14" s="4"/>
      <c r="D14" s="4"/>
      <c r="E14" s="4"/>
      <c r="F14" s="4"/>
      <c r="G14" s="4">
        <v>377</v>
      </c>
      <c r="H14" s="4">
        <v>422</v>
      </c>
      <c r="I14" s="4">
        <v>392</v>
      </c>
      <c r="J14" s="4">
        <v>419</v>
      </c>
      <c r="K14" s="4">
        <v>411</v>
      </c>
      <c r="L14" s="4">
        <v>440</v>
      </c>
      <c r="M14" s="4">
        <v>420</v>
      </c>
      <c r="N14" s="4">
        <v>441</v>
      </c>
      <c r="O14" s="2">
        <v>461</v>
      </c>
      <c r="P14" s="2">
        <v>498</v>
      </c>
      <c r="Q14" s="2">
        <v>487</v>
      </c>
      <c r="R14" s="2">
        <v>498</v>
      </c>
      <c r="S14" s="2">
        <v>515</v>
      </c>
      <c r="T14" s="2">
        <v>564</v>
      </c>
      <c r="U14" s="4">
        <v>558</v>
      </c>
      <c r="V14" s="4">
        <v>609</v>
      </c>
      <c r="W14" s="2">
        <v>577</v>
      </c>
      <c r="X14" s="2">
        <f>+T14*1.2</f>
        <v>676.8</v>
      </c>
      <c r="Y14" s="2">
        <f>+U14*1.2</f>
        <v>669.6</v>
      </c>
      <c r="Z14" s="2">
        <f>+V14*1.2</f>
        <v>730.8</v>
      </c>
      <c r="AN14" s="2">
        <v>1083</v>
      </c>
      <c r="AO14" s="2">
        <v>1239</v>
      </c>
      <c r="AP14" s="2">
        <v>1400</v>
      </c>
      <c r="AQ14" s="2">
        <v>1247</v>
      </c>
      <c r="AR14" s="2">
        <f t="shared" si="9"/>
        <v>1610</v>
      </c>
      <c r="AS14" s="2">
        <f t="shared" si="10"/>
        <v>1712</v>
      </c>
      <c r="AT14" s="2">
        <f t="shared" si="6"/>
        <v>1944</v>
      </c>
      <c r="AU14" s="2">
        <f t="shared" si="14"/>
        <v>2246</v>
      </c>
      <c r="AV14" s="2">
        <f t="shared" si="11"/>
        <v>2654.2</v>
      </c>
      <c r="AW14" s="2">
        <f t="shared" ref="AW14:BA14" si="37">+AV14*1.03</f>
        <v>2733.826</v>
      </c>
      <c r="AX14" s="2">
        <f t="shared" si="37"/>
        <v>2815.84078</v>
      </c>
      <c r="AY14" s="2">
        <f t="shared" si="37"/>
        <v>2900.3160034000002</v>
      </c>
      <c r="AZ14" s="2">
        <f t="shared" si="37"/>
        <v>2987.3254835020002</v>
      </c>
      <c r="BA14" s="2">
        <f t="shared" si="37"/>
        <v>3076.9452480070604</v>
      </c>
      <c r="BB14" s="2">
        <f t="shared" ref="BB14:BF14" si="38">+BA14*1.03</f>
        <v>3169.2536054472721</v>
      </c>
      <c r="BC14" s="2">
        <f t="shared" si="38"/>
        <v>3264.3312136106902</v>
      </c>
      <c r="BD14" s="2">
        <f t="shared" si="38"/>
        <v>3362.261150019011</v>
      </c>
      <c r="BE14" s="2">
        <f t="shared" si="38"/>
        <v>3463.1289845195815</v>
      </c>
      <c r="BF14" s="2">
        <f t="shared" si="38"/>
        <v>3567.0228540551689</v>
      </c>
    </row>
    <row r="15" spans="1:58" s="2" customFormat="1" x14ac:dyDescent="0.2">
      <c r="B15" s="2" t="s">
        <v>29</v>
      </c>
      <c r="C15" s="4"/>
      <c r="D15" s="4"/>
      <c r="E15" s="4"/>
      <c r="F15" s="4"/>
      <c r="G15" s="4">
        <v>431</v>
      </c>
      <c r="H15" s="4">
        <v>487</v>
      </c>
      <c r="I15" s="4">
        <v>485</v>
      </c>
      <c r="J15" s="4">
        <v>504</v>
      </c>
      <c r="K15" s="4">
        <v>485</v>
      </c>
      <c r="L15" s="4">
        <v>486</v>
      </c>
      <c r="M15" s="4">
        <v>469</v>
      </c>
      <c r="N15" s="4">
        <v>487</v>
      </c>
      <c r="O15" s="2">
        <v>505</v>
      </c>
      <c r="P15" s="2">
        <v>553</v>
      </c>
      <c r="Q15" s="2">
        <v>544</v>
      </c>
      <c r="R15" s="2">
        <v>593</v>
      </c>
      <c r="S15" s="2">
        <v>587</v>
      </c>
      <c r="T15" s="2">
        <v>627</v>
      </c>
      <c r="U15" s="4">
        <v>610</v>
      </c>
      <c r="V15" s="4">
        <v>643</v>
      </c>
      <c r="W15" s="2">
        <v>629</v>
      </c>
      <c r="X15" s="2">
        <f>+T15*1.03</f>
        <v>645.81000000000006</v>
      </c>
      <c r="Y15" s="2">
        <f>+U15*1.03</f>
        <v>628.30000000000007</v>
      </c>
      <c r="Z15" s="2">
        <f>+V15*1.03</f>
        <v>662.29</v>
      </c>
      <c r="AN15" s="2">
        <v>1382</v>
      </c>
      <c r="AO15" s="2">
        <v>1561</v>
      </c>
      <c r="AP15" s="2">
        <v>1721</v>
      </c>
      <c r="AQ15" s="2">
        <v>1578</v>
      </c>
      <c r="AR15" s="2">
        <f t="shared" si="9"/>
        <v>1907</v>
      </c>
      <c r="AS15" s="2">
        <f t="shared" si="10"/>
        <v>1927</v>
      </c>
      <c r="AT15" s="2">
        <f t="shared" si="6"/>
        <v>2195</v>
      </c>
      <c r="AU15" s="2">
        <f t="shared" si="14"/>
        <v>2467</v>
      </c>
      <c r="AV15" s="2">
        <f t="shared" si="11"/>
        <v>2565.4</v>
      </c>
      <c r="AW15" s="2">
        <f t="shared" ref="AW15:BA15" si="39">+AV15*1.03</f>
        <v>2642.3620000000001</v>
      </c>
      <c r="AX15" s="2">
        <f t="shared" si="39"/>
        <v>2721.6328600000002</v>
      </c>
      <c r="AY15" s="2">
        <f t="shared" si="39"/>
        <v>2803.2818458000002</v>
      </c>
      <c r="AZ15" s="2">
        <f t="shared" si="39"/>
        <v>2887.3803011740001</v>
      </c>
      <c r="BA15" s="2">
        <f t="shared" si="39"/>
        <v>2974.0017102092202</v>
      </c>
      <c r="BB15" s="2">
        <f t="shared" ref="BB15:BF15" si="40">+BA15*1.03</f>
        <v>3063.2217615154968</v>
      </c>
      <c r="BC15" s="2">
        <f t="shared" si="40"/>
        <v>3155.1184143609617</v>
      </c>
      <c r="BD15" s="2">
        <f t="shared" si="40"/>
        <v>3249.7719667917904</v>
      </c>
      <c r="BE15" s="2">
        <f t="shared" si="40"/>
        <v>3347.265125795544</v>
      </c>
      <c r="BF15" s="2">
        <f t="shared" si="40"/>
        <v>3447.6830795694104</v>
      </c>
    </row>
    <row r="16" spans="1:58" s="2" customFormat="1" x14ac:dyDescent="0.2">
      <c r="B16" s="2" t="s">
        <v>30</v>
      </c>
      <c r="C16" s="4"/>
      <c r="D16" s="4"/>
      <c r="E16" s="4"/>
      <c r="F16" s="4"/>
      <c r="G16" s="4">
        <v>519</v>
      </c>
      <c r="H16" s="4">
        <v>567</v>
      </c>
      <c r="I16" s="4">
        <v>571</v>
      </c>
      <c r="J16" s="4">
        <v>541</v>
      </c>
      <c r="K16" s="4">
        <v>524</v>
      </c>
      <c r="L16" s="4">
        <v>548</v>
      </c>
      <c r="M16" s="4">
        <v>533</v>
      </c>
      <c r="N16" s="4">
        <v>514</v>
      </c>
      <c r="O16" s="2">
        <v>527</v>
      </c>
      <c r="P16" s="2">
        <v>583</v>
      </c>
      <c r="Q16" s="2">
        <v>563</v>
      </c>
      <c r="R16" s="2">
        <v>582</v>
      </c>
      <c r="S16" s="2">
        <v>562</v>
      </c>
      <c r="T16" s="2">
        <v>607</v>
      </c>
      <c r="U16" s="4">
        <v>597</v>
      </c>
      <c r="V16" s="4">
        <v>624</v>
      </c>
      <c r="W16" s="2">
        <v>585</v>
      </c>
      <c r="X16" s="2">
        <f>+T16*1.05</f>
        <v>637.35</v>
      </c>
      <c r="Y16" s="2">
        <f>+U16*1.05</f>
        <v>626.85</v>
      </c>
      <c r="Z16" s="2">
        <f>+V16*1.05</f>
        <v>655.20000000000005</v>
      </c>
      <c r="AN16" s="2">
        <v>2103</v>
      </c>
      <c r="AO16" s="2">
        <v>2198</v>
      </c>
      <c r="AP16" s="2">
        <v>2144</v>
      </c>
      <c r="AQ16" s="2">
        <v>1914</v>
      </c>
      <c r="AR16" s="2">
        <f t="shared" si="9"/>
        <v>2198</v>
      </c>
      <c r="AS16" s="2">
        <f t="shared" si="10"/>
        <v>2119</v>
      </c>
      <c r="AT16" s="2">
        <f t="shared" si="6"/>
        <v>2255</v>
      </c>
      <c r="AU16" s="2">
        <f t="shared" si="14"/>
        <v>2390</v>
      </c>
      <c r="AV16" s="2">
        <f t="shared" si="11"/>
        <v>2504.3999999999996</v>
      </c>
      <c r="AW16" s="2">
        <f t="shared" ref="AW16:BA16" si="41">+AV16*1.03</f>
        <v>2579.5319999999997</v>
      </c>
      <c r="AX16" s="2">
        <f t="shared" si="41"/>
        <v>2656.9179599999998</v>
      </c>
      <c r="AY16" s="2">
        <f t="shared" si="41"/>
        <v>2736.6254987999996</v>
      </c>
      <c r="AZ16" s="2">
        <f t="shared" si="41"/>
        <v>2818.7242637639997</v>
      </c>
      <c r="BA16" s="2">
        <f t="shared" si="41"/>
        <v>2903.2859916769198</v>
      </c>
      <c r="BB16" s="2">
        <f t="shared" ref="BB16:BF16" si="42">+BA16*1.03</f>
        <v>2990.3845714272275</v>
      </c>
      <c r="BC16" s="2">
        <f t="shared" si="42"/>
        <v>3080.0961085700442</v>
      </c>
      <c r="BD16" s="2">
        <f t="shared" si="42"/>
        <v>3172.4989918271458</v>
      </c>
      <c r="BE16" s="2">
        <f t="shared" si="42"/>
        <v>3267.6739615819602</v>
      </c>
      <c r="BF16" s="2">
        <f t="shared" si="42"/>
        <v>3365.704180429419</v>
      </c>
    </row>
    <row r="17" spans="2:125" s="2" customFormat="1" x14ac:dyDescent="0.2">
      <c r="B17" s="2" t="s">
        <v>27</v>
      </c>
      <c r="C17" s="4"/>
      <c r="D17" s="4"/>
      <c r="E17" s="4"/>
      <c r="F17" s="4"/>
      <c r="G17" s="4">
        <v>635</v>
      </c>
      <c r="H17" s="4">
        <v>697</v>
      </c>
      <c r="I17" s="4">
        <v>644</v>
      </c>
      <c r="J17" s="4">
        <v>678</v>
      </c>
      <c r="K17" s="4">
        <v>619</v>
      </c>
      <c r="L17" s="4">
        <v>653</v>
      </c>
      <c r="M17" s="4">
        <v>606</v>
      </c>
      <c r="N17" s="4">
        <v>605</v>
      </c>
      <c r="O17" s="2">
        <v>617</v>
      </c>
      <c r="P17" s="2">
        <v>715</v>
      </c>
      <c r="Q17" s="2">
        <v>672</v>
      </c>
      <c r="R17" s="2">
        <v>677</v>
      </c>
      <c r="S17" s="2">
        <v>689</v>
      </c>
      <c r="T17" s="2">
        <v>724</v>
      </c>
      <c r="U17" s="4">
        <v>699</v>
      </c>
      <c r="V17" s="4">
        <v>725</v>
      </c>
      <c r="W17" s="2">
        <v>710</v>
      </c>
      <c r="X17" s="2">
        <f>+T17*1.03</f>
        <v>745.72</v>
      </c>
      <c r="Y17" s="2">
        <f>+U17*1.03</f>
        <v>719.97</v>
      </c>
      <c r="Z17" s="2">
        <f>+V17*1.03</f>
        <v>746.75</v>
      </c>
      <c r="AN17" s="2">
        <v>2892</v>
      </c>
      <c r="AO17" s="2">
        <v>2929</v>
      </c>
      <c r="AP17" s="2">
        <v>2850</v>
      </c>
      <c r="AQ17" s="2">
        <v>2339</v>
      </c>
      <c r="AR17" s="2">
        <f t="shared" si="9"/>
        <v>2654</v>
      </c>
      <c r="AS17" s="2">
        <f t="shared" si="10"/>
        <v>2483</v>
      </c>
      <c r="AT17" s="2">
        <f t="shared" si="6"/>
        <v>2681</v>
      </c>
      <c r="AU17" s="2">
        <f t="shared" si="14"/>
        <v>2837</v>
      </c>
      <c r="AV17" s="2">
        <f t="shared" si="11"/>
        <v>2922.44</v>
      </c>
      <c r="AW17" s="2">
        <f>+AV17*1.07</f>
        <v>3127.0108</v>
      </c>
      <c r="AX17" s="2">
        <f>+AW17*1.07</f>
        <v>3345.9015560000003</v>
      </c>
      <c r="AY17" s="2">
        <f>+AX17*1.05</f>
        <v>3513.1966338000002</v>
      </c>
      <c r="AZ17" s="2">
        <f t="shared" ref="AZ17:BA17" si="43">+AY17*1.03</f>
        <v>3618.5925328140002</v>
      </c>
      <c r="BA17" s="2">
        <f t="shared" si="43"/>
        <v>3727.1503087984202</v>
      </c>
      <c r="BB17" s="2">
        <f t="shared" ref="BB17:BF17" si="44">+BA17*1.03</f>
        <v>3838.9648180623731</v>
      </c>
      <c r="BC17" s="2">
        <f t="shared" si="44"/>
        <v>3954.1337626042446</v>
      </c>
      <c r="BD17" s="2">
        <f t="shared" si="44"/>
        <v>4072.7577754823719</v>
      </c>
      <c r="BE17" s="2">
        <f t="shared" si="44"/>
        <v>4194.9405087468431</v>
      </c>
      <c r="BF17" s="2">
        <f t="shared" si="44"/>
        <v>4320.7887240092487</v>
      </c>
    </row>
    <row r="18" spans="2:125" s="2" customFormat="1" x14ac:dyDescent="0.2">
      <c r="B18" s="2" t="s">
        <v>20</v>
      </c>
      <c r="C18" s="4"/>
      <c r="D18" s="4"/>
      <c r="E18" s="4"/>
      <c r="F18" s="4"/>
      <c r="G18" s="4">
        <v>980</v>
      </c>
      <c r="H18" s="4">
        <v>1056</v>
      </c>
      <c r="I18" s="4">
        <v>1121</v>
      </c>
      <c r="J18" s="4">
        <v>1171</v>
      </c>
      <c r="K18" s="4">
        <v>1126</v>
      </c>
      <c r="L18" s="4">
        <v>1192</v>
      </c>
      <c r="M18" s="4">
        <v>1167</v>
      </c>
      <c r="N18" s="4">
        <v>1271</v>
      </c>
      <c r="O18" s="2">
        <v>1313</v>
      </c>
      <c r="P18" s="2">
        <v>1424</v>
      </c>
      <c r="Q18" s="2">
        <v>1472</v>
      </c>
      <c r="R18" s="2">
        <v>1552</v>
      </c>
      <c r="S18" s="2">
        <v>1569</v>
      </c>
      <c r="T18" s="2">
        <v>1648</v>
      </c>
      <c r="U18" s="4">
        <v>1725</v>
      </c>
      <c r="V18" s="4">
        <v>1863</v>
      </c>
      <c r="W18" s="2">
        <v>1827</v>
      </c>
      <c r="X18" s="2">
        <f>+T18*1.15</f>
        <v>1895.1999999999998</v>
      </c>
      <c r="Y18" s="2">
        <f>+U18*1.15</f>
        <v>1983.7499999999998</v>
      </c>
      <c r="Z18" s="2">
        <f>+V18*1.15</f>
        <v>2142.4499999999998</v>
      </c>
      <c r="AO18" s="2">
        <v>1933</v>
      </c>
      <c r="AP18" s="2">
        <v>2524</v>
      </c>
      <c r="AQ18" s="2">
        <v>3267</v>
      </c>
      <c r="AR18" s="2">
        <f t="shared" si="9"/>
        <v>4328</v>
      </c>
      <c r="AS18" s="2">
        <f t="shared" si="10"/>
        <v>4756</v>
      </c>
      <c r="AT18" s="2">
        <f t="shared" si="6"/>
        <v>5761</v>
      </c>
      <c r="AU18" s="2">
        <f t="shared" si="14"/>
        <v>6805</v>
      </c>
      <c r="AV18" s="2">
        <f t="shared" si="11"/>
        <v>7848.4</v>
      </c>
      <c r="AW18" s="2">
        <f>+AV18*1.1</f>
        <v>8633.24</v>
      </c>
      <c r="AX18" s="2">
        <f>+AW18*1.1</f>
        <v>9496.5640000000003</v>
      </c>
      <c r="AY18" s="2">
        <f>+AX18*1.1</f>
        <v>10446.220400000002</v>
      </c>
      <c r="AZ18" s="2">
        <f>+AY18*1.05</f>
        <v>10968.531420000003</v>
      </c>
      <c r="BA18" s="2">
        <f>+AZ18*1.05</f>
        <v>11516.957991000003</v>
      </c>
      <c r="BB18" s="2">
        <f t="shared" ref="BB18:BF18" si="45">+BA18*1.05</f>
        <v>12092.805890550004</v>
      </c>
      <c r="BC18" s="2">
        <f t="shared" si="45"/>
        <v>12697.446185077504</v>
      </c>
      <c r="BD18" s="2">
        <f t="shared" si="45"/>
        <v>13332.318494331381</v>
      </c>
      <c r="BE18" s="2">
        <f t="shared" si="45"/>
        <v>13998.93441904795</v>
      </c>
      <c r="BF18" s="2">
        <f t="shared" si="45"/>
        <v>14698.881140000347</v>
      </c>
    </row>
    <row r="19" spans="2:125" s="5" customFormat="1" x14ac:dyDescent="0.2">
      <c r="B19" s="5" t="s">
        <v>8</v>
      </c>
      <c r="C19" s="6"/>
      <c r="D19" s="6"/>
      <c r="E19" s="6"/>
      <c r="F19" s="6"/>
      <c r="G19" s="6">
        <f t="shared" ref="G19:J19" si="46">SUM(G4:G18)</f>
        <v>10456</v>
      </c>
      <c r="H19" s="6">
        <f t="shared" si="46"/>
        <v>10223</v>
      </c>
      <c r="I19" s="6">
        <f t="shared" si="46"/>
        <v>10928</v>
      </c>
      <c r="J19" s="6">
        <f t="shared" si="46"/>
        <v>11468</v>
      </c>
      <c r="K19" s="6">
        <f>SUM(K4:K18)</f>
        <v>11895</v>
      </c>
      <c r="L19" s="6">
        <f>SUM(L4:L18)</f>
        <v>11257</v>
      </c>
      <c r="M19" s="6">
        <f t="shared" ref="M19:T19" si="47">SUM(M5:M18)</f>
        <v>10407</v>
      </c>
      <c r="N19" s="6">
        <f t="shared" si="47"/>
        <v>10088</v>
      </c>
      <c r="O19" s="6">
        <f t="shared" si="47"/>
        <v>9744</v>
      </c>
      <c r="P19" s="6">
        <f t="shared" si="47"/>
        <v>9975</v>
      </c>
      <c r="Q19" s="6">
        <f t="shared" si="47"/>
        <v>10139</v>
      </c>
      <c r="R19" s="6">
        <f t="shared" si="47"/>
        <v>10237</v>
      </c>
      <c r="S19" s="6">
        <f t="shared" si="47"/>
        <v>9963.8000000000011</v>
      </c>
      <c r="T19" s="6">
        <f t="shared" si="47"/>
        <v>10373</v>
      </c>
      <c r="U19" s="6">
        <f>+Q19*1.01</f>
        <v>10240.39</v>
      </c>
      <c r="V19" s="6">
        <f>SUM(V4:V18)</f>
        <v>10974</v>
      </c>
      <c r="W19" s="6">
        <f>SUM(W4:W18)</f>
        <v>10358</v>
      </c>
      <c r="X19" s="6">
        <f t="shared" ref="X19:Z19" si="48">SUM(X4:X18)</f>
        <v>10835.98</v>
      </c>
      <c r="Y19" s="6">
        <f t="shared" si="48"/>
        <v>11102.67</v>
      </c>
      <c r="Z19" s="6">
        <f t="shared" si="48"/>
        <v>11480.59</v>
      </c>
      <c r="AK19" s="5">
        <v>20247</v>
      </c>
      <c r="AL19" s="5">
        <v>20405</v>
      </c>
      <c r="AM19" s="5">
        <v>20853</v>
      </c>
      <c r="AN19" s="5">
        <v>27390</v>
      </c>
      <c r="AO19" s="5">
        <v>30578</v>
      </c>
      <c r="AP19" s="5">
        <f t="shared" ref="AP19:AV19" si="49">SUM(AP4:AP18)</f>
        <v>31904</v>
      </c>
      <c r="AQ19" s="5">
        <f t="shared" si="49"/>
        <v>34608</v>
      </c>
      <c r="AR19" s="5">
        <f t="shared" si="49"/>
        <v>43075</v>
      </c>
      <c r="AS19" s="5">
        <f t="shared" si="49"/>
        <v>43650</v>
      </c>
      <c r="AT19" s="5">
        <f t="shared" si="49"/>
        <v>40095</v>
      </c>
      <c r="AU19" s="5">
        <f t="shared" si="49"/>
        <v>41941.799999999996</v>
      </c>
      <c r="AV19" s="5">
        <f t="shared" si="49"/>
        <v>43777.240000000005</v>
      </c>
      <c r="AW19" s="5">
        <f t="shared" ref="AW19" si="50">SUM(AW4:AW18)</f>
        <v>45756.842799999991</v>
      </c>
      <c r="AX19" s="5">
        <f t="shared" ref="AX19" si="51">SUM(AX4:AX18)</f>
        <v>47858.955316</v>
      </c>
      <c r="AY19" s="5">
        <f t="shared" ref="AY19" si="52">SUM(AY4:AY18)</f>
        <v>50026.401486599992</v>
      </c>
      <c r="AZ19" s="5">
        <f t="shared" ref="AZ19" si="53">SUM(AZ4:AZ18)</f>
        <v>51736.117939198011</v>
      </c>
      <c r="BA19" s="5">
        <f t="shared" ref="BA19" si="54">SUM(BA4:BA18)</f>
        <v>53507.572105773943</v>
      </c>
      <c r="BB19" s="5">
        <f t="shared" ref="BB19" si="55">SUM(BB4:BB18)</f>
        <v>55343.138428767168</v>
      </c>
      <c r="BC19" s="5">
        <f t="shared" ref="BC19" si="56">SUM(BC4:BC18)</f>
        <v>57245.288699441189</v>
      </c>
      <c r="BD19" s="5">
        <f t="shared" ref="BD19" si="57">SUM(BD4:BD18)</f>
        <v>59216.596284125975</v>
      </c>
      <c r="BE19" s="5">
        <f t="shared" ref="BE19" si="58">SUM(BE4:BE18)</f>
        <v>61259.740542536383</v>
      </c>
      <c r="BF19" s="5">
        <f t="shared" ref="BF19" si="59">SUM(BF4:BF18)</f>
        <v>63377.511447193428</v>
      </c>
    </row>
    <row r="20" spans="2:125" s="2" customFormat="1" x14ac:dyDescent="0.2">
      <c r="B20" s="2" t="s">
        <v>37</v>
      </c>
      <c r="C20" s="4"/>
      <c r="D20" s="4"/>
      <c r="E20" s="4"/>
      <c r="F20" s="4"/>
      <c r="G20" s="4">
        <v>4401</v>
      </c>
      <c r="H20" s="4">
        <v>4947</v>
      </c>
      <c r="I20" s="4">
        <v>4423</v>
      </c>
      <c r="J20" s="4">
        <v>4766</v>
      </c>
      <c r="K20" s="4">
        <v>4987</v>
      </c>
      <c r="L20" s="4">
        <v>4933</v>
      </c>
      <c r="M20" s="4">
        <v>4629</v>
      </c>
      <c r="N20" s="4">
        <f t="shared" ref="N20:T20" si="60">+N19-N21</f>
        <v>4474</v>
      </c>
      <c r="O20" s="2">
        <f t="shared" si="60"/>
        <v>4299</v>
      </c>
      <c r="P20" s="2">
        <f t="shared" si="60"/>
        <v>4449</v>
      </c>
      <c r="Q20" s="2">
        <f t="shared" si="60"/>
        <v>4555</v>
      </c>
      <c r="R20" s="2">
        <f t="shared" si="60"/>
        <v>4515</v>
      </c>
      <c r="S20" s="2">
        <f t="shared" si="60"/>
        <v>4416.8000000000011</v>
      </c>
      <c r="T20" s="2">
        <f t="shared" si="60"/>
        <v>4564</v>
      </c>
      <c r="U20" s="2">
        <v>4698</v>
      </c>
      <c r="V20" s="2">
        <v>4942</v>
      </c>
      <c r="W20" s="2">
        <v>4468</v>
      </c>
      <c r="X20" s="2">
        <f>+X19-X21</f>
        <v>4659.4714000000004</v>
      </c>
      <c r="Y20" s="2">
        <f>+Y19-Y21</f>
        <v>4774.1481000000003</v>
      </c>
      <c r="Z20" s="2">
        <f>+Z19-Z21</f>
        <v>4936.6537000000008</v>
      </c>
      <c r="AM20" s="2">
        <v>9094</v>
      </c>
      <c r="AN20" s="2">
        <v>12409</v>
      </c>
      <c r="AO20" s="2">
        <v>12706</v>
      </c>
      <c r="AP20" s="2">
        <v>13231</v>
      </c>
      <c r="AQ20" s="2">
        <v>15003</v>
      </c>
      <c r="AR20" s="2">
        <f t="shared" si="9"/>
        <v>18537</v>
      </c>
      <c r="AS20" s="2">
        <f t="shared" si="10"/>
        <v>19023</v>
      </c>
      <c r="AT20" s="2">
        <f>SUM(O20:R20)</f>
        <v>17818</v>
      </c>
      <c r="AU20" s="2">
        <f t="shared" si="14"/>
        <v>18620.800000000003</v>
      </c>
      <c r="AV20" s="2">
        <f t="shared" si="11"/>
        <v>18838.273200000003</v>
      </c>
      <c r="AW20" s="2">
        <f>+AW19-AW21</f>
        <v>19675.442403999998</v>
      </c>
      <c r="AX20" s="2">
        <f>+AX19-AX21</f>
        <v>20579.350785880004</v>
      </c>
      <c r="AY20" s="2">
        <f>+AY19-AY21</f>
        <v>21511.352639238001</v>
      </c>
      <c r="AZ20" s="2">
        <f>+AZ19-AZ21</f>
        <v>22246.530713855147</v>
      </c>
      <c r="BA20" s="2">
        <f>+BA19-BA21</f>
        <v>23008.256005482799</v>
      </c>
      <c r="BB20" s="2">
        <f t="shared" ref="BB20:BF20" si="61">+BB19-BB21</f>
        <v>23797.549524369886</v>
      </c>
      <c r="BC20" s="2">
        <f t="shared" si="61"/>
        <v>24615.474140759714</v>
      </c>
      <c r="BD20" s="2">
        <f t="shared" si="61"/>
        <v>25463.136402174176</v>
      </c>
      <c r="BE20" s="2">
        <f t="shared" si="61"/>
        <v>26341.688433290648</v>
      </c>
      <c r="BF20" s="2">
        <f t="shared" si="61"/>
        <v>27252.329922293175</v>
      </c>
    </row>
    <row r="21" spans="2:125" s="2" customFormat="1" x14ac:dyDescent="0.2">
      <c r="B21" s="2" t="s">
        <v>38</v>
      </c>
      <c r="C21" s="4"/>
      <c r="D21" s="4"/>
      <c r="E21" s="4"/>
      <c r="F21" s="4"/>
      <c r="G21" s="4">
        <f t="shared" ref="G21:J21" si="62">+G19-G20</f>
        <v>6055</v>
      </c>
      <c r="H21" s="4">
        <f t="shared" si="62"/>
        <v>5276</v>
      </c>
      <c r="I21" s="4">
        <f t="shared" si="62"/>
        <v>6505</v>
      </c>
      <c r="J21" s="4">
        <f t="shared" si="62"/>
        <v>6702</v>
      </c>
      <c r="K21" s="4">
        <f>+K19-K20</f>
        <v>6908</v>
      </c>
      <c r="L21" s="4">
        <f>+L19-L20</f>
        <v>6324</v>
      </c>
      <c r="M21" s="4">
        <f>+M19-M20</f>
        <v>5778</v>
      </c>
      <c r="N21" s="4">
        <v>5614</v>
      </c>
      <c r="O21" s="2">
        <v>5445</v>
      </c>
      <c r="P21" s="2">
        <v>5526</v>
      </c>
      <c r="Q21" s="2">
        <v>5584</v>
      </c>
      <c r="R21" s="2">
        <v>5722</v>
      </c>
      <c r="S21" s="2">
        <v>5547</v>
      </c>
      <c r="T21" s="2">
        <v>5809</v>
      </c>
      <c r="U21" s="2">
        <f>+U19-U20</f>
        <v>5542.3899999999994</v>
      </c>
      <c r="V21" s="2">
        <f>+V19-V20</f>
        <v>6032</v>
      </c>
      <c r="W21" s="2">
        <f>+W19-W20</f>
        <v>5890</v>
      </c>
      <c r="X21" s="2">
        <f>+X19*0.57</f>
        <v>6176.5085999999992</v>
      </c>
      <c r="Y21" s="2">
        <f>+Y19*0.57</f>
        <v>6328.5218999999997</v>
      </c>
      <c r="Z21" s="2">
        <f>+Z19*0.57</f>
        <v>6543.9362999999994</v>
      </c>
      <c r="AM21" s="2">
        <f t="shared" ref="AM21:AS21" si="63">+AM19-AM20</f>
        <v>11759</v>
      </c>
      <c r="AN21" s="2">
        <f t="shared" si="63"/>
        <v>14981</v>
      </c>
      <c r="AO21" s="2">
        <f t="shared" si="63"/>
        <v>17872</v>
      </c>
      <c r="AP21" s="2">
        <f t="shared" si="63"/>
        <v>18673</v>
      </c>
      <c r="AQ21" s="2">
        <f t="shared" si="63"/>
        <v>19605</v>
      </c>
      <c r="AR21" s="2">
        <f t="shared" si="63"/>
        <v>24538</v>
      </c>
      <c r="AS21" s="2">
        <f t="shared" si="63"/>
        <v>24627</v>
      </c>
      <c r="AT21" s="2">
        <f>+AT19-AT20</f>
        <v>22277</v>
      </c>
      <c r="AU21" s="2">
        <f>+AU19-AU20</f>
        <v>23320.999999999993</v>
      </c>
      <c r="AV21" s="2">
        <f>+AV19-AV20</f>
        <v>24938.966800000002</v>
      </c>
      <c r="AW21" s="2">
        <f>+AW19*0.57</f>
        <v>26081.400395999994</v>
      </c>
      <c r="AX21" s="2">
        <f>+AX19*0.57</f>
        <v>27279.604530119996</v>
      </c>
      <c r="AY21" s="2">
        <f>+AY19*0.57</f>
        <v>28515.048847361992</v>
      </c>
      <c r="AZ21" s="2">
        <f>+AZ19*0.57</f>
        <v>29489.587225342864</v>
      </c>
      <c r="BA21" s="2">
        <f>+BA19*0.57</f>
        <v>30499.316100291144</v>
      </c>
      <c r="BB21" s="2">
        <f t="shared" ref="BB21:BF21" si="64">+BB19*0.57</f>
        <v>31545.588904397282</v>
      </c>
      <c r="BC21" s="2">
        <f t="shared" si="64"/>
        <v>32629.814558681475</v>
      </c>
      <c r="BD21" s="2">
        <f t="shared" si="64"/>
        <v>33753.4598819518</v>
      </c>
      <c r="BE21" s="2">
        <f t="shared" si="64"/>
        <v>34918.052109245735</v>
      </c>
      <c r="BF21" s="2">
        <f t="shared" si="64"/>
        <v>36125.181524900254</v>
      </c>
    </row>
    <row r="22" spans="2:125" s="2" customFormat="1" x14ac:dyDescent="0.2">
      <c r="B22" s="2" t="s">
        <v>39</v>
      </c>
      <c r="C22" s="4"/>
      <c r="D22" s="4"/>
      <c r="E22" s="4"/>
      <c r="F22" s="4"/>
      <c r="G22" s="4">
        <v>2783</v>
      </c>
      <c r="H22" s="4">
        <v>2726</v>
      </c>
      <c r="I22" s="4">
        <v>2767</v>
      </c>
      <c r="J22" s="4">
        <v>3048</v>
      </c>
      <c r="K22" s="4">
        <v>2787</v>
      </c>
      <c r="L22" s="4">
        <v>2757</v>
      </c>
      <c r="M22" s="4">
        <v>2731</v>
      </c>
      <c r="N22" s="4">
        <v>2829</v>
      </c>
      <c r="O22" s="2">
        <v>2762</v>
      </c>
      <c r="P22" s="2">
        <v>2718</v>
      </c>
      <c r="Q22" s="2">
        <v>2680</v>
      </c>
      <c r="R22" s="2">
        <v>2689</v>
      </c>
      <c r="S22" s="2">
        <v>2925</v>
      </c>
      <c r="T22" s="2">
        <v>2879</v>
      </c>
      <c r="U22" s="2">
        <v>2895</v>
      </c>
      <c r="V22" s="2">
        <v>2907</v>
      </c>
      <c r="W22" s="2">
        <v>3061</v>
      </c>
      <c r="X22" s="2">
        <f>+T22*1.02</f>
        <v>2936.58</v>
      </c>
      <c r="Y22" s="2">
        <f t="shared" ref="Y22:Y23" si="65">+U22*1.02</f>
        <v>2952.9</v>
      </c>
      <c r="Z22" s="2">
        <f t="shared" ref="Z22:Z23" si="66">+V22*1.02</f>
        <v>2965.14</v>
      </c>
      <c r="AM22" s="2">
        <v>6736</v>
      </c>
      <c r="AN22" s="2">
        <v>9182</v>
      </c>
      <c r="AO22" s="2">
        <v>9744</v>
      </c>
      <c r="AP22" s="2">
        <v>9765</v>
      </c>
      <c r="AQ22" s="2">
        <v>9696</v>
      </c>
      <c r="AR22" s="2">
        <f t="shared" ref="AR22:AR23" si="67">SUM(G22:J22)</f>
        <v>11324</v>
      </c>
      <c r="AS22" s="2">
        <f t="shared" ref="AS22:AS23" si="68">SUM(K22:N22)</f>
        <v>11104</v>
      </c>
      <c r="AT22" s="2">
        <f>SUM(O22:R22)</f>
        <v>10849</v>
      </c>
      <c r="AU22" s="2">
        <f t="shared" ref="AU22:AU23" si="69">SUM(S22:V22)</f>
        <v>11606</v>
      </c>
      <c r="AV22" s="2">
        <f t="shared" si="11"/>
        <v>11915.619999999999</v>
      </c>
      <c r="AW22" s="2">
        <f t="shared" ref="AW22:BA22" si="70">+AV22*1.03</f>
        <v>12273.088599999999</v>
      </c>
      <c r="AX22" s="2">
        <f t="shared" si="70"/>
        <v>12641.281257999999</v>
      </c>
      <c r="AY22" s="2">
        <f t="shared" si="70"/>
        <v>13020.519695739998</v>
      </c>
      <c r="AZ22" s="2">
        <f t="shared" si="70"/>
        <v>13411.1352866122</v>
      </c>
      <c r="BA22" s="2">
        <f t="shared" si="70"/>
        <v>13813.469345210566</v>
      </c>
      <c r="BB22" s="2">
        <f t="shared" ref="BB22:BF22" si="71">+BA22*1.03</f>
        <v>14227.873425566882</v>
      </c>
      <c r="BC22" s="2">
        <f t="shared" si="71"/>
        <v>14654.709628333889</v>
      </c>
      <c r="BD22" s="2">
        <f t="shared" si="71"/>
        <v>15094.350917183905</v>
      </c>
      <c r="BE22" s="2">
        <f t="shared" si="71"/>
        <v>15547.181444699423</v>
      </c>
      <c r="BF22" s="2">
        <f t="shared" si="71"/>
        <v>16013.596888040407</v>
      </c>
    </row>
    <row r="23" spans="2:125" s="2" customFormat="1" x14ac:dyDescent="0.2">
      <c r="B23" s="2" t="s">
        <v>40</v>
      </c>
      <c r="C23" s="4"/>
      <c r="D23" s="4"/>
      <c r="E23" s="4"/>
      <c r="F23" s="4"/>
      <c r="G23" s="4">
        <v>654</v>
      </c>
      <c r="H23" s="4">
        <v>654</v>
      </c>
      <c r="I23" s="4">
        <v>672</v>
      </c>
      <c r="J23" s="4">
        <v>762</v>
      </c>
      <c r="K23" s="4">
        <v>697</v>
      </c>
      <c r="L23" s="4">
        <v>684</v>
      </c>
      <c r="M23" s="4">
        <v>782</v>
      </c>
      <c r="N23" s="4">
        <v>654</v>
      </c>
      <c r="O23" s="2">
        <v>628</v>
      </c>
      <c r="P23" s="2">
        <v>643</v>
      </c>
      <c r="Q23" s="2">
        <v>626</v>
      </c>
      <c r="R23" s="2">
        <v>622</v>
      </c>
      <c r="S23" s="2">
        <v>663</v>
      </c>
      <c r="T23" s="2">
        <v>657</v>
      </c>
      <c r="U23" s="2">
        <v>713</v>
      </c>
      <c r="V23" s="2">
        <v>749</v>
      </c>
      <c r="W23" s="2">
        <v>716</v>
      </c>
      <c r="X23" s="2">
        <f t="shared" ref="X23" si="72">+T23*1.02</f>
        <v>670.14</v>
      </c>
      <c r="Y23" s="2">
        <f t="shared" si="65"/>
        <v>727.26</v>
      </c>
      <c r="Z23" s="2">
        <f t="shared" si="66"/>
        <v>763.98</v>
      </c>
      <c r="AM23" s="2">
        <v>1447</v>
      </c>
      <c r="AN23" s="2">
        <v>2260</v>
      </c>
      <c r="AO23" s="2">
        <v>2300</v>
      </c>
      <c r="AP23" s="2">
        <v>2440</v>
      </c>
      <c r="AQ23" s="2">
        <v>2420</v>
      </c>
      <c r="AR23" s="2">
        <f t="shared" si="67"/>
        <v>2742</v>
      </c>
      <c r="AS23" s="2">
        <f t="shared" si="68"/>
        <v>2817</v>
      </c>
      <c r="AT23" s="2">
        <f>SUM(O23:R23)</f>
        <v>2519</v>
      </c>
      <c r="AU23" s="2">
        <f t="shared" si="69"/>
        <v>2782</v>
      </c>
      <c r="AV23" s="2">
        <f t="shared" si="11"/>
        <v>2877.3799999999997</v>
      </c>
      <c r="AW23" s="2">
        <f>+AV23*1.03</f>
        <v>2963.7013999999999</v>
      </c>
      <c r="AX23" s="2">
        <f t="shared" ref="AX23:BA23" si="73">+AW23*1.03</f>
        <v>3052.6124420000001</v>
      </c>
      <c r="AY23" s="2">
        <f t="shared" si="73"/>
        <v>3144.1908152600004</v>
      </c>
      <c r="AZ23" s="2">
        <f t="shared" si="73"/>
        <v>3238.5165397178002</v>
      </c>
      <c r="BA23" s="2">
        <f t="shared" si="73"/>
        <v>3335.6720359093342</v>
      </c>
      <c r="BB23" s="2">
        <f t="shared" ref="BB23:BF23" si="74">+BA23*1.03</f>
        <v>3435.7421969866145</v>
      </c>
      <c r="BC23" s="2">
        <f t="shared" si="74"/>
        <v>3538.8144628962132</v>
      </c>
      <c r="BD23" s="2">
        <f t="shared" si="74"/>
        <v>3644.9788967830996</v>
      </c>
      <c r="BE23" s="2">
        <f t="shared" si="74"/>
        <v>3754.3282636865924</v>
      </c>
      <c r="BF23" s="2">
        <f t="shared" si="74"/>
        <v>3866.9581115971905</v>
      </c>
    </row>
    <row r="24" spans="2:125" s="2" customFormat="1" x14ac:dyDescent="0.2">
      <c r="B24" s="2" t="s">
        <v>35</v>
      </c>
      <c r="C24" s="4"/>
      <c r="D24" s="4"/>
      <c r="E24" s="4"/>
      <c r="F24" s="4"/>
      <c r="G24" s="4">
        <f t="shared" ref="G24:J24" si="75">+G22+G23</f>
        <v>3437</v>
      </c>
      <c r="H24" s="4">
        <f t="shared" si="75"/>
        <v>3380</v>
      </c>
      <c r="I24" s="4">
        <f t="shared" si="75"/>
        <v>3439</v>
      </c>
      <c r="J24" s="4">
        <f t="shared" si="75"/>
        <v>3810</v>
      </c>
      <c r="K24" s="4">
        <f>+K22+K23</f>
        <v>3484</v>
      </c>
      <c r="L24" s="4">
        <f>+L22+L23</f>
        <v>3441</v>
      </c>
      <c r="M24" s="4">
        <f>+M22+M23</f>
        <v>3513</v>
      </c>
      <c r="N24" s="4">
        <f>+N22+N23</f>
        <v>3483</v>
      </c>
      <c r="O24" s="4">
        <f t="shared" ref="O24" si="76">+O22+O23</f>
        <v>3390</v>
      </c>
      <c r="P24" s="2">
        <f t="shared" ref="P24:X24" si="77">+P22+P23</f>
        <v>3361</v>
      </c>
      <c r="Q24" s="2">
        <f t="shared" si="77"/>
        <v>3306</v>
      </c>
      <c r="R24" s="2">
        <f t="shared" si="77"/>
        <v>3311</v>
      </c>
      <c r="S24" s="2">
        <f t="shared" si="77"/>
        <v>3588</v>
      </c>
      <c r="T24" s="2">
        <f t="shared" si="77"/>
        <v>3536</v>
      </c>
      <c r="U24" s="2">
        <f t="shared" si="77"/>
        <v>3608</v>
      </c>
      <c r="V24" s="2">
        <f t="shared" si="77"/>
        <v>3656</v>
      </c>
      <c r="W24" s="2">
        <f t="shared" si="77"/>
        <v>3777</v>
      </c>
      <c r="X24" s="2">
        <f t="shared" si="77"/>
        <v>3606.72</v>
      </c>
      <c r="Y24" s="2">
        <f t="shared" ref="Y24" si="78">+Y22+Y23</f>
        <v>3680.16</v>
      </c>
      <c r="Z24" s="2">
        <f t="shared" ref="Z24" si="79">+Z22+Z23</f>
        <v>3729.12</v>
      </c>
      <c r="AM24" s="4">
        <f>+AM22+AM23</f>
        <v>8183</v>
      </c>
      <c r="AN24" s="4">
        <f>+AN22+AN23</f>
        <v>11442</v>
      </c>
      <c r="AO24" s="4">
        <f>+AO22+AO23</f>
        <v>12044</v>
      </c>
      <c r="AP24" s="4">
        <f t="shared" ref="AP24:AS24" si="80">+AP22+AP23</f>
        <v>12205</v>
      </c>
      <c r="AQ24" s="4">
        <f t="shared" si="80"/>
        <v>12116</v>
      </c>
      <c r="AR24" s="4">
        <f t="shared" si="80"/>
        <v>14066</v>
      </c>
      <c r="AS24" s="4">
        <f t="shared" si="80"/>
        <v>13921</v>
      </c>
      <c r="AT24" s="4">
        <f t="shared" ref="AT24:AV24" si="81">+AT22+AT23</f>
        <v>13368</v>
      </c>
      <c r="AU24" s="4">
        <f t="shared" si="81"/>
        <v>14388</v>
      </c>
      <c r="AV24" s="4">
        <f t="shared" si="81"/>
        <v>14792.999999999998</v>
      </c>
      <c r="AW24" s="4">
        <f t="shared" ref="AW24:BA24" si="82">+AW22+AW23</f>
        <v>15236.789999999999</v>
      </c>
      <c r="AX24" s="4">
        <f t="shared" si="82"/>
        <v>15693.893699999999</v>
      </c>
      <c r="AY24" s="4">
        <f t="shared" si="82"/>
        <v>16164.710510999999</v>
      </c>
      <c r="AZ24" s="4">
        <f t="shared" si="82"/>
        <v>16649.651826329999</v>
      </c>
      <c r="BA24" s="4">
        <f t="shared" si="82"/>
        <v>17149.141381119902</v>
      </c>
      <c r="BB24" s="4">
        <f t="shared" ref="BB24:BF24" si="83">+BB22+BB23</f>
        <v>17663.615622553498</v>
      </c>
      <c r="BC24" s="4">
        <f t="shared" si="83"/>
        <v>18193.524091230101</v>
      </c>
      <c r="BD24" s="4">
        <f t="shared" si="83"/>
        <v>18739.329813967004</v>
      </c>
      <c r="BE24" s="4">
        <f t="shared" si="83"/>
        <v>19301.509708386016</v>
      </c>
      <c r="BF24" s="4">
        <f t="shared" si="83"/>
        <v>19880.554999637599</v>
      </c>
    </row>
    <row r="25" spans="2:125" s="2" customFormat="1" x14ac:dyDescent="0.2">
      <c r="B25" s="2" t="s">
        <v>36</v>
      </c>
      <c r="C25" s="4"/>
      <c r="D25" s="4"/>
      <c r="E25" s="4"/>
      <c r="F25" s="4"/>
      <c r="G25" s="4">
        <f t="shared" ref="G25:J25" si="84">+G21-G24</f>
        <v>2618</v>
      </c>
      <c r="H25" s="4">
        <f t="shared" si="84"/>
        <v>1896</v>
      </c>
      <c r="I25" s="4">
        <f t="shared" si="84"/>
        <v>3066</v>
      </c>
      <c r="J25" s="4">
        <f t="shared" si="84"/>
        <v>2892</v>
      </c>
      <c r="K25" s="4">
        <f>+K21-K24</f>
        <v>3424</v>
      </c>
      <c r="L25" s="4">
        <f>+L21-L24</f>
        <v>2883</v>
      </c>
      <c r="M25" s="4">
        <f>+M21-M24</f>
        <v>2265</v>
      </c>
      <c r="N25" s="4">
        <f>+N21-N24</f>
        <v>2131</v>
      </c>
      <c r="O25" s="4">
        <f t="shared" ref="O25" si="85">+O21-O24</f>
        <v>2055</v>
      </c>
      <c r="P25" s="2">
        <f t="shared" ref="P25:X25" si="86">+P21-P24</f>
        <v>2165</v>
      </c>
      <c r="Q25" s="2">
        <f t="shared" si="86"/>
        <v>2278</v>
      </c>
      <c r="R25" s="2">
        <f t="shared" si="86"/>
        <v>2411</v>
      </c>
      <c r="S25" s="2">
        <f t="shared" si="86"/>
        <v>1959</v>
      </c>
      <c r="T25" s="2">
        <f t="shared" si="86"/>
        <v>2273</v>
      </c>
      <c r="U25" s="2">
        <f t="shared" si="86"/>
        <v>1934.3899999999994</v>
      </c>
      <c r="V25" s="2">
        <f t="shared" si="86"/>
        <v>2376</v>
      </c>
      <c r="W25" s="2">
        <f t="shared" si="86"/>
        <v>2113</v>
      </c>
      <c r="X25" s="2">
        <f t="shared" si="86"/>
        <v>2569.7885999999994</v>
      </c>
      <c r="Y25" s="2">
        <f t="shared" ref="Y25" si="87">+Y21-Y24</f>
        <v>2648.3618999999999</v>
      </c>
      <c r="Z25" s="2">
        <f t="shared" ref="Z25" si="88">+Z21-Z24</f>
        <v>2814.8162999999995</v>
      </c>
      <c r="AM25" s="4">
        <f>+AM21-AM24</f>
        <v>3576</v>
      </c>
      <c r="AN25" s="4">
        <f>+AN21-AN24</f>
        <v>3539</v>
      </c>
      <c r="AO25" s="4">
        <f>+AO21-AO24</f>
        <v>5828</v>
      </c>
      <c r="AP25" s="4">
        <f t="shared" ref="AP25:AS25" si="89">+AP21-AP24</f>
        <v>6468</v>
      </c>
      <c r="AQ25" s="4">
        <f t="shared" si="89"/>
        <v>7489</v>
      </c>
      <c r="AR25" s="4">
        <f t="shared" si="89"/>
        <v>10472</v>
      </c>
      <c r="AS25" s="4">
        <f t="shared" si="89"/>
        <v>10706</v>
      </c>
      <c r="AT25" s="4">
        <f t="shared" ref="AT25:AV25" si="90">+AT21-AT24</f>
        <v>8909</v>
      </c>
      <c r="AU25" s="4">
        <f t="shared" si="90"/>
        <v>8932.9999999999927</v>
      </c>
      <c r="AV25" s="4">
        <f t="shared" si="90"/>
        <v>10145.966800000004</v>
      </c>
      <c r="AW25" s="4">
        <f t="shared" ref="AW25:BA25" si="91">+AW21-AW24</f>
        <v>10844.610395999995</v>
      </c>
      <c r="AX25" s="4">
        <f t="shared" si="91"/>
        <v>11585.710830119997</v>
      </c>
      <c r="AY25" s="4">
        <f t="shared" si="91"/>
        <v>12350.338336361992</v>
      </c>
      <c r="AZ25" s="4">
        <f t="shared" si="91"/>
        <v>12839.935399012866</v>
      </c>
      <c r="BA25" s="4">
        <f t="shared" si="91"/>
        <v>13350.174719171242</v>
      </c>
      <c r="BB25" s="4">
        <f t="shared" ref="BB25:BF25" si="92">+BB21-BB24</f>
        <v>13881.973281843784</v>
      </c>
      <c r="BC25" s="4">
        <f t="shared" si="92"/>
        <v>14436.290467451374</v>
      </c>
      <c r="BD25" s="4">
        <f t="shared" si="92"/>
        <v>15014.130067984795</v>
      </c>
      <c r="BE25" s="4">
        <f t="shared" si="92"/>
        <v>15616.542400859718</v>
      </c>
      <c r="BF25" s="4">
        <f t="shared" si="92"/>
        <v>16244.626525262654</v>
      </c>
    </row>
    <row r="26" spans="2:125" x14ac:dyDescent="0.2">
      <c r="B26" s="2" t="s">
        <v>41</v>
      </c>
      <c r="G26" s="3">
        <f>-135+11+61</f>
        <v>-63</v>
      </c>
      <c r="H26" s="3">
        <f>-134+11+79</f>
        <v>-44</v>
      </c>
      <c r="I26" s="3">
        <f>-133+10+74</f>
        <v>-49</v>
      </c>
      <c r="J26" s="3">
        <f>-120+63</f>
        <v>-57</v>
      </c>
      <c r="K26" s="3">
        <f>-131+14+78</f>
        <v>-39</v>
      </c>
      <c r="L26" s="3">
        <f>-132+26+82</f>
        <v>-24</v>
      </c>
      <c r="M26" s="3">
        <f>-141+55+93</f>
        <v>7</v>
      </c>
      <c r="N26" s="4">
        <v>92</v>
      </c>
      <c r="O26">
        <v>111</v>
      </c>
      <c r="P26">
        <v>119</v>
      </c>
      <c r="Q26">
        <v>106</v>
      </c>
      <c r="R26" s="2">
        <v>118</v>
      </c>
      <c r="S26" s="2">
        <v>137</v>
      </c>
      <c r="T26" s="2">
        <v>135</v>
      </c>
      <c r="U26" s="2">
        <f>121-142+91</f>
        <v>70</v>
      </c>
      <c r="V26" s="2">
        <f>154-45</f>
        <v>109</v>
      </c>
      <c r="W26">
        <f>127-131+82</f>
        <v>78</v>
      </c>
      <c r="X26">
        <f>+W26</f>
        <v>78</v>
      </c>
      <c r="Y26">
        <f>+X26</f>
        <v>78</v>
      </c>
      <c r="Z26">
        <f>+Y26</f>
        <v>78</v>
      </c>
      <c r="AM26">
        <f>-99+786</f>
        <v>687</v>
      </c>
      <c r="AN26" s="2">
        <f>-904+124-1413</f>
        <v>-2193</v>
      </c>
      <c r="AO26">
        <f>-826+105+139</f>
        <v>-582</v>
      </c>
      <c r="AP26">
        <f>-670+94+191</f>
        <v>-385</v>
      </c>
      <c r="AQ26">
        <f>-546+46+103</f>
        <v>-397</v>
      </c>
      <c r="AR26" s="2">
        <f t="shared" ref="AR26" si="93">SUM(G26:J26)</f>
        <v>-213</v>
      </c>
      <c r="AS26" s="2">
        <f t="shared" ref="AS26" si="94">SUM(K26:N26)</f>
        <v>36</v>
      </c>
      <c r="AT26" s="2">
        <f>SUM(O26:R26)</f>
        <v>454</v>
      </c>
      <c r="AU26" s="2">
        <f t="shared" ref="AU26" si="95">SUM(S26:V26)</f>
        <v>451</v>
      </c>
      <c r="AV26" s="2">
        <f t="shared" ref="AV26:AV28" si="96">SUM(W26:Z26)</f>
        <v>312</v>
      </c>
      <c r="AW26" s="2">
        <f t="shared" ref="AW26:BF26" si="97">+AV40*$BI$37</f>
        <v>76.796088999999938</v>
      </c>
      <c r="AX26" s="2">
        <f t="shared" si="97"/>
        <v>540.95586461249968</v>
      </c>
      <c r="AY26" s="2">
        <f t="shared" si="97"/>
        <v>1056.3391991386306</v>
      </c>
      <c r="AZ26" s="2">
        <f t="shared" si="97"/>
        <v>1626.1229943974072</v>
      </c>
      <c r="BA26" s="2">
        <f t="shared" si="97"/>
        <v>2240.9304761173439</v>
      </c>
      <c r="BB26" s="2">
        <f t="shared" si="97"/>
        <v>2903.5524469171087</v>
      </c>
      <c r="BC26" s="2">
        <f t="shared" si="97"/>
        <v>0</v>
      </c>
      <c r="BD26" s="2">
        <f t="shared" si="97"/>
        <v>0</v>
      </c>
      <c r="BE26" s="2">
        <f t="shared" si="97"/>
        <v>0</v>
      </c>
      <c r="BF26" s="2">
        <f t="shared" si="97"/>
        <v>0</v>
      </c>
    </row>
    <row r="27" spans="2:125" x14ac:dyDescent="0.2">
      <c r="B27" s="2" t="s">
        <v>42</v>
      </c>
      <c r="G27" s="4">
        <f t="shared" ref="G27:J27" si="98">+G25+G26</f>
        <v>2555</v>
      </c>
      <c r="H27" s="4">
        <f t="shared" si="98"/>
        <v>1852</v>
      </c>
      <c r="I27" s="4">
        <f t="shared" si="98"/>
        <v>3017</v>
      </c>
      <c r="J27" s="4">
        <f t="shared" si="98"/>
        <v>2835</v>
      </c>
      <c r="K27" s="4">
        <f t="shared" ref="K27:X27" si="99">+K25+K26</f>
        <v>3385</v>
      </c>
      <c r="L27" s="4">
        <f t="shared" si="99"/>
        <v>2859</v>
      </c>
      <c r="M27" s="4">
        <f t="shared" si="99"/>
        <v>2272</v>
      </c>
      <c r="N27" s="4">
        <f t="shared" si="99"/>
        <v>2223</v>
      </c>
      <c r="O27" s="4">
        <f t="shared" si="99"/>
        <v>2166</v>
      </c>
      <c r="P27" s="2">
        <f t="shared" si="99"/>
        <v>2284</v>
      </c>
      <c r="Q27" s="2">
        <f t="shared" si="99"/>
        <v>2384</v>
      </c>
      <c r="R27" s="2">
        <f t="shared" si="99"/>
        <v>2529</v>
      </c>
      <c r="S27" s="2">
        <f t="shared" si="99"/>
        <v>2096</v>
      </c>
      <c r="T27" s="2">
        <f t="shared" si="99"/>
        <v>2408</v>
      </c>
      <c r="U27" s="2">
        <f t="shared" si="99"/>
        <v>2004.3899999999994</v>
      </c>
      <c r="V27" s="2">
        <f t="shared" si="99"/>
        <v>2485</v>
      </c>
      <c r="W27" s="2">
        <f t="shared" si="99"/>
        <v>2191</v>
      </c>
      <c r="X27" s="2">
        <f t="shared" si="99"/>
        <v>2647.7885999999994</v>
      </c>
      <c r="Y27" s="2">
        <f t="shared" ref="Y27" si="100">+Y25+Y26</f>
        <v>2726.3618999999999</v>
      </c>
      <c r="Z27" s="2">
        <f t="shared" ref="Z27" si="101">+Z25+Z26</f>
        <v>2892.8162999999995</v>
      </c>
      <c r="AM27" s="2">
        <f>+AM25+AM26</f>
        <v>4263</v>
      </c>
      <c r="AN27" s="2">
        <f>+AN25+AN26</f>
        <v>1346</v>
      </c>
      <c r="AO27" s="2">
        <f>+AO25+AO26</f>
        <v>5246</v>
      </c>
      <c r="AP27" s="2">
        <f t="shared" ref="AP27:AW27" si="102">+AP25+AP26</f>
        <v>6083</v>
      </c>
      <c r="AQ27" s="2">
        <f t="shared" si="102"/>
        <v>7092</v>
      </c>
      <c r="AR27" s="2">
        <f t="shared" si="102"/>
        <v>10259</v>
      </c>
      <c r="AS27" s="2">
        <f t="shared" si="102"/>
        <v>10742</v>
      </c>
      <c r="AT27" s="2">
        <f t="shared" si="102"/>
        <v>9363</v>
      </c>
      <c r="AU27" s="2">
        <f t="shared" si="102"/>
        <v>9383.9999999999927</v>
      </c>
      <c r="AV27" s="2">
        <f t="shared" si="102"/>
        <v>10457.966800000004</v>
      </c>
      <c r="AW27" s="2">
        <f t="shared" si="102"/>
        <v>10921.406484999994</v>
      </c>
      <c r="AX27" s="2">
        <f t="shared" ref="AX27:BA27" si="103">+AX25+AX26</f>
        <v>12126.666694732496</v>
      </c>
      <c r="AY27" s="2">
        <f t="shared" si="103"/>
        <v>13406.677535500623</v>
      </c>
      <c r="AZ27" s="2">
        <f t="shared" si="103"/>
        <v>14466.058393410272</v>
      </c>
      <c r="BA27" s="2">
        <f t="shared" si="103"/>
        <v>15591.105195288586</v>
      </c>
      <c r="BB27" s="2">
        <f t="shared" ref="BB27:BF27" si="104">+BB25+BB26</f>
        <v>16785.525728760891</v>
      </c>
      <c r="BC27" s="2">
        <f t="shared" si="104"/>
        <v>14436.290467451374</v>
      </c>
      <c r="BD27" s="2">
        <f t="shared" si="104"/>
        <v>15014.130067984795</v>
      </c>
      <c r="BE27" s="2">
        <f t="shared" si="104"/>
        <v>15616.542400859718</v>
      </c>
      <c r="BF27" s="2">
        <f t="shared" si="104"/>
        <v>16244.626525262654</v>
      </c>
    </row>
    <row r="28" spans="2:125" x14ac:dyDescent="0.2">
      <c r="B28" s="2" t="s">
        <v>43</v>
      </c>
      <c r="G28" s="3">
        <v>250</v>
      </c>
      <c r="H28" s="3">
        <v>159</v>
      </c>
      <c r="I28" s="3">
        <v>393</v>
      </c>
      <c r="J28" s="3">
        <v>398</v>
      </c>
      <c r="K28" s="3">
        <v>429</v>
      </c>
      <c r="L28" s="3">
        <v>334</v>
      </c>
      <c r="M28" s="3">
        <v>323</v>
      </c>
      <c r="N28" s="4">
        <v>360</v>
      </c>
      <c r="O28" s="3">
        <v>295</v>
      </c>
      <c r="P28">
        <v>309</v>
      </c>
      <c r="Q28">
        <v>325</v>
      </c>
      <c r="R28">
        <v>341</v>
      </c>
      <c r="S28">
        <v>306</v>
      </c>
      <c r="T28">
        <v>353</v>
      </c>
      <c r="U28" s="2">
        <v>294</v>
      </c>
      <c r="V28" s="2">
        <v>0</v>
      </c>
      <c r="W28">
        <v>453</v>
      </c>
      <c r="X28" s="2">
        <f>+X27*0.15</f>
        <v>397.1682899999999</v>
      </c>
      <c r="Y28" s="2">
        <f>+Y27*0.15</f>
        <v>408.95428499999997</v>
      </c>
      <c r="Z28" s="2">
        <f>+Z27*0.15</f>
        <v>433.92244499999993</v>
      </c>
      <c r="AM28">
        <v>350</v>
      </c>
      <c r="AN28">
        <v>0</v>
      </c>
      <c r="AO28">
        <v>539</v>
      </c>
      <c r="AP28">
        <v>390</v>
      </c>
      <c r="AQ28">
        <v>497</v>
      </c>
      <c r="AR28" s="2">
        <f t="shared" ref="AR28" si="105">SUM(G28:J28)</f>
        <v>1200</v>
      </c>
      <c r="AS28" s="2">
        <f>SUM(K28:N28)</f>
        <v>1446</v>
      </c>
      <c r="AT28" s="2">
        <f>SUM(O28:R28)</f>
        <v>1270</v>
      </c>
      <c r="AU28" s="2">
        <f t="shared" ref="AU28" si="106">SUM(S28:V28)</f>
        <v>953</v>
      </c>
      <c r="AV28" s="2">
        <f t="shared" si="96"/>
        <v>1693.0450199999998</v>
      </c>
      <c r="AW28" s="2">
        <f>AW27*0.15</f>
        <v>1638.210972749999</v>
      </c>
      <c r="AX28" s="2">
        <f t="shared" ref="AX28:BA28" si="107">AX27*0.15</f>
        <v>1819.0000042098743</v>
      </c>
      <c r="AY28" s="2">
        <f t="shared" si="107"/>
        <v>2011.0016303250934</v>
      </c>
      <c r="AZ28" s="2">
        <f t="shared" si="107"/>
        <v>2169.908759011541</v>
      </c>
      <c r="BA28" s="2">
        <f t="shared" si="107"/>
        <v>2338.6657792932879</v>
      </c>
      <c r="BB28" s="2">
        <f t="shared" ref="BB28" si="108">BB27*0.15</f>
        <v>2517.8288593141338</v>
      </c>
      <c r="BC28" s="2">
        <f t="shared" ref="BC28" si="109">BC27*0.15</f>
        <v>2165.4435701177058</v>
      </c>
      <c r="BD28" s="2">
        <f t="shared" ref="BD28" si="110">BD27*0.15</f>
        <v>2252.1195101977191</v>
      </c>
      <c r="BE28" s="2">
        <f t="shared" ref="BE28" si="111">BE27*0.15</f>
        <v>2342.4813601289575</v>
      </c>
      <c r="BF28" s="2">
        <f t="shared" ref="BF28" si="112">BF27*0.15</f>
        <v>2436.693978789398</v>
      </c>
    </row>
    <row r="29" spans="2:125" x14ac:dyDescent="0.2">
      <c r="B29" s="2" t="s">
        <v>44</v>
      </c>
      <c r="G29" s="4">
        <f t="shared" ref="G29:J29" si="113">+G27-G28</f>
        <v>2305</v>
      </c>
      <c r="H29" s="4">
        <f t="shared" si="113"/>
        <v>1693</v>
      </c>
      <c r="I29" s="4">
        <f t="shared" si="113"/>
        <v>2624</v>
      </c>
      <c r="J29" s="4">
        <f t="shared" si="113"/>
        <v>2437</v>
      </c>
      <c r="K29" s="4">
        <f t="shared" ref="K29:X29" si="114">+K27-K28</f>
        <v>2956</v>
      </c>
      <c r="L29" s="4">
        <f t="shared" si="114"/>
        <v>2525</v>
      </c>
      <c r="M29" s="4">
        <f t="shared" si="114"/>
        <v>1949</v>
      </c>
      <c r="N29" s="4">
        <f t="shared" si="114"/>
        <v>1863</v>
      </c>
      <c r="O29" s="4">
        <f t="shared" si="114"/>
        <v>1871</v>
      </c>
      <c r="P29" s="2">
        <f t="shared" si="114"/>
        <v>1975</v>
      </c>
      <c r="Q29" s="2">
        <f t="shared" si="114"/>
        <v>2059</v>
      </c>
      <c r="R29" s="2">
        <f t="shared" si="114"/>
        <v>2188</v>
      </c>
      <c r="S29" s="2">
        <f t="shared" si="114"/>
        <v>1790</v>
      </c>
      <c r="T29" s="2">
        <f t="shared" si="114"/>
        <v>2055</v>
      </c>
      <c r="U29" s="2">
        <f t="shared" si="114"/>
        <v>1710.3899999999994</v>
      </c>
      <c r="V29" s="2">
        <f t="shared" si="114"/>
        <v>2485</v>
      </c>
      <c r="W29" s="2">
        <f t="shared" si="114"/>
        <v>1738</v>
      </c>
      <c r="X29" s="2">
        <f t="shared" si="114"/>
        <v>2250.6203099999993</v>
      </c>
      <c r="Y29" s="2">
        <f t="shared" ref="Y29" si="115">+Y27-Y28</f>
        <v>2317.4076150000001</v>
      </c>
      <c r="Z29" s="2">
        <f t="shared" ref="Z29" si="116">+Z27-Z28</f>
        <v>2458.8938549999993</v>
      </c>
      <c r="AM29" s="2">
        <f t="shared" ref="AM29:AW29" si="117">+AM27-AM28</f>
        <v>3913</v>
      </c>
      <c r="AN29" s="2">
        <f t="shared" si="117"/>
        <v>1346</v>
      </c>
      <c r="AO29" s="2">
        <f t="shared" si="117"/>
        <v>4707</v>
      </c>
      <c r="AP29" s="2">
        <f t="shared" si="117"/>
        <v>5693</v>
      </c>
      <c r="AQ29" s="2">
        <f t="shared" si="117"/>
        <v>6595</v>
      </c>
      <c r="AR29" s="2">
        <f t="shared" si="117"/>
        <v>9059</v>
      </c>
      <c r="AS29" s="2">
        <f t="shared" si="117"/>
        <v>9296</v>
      </c>
      <c r="AT29" s="2">
        <f t="shared" si="117"/>
        <v>8093</v>
      </c>
      <c r="AU29" s="2">
        <f t="shared" si="117"/>
        <v>8430.9999999999927</v>
      </c>
      <c r="AV29" s="2">
        <f t="shared" si="117"/>
        <v>8764.9217800000042</v>
      </c>
      <c r="AW29" s="2">
        <f t="shared" si="117"/>
        <v>9283.1955122499949</v>
      </c>
      <c r="AX29" s="2">
        <f t="shared" ref="AX29:BA29" si="118">+AX27-AX28</f>
        <v>10307.666690522621</v>
      </c>
      <c r="AY29" s="2">
        <f t="shared" si="118"/>
        <v>11395.675905175529</v>
      </c>
      <c r="AZ29" s="2">
        <f t="shared" si="118"/>
        <v>12296.149634398731</v>
      </c>
      <c r="BA29" s="2">
        <f t="shared" si="118"/>
        <v>13252.439415995299</v>
      </c>
      <c r="BB29" s="2">
        <f t="shared" ref="BB29:BF29" si="119">+BB27-BB28</f>
        <v>14267.696869446758</v>
      </c>
      <c r="BC29" s="2">
        <f t="shared" si="119"/>
        <v>12270.846897333668</v>
      </c>
      <c r="BD29" s="2">
        <f t="shared" si="119"/>
        <v>12762.010557787076</v>
      </c>
      <c r="BE29" s="2">
        <f t="shared" si="119"/>
        <v>13274.061040730761</v>
      </c>
      <c r="BF29" s="2">
        <f t="shared" si="119"/>
        <v>13807.932546473257</v>
      </c>
      <c r="BG29" s="2">
        <f t="shared" ref="BG29:CL29" si="120">BF29*(1+$BI$35)</f>
        <v>13669.853221008525</v>
      </c>
      <c r="BH29" s="2">
        <f t="shared" si="120"/>
        <v>13533.15468879844</v>
      </c>
      <c r="BI29" s="2">
        <f t="shared" si="120"/>
        <v>13397.823141910456</v>
      </c>
      <c r="BJ29" s="2">
        <f t="shared" si="120"/>
        <v>13263.844910491351</v>
      </c>
      <c r="BK29" s="2">
        <f t="shared" si="120"/>
        <v>13131.206461386437</v>
      </c>
      <c r="BL29" s="2">
        <f t="shared" si="120"/>
        <v>12999.894396772572</v>
      </c>
      <c r="BM29" s="2">
        <f t="shared" si="120"/>
        <v>12869.895452804845</v>
      </c>
      <c r="BN29" s="2">
        <f t="shared" si="120"/>
        <v>12741.196498276797</v>
      </c>
      <c r="BO29" s="2">
        <f t="shared" si="120"/>
        <v>12613.784533294029</v>
      </c>
      <c r="BP29" s="2">
        <f t="shared" si="120"/>
        <v>12487.646687961089</v>
      </c>
      <c r="BQ29" s="2">
        <f t="shared" si="120"/>
        <v>12362.770221081479</v>
      </c>
      <c r="BR29" s="2">
        <f t="shared" si="120"/>
        <v>12239.142518870663</v>
      </c>
      <c r="BS29" s="2">
        <f t="shared" si="120"/>
        <v>12116.751093681956</v>
      </c>
      <c r="BT29" s="2">
        <f t="shared" si="120"/>
        <v>11995.583582745137</v>
      </c>
      <c r="BU29" s="2">
        <f t="shared" si="120"/>
        <v>11875.627746917686</v>
      </c>
      <c r="BV29" s="2">
        <f t="shared" si="120"/>
        <v>11756.871469448508</v>
      </c>
      <c r="BW29" s="2">
        <f t="shared" si="120"/>
        <v>11639.302754754022</v>
      </c>
      <c r="BX29" s="2">
        <f t="shared" si="120"/>
        <v>11522.909727206483</v>
      </c>
      <c r="BY29" s="2">
        <f t="shared" si="120"/>
        <v>11407.680629934417</v>
      </c>
      <c r="BZ29" s="2">
        <f t="shared" si="120"/>
        <v>11293.603823635072</v>
      </c>
      <c r="CA29" s="2">
        <f t="shared" si="120"/>
        <v>11180.667785398722</v>
      </c>
      <c r="CB29" s="2">
        <f t="shared" si="120"/>
        <v>11068.861107544735</v>
      </c>
      <c r="CC29" s="2">
        <f t="shared" si="120"/>
        <v>10958.172496469288</v>
      </c>
      <c r="CD29" s="2">
        <f t="shared" si="120"/>
        <v>10848.590771504594</v>
      </c>
      <c r="CE29" s="2">
        <f t="shared" si="120"/>
        <v>10740.104863789547</v>
      </c>
      <c r="CF29" s="2">
        <f t="shared" si="120"/>
        <v>10632.703815151652</v>
      </c>
      <c r="CG29" s="2">
        <f t="shared" si="120"/>
        <v>10526.376777000136</v>
      </c>
      <c r="CH29" s="2">
        <f t="shared" si="120"/>
        <v>10421.113009230134</v>
      </c>
      <c r="CI29" s="2">
        <f t="shared" si="120"/>
        <v>10316.901879137833</v>
      </c>
      <c r="CJ29" s="2">
        <f t="shared" si="120"/>
        <v>10213.732860346454</v>
      </c>
      <c r="CK29" s="2">
        <f t="shared" si="120"/>
        <v>10111.595531742989</v>
      </c>
      <c r="CL29" s="2">
        <f t="shared" si="120"/>
        <v>10010.47957642556</v>
      </c>
      <c r="CM29" s="2">
        <f t="shared" ref="CM29:DU29" si="121">CL29*(1+$BI$35)</f>
        <v>9910.3747806613046</v>
      </c>
      <c r="CN29" s="2">
        <f t="shared" si="121"/>
        <v>9811.2710328546909</v>
      </c>
      <c r="CO29" s="2">
        <f t="shared" si="121"/>
        <v>9713.1583225261438</v>
      </c>
      <c r="CP29" s="2">
        <f t="shared" si="121"/>
        <v>9616.0267393008817</v>
      </c>
      <c r="CQ29" s="2">
        <f t="shared" si="121"/>
        <v>9519.8664719078733</v>
      </c>
      <c r="CR29" s="2">
        <f t="shared" si="121"/>
        <v>9424.6678071887945</v>
      </c>
      <c r="CS29" s="2">
        <f t="shared" si="121"/>
        <v>9330.4211291169067</v>
      </c>
      <c r="CT29" s="2">
        <f t="shared" si="121"/>
        <v>9237.1169178257369</v>
      </c>
      <c r="CU29" s="2">
        <f t="shared" si="121"/>
        <v>9144.7457486474796</v>
      </c>
      <c r="CV29" s="2">
        <f t="shared" si="121"/>
        <v>9053.2982911610052</v>
      </c>
      <c r="CW29" s="2">
        <f t="shared" si="121"/>
        <v>8962.7653082493944</v>
      </c>
      <c r="CX29" s="2">
        <f t="shared" si="121"/>
        <v>8873.1376551669</v>
      </c>
      <c r="CY29" s="2">
        <f t="shared" si="121"/>
        <v>8784.4062786152317</v>
      </c>
      <c r="CZ29" s="2">
        <f t="shared" si="121"/>
        <v>8696.5622158290789</v>
      </c>
      <c r="DA29" s="2">
        <f t="shared" si="121"/>
        <v>8609.5965936707889</v>
      </c>
      <c r="DB29" s="2">
        <f t="shared" si="121"/>
        <v>8523.5006277340817</v>
      </c>
      <c r="DC29" s="2">
        <f t="shared" si="121"/>
        <v>8438.2656214567414</v>
      </c>
      <c r="DD29" s="2">
        <f t="shared" si="121"/>
        <v>8353.8829652421737</v>
      </c>
      <c r="DE29" s="2">
        <f t="shared" si="121"/>
        <v>8270.3441355897521</v>
      </c>
      <c r="DF29" s="2">
        <f t="shared" si="121"/>
        <v>8187.6406942338544</v>
      </c>
      <c r="DG29" s="2">
        <f t="shared" si="121"/>
        <v>8105.7642872915158</v>
      </c>
      <c r="DH29" s="2">
        <f t="shared" si="121"/>
        <v>8024.7066444186003</v>
      </c>
      <c r="DI29" s="2">
        <f t="shared" si="121"/>
        <v>7944.4595779744141</v>
      </c>
      <c r="DJ29" s="2">
        <f t="shared" si="121"/>
        <v>7865.0149821946698</v>
      </c>
      <c r="DK29" s="2">
        <f t="shared" si="121"/>
        <v>7786.364832372723</v>
      </c>
      <c r="DL29" s="2">
        <f t="shared" si="121"/>
        <v>7708.501184048996</v>
      </c>
      <c r="DM29" s="2">
        <f t="shared" si="121"/>
        <v>7631.4161722085064</v>
      </c>
      <c r="DN29" s="2">
        <f t="shared" si="121"/>
        <v>7555.102010486421</v>
      </c>
      <c r="DO29" s="2">
        <f t="shared" si="121"/>
        <v>7479.5509903815564</v>
      </c>
      <c r="DP29" s="2">
        <f t="shared" si="121"/>
        <v>7404.755480477741</v>
      </c>
      <c r="DQ29" s="2">
        <f t="shared" si="121"/>
        <v>7330.7079256729639</v>
      </c>
      <c r="DR29" s="2">
        <f t="shared" si="121"/>
        <v>7257.4008464162343</v>
      </c>
      <c r="DS29" s="2">
        <f t="shared" si="121"/>
        <v>7184.8268379520723</v>
      </c>
      <c r="DT29" s="2">
        <f t="shared" si="121"/>
        <v>7112.9785695725514</v>
      </c>
      <c r="DU29" s="2">
        <f t="shared" si="121"/>
        <v>7041.848783876826</v>
      </c>
    </row>
    <row r="30" spans="2:125" x14ac:dyDescent="0.2">
      <c r="B30" s="2" t="s">
        <v>45</v>
      </c>
      <c r="G30" s="7" t="e">
        <f t="shared" ref="G30:O30" si="122">+G29/G31</f>
        <v>#DIV/0!</v>
      </c>
      <c r="H30" s="7">
        <f t="shared" si="122"/>
        <v>0.94408064779657819</v>
      </c>
      <c r="I30" s="7">
        <f t="shared" si="122"/>
        <v>1.4667420160659677</v>
      </c>
      <c r="J30" s="7">
        <f t="shared" si="122"/>
        <v>1.3675645342312008</v>
      </c>
      <c r="K30" s="7">
        <f t="shared" si="122"/>
        <v>1.6657819313377762</v>
      </c>
      <c r="L30" s="7">
        <f t="shared" si="122"/>
        <v>1.4302197213988626</v>
      </c>
      <c r="M30" s="7">
        <f t="shared" si="122"/>
        <v>1.1050926684557563</v>
      </c>
      <c r="N30" s="7">
        <f t="shared" si="122"/>
        <v>1.0621436716077537</v>
      </c>
      <c r="O30" s="7">
        <f t="shared" si="122"/>
        <v>1.0679223744292237</v>
      </c>
      <c r="P30" s="1">
        <f t="shared" ref="P30:X30" si="123">+P29/P31</f>
        <v>1.1279268989149058</v>
      </c>
      <c r="Q30" s="1">
        <f t="shared" si="123"/>
        <v>1.1779176201372998</v>
      </c>
      <c r="R30" s="1">
        <f t="shared" si="123"/>
        <v>1.2517162471395882</v>
      </c>
      <c r="S30" s="1">
        <f t="shared" si="123"/>
        <v>1.0228571428571429</v>
      </c>
      <c r="T30" s="1">
        <f t="shared" si="123"/>
        <v>1.1736150770988008</v>
      </c>
      <c r="U30" s="1">
        <f t="shared" si="123"/>
        <v>0.97870962241294723</v>
      </c>
      <c r="V30" s="1">
        <f t="shared" si="123"/>
        <v>1.4232531500572738</v>
      </c>
      <c r="W30" s="1">
        <f t="shared" si="123"/>
        <v>0.99472304575268133</v>
      </c>
      <c r="X30" s="1">
        <f t="shared" si="123"/>
        <v>1.2881150112750537</v>
      </c>
      <c r="Y30" s="1">
        <f t="shared" ref="Y30" si="124">+Y29/Y31</f>
        <v>1.3263399085404242</v>
      </c>
      <c r="Z30" s="1">
        <f t="shared" ref="Z30" si="125">+Z29/Z31</f>
        <v>1.407317827749224</v>
      </c>
      <c r="AM30" s="1">
        <f>+AM29/AM31</f>
        <v>2.6385704652730952</v>
      </c>
      <c r="AN30" s="1">
        <f>+AN29/AN31</f>
        <v>0.76958261863922239</v>
      </c>
      <c r="AO30" s="1">
        <f>+AO29/AO31</f>
        <v>2.659322033898305</v>
      </c>
      <c r="AP30" s="1">
        <f t="shared" ref="AP30:AW30" si="126">+AP29/AP31</f>
        <v>3.1965188096574959</v>
      </c>
      <c r="AQ30" s="1">
        <f t="shared" si="126"/>
        <v>3.692609182530795</v>
      </c>
      <c r="AR30" s="1">
        <f t="shared" si="126"/>
        <v>5.0662922391419682</v>
      </c>
      <c r="AS30" s="1">
        <f t="shared" si="126"/>
        <v>5.2686032675428587</v>
      </c>
      <c r="AT30" s="1">
        <f t="shared" si="126"/>
        <v>4.625232176025146</v>
      </c>
      <c r="AU30" s="1">
        <f t="shared" si="126"/>
        <v>4.8214357453331438</v>
      </c>
      <c r="AV30" s="1">
        <f t="shared" si="126"/>
        <v>5.0164957933173868</v>
      </c>
      <c r="AW30" s="1">
        <f t="shared" si="126"/>
        <v>5.3131234259280431</v>
      </c>
      <c r="AX30" s="1">
        <f t="shared" ref="AX30:BA30" si="127">+AX29/AX31</f>
        <v>5.8994669764097374</v>
      </c>
      <c r="AY30" s="1">
        <f t="shared" si="127"/>
        <v>6.5221757449980702</v>
      </c>
      <c r="AZ30" s="1">
        <f t="shared" si="127"/>
        <v>7.0375508718986337</v>
      </c>
      <c r="BA30" s="1">
        <f t="shared" si="127"/>
        <v>7.5848716337927096</v>
      </c>
      <c r="BB30" s="1">
        <f t="shared" ref="BB30:BF30" si="128">+BB29/BB31</f>
        <v>8.1659418215489499</v>
      </c>
      <c r="BC30" s="1">
        <f t="shared" si="128"/>
        <v>7.0230691597701878</v>
      </c>
      <c r="BD30" s="1">
        <f t="shared" si="128"/>
        <v>7.304180674320965</v>
      </c>
      <c r="BE30" s="1">
        <f t="shared" si="128"/>
        <v>7.5972465062961509</v>
      </c>
      <c r="BF30" s="1">
        <f t="shared" si="128"/>
        <v>7.9028013338178686</v>
      </c>
    </row>
    <row r="31" spans="2:125" s="2" customFormat="1" x14ac:dyDescent="0.2">
      <c r="B31" s="2" t="s">
        <v>1</v>
      </c>
      <c r="C31" s="4"/>
      <c r="D31" s="4"/>
      <c r="E31" s="4"/>
      <c r="F31" s="4"/>
      <c r="G31" s="4"/>
      <c r="H31" s="4">
        <v>1793.279</v>
      </c>
      <c r="I31" s="4">
        <v>1788.999</v>
      </c>
      <c r="J31" s="4">
        <v>1782</v>
      </c>
      <c r="K31" s="4">
        <v>1774.5419999999999</v>
      </c>
      <c r="L31" s="4">
        <v>1765.463</v>
      </c>
      <c r="M31" s="4">
        <v>1763.653</v>
      </c>
      <c r="N31" s="4">
        <v>1754</v>
      </c>
      <c r="O31" s="2">
        <v>1752</v>
      </c>
      <c r="P31" s="2">
        <v>1751</v>
      </c>
      <c r="Q31" s="2">
        <v>1748</v>
      </c>
      <c r="R31" s="2">
        <v>1748</v>
      </c>
      <c r="S31" s="2">
        <v>1750</v>
      </c>
      <c r="T31" s="2">
        <v>1751</v>
      </c>
      <c r="U31" s="2">
        <v>1747.597</v>
      </c>
      <c r="V31" s="2">
        <v>1746</v>
      </c>
      <c r="W31" s="2">
        <v>1747.22</v>
      </c>
      <c r="X31" s="2">
        <f>+W31</f>
        <v>1747.22</v>
      </c>
      <c r="Y31" s="2">
        <f t="shared" ref="Y31:Z31" si="129">+X31</f>
        <v>1747.22</v>
      </c>
      <c r="Z31" s="2">
        <f t="shared" si="129"/>
        <v>1747.22</v>
      </c>
      <c r="AM31" s="2">
        <v>1483</v>
      </c>
      <c r="AN31" s="2">
        <v>1749</v>
      </c>
      <c r="AO31" s="2">
        <v>1770</v>
      </c>
      <c r="AP31" s="2">
        <v>1781</v>
      </c>
      <c r="AQ31" s="2">
        <v>1786</v>
      </c>
      <c r="AR31" s="2">
        <f>AVERAGE(G31:J31)</f>
        <v>1788.0926666666667</v>
      </c>
      <c r="AS31" s="2">
        <f>AVERAGE(K31:N31)</f>
        <v>1764.4145000000001</v>
      </c>
      <c r="AT31" s="2">
        <f>AVERAGE(O31:R31)</f>
        <v>1749.75</v>
      </c>
      <c r="AU31" s="2">
        <f>AVERAGE(S31:V31)</f>
        <v>1748.6492499999999</v>
      </c>
      <c r="AV31" s="2">
        <f>AVERAGE(W31:Z31)</f>
        <v>1747.22</v>
      </c>
      <c r="AW31" s="2">
        <f>+AV31</f>
        <v>1747.22</v>
      </c>
      <c r="AX31" s="2">
        <f t="shared" ref="AX31:BA31" si="130">+AW31</f>
        <v>1747.22</v>
      </c>
      <c r="AY31" s="2">
        <f t="shared" si="130"/>
        <v>1747.22</v>
      </c>
      <c r="AZ31" s="2">
        <f t="shared" si="130"/>
        <v>1747.22</v>
      </c>
      <c r="BA31" s="2">
        <f t="shared" si="130"/>
        <v>1747.22</v>
      </c>
      <c r="BB31" s="2">
        <f t="shared" ref="BB31:BF31" si="131">+BA31</f>
        <v>1747.22</v>
      </c>
      <c r="BC31" s="2">
        <f t="shared" si="131"/>
        <v>1747.22</v>
      </c>
      <c r="BD31" s="2">
        <f t="shared" si="131"/>
        <v>1747.22</v>
      </c>
      <c r="BE31" s="2">
        <f t="shared" si="131"/>
        <v>1747.22</v>
      </c>
      <c r="BF31" s="2">
        <f t="shared" si="131"/>
        <v>1747.22</v>
      </c>
    </row>
    <row r="33" spans="2:61" s="10" customFormat="1" x14ac:dyDescent="0.2">
      <c r="B33" s="5" t="s">
        <v>46</v>
      </c>
      <c r="C33" s="8"/>
      <c r="D33" s="8"/>
      <c r="E33" s="8"/>
      <c r="F33" s="8"/>
      <c r="G33" s="8"/>
      <c r="H33" s="8"/>
      <c r="I33" s="8"/>
      <c r="J33" s="8"/>
      <c r="K33" s="9">
        <f>K19/G19-1</f>
        <v>0.13762433052792655</v>
      </c>
      <c r="L33" s="9">
        <f>L19/H19-1</f>
        <v>0.10114447813753302</v>
      </c>
      <c r="M33" s="9">
        <f>M19/I19-1</f>
        <v>-4.767569546120054E-2</v>
      </c>
      <c r="N33" s="9">
        <f>N19/J19-1</f>
        <v>-0.12033484478549006</v>
      </c>
      <c r="O33" s="13">
        <f t="shared" ref="O33" si="132">+O19/K19-1</f>
        <v>-0.18083228247162675</v>
      </c>
      <c r="P33" s="13">
        <f t="shared" ref="P33:Z33" si="133">+P19/L19-1</f>
        <v>-0.11388469396819756</v>
      </c>
      <c r="Q33" s="13">
        <f t="shared" si="133"/>
        <v>-2.57518977611223E-2</v>
      </c>
      <c r="R33" s="13">
        <f t="shared" si="133"/>
        <v>1.4770023790642295E-2</v>
      </c>
      <c r="S33" s="13">
        <f t="shared" si="133"/>
        <v>2.2557471264367912E-2</v>
      </c>
      <c r="T33" s="13">
        <f t="shared" si="133"/>
        <v>3.9899749373433657E-2</v>
      </c>
      <c r="U33" s="13">
        <f t="shared" si="133"/>
        <v>1.0000000000000009E-2</v>
      </c>
      <c r="V33" s="13">
        <f t="shared" si="133"/>
        <v>7.1993748168408755E-2</v>
      </c>
      <c r="W33" s="13">
        <f t="shared" si="133"/>
        <v>3.9563218852245008E-2</v>
      </c>
      <c r="X33" s="13">
        <f t="shared" si="133"/>
        <v>4.4633182300202412E-2</v>
      </c>
      <c r="Y33" s="13">
        <f t="shared" si="133"/>
        <v>8.4203824268411775E-2</v>
      </c>
      <c r="Z33" s="13">
        <f t="shared" si="133"/>
        <v>4.6162748314197311E-2</v>
      </c>
      <c r="AL33" s="13">
        <f t="shared" ref="AL33:AQ33" si="134">+AL19/AK19-1</f>
        <v>7.8036252284288121E-3</v>
      </c>
      <c r="AM33" s="13">
        <f t="shared" si="134"/>
        <v>2.1955403087478453E-2</v>
      </c>
      <c r="AN33" s="13">
        <f t="shared" si="134"/>
        <v>0.31348007480938</v>
      </c>
      <c r="AO33" s="13">
        <f t="shared" si="134"/>
        <v>0.11639284410368744</v>
      </c>
      <c r="AP33" s="13">
        <f t="shared" si="134"/>
        <v>4.3364510432337022E-2</v>
      </c>
      <c r="AQ33" s="13">
        <f t="shared" si="134"/>
        <v>8.4754262788365065E-2</v>
      </c>
      <c r="AR33" s="13">
        <f t="shared" ref="AR33:AV33" si="135">+AR19/AQ19-1</f>
        <v>0.2446544151641239</v>
      </c>
      <c r="AS33" s="13">
        <f t="shared" si="135"/>
        <v>1.3348810214741658E-2</v>
      </c>
      <c r="AT33" s="13">
        <f t="shared" si="135"/>
        <v>-8.1443298969072209E-2</v>
      </c>
      <c r="AU33" s="13">
        <f t="shared" si="135"/>
        <v>4.6060606060605913E-2</v>
      </c>
      <c r="AV33" s="13">
        <f t="shared" si="135"/>
        <v>4.3761593446156599E-2</v>
      </c>
      <c r="AW33" s="13">
        <f t="shared" ref="AW33" si="136">+AW19/AV19-1</f>
        <v>4.5219908792787811E-2</v>
      </c>
      <c r="AX33" s="13">
        <f t="shared" ref="AX33" si="137">+AX19/AW19-1</f>
        <v>4.5940943198117923E-2</v>
      </c>
      <c r="AY33" s="13">
        <f t="shared" ref="AY33" si="138">+AY19/AX19-1</f>
        <v>4.5288204815356226E-2</v>
      </c>
      <c r="AZ33" s="13">
        <f t="shared" ref="AZ33" si="139">+AZ19/AY19-1</f>
        <v>3.4176282958429116E-2</v>
      </c>
      <c r="BA33" s="13">
        <f t="shared" ref="BA33" si="140">+BA19/AZ19-1</f>
        <v>3.4240183398719592E-2</v>
      </c>
    </row>
    <row r="34" spans="2:61" x14ac:dyDescent="0.2">
      <c r="B34" s="2" t="s">
        <v>135</v>
      </c>
      <c r="I34" s="14"/>
      <c r="J34" s="14"/>
      <c r="K34" s="14">
        <f t="shared" ref="K34" si="141">+K18/G18-1</f>
        <v>0.1489795918367347</v>
      </c>
      <c r="L34" s="14">
        <f t="shared" ref="L34" si="142">+L18/H18-1</f>
        <v>0.1287878787878789</v>
      </c>
      <c r="M34" s="14">
        <f t="shared" ref="M34" si="143">+M18/I18-1</f>
        <v>4.1034790365744866E-2</v>
      </c>
      <c r="N34" s="14">
        <f t="shared" ref="N34" si="144">+N18/J18-1</f>
        <v>8.5397096498718961E-2</v>
      </c>
      <c r="O34" s="14">
        <f t="shared" ref="O34" si="145">+O18/K18-1</f>
        <v>0.1660746003552398</v>
      </c>
      <c r="P34" s="14">
        <f t="shared" ref="P34" si="146">+P18/L18-1</f>
        <v>0.19463087248322153</v>
      </c>
      <c r="Q34" s="14">
        <f t="shared" ref="Q34" si="147">+Q18/M18-1</f>
        <v>0.26135389888603267</v>
      </c>
      <c r="R34" s="14">
        <f t="shared" ref="R34" si="148">+R18/N18-1</f>
        <v>0.22108575924468932</v>
      </c>
      <c r="S34" s="14">
        <f t="shared" ref="S34" si="149">+S18/O18-1</f>
        <v>0.19497334348819506</v>
      </c>
      <c r="T34" s="14">
        <f t="shared" ref="T34" si="150">+T18/P18-1</f>
        <v>0.15730337078651679</v>
      </c>
      <c r="U34" s="14">
        <f t="shared" ref="U34:V34" si="151">+U18/Q18-1</f>
        <v>0.171875</v>
      </c>
      <c r="V34" s="14">
        <f t="shared" si="151"/>
        <v>0.20038659793814428</v>
      </c>
      <c r="W34" s="14">
        <f>+W18/S18-1</f>
        <v>0.1644359464627152</v>
      </c>
      <c r="X34" s="14">
        <f t="shared" ref="X34:Z34" si="152">+X18/T18-1</f>
        <v>0.14999999999999991</v>
      </c>
      <c r="Y34" s="14">
        <f t="shared" si="152"/>
        <v>0.14999999999999991</v>
      </c>
      <c r="Z34" s="14">
        <f t="shared" si="152"/>
        <v>0.14999999999999991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H34" t="s">
        <v>140</v>
      </c>
      <c r="BI34" s="14">
        <v>7.0000000000000007E-2</v>
      </c>
    </row>
    <row r="35" spans="2:61" x14ac:dyDescent="0.2">
      <c r="B35" s="2" t="s">
        <v>136</v>
      </c>
      <c r="I35" s="14"/>
      <c r="J35" s="14"/>
      <c r="K35" s="14"/>
      <c r="L35" s="14"/>
      <c r="M35" s="14"/>
      <c r="N35" s="14">
        <f t="shared" ref="N35" si="153">+N17/J17-1</f>
        <v>-0.10766961651917406</v>
      </c>
      <c r="O35" s="14">
        <f t="shared" ref="O35" si="154">+O17/K17-1</f>
        <v>-3.231017770597755E-3</v>
      </c>
      <c r="P35" s="14">
        <f t="shared" ref="P35" si="155">+P17/L17-1</f>
        <v>9.4946401225114885E-2</v>
      </c>
      <c r="Q35" s="14">
        <f t="shared" ref="Q35" si="156">+Q17/M17-1</f>
        <v>0.10891089108910901</v>
      </c>
      <c r="R35" s="14">
        <f t="shared" ref="R35" si="157">+R17/N17-1</f>
        <v>0.11900826446280988</v>
      </c>
      <c r="S35" s="14">
        <f t="shared" ref="S35:V35" si="158">+S17/O17-1</f>
        <v>0.11669367909238249</v>
      </c>
      <c r="T35" s="14">
        <f t="shared" si="158"/>
        <v>1.2587412587412583E-2</v>
      </c>
      <c r="U35" s="14">
        <f t="shared" si="158"/>
        <v>4.0178571428571397E-2</v>
      </c>
      <c r="V35" s="14">
        <f t="shared" si="158"/>
        <v>7.0901033973412186E-2</v>
      </c>
      <c r="W35" s="14">
        <f>+W17/S17-1</f>
        <v>3.0478955007256836E-2</v>
      </c>
      <c r="X35" s="14">
        <f t="shared" ref="X35:Z35" si="159">+X17/T17-1</f>
        <v>3.0000000000000027E-2</v>
      </c>
      <c r="Y35" s="14">
        <f t="shared" si="159"/>
        <v>3.0000000000000027E-2</v>
      </c>
      <c r="Z35" s="14">
        <f t="shared" si="159"/>
        <v>3.0000000000000027E-2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H35" t="s">
        <v>141</v>
      </c>
      <c r="BI35" s="14">
        <v>-0.01</v>
      </c>
    </row>
    <row r="36" spans="2:61" x14ac:dyDescent="0.2">
      <c r="B36" s="2" t="s">
        <v>137</v>
      </c>
      <c r="I36" s="14"/>
      <c r="J36" s="14"/>
      <c r="K36" s="14"/>
      <c r="L36" s="14"/>
      <c r="M36" s="14"/>
      <c r="N36" s="14"/>
      <c r="O36" s="14"/>
      <c r="P36" s="14">
        <f t="shared" ref="P36:P37" si="160">+P22/L22-1</f>
        <v>-1.4145810663764968E-2</v>
      </c>
      <c r="Q36" s="14">
        <f t="shared" ref="Q36:Q37" si="161">+Q22/M22-1</f>
        <v>-1.8674478213108747E-2</v>
      </c>
      <c r="R36" s="14">
        <f t="shared" ref="R36:R37" si="162">+R22/N22-1</f>
        <v>-4.9487451396253102E-2</v>
      </c>
      <c r="S36" s="14">
        <f t="shared" ref="S36:V37" si="163">+S22/O22-1</f>
        <v>5.901520637219404E-2</v>
      </c>
      <c r="T36" s="14">
        <f t="shared" si="163"/>
        <v>5.9234731420161779E-2</v>
      </c>
      <c r="U36" s="14">
        <f t="shared" si="163"/>
        <v>8.0223880597015018E-2</v>
      </c>
      <c r="V36" s="14">
        <f t="shared" si="163"/>
        <v>8.107103012272221E-2</v>
      </c>
      <c r="W36" s="14">
        <f>+W22/S22-1</f>
        <v>4.6495726495726419E-2</v>
      </c>
      <c r="X36" s="14">
        <f t="shared" ref="X36:Z37" si="164">+X22/T22-1</f>
        <v>2.0000000000000018E-2</v>
      </c>
      <c r="Y36" s="14">
        <f t="shared" si="164"/>
        <v>2.0000000000000018E-2</v>
      </c>
      <c r="Z36" s="14">
        <f t="shared" si="164"/>
        <v>2.0000000000000018E-2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H36" t="s">
        <v>139</v>
      </c>
      <c r="BI36" s="2">
        <f>NPV(BI34,AW29:DU29)+Main!L5-Main!L6</f>
        <v>165522.8206111856</v>
      </c>
    </row>
    <row r="37" spans="2:61" x14ac:dyDescent="0.2">
      <c r="B37" s="2" t="s">
        <v>138</v>
      </c>
      <c r="I37" s="14"/>
      <c r="J37" s="14"/>
      <c r="K37" s="14"/>
      <c r="L37" s="14"/>
      <c r="M37" s="14"/>
      <c r="N37" s="14"/>
      <c r="O37" s="14"/>
      <c r="P37" s="14">
        <f t="shared" si="160"/>
        <v>-5.9941520467836296E-2</v>
      </c>
      <c r="Q37" s="14">
        <f t="shared" si="161"/>
        <v>-0.19948849104859334</v>
      </c>
      <c r="R37" s="14">
        <f t="shared" si="162"/>
        <v>-4.8929663608562657E-2</v>
      </c>
      <c r="S37" s="14">
        <f t="shared" si="163"/>
        <v>5.5732484076433053E-2</v>
      </c>
      <c r="T37" s="14">
        <f t="shared" si="163"/>
        <v>2.1772939346811793E-2</v>
      </c>
      <c r="U37" s="14">
        <f t="shared" si="163"/>
        <v>0.13897763578274769</v>
      </c>
      <c r="V37" s="14">
        <f t="shared" si="163"/>
        <v>0.20418006430868174</v>
      </c>
      <c r="W37" s="14">
        <f t="shared" ref="W37" si="165">+W23/S23-1</f>
        <v>7.9939668174962231E-2</v>
      </c>
      <c r="X37" s="14">
        <f t="shared" si="164"/>
        <v>2.0000000000000018E-2</v>
      </c>
      <c r="Y37" s="14">
        <f t="shared" si="164"/>
        <v>2.0000000000000018E-2</v>
      </c>
      <c r="Z37" s="14">
        <f t="shared" si="164"/>
        <v>2.0000000000000018E-2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H37" t="s">
        <v>142</v>
      </c>
      <c r="BI37" s="14">
        <v>0.05</v>
      </c>
    </row>
    <row r="38" spans="2:61" x14ac:dyDescent="0.2">
      <c r="B38" s="2" t="s">
        <v>66</v>
      </c>
      <c r="G38" s="12">
        <f>+G21/G19</f>
        <v>0.57909334353481257</v>
      </c>
      <c r="H38" s="12">
        <f>+H21/H19</f>
        <v>0.51609116697642565</v>
      </c>
      <c r="I38" s="12">
        <f>+I21/I19</f>
        <v>0.59525988286969256</v>
      </c>
      <c r="J38" s="12">
        <f>+J21/J19</f>
        <v>0.58440878967561916</v>
      </c>
      <c r="K38" s="12">
        <f t="shared" ref="K38:O38" si="166">+K21/K19</f>
        <v>0.58074821353509876</v>
      </c>
      <c r="L38" s="12">
        <f t="shared" si="166"/>
        <v>0.56178377898196674</v>
      </c>
      <c r="M38" s="12">
        <f t="shared" si="166"/>
        <v>0.55520322859613724</v>
      </c>
      <c r="N38" s="12">
        <f t="shared" si="166"/>
        <v>0.55650277557494054</v>
      </c>
      <c r="O38" s="14">
        <f t="shared" si="166"/>
        <v>0.55880541871921185</v>
      </c>
      <c r="P38" s="14">
        <f t="shared" ref="P38:W38" si="167">+P21/P19</f>
        <v>0.55398496240601502</v>
      </c>
      <c r="Q38" s="14">
        <f t="shared" si="167"/>
        <v>0.55074464937370549</v>
      </c>
      <c r="R38" s="14">
        <f t="shared" si="167"/>
        <v>0.55895281820845955</v>
      </c>
      <c r="S38" s="14">
        <f t="shared" si="167"/>
        <v>0.55671530942010072</v>
      </c>
      <c r="T38" s="14">
        <f t="shared" si="167"/>
        <v>0.56001156849513156</v>
      </c>
      <c r="U38" s="14">
        <f t="shared" si="167"/>
        <v>0.54122841024609414</v>
      </c>
      <c r="V38" s="14">
        <f t="shared" si="167"/>
        <v>0.54966283943867322</v>
      </c>
      <c r="W38" s="14">
        <f t="shared" si="167"/>
        <v>0.56864259509557835</v>
      </c>
      <c r="X38" s="14">
        <f t="shared" ref="X38:Z38" si="168">+X21/X19</f>
        <v>0.56999999999999995</v>
      </c>
      <c r="Y38" s="14">
        <f t="shared" si="168"/>
        <v>0.56999999999999995</v>
      </c>
      <c r="Z38" s="14">
        <f t="shared" si="168"/>
        <v>0.56999999999999995</v>
      </c>
      <c r="AM38" s="14">
        <f>+AM21/AM19</f>
        <v>0.56389967870330404</v>
      </c>
      <c r="AN38" s="14">
        <f>+AN21/AN19</f>
        <v>0.54695144213216507</v>
      </c>
      <c r="AO38" s="14">
        <f>+AO21/AO19</f>
        <v>0.58447249656615863</v>
      </c>
      <c r="AP38" s="14">
        <f>+AP21/AP19</f>
        <v>0.58528711133400202</v>
      </c>
      <c r="AQ38" s="14">
        <f>+AQ21/AQ19</f>
        <v>0.56648751733703195</v>
      </c>
      <c r="AR38" s="14">
        <f t="shared" ref="AR38:BA38" si="169">+AR21/AR19</f>
        <v>0.56965757399883921</v>
      </c>
      <c r="AS38" s="14">
        <f t="shared" si="169"/>
        <v>0.56419243986254297</v>
      </c>
      <c r="AT38" s="14">
        <f t="shared" si="169"/>
        <v>0.55560543708691856</v>
      </c>
      <c r="AU38" s="14">
        <f t="shared" si="169"/>
        <v>0.55603240681134325</v>
      </c>
      <c r="AV38" s="14">
        <f t="shared" si="169"/>
        <v>0.56967882854195462</v>
      </c>
      <c r="AW38" s="14">
        <f t="shared" si="169"/>
        <v>0.56999999999999995</v>
      </c>
      <c r="AX38" s="14">
        <f t="shared" si="169"/>
        <v>0.56999999999999995</v>
      </c>
      <c r="AY38" s="14">
        <f t="shared" si="169"/>
        <v>0.56999999999999995</v>
      </c>
      <c r="AZ38" s="14">
        <f t="shared" si="169"/>
        <v>0.56999999999999995</v>
      </c>
      <c r="BA38" s="14">
        <f t="shared" si="169"/>
        <v>0.56999999999999995</v>
      </c>
      <c r="BH38" t="s">
        <v>143</v>
      </c>
      <c r="BI38" s="1">
        <f>BI36/Main!L3</f>
        <v>94.746892164387859</v>
      </c>
    </row>
    <row r="40" spans="2:61" x14ac:dyDescent="0.2">
      <c r="B40" t="s">
        <v>65</v>
      </c>
      <c r="M40" s="4">
        <f>+M41-M55</f>
        <v>-5743</v>
      </c>
      <c r="W40" s="4">
        <f>+W41-W55</f>
        <v>-5491</v>
      </c>
      <c r="X40" s="2">
        <f>+W40+X29</f>
        <v>-3240.3796900000007</v>
      </c>
      <c r="Y40" s="2">
        <f>+X40+Y29</f>
        <v>-922.97207500000059</v>
      </c>
      <c r="Z40" s="2">
        <f>+Y40+Z29</f>
        <v>1535.9217799999988</v>
      </c>
      <c r="AV40" s="2">
        <f>+Z40</f>
        <v>1535.9217799999988</v>
      </c>
      <c r="AW40" s="2">
        <f>+AV40+AW29</f>
        <v>10819.117292249994</v>
      </c>
      <c r="AX40" s="2">
        <f>+AW40+AX29</f>
        <v>21126.783982772613</v>
      </c>
      <c r="AY40" s="2">
        <f>+AX40+AY29</f>
        <v>32522.459887948142</v>
      </c>
      <c r="AZ40" s="2">
        <f>+AY40+AZ29</f>
        <v>44818.609522346873</v>
      </c>
      <c r="BA40" s="2">
        <f>+AZ40+BA29</f>
        <v>58071.048938342174</v>
      </c>
    </row>
    <row r="41" spans="2:61" s="2" customFormat="1" x14ac:dyDescent="0.2">
      <c r="B41" s="2" t="s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f>9594+313+764</f>
        <v>10671</v>
      </c>
      <c r="N41" s="4"/>
      <c r="W41" s="2">
        <f>6532+312+907</f>
        <v>7751</v>
      </c>
    </row>
    <row r="42" spans="2:61" s="2" customFormat="1" x14ac:dyDescent="0.2">
      <c r="B42" s="2" t="s">
        <v>57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6408</v>
      </c>
      <c r="N42" s="4"/>
      <c r="W42" s="2">
        <v>7327</v>
      </c>
    </row>
    <row r="43" spans="2:61" s="2" customFormat="1" x14ac:dyDescent="0.2">
      <c r="B43" s="2" t="s">
        <v>58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5734</v>
      </c>
      <c r="N43" s="4"/>
      <c r="W43" s="2">
        <v>6639</v>
      </c>
    </row>
    <row r="44" spans="2:61" s="2" customFormat="1" x14ac:dyDescent="0.2">
      <c r="B44" s="2" t="s">
        <v>59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2796</v>
      </c>
      <c r="N44" s="4"/>
      <c r="W44" s="2">
        <v>2343</v>
      </c>
    </row>
    <row r="45" spans="2:61" s="2" customFormat="1" x14ac:dyDescent="0.2">
      <c r="B45" s="2" t="s">
        <v>61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8689</v>
      </c>
      <c r="N45" s="4"/>
      <c r="W45" s="2">
        <v>10932</v>
      </c>
    </row>
    <row r="46" spans="2:61" s="2" customFormat="1" x14ac:dyDescent="0.2">
      <c r="B46" s="2" t="s">
        <v>60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f>10850+22284</f>
        <v>33134</v>
      </c>
      <c r="N46" s="4"/>
      <c r="W46" s="2">
        <f>6261+23359</f>
        <v>29620</v>
      </c>
    </row>
    <row r="47" spans="2:61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5369</v>
      </c>
      <c r="N47" s="4"/>
      <c r="W47" s="2">
        <v>16836</v>
      </c>
    </row>
    <row r="48" spans="2:61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f>SUM(M41:M47)</f>
        <v>72801</v>
      </c>
      <c r="N48" s="4"/>
      <c r="W48" s="2">
        <f>SUM(W41:W47)</f>
        <v>81448</v>
      </c>
    </row>
    <row r="49" spans="2:23" s="2" customForma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23" s="2" customFormat="1" x14ac:dyDescent="0.2">
      <c r="B50" s="2" t="s">
        <v>51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4133</v>
      </c>
      <c r="N50" s="4"/>
      <c r="W50" s="2">
        <v>4214</v>
      </c>
    </row>
    <row r="51" spans="2:23" s="2" customFormat="1" x14ac:dyDescent="0.2">
      <c r="B51" s="2" t="s">
        <v>52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1426</v>
      </c>
      <c r="N51" s="4"/>
      <c r="W51" s="2">
        <v>1167</v>
      </c>
    </row>
    <row r="52" spans="2:23" s="2" customFormat="1" x14ac:dyDescent="0.2">
      <c r="B52" s="2" t="s">
        <v>53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5475</v>
      </c>
      <c r="N52" s="4"/>
      <c r="W52" s="2">
        <v>5600</v>
      </c>
    </row>
    <row r="53" spans="2:23" s="2" customFormat="1" x14ac:dyDescent="0.2">
      <c r="B53" s="2" t="s">
        <v>54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f>820</f>
        <v>820</v>
      </c>
      <c r="N53" s="4"/>
      <c r="W53" s="2">
        <v>1032</v>
      </c>
    </row>
    <row r="54" spans="2:23" s="2" customFormat="1" x14ac:dyDescent="0.2">
      <c r="B54" s="2" t="s">
        <v>43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394</v>
      </c>
      <c r="N54" s="4"/>
      <c r="W54" s="2">
        <v>485</v>
      </c>
    </row>
    <row r="55" spans="2:23" s="2" customFormat="1" x14ac:dyDescent="0.2">
      <c r="B55" s="2" t="s">
        <v>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f>1117+15297</f>
        <v>16414</v>
      </c>
      <c r="N55" s="4"/>
      <c r="W55" s="2">
        <f>506+12736</f>
        <v>13242</v>
      </c>
    </row>
    <row r="56" spans="2:23" s="2" customFormat="1" x14ac:dyDescent="0.2">
      <c r="B56" s="2" t="s">
        <v>55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8255</v>
      </c>
      <c r="N56" s="4"/>
      <c r="W56" s="2">
        <v>6644</v>
      </c>
    </row>
    <row r="57" spans="2:23" s="2" customFormat="1" x14ac:dyDescent="0.2">
      <c r="B57" s="2" t="s">
        <v>56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f>35884</f>
        <v>35884</v>
      </c>
      <c r="N57" s="4"/>
      <c r="W57" s="2">
        <f>49064</f>
        <v>49064</v>
      </c>
    </row>
    <row r="58" spans="2:23" s="2" customFormat="1" x14ac:dyDescent="0.2">
      <c r="B58" s="2" t="s">
        <v>64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f>SUM(M50:M57)</f>
        <v>72801</v>
      </c>
      <c r="N58" s="4"/>
      <c r="W58" s="2">
        <f>SUM(W50:W57)</f>
        <v>81448</v>
      </c>
    </row>
    <row r="60" spans="2:23" s="2" customFormat="1" x14ac:dyDescent="0.2">
      <c r="B60" s="2" t="s">
        <v>130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W60" s="2">
        <f>+W29</f>
        <v>1738</v>
      </c>
    </row>
    <row r="61" spans="2:23" s="2" customFormat="1" x14ac:dyDescent="0.2">
      <c r="B61" s="2" t="s">
        <v>131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W61" s="2">
        <v>1325</v>
      </c>
    </row>
    <row r="62" spans="2:23" s="2" customFormat="1" x14ac:dyDescent="0.2">
      <c r="B62" s="2" t="s">
        <v>132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W62" s="2">
        <v>336</v>
      </c>
    </row>
    <row r="63" spans="2:23" s="2" customFormat="1" x14ac:dyDescent="0.2">
      <c r="B63" s="2" t="s">
        <v>133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W63" s="2">
        <v>420</v>
      </c>
    </row>
    <row r="64" spans="2:23" s="2" customFormat="1" x14ac:dyDescent="0.2">
      <c r="B64" s="2" t="s">
        <v>134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W64" s="2">
        <v>289</v>
      </c>
    </row>
    <row r="65" spans="2:46" s="2" customFormat="1" x14ac:dyDescent="0.2">
      <c r="B65" s="2" t="s">
        <v>57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W65" s="2">
        <v>-262</v>
      </c>
    </row>
    <row r="66" spans="2:46" s="2" customFormat="1" x14ac:dyDescent="0.2">
      <c r="B66" s="2" t="s">
        <v>58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W66" s="2">
        <v>-255</v>
      </c>
    </row>
    <row r="67" spans="2:46" s="2" customFormat="1" x14ac:dyDescent="0.2">
      <c r="B67" s="2" t="s">
        <v>34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W67" s="2">
        <v>-436</v>
      </c>
      <c r="AR67" s="2">
        <v>10533</v>
      </c>
      <c r="AS67" s="2">
        <v>9581</v>
      </c>
      <c r="AT67" s="2">
        <v>7261</v>
      </c>
    </row>
    <row r="68" spans="2:46" s="2" customFormat="1" x14ac:dyDescent="0.2">
      <c r="B68" s="2" t="s">
        <v>129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W68" s="2">
        <f>SUM(W61:W67)</f>
        <v>1417</v>
      </c>
      <c r="AR68" s="2">
        <v>1885</v>
      </c>
      <c r="AS68" s="2">
        <v>1777</v>
      </c>
      <c r="AT68" s="2">
        <v>2202</v>
      </c>
    </row>
    <row r="69" spans="2:46" s="2" customFormat="1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AR69" s="2">
        <f>+AR67-AR68</f>
        <v>8648</v>
      </c>
      <c r="AS69" s="2">
        <f>+AS67-AS68</f>
        <v>7804</v>
      </c>
      <c r="AT69" s="2">
        <f>+AT67-AT68</f>
        <v>5059</v>
      </c>
    </row>
    <row r="70" spans="2:46" s="2" customFormat="1" x14ac:dyDescent="0.2">
      <c r="B70" s="2" t="s">
        <v>127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W70" s="2">
        <v>-484</v>
      </c>
    </row>
    <row r="71" spans="2:46" s="2" customFormat="1" x14ac:dyDescent="0.2">
      <c r="B71" s="2" t="s">
        <v>128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W71" s="2">
        <v>8</v>
      </c>
    </row>
    <row r="72" spans="2:46" s="2" customFormat="1" x14ac:dyDescent="0.2">
      <c r="B72" s="2" t="s">
        <v>34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W72" s="2">
        <v>6</v>
      </c>
    </row>
    <row r="73" spans="2:46" s="2" customFormat="1" x14ac:dyDescent="0.2">
      <c r="B73" s="2" t="s">
        <v>126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W73" s="2">
        <f>SUM(W70:W72)</f>
        <v>-470</v>
      </c>
    </row>
    <row r="74" spans="2:46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46" s="2" customFormat="1" x14ac:dyDescent="0.2">
      <c r="B75" s="2" t="s">
        <v>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W75" s="2">
        <f>-1001+1-36</f>
        <v>-1036</v>
      </c>
    </row>
    <row r="76" spans="2:46" s="2" customFormat="1" x14ac:dyDescent="0.2">
      <c r="B76" s="2" t="s">
        <v>125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W76" s="2">
        <v>-280</v>
      </c>
    </row>
    <row r="77" spans="2:46" s="2" customFormat="1" x14ac:dyDescent="0.2">
      <c r="B77" s="2" t="s">
        <v>124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W77" s="2">
        <v>287</v>
      </c>
    </row>
    <row r="78" spans="2:46" s="2" customFormat="1" x14ac:dyDescent="0.2">
      <c r="B78" s="2" t="s">
        <v>54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W78" s="2">
        <v>-1026</v>
      </c>
    </row>
    <row r="79" spans="2:46" s="2" customFormat="1" x14ac:dyDescent="0.2">
      <c r="B79" s="2" t="s">
        <v>123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W79" s="2">
        <f>SUM(W75:W78)</f>
        <v>-2055</v>
      </c>
    </row>
    <row r="80" spans="2:46" s="2" customFormat="1" x14ac:dyDescent="0.2">
      <c r="B80" s="2" t="s">
        <v>122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W80" s="2">
        <v>24</v>
      </c>
    </row>
    <row r="81" spans="2:23" s="2" customFormat="1" x14ac:dyDescent="0.2">
      <c r="B81" s="2" t="s">
        <v>121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W81" s="2">
        <f>+W80+W79+W73+W68</f>
        <v>-1084</v>
      </c>
    </row>
  </sheetData>
  <hyperlinks>
    <hyperlink ref="A1" location="Main!A1" display="Main" xr:uid="{99BB727D-8C29-48CC-ACC9-35EF86A9E0C2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2022-07-19T14:56:20Z</dcterms:created>
  <dcterms:modified xsi:type="dcterms:W3CDTF">2025-07-14T14:08:54Z</dcterms:modified>
</cp:coreProperties>
</file>