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ement of Cash Flow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<sst xmlns="http://schemas.openxmlformats.org/spreadsheetml/2006/main" count="409" uniqueCount="409">
  <si>
    <t xml:space="preserve">Activity</t>
  </si>
  <si>
    <t xml:space="preserve">Jan 1, 2024</t>
  </si>
  <si>
    <t xml:space="preserve">Jan 2, 2024</t>
  </si>
  <si>
    <t xml:space="preserve">Jan 3, 2024</t>
  </si>
  <si>
    <t xml:space="preserve">Jan 4, 2024</t>
  </si>
  <si>
    <t xml:space="preserve">Jan 5, 2024</t>
  </si>
  <si>
    <t xml:space="preserve">Jan 6, 2024</t>
  </si>
  <si>
    <t xml:space="preserve">Jan 7, 2024</t>
  </si>
  <si>
    <t xml:space="preserve">Jan 8, 2024</t>
  </si>
  <si>
    <t xml:space="preserve">Jan 9, 2024</t>
  </si>
  <si>
    <t xml:space="preserve">Jan 10, 2024</t>
  </si>
  <si>
    <t xml:space="preserve">Jan 11, 2024</t>
  </si>
  <si>
    <t xml:space="preserve">Jan 12, 2024</t>
  </si>
  <si>
    <t xml:space="preserve">Jan 13, 2024</t>
  </si>
  <si>
    <t xml:space="preserve">Jan 14, 2024</t>
  </si>
  <si>
    <t xml:space="preserve">Jan 15, 2024</t>
  </si>
  <si>
    <t xml:space="preserve">Jan 16, 2024</t>
  </si>
  <si>
    <t xml:space="preserve">Jan 17, 2024</t>
  </si>
  <si>
    <t xml:space="preserve">Jan 18, 2024</t>
  </si>
  <si>
    <t xml:space="preserve">Jan 19, 2024</t>
  </si>
  <si>
    <t xml:space="preserve">Jan 20, 2024</t>
  </si>
  <si>
    <t xml:space="preserve">Jan 21, 2024</t>
  </si>
  <si>
    <t xml:space="preserve">Jan 22, 2024</t>
  </si>
  <si>
    <t xml:space="preserve">Jan 23, 2024</t>
  </si>
  <si>
    <t xml:space="preserve">Jan 24, 2024</t>
  </si>
  <si>
    <t xml:space="preserve">Jan 25, 2024</t>
  </si>
  <si>
    <t xml:space="preserve">Jan 26, 2024</t>
  </si>
  <si>
    <t xml:space="preserve">Jan 27, 2024</t>
  </si>
  <si>
    <t xml:space="preserve">Jan 28, 2024</t>
  </si>
  <si>
    <t xml:space="preserve">Jan 29, 2024</t>
  </si>
  <si>
    <t xml:space="preserve">Jan 30, 2024</t>
  </si>
  <si>
    <t xml:space="preserve">Jan 31, 2024</t>
  </si>
  <si>
    <t xml:space="preserve">Feb 1, 2024</t>
  </si>
  <si>
    <t xml:space="preserve">Feb 2, 2024</t>
  </si>
  <si>
    <t xml:space="preserve">Feb 3, 2024</t>
  </si>
  <si>
    <t xml:space="preserve">Feb 4, 2024</t>
  </si>
  <si>
    <t xml:space="preserve">Feb 5, 2024</t>
  </si>
  <si>
    <t xml:space="preserve">Feb 6, 2024</t>
  </si>
  <si>
    <t xml:space="preserve">Feb 7, 2024</t>
  </si>
  <si>
    <t xml:space="preserve">Feb 8, 2024</t>
  </si>
  <si>
    <t xml:space="preserve">Feb 9, 2024</t>
  </si>
  <si>
    <t xml:space="preserve">Feb 10, 2024</t>
  </si>
  <si>
    <t xml:space="preserve">Feb 11, 2024</t>
  </si>
  <si>
    <t xml:space="preserve">Feb 12, 2024</t>
  </si>
  <si>
    <t xml:space="preserve">Feb 13, 2024</t>
  </si>
  <si>
    <t xml:space="preserve">Feb 14, 2024</t>
  </si>
  <si>
    <t xml:space="preserve">Feb 15, 2024</t>
  </si>
  <si>
    <t xml:space="preserve">Feb 16, 2024</t>
  </si>
  <si>
    <t xml:space="preserve">Feb 17, 2024</t>
  </si>
  <si>
    <t xml:space="preserve">Feb 18, 2024</t>
  </si>
  <si>
    <t xml:space="preserve">Feb 19, 2024</t>
  </si>
  <si>
    <t xml:space="preserve">Feb 20, 2024</t>
  </si>
  <si>
    <t xml:space="preserve">Feb 21, 2024</t>
  </si>
  <si>
    <t xml:space="preserve">Feb 22, 2024</t>
  </si>
  <si>
    <t xml:space="preserve">Feb 23, 2024</t>
  </si>
  <si>
    <t xml:space="preserve">Feb 24, 2024</t>
  </si>
  <si>
    <t xml:space="preserve">Feb 25, 2024</t>
  </si>
  <si>
    <t xml:space="preserve">Feb 26, 2024</t>
  </si>
  <si>
    <t xml:space="preserve">Feb 27, 2024</t>
  </si>
  <si>
    <t xml:space="preserve">Feb 28, 2024</t>
  </si>
  <si>
    <t xml:space="preserve">Feb 29, 2024</t>
  </si>
  <si>
    <t xml:space="preserve">Mar 1, 2024</t>
  </si>
  <si>
    <t xml:space="preserve">Mar 2, 2024</t>
  </si>
  <si>
    <t xml:space="preserve">Mar 3, 2024</t>
  </si>
  <si>
    <t xml:space="preserve">Mar 4, 2024</t>
  </si>
  <si>
    <t xml:space="preserve">Mar 5, 2024</t>
  </si>
  <si>
    <t xml:space="preserve">Mar 6, 2024</t>
  </si>
  <si>
    <t xml:space="preserve">Mar 7, 2024</t>
  </si>
  <si>
    <t xml:space="preserve">Mar 8, 2024</t>
  </si>
  <si>
    <t xml:space="preserve">Mar 9, 2024</t>
  </si>
  <si>
    <t xml:space="preserve">Mar 10, 2024</t>
  </si>
  <si>
    <t xml:space="preserve">Mar 11, 2024</t>
  </si>
  <si>
    <t xml:space="preserve">Mar 12, 2024</t>
  </si>
  <si>
    <t xml:space="preserve">Mar 13, 2024</t>
  </si>
  <si>
    <t xml:space="preserve">Mar 14, 2024</t>
  </si>
  <si>
    <t xml:space="preserve">Mar 15, 2024</t>
  </si>
  <si>
    <t xml:space="preserve">Mar 16, 2024</t>
  </si>
  <si>
    <t xml:space="preserve">Mar 17, 2024</t>
  </si>
  <si>
    <t xml:space="preserve">Mar 18, 2024</t>
  </si>
  <si>
    <t xml:space="preserve">Mar 19, 2024</t>
  </si>
  <si>
    <t xml:space="preserve">Mar 20, 2024</t>
  </si>
  <si>
    <t xml:space="preserve">Mar 21, 2024</t>
  </si>
  <si>
    <t xml:space="preserve">Mar 22, 2024</t>
  </si>
  <si>
    <t xml:space="preserve">Mar 23, 2024</t>
  </si>
  <si>
    <t xml:space="preserve">Mar 24, 2024</t>
  </si>
  <si>
    <t xml:space="preserve">Mar 25, 2024</t>
  </si>
  <si>
    <t xml:space="preserve">Mar 26, 2024</t>
  </si>
  <si>
    <t xml:space="preserve">Mar 27, 2024</t>
  </si>
  <si>
    <t xml:space="preserve">Mar 28, 2024</t>
  </si>
  <si>
    <t xml:space="preserve">Mar 29, 2024</t>
  </si>
  <si>
    <t xml:space="preserve">Mar 30, 2024</t>
  </si>
  <si>
    <t xml:space="preserve">Mar 31, 2024</t>
  </si>
  <si>
    <t xml:space="preserve">Apr 1, 2024</t>
  </si>
  <si>
    <t xml:space="preserve">Apr 2, 2024</t>
  </si>
  <si>
    <t xml:space="preserve">Apr 3, 2024</t>
  </si>
  <si>
    <t xml:space="preserve">Apr 4, 2024</t>
  </si>
  <si>
    <t xml:space="preserve">Apr 5, 2024</t>
  </si>
  <si>
    <t xml:space="preserve">Apr 6, 2024</t>
  </si>
  <si>
    <t xml:space="preserve">Apr 7, 2024</t>
  </si>
  <si>
    <t xml:space="preserve">Apr 8, 2024</t>
  </si>
  <si>
    <t xml:space="preserve">Apr 9, 2024</t>
  </si>
  <si>
    <t xml:space="preserve">Apr 10, 2024</t>
  </si>
  <si>
    <t xml:space="preserve">Apr 11, 2024</t>
  </si>
  <si>
    <t xml:space="preserve">Apr 12, 2024</t>
  </si>
  <si>
    <t xml:space="preserve">Apr 13, 2024</t>
  </si>
  <si>
    <t xml:space="preserve">Apr 14, 2024</t>
  </si>
  <si>
    <t xml:space="preserve">Apr 15, 2024</t>
  </si>
  <si>
    <t xml:space="preserve">Apr 16, 2024</t>
  </si>
  <si>
    <t xml:space="preserve">Apr 17, 2024</t>
  </si>
  <si>
    <t xml:space="preserve">Apr 18, 2024</t>
  </si>
  <si>
    <t xml:space="preserve">Apr 19, 2024</t>
  </si>
  <si>
    <t xml:space="preserve">Apr 20, 2024</t>
  </si>
  <si>
    <t xml:space="preserve">Apr 21, 2024</t>
  </si>
  <si>
    <t xml:space="preserve">Apr 22, 2024</t>
  </si>
  <si>
    <t xml:space="preserve">Apr 23, 2024</t>
  </si>
  <si>
    <t xml:space="preserve">Apr 24, 2024</t>
  </si>
  <si>
    <t xml:space="preserve">Apr 25, 2024</t>
  </si>
  <si>
    <t xml:space="preserve">Apr 26, 2024</t>
  </si>
  <si>
    <t xml:space="preserve">Apr 27, 2024</t>
  </si>
  <si>
    <t xml:space="preserve">Apr 28, 2024</t>
  </si>
  <si>
    <t xml:space="preserve">Apr 29, 2024</t>
  </si>
  <si>
    <t xml:space="preserve">Apr 30, 2024</t>
  </si>
  <si>
    <t xml:space="preserve">May 1, 2024</t>
  </si>
  <si>
    <t xml:space="preserve">May 2, 2024</t>
  </si>
  <si>
    <t xml:space="preserve">May 3, 2024</t>
  </si>
  <si>
    <t xml:space="preserve">May 4, 2024</t>
  </si>
  <si>
    <t xml:space="preserve">May 5, 2024</t>
  </si>
  <si>
    <t xml:space="preserve">May 6, 2024</t>
  </si>
  <si>
    <t xml:space="preserve">May 7, 2024</t>
  </si>
  <si>
    <t xml:space="preserve">May 8, 2024</t>
  </si>
  <si>
    <t xml:space="preserve">May 9, 2024</t>
  </si>
  <si>
    <t xml:space="preserve">May 10, 2024</t>
  </si>
  <si>
    <t xml:space="preserve">May 11, 2024</t>
  </si>
  <si>
    <t xml:space="preserve">May 12, 2024</t>
  </si>
  <si>
    <t xml:space="preserve">May 13, 2024</t>
  </si>
  <si>
    <t xml:space="preserve">May 14, 2024</t>
  </si>
  <si>
    <t xml:space="preserve">May 15, 2024</t>
  </si>
  <si>
    <t xml:space="preserve">May 16, 2024</t>
  </si>
  <si>
    <t xml:space="preserve">May 17, 2024</t>
  </si>
  <si>
    <t xml:space="preserve">May 18, 2024</t>
  </si>
  <si>
    <t xml:space="preserve">May 19, 2024</t>
  </si>
  <si>
    <t xml:space="preserve">May 20, 2024</t>
  </si>
  <si>
    <t xml:space="preserve">May 21, 2024</t>
  </si>
  <si>
    <t xml:space="preserve">May 22, 2024</t>
  </si>
  <si>
    <t xml:space="preserve">May 23, 2024</t>
  </si>
  <si>
    <t xml:space="preserve">May 24, 2024</t>
  </si>
  <si>
    <t xml:space="preserve">May 25, 2024</t>
  </si>
  <si>
    <t xml:space="preserve">May 26, 2024</t>
  </si>
  <si>
    <t xml:space="preserve">May 27, 2024</t>
  </si>
  <si>
    <t xml:space="preserve">May 28, 2024</t>
  </si>
  <si>
    <t xml:space="preserve">May 29, 2024</t>
  </si>
  <si>
    <t xml:space="preserve">May 30, 2024</t>
  </si>
  <si>
    <t xml:space="preserve">May 31, 2024</t>
  </si>
  <si>
    <t xml:space="preserve">Jun 1, 2024</t>
  </si>
  <si>
    <t xml:space="preserve">Jun 2, 2024</t>
  </si>
  <si>
    <t xml:space="preserve">Jun 3, 2024</t>
  </si>
  <si>
    <t xml:space="preserve">Jun 4, 2024</t>
  </si>
  <si>
    <t xml:space="preserve">Jun 5, 2024</t>
  </si>
  <si>
    <t xml:space="preserve">Jun 6, 2024</t>
  </si>
  <si>
    <t xml:space="preserve">Jun 7, 2024</t>
  </si>
  <si>
    <t xml:space="preserve">Jun 8, 2024</t>
  </si>
  <si>
    <t xml:space="preserve">Jun 9, 2024</t>
  </si>
  <si>
    <t xml:space="preserve">Jun 10, 2024</t>
  </si>
  <si>
    <t xml:space="preserve">Jun 11, 2024</t>
  </si>
  <si>
    <t xml:space="preserve">Jun 12, 2024</t>
  </si>
  <si>
    <t xml:space="preserve">Jun 13, 2024</t>
  </si>
  <si>
    <t xml:space="preserve">Jun 14, 2024</t>
  </si>
  <si>
    <t xml:space="preserve">Jun 15, 2024</t>
  </si>
  <si>
    <t xml:space="preserve">Jun 16, 2024</t>
  </si>
  <si>
    <t xml:space="preserve">Jun 17, 2024</t>
  </si>
  <si>
    <t xml:space="preserve">Jun 18, 2024</t>
  </si>
  <si>
    <t xml:space="preserve">Jun 19, 2024</t>
  </si>
  <si>
    <t xml:space="preserve">Jun 20, 2024</t>
  </si>
  <si>
    <t xml:space="preserve">Jun 21, 2024</t>
  </si>
  <si>
    <t xml:space="preserve">Jun 22, 2024</t>
  </si>
  <si>
    <t xml:space="preserve">Jun 23, 2024</t>
  </si>
  <si>
    <t xml:space="preserve">Jun 24, 2024</t>
  </si>
  <si>
    <t xml:space="preserve">Jun 25, 2024</t>
  </si>
  <si>
    <t xml:space="preserve">Jun 26, 2024</t>
  </si>
  <si>
    <t xml:space="preserve">Jun 27, 2024</t>
  </si>
  <si>
    <t xml:space="preserve">Jun 28, 2024</t>
  </si>
  <si>
    <t xml:space="preserve">Jun 29, 2024</t>
  </si>
  <si>
    <t xml:space="preserve">Jun 30, 2024</t>
  </si>
  <si>
    <t xml:space="preserve">Jul 1, 2024</t>
  </si>
  <si>
    <t xml:space="preserve">Jul 2, 2024</t>
  </si>
  <si>
    <t xml:space="preserve">Jul 3, 2024</t>
  </si>
  <si>
    <t xml:space="preserve">Jul 4, 2024</t>
  </si>
  <si>
    <t xml:space="preserve">Jul 5, 2024</t>
  </si>
  <si>
    <t xml:space="preserve">Jul 6, 2024</t>
  </si>
  <si>
    <t xml:space="preserve">Jul 7, 2024</t>
  </si>
  <si>
    <t xml:space="preserve">Jul 8, 2024</t>
  </si>
  <si>
    <t xml:space="preserve">Jul 9, 2024</t>
  </si>
  <si>
    <t xml:space="preserve">Jul 10, 2024</t>
  </si>
  <si>
    <t xml:space="preserve">Jul 11, 2024</t>
  </si>
  <si>
    <t xml:space="preserve">Jul 12, 2024</t>
  </si>
  <si>
    <t xml:space="preserve">Jul 13, 2024</t>
  </si>
  <si>
    <t xml:space="preserve">Jul 14, 2024</t>
  </si>
  <si>
    <t xml:space="preserve">Jul 15, 2024</t>
  </si>
  <si>
    <t xml:space="preserve">Jul 16, 2024</t>
  </si>
  <si>
    <t xml:space="preserve">Jul 17, 2024</t>
  </si>
  <si>
    <t xml:space="preserve">Jul 18, 2024</t>
  </si>
  <si>
    <t xml:space="preserve">Jul 19, 2024</t>
  </si>
  <si>
    <t xml:space="preserve">Jul 20, 2024</t>
  </si>
  <si>
    <t xml:space="preserve">Jul 21, 2024</t>
  </si>
  <si>
    <t xml:space="preserve">Jul 22, 2024</t>
  </si>
  <si>
    <t xml:space="preserve">Jul 23, 2024</t>
  </si>
  <si>
    <t xml:space="preserve">Jul 24, 2024</t>
  </si>
  <si>
    <t xml:space="preserve">Jul 25, 2024</t>
  </si>
  <si>
    <t xml:space="preserve">Jul 26, 2024</t>
  </si>
  <si>
    <t xml:space="preserve">Jul 27, 2024</t>
  </si>
  <si>
    <t xml:space="preserve">Jul 28, 2024</t>
  </si>
  <si>
    <t xml:space="preserve">Jul 29, 2024</t>
  </si>
  <si>
    <t xml:space="preserve">Jul 30, 2024</t>
  </si>
  <si>
    <t xml:space="preserve">Jul 31, 2024</t>
  </si>
  <si>
    <t xml:space="preserve">Aug 1, 2024</t>
  </si>
  <si>
    <t xml:space="preserve">Aug 2, 2024</t>
  </si>
  <si>
    <t xml:space="preserve">Aug 3, 2024</t>
  </si>
  <si>
    <t xml:space="preserve">Aug 4, 2024</t>
  </si>
  <si>
    <t xml:space="preserve">Aug 5, 2024</t>
  </si>
  <si>
    <t xml:space="preserve">Aug 6, 2024</t>
  </si>
  <si>
    <t xml:space="preserve">Aug 7, 2024</t>
  </si>
  <si>
    <t xml:space="preserve">Aug 8, 2024</t>
  </si>
  <si>
    <t xml:space="preserve">Aug 9, 2024</t>
  </si>
  <si>
    <t xml:space="preserve">Aug 10, 2024</t>
  </si>
  <si>
    <t xml:space="preserve">Aug 11, 2024</t>
  </si>
  <si>
    <t xml:space="preserve">Aug 12, 2024</t>
  </si>
  <si>
    <t xml:space="preserve">Aug 13, 2024</t>
  </si>
  <si>
    <t xml:space="preserve">Aug 14, 2024</t>
  </si>
  <si>
    <t xml:space="preserve">Aug 15, 2024</t>
  </si>
  <si>
    <t xml:space="preserve">Aug 16, 2024</t>
  </si>
  <si>
    <t xml:space="preserve">Aug 17, 2024</t>
  </si>
  <si>
    <t xml:space="preserve">Aug 18, 2024</t>
  </si>
  <si>
    <t xml:space="preserve">Aug 19, 2024</t>
  </si>
  <si>
    <t xml:space="preserve">Aug 20, 2024</t>
  </si>
  <si>
    <t xml:space="preserve">Aug 21, 2024</t>
  </si>
  <si>
    <t xml:space="preserve">Aug 22, 2024</t>
  </si>
  <si>
    <t xml:space="preserve">Aug 23, 2024</t>
  </si>
  <si>
    <t xml:space="preserve">Aug 24, 2024</t>
  </si>
  <si>
    <t xml:space="preserve">Aug 25, 2024</t>
  </si>
  <si>
    <t xml:space="preserve">Aug 26, 2024</t>
  </si>
  <si>
    <t xml:space="preserve">Aug 27, 2024</t>
  </si>
  <si>
    <t xml:space="preserve">Aug 28, 2024</t>
  </si>
  <si>
    <t xml:space="preserve">Aug 29, 2024</t>
  </si>
  <si>
    <t xml:space="preserve">Aug 30, 2024</t>
  </si>
  <si>
    <t xml:space="preserve">Aug 31, 2024</t>
  </si>
  <si>
    <t xml:space="preserve">Sep 1, 2024</t>
  </si>
  <si>
    <t xml:space="preserve">Sep 2, 2024</t>
  </si>
  <si>
    <t xml:space="preserve">Sep 3, 2024</t>
  </si>
  <si>
    <t xml:space="preserve">Sep 4, 2024</t>
  </si>
  <si>
    <t xml:space="preserve">Sep 5, 2024</t>
  </si>
  <si>
    <t xml:space="preserve">Sep 6, 2024</t>
  </si>
  <si>
    <t xml:space="preserve">Sep 7, 2024</t>
  </si>
  <si>
    <t xml:space="preserve">Sep 8, 2024</t>
  </si>
  <si>
    <t xml:space="preserve">Sep 9, 2024</t>
  </si>
  <si>
    <t xml:space="preserve">Sep 10, 2024</t>
  </si>
  <si>
    <t xml:space="preserve">Sep 11, 2024</t>
  </si>
  <si>
    <t xml:space="preserve">Sep 12, 2024</t>
  </si>
  <si>
    <t xml:space="preserve">Sep 13, 2024</t>
  </si>
  <si>
    <t xml:space="preserve">Sep 14, 2024</t>
  </si>
  <si>
    <t xml:space="preserve">Sep 15, 2024</t>
  </si>
  <si>
    <t xml:space="preserve">Sep 16, 2024</t>
  </si>
  <si>
    <t xml:space="preserve">Sep 17, 2024</t>
  </si>
  <si>
    <t xml:space="preserve">Sep 18, 2024</t>
  </si>
  <si>
    <t xml:space="preserve">Sep 19, 2024</t>
  </si>
  <si>
    <t xml:space="preserve">Sep 20, 2024</t>
  </si>
  <si>
    <t xml:space="preserve">Sep 21, 2024</t>
  </si>
  <si>
    <t xml:space="preserve">Sep 22, 2024</t>
  </si>
  <si>
    <t xml:space="preserve">Sep 23, 2024</t>
  </si>
  <si>
    <t xml:space="preserve">Sep 24, 2024</t>
  </si>
  <si>
    <t xml:space="preserve">Sep 25, 2024</t>
  </si>
  <si>
    <t xml:space="preserve">Sep 26, 2024</t>
  </si>
  <si>
    <t xml:space="preserve">Sep 27, 2024</t>
  </si>
  <si>
    <t xml:space="preserve">Sep 28, 2024</t>
  </si>
  <si>
    <t xml:space="preserve">Sep 29, 2024</t>
  </si>
  <si>
    <t xml:space="preserve">Sep 30, 2024</t>
  </si>
  <si>
    <t xml:space="preserve">Oct 1, 2024</t>
  </si>
  <si>
    <t xml:space="preserve">Oct 2, 2024</t>
  </si>
  <si>
    <t xml:space="preserve">Oct 3, 2024</t>
  </si>
  <si>
    <t xml:space="preserve">Oct 4, 2024</t>
  </si>
  <si>
    <t xml:space="preserve">Oct 5, 2024</t>
  </si>
  <si>
    <t xml:space="preserve">Oct 6, 2024</t>
  </si>
  <si>
    <t xml:space="preserve">Oct 7, 2024</t>
  </si>
  <si>
    <t xml:space="preserve">Oct 8, 2024</t>
  </si>
  <si>
    <t xml:space="preserve">Oct 9, 2024</t>
  </si>
  <si>
    <t xml:space="preserve">Oct 10, 2024</t>
  </si>
  <si>
    <t xml:space="preserve">Oct 11, 2024</t>
  </si>
  <si>
    <t xml:space="preserve">Oct 12, 2024</t>
  </si>
  <si>
    <t xml:space="preserve">Oct 13, 2024</t>
  </si>
  <si>
    <t xml:space="preserve">Oct 14, 2024</t>
  </si>
  <si>
    <t xml:space="preserve">Oct 15, 2024</t>
  </si>
  <si>
    <t xml:space="preserve">Oct 16, 2024</t>
  </si>
  <si>
    <t xml:space="preserve">Oct 17, 2024</t>
  </si>
  <si>
    <t xml:space="preserve">Oct 18, 2024</t>
  </si>
  <si>
    <t xml:space="preserve">Oct 19, 2024</t>
  </si>
  <si>
    <t xml:space="preserve">Oct 20, 2024</t>
  </si>
  <si>
    <t xml:space="preserve">Oct 21, 2024</t>
  </si>
  <si>
    <t xml:space="preserve">Oct 22, 2024</t>
  </si>
  <si>
    <t xml:space="preserve">Oct 23, 2024</t>
  </si>
  <si>
    <t xml:space="preserve">Oct 24, 2024</t>
  </si>
  <si>
    <t xml:space="preserve">Oct 25, 2024</t>
  </si>
  <si>
    <t xml:space="preserve">Oct 26, 2024</t>
  </si>
  <si>
    <t xml:space="preserve">Oct 27, 2024</t>
  </si>
  <si>
    <t xml:space="preserve">Oct 28, 2024</t>
  </si>
  <si>
    <t xml:space="preserve">Oct 29, 2024</t>
  </si>
  <si>
    <t xml:space="preserve">Oct 30, 2024</t>
  </si>
  <si>
    <t xml:space="preserve">Oct 31, 2024</t>
  </si>
  <si>
    <t xml:space="preserve">Nov 1, 2024</t>
  </si>
  <si>
    <t xml:space="preserve">Nov 2, 2024</t>
  </si>
  <si>
    <t xml:space="preserve">Nov 3, 2024</t>
  </si>
  <si>
    <t xml:space="preserve">Nov 4, 2024</t>
  </si>
  <si>
    <t xml:space="preserve">Nov 5, 2024</t>
  </si>
  <si>
    <t xml:space="preserve">Nov 6, 2024</t>
  </si>
  <si>
    <t xml:space="preserve">Nov 7, 2024</t>
  </si>
  <si>
    <t xml:space="preserve">Nov 8, 2024</t>
  </si>
  <si>
    <t xml:space="preserve">Nov 9, 2024</t>
  </si>
  <si>
    <t xml:space="preserve">Nov 10, 2024</t>
  </si>
  <si>
    <t xml:space="preserve">Nov 11, 2024</t>
  </si>
  <si>
    <t xml:space="preserve">Nov 12, 2024</t>
  </si>
  <si>
    <t xml:space="preserve">Nov 13, 2024</t>
  </si>
  <si>
    <t xml:space="preserve">Nov 14, 2024</t>
  </si>
  <si>
    <t xml:space="preserve">Nov 15, 2024</t>
  </si>
  <si>
    <t xml:space="preserve">Nov 16, 2024</t>
  </si>
  <si>
    <t xml:space="preserve">Nov 17, 2024</t>
  </si>
  <si>
    <t xml:space="preserve">Nov 18, 2024</t>
  </si>
  <si>
    <t xml:space="preserve">Nov 19, 2024</t>
  </si>
  <si>
    <t xml:space="preserve">Nov 20, 2024</t>
  </si>
  <si>
    <t xml:space="preserve">Nov 21, 2024</t>
  </si>
  <si>
    <t xml:space="preserve">Nov 22, 2024</t>
  </si>
  <si>
    <t xml:space="preserve">Nov 23, 2024</t>
  </si>
  <si>
    <t xml:space="preserve">Nov 24, 2024</t>
  </si>
  <si>
    <t xml:space="preserve">Nov 25, 2024</t>
  </si>
  <si>
    <t xml:space="preserve">Nov 26, 2024</t>
  </si>
  <si>
    <t xml:space="preserve">Nov 27, 2024</t>
  </si>
  <si>
    <t xml:space="preserve">Nov 28, 2024</t>
  </si>
  <si>
    <t xml:space="preserve">Nov 29, 2024</t>
  </si>
  <si>
    <t xml:space="preserve">Nov 30, 2024</t>
  </si>
  <si>
    <t xml:space="preserve">Dec 1, 2024</t>
  </si>
  <si>
    <t xml:space="preserve">Dec 2, 2024</t>
  </si>
  <si>
    <t xml:space="preserve">Dec 3, 2024</t>
  </si>
  <si>
    <t xml:space="preserve">Dec 4, 2024</t>
  </si>
  <si>
    <t xml:space="preserve">Dec 5, 2024</t>
  </si>
  <si>
    <t xml:space="preserve">Dec 6, 2024</t>
  </si>
  <si>
    <t xml:space="preserve">Dec 7, 2024</t>
  </si>
  <si>
    <t xml:space="preserve">Dec 8, 2024</t>
  </si>
  <si>
    <t xml:space="preserve">Dec 9, 2024</t>
  </si>
  <si>
    <t xml:space="preserve">Dec 10, 2024</t>
  </si>
  <si>
    <t xml:space="preserve">Dec 11, 2024</t>
  </si>
  <si>
    <t xml:space="preserve">Dec 12, 2024</t>
  </si>
  <si>
    <t xml:space="preserve">Dec 13, 2024</t>
  </si>
  <si>
    <t xml:space="preserve">Dec 14, 2024</t>
  </si>
  <si>
    <t xml:space="preserve">Dec 15, 2024</t>
  </si>
  <si>
    <t xml:space="preserve">Dec 16, 2024</t>
  </si>
  <si>
    <t xml:space="preserve">Dec 17, 2024</t>
  </si>
  <si>
    <t xml:space="preserve">Dec 18, 2024</t>
  </si>
  <si>
    <t xml:space="preserve">Dec 19, 2024</t>
  </si>
  <si>
    <t xml:space="preserve">Dec 20, 2024</t>
  </si>
  <si>
    <t xml:space="preserve">Dec 21, 2024</t>
  </si>
  <si>
    <t xml:space="preserve">Dec 22, 2024</t>
  </si>
  <si>
    <t xml:space="preserve">Dec 23, 2024</t>
  </si>
  <si>
    <t xml:space="preserve">Dec 24, 2024</t>
  </si>
  <si>
    <t xml:space="preserve">Dec 25, 2024</t>
  </si>
  <si>
    <t xml:space="preserve">Dec 26, 2024</t>
  </si>
  <si>
    <t xml:space="preserve">Dec 27, 2024</t>
  </si>
  <si>
    <t xml:space="preserve">Dec 28, 2024</t>
  </si>
  <si>
    <t xml:space="preserve">Dec 29, 2024</t>
  </si>
  <si>
    <t xml:space="preserve">Dec 30, 2024</t>
  </si>
  <si>
    <t xml:space="preserve">Dec 31, 2024</t>
  </si>
  <si>
    <t xml:space="preserve">Total</t>
  </si>
  <si>
    <t xml:space="preserve">OPERATING ACTIVITIES</t>
  </si>
  <si>
    <t xml:space="preserve">   Net Income</t>
  </si>
  <si>
    <t xml:space="preserve">   Adjustments to reconcile Net Income to Net Cash provided by operations:</t>
  </si>
  <si>
    <t xml:space="preserve">      Accounts Receivable</t>
  </si>
  <si>
    <t xml:space="preserve">      Credit Card Receivable</t>
  </si>
  <si>
    <t xml:space="preserve">      Credit Card Receivables</t>
  </si>
  <si>
    <t xml:space="preserve">      Inventory Asset</t>
  </si>
  <si>
    <t xml:space="preserve">      Prepaid Expenses</t>
  </si>
  <si>
    <t xml:space="preserve">      11003 BG Blue Amex - GG</t>
  </si>
  <si>
    <t xml:space="preserve">      3079 Chase CC - BGG</t>
  </si>
  <si>
    <t xml:space="preserve">      3656 Chase CC - SEL:Chase Ink #4304 (Jeff)</t>
  </si>
  <si>
    <t xml:space="preserve">      3656 Chase CC - SEL:Chase Ink #8502 (Danielle)</t>
  </si>
  <si>
    <t xml:space="preserve">      4003 Chase Business Credit Line - SEL</t>
  </si>
  <si>
    <t xml:space="preserve">      63008 Amex Business Platinum CC - GG</t>
  </si>
  <si>
    <t xml:space="preserve">      7001 Chase Business Credit Line - GG</t>
  </si>
  <si>
    <t xml:space="preserve">      73003 Business Platinum CC - SEL</t>
  </si>
  <si>
    <t xml:space="preserve">      Accrued Interest</t>
  </si>
  <si>
    <t xml:space="preserve">      AP Clearing Inventory Purchases</t>
  </si>
  <si>
    <t xml:space="preserve">      Direct Deposit Payable</t>
  </si>
  <si>
    <t xml:space="preserve">      Payroll Liabilities</t>
  </si>
  <si>
    <t xml:space="preserve">      Payroll Liabilities:CO Income Tax</t>
  </si>
  <si>
    <t xml:space="preserve">      Payroll Liabilities:CO Local Tax</t>
  </si>
  <si>
    <t xml:space="preserve">      Payroll Liabilities:CO Paid Family and Medical Leave</t>
  </si>
  <si>
    <t xml:space="preserve">      Payroll Liabilities:CO Unemployment Tax</t>
  </si>
  <si>
    <t xml:space="preserve">      Payroll Liabilities:Federal Taxes (941/943/944)</t>
  </si>
  <si>
    <t xml:space="preserve">      Payroll Liabilities:Federal Unemployment (940)</t>
  </si>
  <si>
    <t xml:space="preserve">      Sales tax payable</t>
  </si>
  <si>
    <t xml:space="preserve">      Shopify Loan</t>
  </si>
  <si>
    <t xml:space="preserve">   Total Adjustments to reconcile Net Income to Net Cash provided by operations:</t>
  </si>
  <si>
    <t xml:space="preserve">Net cash provided by operating activities</t>
  </si>
  <si>
    <t xml:space="preserve">INVESTING ACTIVITIES</t>
  </si>
  <si>
    <t xml:space="preserve">   LH Imprv - G3 BG</t>
  </si>
  <si>
    <t xml:space="preserve">Net cash provided by investing activities</t>
  </si>
  <si>
    <t xml:space="preserve">FINANCING ACTIVITIES</t>
  </si>
  <si>
    <t xml:space="preserve">   Loan Payable - EIDL</t>
  </si>
  <si>
    <t xml:space="preserve">   N/P - Space Age Credit Union</t>
  </si>
  <si>
    <t xml:space="preserve">   Equity Recon Adjustment</t>
  </si>
  <si>
    <t xml:space="preserve">   Owner Distributions</t>
  </si>
  <si>
    <t xml:space="preserve">   Retained Earnings</t>
  </si>
  <si>
    <t xml:space="preserve">Net cash provided by financing activities</t>
  </si>
  <si>
    <t xml:space="preserve">Net cash increase for period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</si>
</sst>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_€"/>
    <numFmt numFmtId="166" formatCode="\$* #,##0.00\ _€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0"/>
      <charset val="1"/>
    </font>
    <font>
      <b val="true"/>
      <sz val="8"/>
      <color rgb="FFC9211E"/>
      <name val="Arial"/>
      <family val="0"/>
      <charset val="1"/>
    </font>
    <font>
      <sz val="8"/>
      <color rgb="FFC9211E"/>
      <name val="Arial"/>
      <family val="0"/>
      <charset val="1"/>
    </font>
    <font>
      <sz val="10"/>
      <color rgb="FFC9211E"/>
      <name val="Arial"/>
      <family val="2"/>
      <charset val="1"/>
    </font>
    <font>
      <b val="true"/>
      <sz val="8"/>
      <color rgb="FF000000"/>
      <name val="Arial"/>
      <family val="0"/>
      <charset val="1"/>
    </font>
    <font>
      <sz val="8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6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8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D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KX1" activePane="topRight" state="frozen"/>
      <selection pane="topLeft" activeCell="A1" activeCellId="0" sqref="A1"/>
      <selection pane="topRight" activeCell="A2" activeCellId="0" sqref="A2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69.61"/>
    <col collapsed="false" customWidth="true" hidden="false" outlineLevel="0" max="2" min="2" style="1" width="9.45"/>
    <col collapsed="false" customWidth="true" hidden="false" outlineLevel="0" max="4" min="3" style="1" width="8.61"/>
    <col collapsed="false" customWidth="true" hidden="false" outlineLevel="0" max="6" min="5" style="1" width="10.32"/>
    <col collapsed="false" customWidth="true" hidden="false" outlineLevel="0" max="8" min="7" style="1" width="7.74"/>
    <col collapsed="false" customWidth="true" hidden="false" outlineLevel="0" max="11" min="9" style="1" width="8.61"/>
    <col collapsed="false" customWidth="true" hidden="false" outlineLevel="0" max="12" min="12" style="1" width="7.74"/>
    <col collapsed="false" customWidth="true" hidden="false" outlineLevel="0" max="14" min="13" style="1" width="10.32"/>
    <col collapsed="false" customWidth="true" hidden="false" outlineLevel="0" max="16" min="15" style="1" width="7.74"/>
    <col collapsed="false" customWidth="true" hidden="false" outlineLevel="0" max="17" min="17" style="1" width="10.32"/>
    <col collapsed="false" customWidth="true" hidden="false" outlineLevel="0" max="19" min="18" style="1" width="8.61"/>
    <col collapsed="false" customWidth="true" hidden="false" outlineLevel="0" max="21" min="20" style="1" width="10.32"/>
    <col collapsed="false" customWidth="true" hidden="false" outlineLevel="0" max="22" min="22" style="1" width="7.74"/>
    <col collapsed="false" customWidth="true" hidden="false" outlineLevel="0" max="23" min="23" style="1" width="10.32"/>
    <col collapsed="false" customWidth="true" hidden="false" outlineLevel="0" max="25" min="24" style="1" width="8.61"/>
    <col collapsed="false" customWidth="true" hidden="false" outlineLevel="0" max="27" min="26" style="1" width="7.74"/>
    <col collapsed="false" customWidth="true" hidden="false" outlineLevel="0" max="28" min="28" style="1" width="8.61"/>
    <col collapsed="false" customWidth="true" hidden="false" outlineLevel="0" max="29" min="29" style="1" width="7.74"/>
    <col collapsed="false" customWidth="true" hidden="false" outlineLevel="0" max="31" min="30" style="1" width="8.61"/>
    <col collapsed="false" customWidth="true" hidden="false" outlineLevel="0" max="32" min="32" style="1" width="9.45"/>
    <col collapsed="false" customWidth="true" hidden="false" outlineLevel="0" max="33" min="33" style="1" width="10.32"/>
    <col collapsed="false" customWidth="true" hidden="false" outlineLevel="0" max="35" min="34" style="1" width="8.61"/>
    <col collapsed="false" customWidth="true" hidden="false" outlineLevel="0" max="36" min="36" style="1" width="7.74"/>
    <col collapsed="false" customWidth="true" hidden="false" outlineLevel="0" max="37" min="37" style="1" width="10.32"/>
    <col collapsed="false" customWidth="true" hidden="false" outlineLevel="0" max="38" min="38" style="1" width="8.61"/>
    <col collapsed="false" customWidth="true" hidden="false" outlineLevel="0" max="39" min="39" style="1" width="10.32"/>
    <col collapsed="false" customWidth="true" hidden="false" outlineLevel="0" max="40" min="40" style="1" width="7.74"/>
    <col collapsed="false" customWidth="true" hidden="false" outlineLevel="0" max="41" min="41" style="1" width="10.32"/>
    <col collapsed="false" customWidth="true" hidden="false" outlineLevel="0" max="42" min="42" style="1" width="8.61"/>
    <col collapsed="false" customWidth="true" hidden="false" outlineLevel="0" max="43" min="43" style="1" width="7.74"/>
    <col collapsed="false" customWidth="true" hidden="false" outlineLevel="0" max="46" min="44" style="1" width="8.61"/>
    <col collapsed="false" customWidth="true" hidden="false" outlineLevel="0" max="48" min="47" style="1" width="10.32"/>
    <col collapsed="false" customWidth="true" hidden="false" outlineLevel="0" max="49" min="49" style="1" width="8.61"/>
    <col collapsed="false" customWidth="true" hidden="false" outlineLevel="0" max="52" min="50" style="1" width="7.74"/>
    <col collapsed="false" customWidth="true" hidden="false" outlineLevel="0" max="53" min="53" style="1" width="10.32"/>
    <col collapsed="false" customWidth="true" hidden="false" outlineLevel="0" max="55" min="54" style="1" width="8.61"/>
    <col collapsed="false" customWidth="true" hidden="false" outlineLevel="0" max="57" min="56" style="1" width="7.74"/>
    <col collapsed="false" customWidth="true" hidden="false" outlineLevel="0" max="58" min="58" style="1" width="8.61"/>
    <col collapsed="false" customWidth="true" hidden="false" outlineLevel="0" max="59" min="59" style="1" width="10.32"/>
    <col collapsed="false" customWidth="true" hidden="false" outlineLevel="0" max="60" min="60" style="1" width="8.61"/>
    <col collapsed="false" customWidth="true" hidden="false" outlineLevel="0" max="61" min="61" style="1" width="9.45"/>
    <col collapsed="false" customWidth="true" hidden="false" outlineLevel="0" max="62" min="62" style="1" width="10.32"/>
    <col collapsed="false" customWidth="true" hidden="false" outlineLevel="0" max="64" min="63" style="1" width="7.74"/>
    <col collapsed="false" customWidth="true" hidden="false" outlineLevel="0" max="65" min="65" style="1" width="10.32"/>
    <col collapsed="false" customWidth="true" hidden="false" outlineLevel="0" max="67" min="66" style="1" width="8.61"/>
    <col collapsed="false" customWidth="true" hidden="false" outlineLevel="0" max="68" min="68" style="1" width="10.32"/>
    <col collapsed="false" customWidth="true" hidden="false" outlineLevel="0" max="69" min="69" style="1" width="8.61"/>
    <col collapsed="false" customWidth="true" hidden="false" outlineLevel="0" max="71" min="70" style="1" width="7.74"/>
    <col collapsed="false" customWidth="true" hidden="false" outlineLevel="0" max="75" min="72" style="1" width="8.61"/>
    <col collapsed="false" customWidth="true" hidden="false" outlineLevel="0" max="76" min="76" style="1" width="10.32"/>
    <col collapsed="false" customWidth="true" hidden="false" outlineLevel="0" max="79" min="77" style="1" width="7.74"/>
    <col collapsed="false" customWidth="true" hidden="false" outlineLevel="0" max="81" min="80" style="1" width="8.61"/>
    <col collapsed="false" customWidth="true" hidden="false" outlineLevel="0" max="82" min="82" style="1" width="10.32"/>
    <col collapsed="false" customWidth="true" hidden="false" outlineLevel="0" max="84" min="83" style="1" width="8.61"/>
    <col collapsed="false" customWidth="true" hidden="false" outlineLevel="0" max="85" min="85" style="1" width="7.74"/>
    <col collapsed="false" customWidth="true" hidden="false" outlineLevel="0" max="86" min="86" style="1" width="11.17"/>
    <col collapsed="false" customWidth="true" hidden="false" outlineLevel="0" max="88" min="87" style="1" width="8.61"/>
    <col collapsed="false" customWidth="true" hidden="false" outlineLevel="0" max="91" min="89" style="1" width="7.74"/>
    <col collapsed="false" customWidth="true" hidden="false" outlineLevel="0" max="92" min="92" style="1" width="9.45"/>
    <col collapsed="false" customWidth="true" hidden="false" outlineLevel="0" max="96" min="93" style="1" width="8.61"/>
    <col collapsed="false" customWidth="true" hidden="false" outlineLevel="0" max="98" min="97" style="1" width="7.74"/>
    <col collapsed="false" customWidth="true" hidden="false" outlineLevel="0" max="99" min="99" style="1" width="10.32"/>
    <col collapsed="false" customWidth="true" hidden="false" outlineLevel="0" max="101" min="100" style="1" width="8.61"/>
    <col collapsed="false" customWidth="true" hidden="false" outlineLevel="0" max="102" min="102" style="1" width="10.32"/>
    <col collapsed="false" customWidth="true" hidden="false" outlineLevel="0" max="103" min="103" style="1" width="8.61"/>
    <col collapsed="false" customWidth="true" hidden="false" outlineLevel="0" max="104" min="104" style="1" width="7.74"/>
    <col collapsed="false" customWidth="true" hidden="false" outlineLevel="0" max="105" min="105" style="1" width="10.32"/>
    <col collapsed="false" customWidth="true" hidden="false" outlineLevel="0" max="106" min="106" style="1" width="7.74"/>
    <col collapsed="false" customWidth="true" hidden="false" outlineLevel="0" max="108" min="107" style="1" width="8.61"/>
    <col collapsed="false" customWidth="true" hidden="false" outlineLevel="0" max="109" min="109" style="1" width="7.74"/>
    <col collapsed="false" customWidth="true" hidden="false" outlineLevel="0" max="110" min="110" style="1" width="8.61"/>
    <col collapsed="false" customWidth="true" hidden="false" outlineLevel="0" max="113" min="111" style="1" width="7.74"/>
    <col collapsed="false" customWidth="true" hidden="false" outlineLevel="0" max="115" min="114" style="1" width="8.61"/>
    <col collapsed="false" customWidth="true" hidden="false" outlineLevel="0" max="116" min="116" style="1" width="10.32"/>
    <col collapsed="false" customWidth="true" hidden="false" outlineLevel="0" max="117" min="117" style="1" width="8.61"/>
    <col collapsed="false" customWidth="true" hidden="false" outlineLevel="0" max="118" min="118" style="1" width="7.74"/>
    <col collapsed="false" customWidth="true" hidden="false" outlineLevel="0" max="119" min="119" style="1" width="9.45"/>
    <col collapsed="false" customWidth="true" hidden="false" outlineLevel="0" max="120" min="120" style="1" width="7.74"/>
    <col collapsed="false" customWidth="true" hidden="false" outlineLevel="0" max="121" min="121" style="1" width="11.17"/>
    <col collapsed="false" customWidth="true" hidden="false" outlineLevel="0" max="122" min="122" style="1" width="9.45"/>
    <col collapsed="false" customWidth="true" hidden="false" outlineLevel="0" max="123" min="123" style="1" width="10.32"/>
    <col collapsed="false" customWidth="true" hidden="false" outlineLevel="0" max="126" min="124" style="1" width="8.61"/>
    <col collapsed="false" customWidth="true" hidden="false" outlineLevel="0" max="128" min="127" style="1" width="10.32"/>
    <col collapsed="false" customWidth="true" hidden="false" outlineLevel="0" max="129" min="129" style="1" width="8.61"/>
    <col collapsed="false" customWidth="true" hidden="false" outlineLevel="0" max="130" min="130" style="1" width="10.32"/>
    <col collapsed="false" customWidth="true" hidden="false" outlineLevel="0" max="131" min="131" style="1" width="7.74"/>
    <col collapsed="false" customWidth="true" hidden="false" outlineLevel="0" max="132" min="132" style="1" width="8.61"/>
    <col collapsed="false" customWidth="true" hidden="false" outlineLevel="0" max="134" min="133" style="1" width="7.74"/>
    <col collapsed="false" customWidth="true" hidden="false" outlineLevel="0" max="136" min="135" style="1" width="8.61"/>
    <col collapsed="false" customWidth="true" hidden="false" outlineLevel="0" max="137" min="137" style="1" width="10.32"/>
    <col collapsed="false" customWidth="true" hidden="false" outlineLevel="0" max="138" min="138" style="1" width="8.61"/>
    <col collapsed="false" customWidth="true" hidden="false" outlineLevel="0" max="139" min="139" style="1" width="7.74"/>
    <col collapsed="false" customWidth="true" hidden="false" outlineLevel="0" max="140" min="140" style="1" width="10.32"/>
    <col collapsed="false" customWidth="true" hidden="false" outlineLevel="0" max="141" min="141" style="1" width="7.74"/>
    <col collapsed="false" customWidth="true" hidden="false" outlineLevel="0" max="142" min="142" style="1" width="11.17"/>
    <col collapsed="false" customWidth="true" hidden="false" outlineLevel="0" max="143" min="143" style="1" width="8.61"/>
    <col collapsed="false" customWidth="true" hidden="false" outlineLevel="0" max="144" min="144" style="1" width="10.32"/>
    <col collapsed="false" customWidth="true" hidden="false" outlineLevel="0" max="145" min="145" style="1" width="7.74"/>
    <col collapsed="false" customWidth="true" hidden="false" outlineLevel="0" max="146" min="146" style="1" width="8.61"/>
    <col collapsed="false" customWidth="true" hidden="false" outlineLevel="0" max="147" min="147" style="1" width="10.32"/>
    <col collapsed="false" customWidth="true" hidden="false" outlineLevel="0" max="148" min="148" style="1" width="8.61"/>
    <col collapsed="false" customWidth="true" hidden="false" outlineLevel="0" max="149" min="149" style="1" width="7.74"/>
    <col collapsed="false" customWidth="true" hidden="false" outlineLevel="0" max="152" min="150" style="1" width="8.61"/>
    <col collapsed="false" customWidth="true" hidden="false" outlineLevel="0" max="153" min="153" style="1" width="9.45"/>
    <col collapsed="false" customWidth="true" hidden="false" outlineLevel="0" max="155" min="154" style="1" width="7.74"/>
    <col collapsed="false" customWidth="true" hidden="false" outlineLevel="0" max="158" min="156" style="1" width="8.61"/>
    <col collapsed="false" customWidth="true" hidden="false" outlineLevel="0" max="160" min="159" style="1" width="10.32"/>
    <col collapsed="false" customWidth="true" hidden="false" outlineLevel="0" max="162" min="161" style="1" width="7.74"/>
    <col collapsed="false" customWidth="true" hidden="false" outlineLevel="0" max="164" min="163" style="1" width="8.61"/>
    <col collapsed="false" customWidth="true" hidden="false" outlineLevel="0" max="165" min="165" style="1" width="10.32"/>
    <col collapsed="false" customWidth="true" hidden="false" outlineLevel="0" max="166" min="166" style="1" width="8.61"/>
    <col collapsed="false" customWidth="true" hidden="false" outlineLevel="0" max="168" min="167" style="1" width="10.32"/>
    <col collapsed="false" customWidth="true" hidden="false" outlineLevel="0" max="169" min="169" style="1" width="7.74"/>
    <col collapsed="false" customWidth="true" hidden="false" outlineLevel="0" max="172" min="170" style="1" width="8.61"/>
    <col collapsed="false" customWidth="true" hidden="false" outlineLevel="0" max="173" min="173" style="1" width="11.17"/>
    <col collapsed="false" customWidth="true" hidden="false" outlineLevel="0" max="174" min="174" style="1" width="8.61"/>
    <col collapsed="false" customWidth="true" hidden="false" outlineLevel="0" max="175" min="175" style="1" width="10.32"/>
    <col collapsed="false" customWidth="true" hidden="false" outlineLevel="0" max="176" min="176" style="1" width="7.74"/>
    <col collapsed="false" customWidth="true" hidden="false" outlineLevel="0" max="178" min="177" style="1" width="8.61"/>
    <col collapsed="false" customWidth="true" hidden="false" outlineLevel="0" max="179" min="179" style="1" width="7.74"/>
    <col collapsed="false" customWidth="true" hidden="false" outlineLevel="0" max="181" min="180" style="1" width="8.61"/>
    <col collapsed="false" customWidth="true" hidden="false" outlineLevel="0" max="182" min="182" style="1" width="7.74"/>
    <col collapsed="false" customWidth="true" hidden="false" outlineLevel="0" max="183" min="183" style="1" width="9.45"/>
    <col collapsed="false" customWidth="true" hidden="false" outlineLevel="0" max="185" min="184" style="1" width="10.32"/>
    <col collapsed="false" customWidth="true" hidden="false" outlineLevel="0" max="186" min="186" style="1" width="8.61"/>
    <col collapsed="false" customWidth="true" hidden="false" outlineLevel="0" max="187" min="187" style="1" width="10.32"/>
    <col collapsed="false" customWidth="true" hidden="false" outlineLevel="0" max="188" min="188" style="1" width="7.74"/>
    <col collapsed="false" customWidth="true" hidden="false" outlineLevel="0" max="189" min="189" style="1" width="8.61"/>
    <col collapsed="false" customWidth="true" hidden="false" outlineLevel="0" max="190" min="190" style="1" width="10.32"/>
    <col collapsed="false" customWidth="true" hidden="false" outlineLevel="0" max="195" min="191" style="1" width="8.61"/>
    <col collapsed="false" customWidth="true" hidden="false" outlineLevel="0" max="196" min="196" style="1" width="10.32"/>
    <col collapsed="false" customWidth="true" hidden="false" outlineLevel="0" max="197" min="197" style="1" width="8.61"/>
    <col collapsed="false" customWidth="true" hidden="false" outlineLevel="0" max="198" min="198" style="1" width="10.32"/>
    <col collapsed="false" customWidth="true" hidden="false" outlineLevel="0" max="199" min="199" style="1" width="8.61"/>
    <col collapsed="false" customWidth="true" hidden="false" outlineLevel="0" max="200" min="200" style="1" width="7.74"/>
    <col collapsed="false" customWidth="true" hidden="false" outlineLevel="0" max="203" min="201" style="1" width="8.61"/>
    <col collapsed="false" customWidth="true" hidden="false" outlineLevel="0" max="204" min="204" style="1" width="7.74"/>
    <col collapsed="false" customWidth="true" hidden="false" outlineLevel="0" max="205" min="205" style="1" width="11.17"/>
    <col collapsed="false" customWidth="true" hidden="false" outlineLevel="0" max="206" min="206" style="1" width="8.61"/>
    <col collapsed="false" customWidth="true" hidden="false" outlineLevel="0" max="207" min="207" style="1" width="10.32"/>
    <col collapsed="false" customWidth="true" hidden="false" outlineLevel="0" max="208" min="208" style="1" width="8.61"/>
    <col collapsed="false" customWidth="true" hidden="false" outlineLevel="0" max="209" min="209" style="1" width="7.74"/>
    <col collapsed="false" customWidth="true" hidden="false" outlineLevel="0" max="210" min="210" style="1" width="8.61"/>
    <col collapsed="false" customWidth="true" hidden="false" outlineLevel="0" max="211" min="211" style="1" width="7.74"/>
    <col collapsed="false" customWidth="true" hidden="false" outlineLevel="0" max="213" min="212" style="1" width="8.61"/>
    <col collapsed="false" customWidth="true" hidden="false" outlineLevel="0" max="214" min="214" style="1" width="9.45"/>
    <col collapsed="false" customWidth="true" hidden="false" outlineLevel="0" max="215" min="215" style="1" width="10.32"/>
    <col collapsed="false" customWidth="true" hidden="false" outlineLevel="0" max="216" min="216" style="1" width="8.61"/>
    <col collapsed="false" customWidth="true" hidden="false" outlineLevel="0" max="217" min="217" style="1" width="7.74"/>
    <col collapsed="false" customWidth="true" hidden="false" outlineLevel="0" max="218" min="218" style="1" width="10.32"/>
    <col collapsed="false" customWidth="true" hidden="false" outlineLevel="0" max="220" min="219" style="1" width="8.61"/>
    <col collapsed="false" customWidth="true" hidden="false" outlineLevel="0" max="221" min="221" style="1" width="10.32"/>
    <col collapsed="false" customWidth="true" hidden="false" outlineLevel="0" max="222" min="222" style="1" width="7.74"/>
    <col collapsed="false" customWidth="true" hidden="false" outlineLevel="0" max="224" min="223" style="1" width="8.61"/>
    <col collapsed="false" customWidth="true" hidden="false" outlineLevel="0" max="225" min="225" style="1" width="7.74"/>
    <col collapsed="false" customWidth="true" hidden="false" outlineLevel="0" max="228" min="226" style="1" width="8.61"/>
    <col collapsed="false" customWidth="true" hidden="false" outlineLevel="0" max="230" min="229" style="1" width="10.32"/>
    <col collapsed="false" customWidth="true" hidden="false" outlineLevel="0" max="232" min="231" style="1" width="7.74"/>
    <col collapsed="false" customWidth="true" hidden="false" outlineLevel="0" max="233" min="233" style="1" width="8.61"/>
    <col collapsed="false" customWidth="true" hidden="false" outlineLevel="0" max="234" min="234" style="1" width="11.17"/>
    <col collapsed="false" customWidth="true" hidden="false" outlineLevel="0" max="238" min="235" style="1" width="8.61"/>
    <col collapsed="false" customWidth="true" hidden="false" outlineLevel="0" max="239" min="239" style="1" width="7.74"/>
    <col collapsed="false" customWidth="true" hidden="false" outlineLevel="0" max="241" min="240" style="1" width="8.61"/>
    <col collapsed="false" customWidth="true" hidden="false" outlineLevel="0" max="242" min="242" style="1" width="10.32"/>
    <col collapsed="false" customWidth="true" hidden="false" outlineLevel="0" max="243" min="243" style="1" width="8.61"/>
    <col collapsed="false" customWidth="true" hidden="false" outlineLevel="0" max="244" min="244" style="1" width="10.32"/>
    <col collapsed="false" customWidth="true" hidden="false" outlineLevel="0" max="245" min="245" style="1" width="9.45"/>
    <col collapsed="false" customWidth="true" hidden="false" outlineLevel="0" max="246" min="246" style="1" width="8.61"/>
    <col collapsed="false" customWidth="true" hidden="false" outlineLevel="0" max="247" min="247" style="1" width="7.74"/>
    <col collapsed="false" customWidth="true" hidden="false" outlineLevel="0" max="248" min="248" style="1" width="8.61"/>
    <col collapsed="false" customWidth="true" hidden="false" outlineLevel="0" max="249" min="249" style="1" width="10.32"/>
    <col collapsed="false" customWidth="true" hidden="false" outlineLevel="0" max="251" min="250" style="1" width="8.61"/>
    <col collapsed="false" customWidth="true" hidden="false" outlineLevel="0" max="252" min="252" style="1" width="10.32"/>
    <col collapsed="false" customWidth="true" hidden="false" outlineLevel="0" max="253" min="253" style="1" width="7.74"/>
    <col collapsed="false" customWidth="true" hidden="false" outlineLevel="0" max="258" min="254" style="1" width="8.61"/>
    <col collapsed="false" customWidth="true" hidden="false" outlineLevel="0" max="259" min="259" style="1" width="10.32"/>
    <col collapsed="false" customWidth="true" hidden="false" outlineLevel="0" max="265" min="260" style="1" width="8.61"/>
    <col collapsed="false" customWidth="true" hidden="false" outlineLevel="0" max="266" min="266" style="1" width="10.32"/>
    <col collapsed="false" customWidth="true" hidden="false" outlineLevel="0" max="267" min="267" style="1" width="7.74"/>
    <col collapsed="false" customWidth="true" hidden="false" outlineLevel="0" max="269" min="268" style="1" width="8.61"/>
    <col collapsed="false" customWidth="true" hidden="false" outlineLevel="0" max="270" min="270" style="1" width="11.17"/>
    <col collapsed="false" customWidth="true" hidden="false" outlineLevel="0" max="273" min="271" style="1" width="8.61"/>
    <col collapsed="false" customWidth="true" hidden="false" outlineLevel="0" max="274" min="274" style="1" width="7.74"/>
    <col collapsed="false" customWidth="true" hidden="false" outlineLevel="0" max="275" min="275" style="1" width="9.45"/>
    <col collapsed="false" customWidth="true" hidden="false" outlineLevel="0" max="280" min="276" style="1" width="8.61"/>
    <col collapsed="false" customWidth="true" hidden="false" outlineLevel="0" max="281" min="281" style="1" width="7.74"/>
    <col collapsed="false" customWidth="true" hidden="false" outlineLevel="0" max="282" min="282" style="1" width="10.32"/>
    <col collapsed="false" customWidth="true" hidden="false" outlineLevel="0" max="283" min="283" style="1" width="9.45"/>
    <col collapsed="false" customWidth="true" hidden="false" outlineLevel="0" max="290" min="284" style="1" width="8.61"/>
    <col collapsed="false" customWidth="true" hidden="false" outlineLevel="0" max="291" min="291" style="1" width="9.45"/>
    <col collapsed="false" customWidth="true" hidden="false" outlineLevel="0" max="292" min="292" style="1" width="10.32"/>
    <col collapsed="false" customWidth="true" hidden="false" outlineLevel="0" max="294" min="293" style="1" width="8.61"/>
    <col collapsed="false" customWidth="true" hidden="false" outlineLevel="0" max="295" min="295" style="1" width="7.74"/>
    <col collapsed="false" customWidth="true" hidden="false" outlineLevel="0" max="296" min="296" style="1" width="11.17"/>
    <col collapsed="false" customWidth="true" hidden="false" outlineLevel="0" max="297" min="297" style="1" width="8.61"/>
    <col collapsed="false" customWidth="true" hidden="false" outlineLevel="0" max="298" min="298" style="1" width="10.32"/>
    <col collapsed="false" customWidth="true" hidden="false" outlineLevel="0" max="300" min="299" style="1" width="8.61"/>
    <col collapsed="false" customWidth="true" hidden="false" outlineLevel="0" max="302" min="301" style="1" width="7.74"/>
    <col collapsed="false" customWidth="true" hidden="false" outlineLevel="0" max="305" min="303" style="1" width="8.61"/>
    <col collapsed="false" customWidth="true" hidden="false" outlineLevel="0" max="306" min="306" style="1" width="9.45"/>
    <col collapsed="false" customWidth="true" hidden="false" outlineLevel="0" max="307" min="307" style="1" width="10.32"/>
    <col collapsed="false" customWidth="true" hidden="false" outlineLevel="0" max="308" min="308" style="1" width="8.61"/>
    <col collapsed="false" customWidth="true" hidden="false" outlineLevel="0" max="309" min="309" style="1" width="7.74"/>
    <col collapsed="false" customWidth="true" hidden="false" outlineLevel="0" max="310" min="310" style="1" width="10.32"/>
    <col collapsed="false" customWidth="true" hidden="false" outlineLevel="0" max="311" min="311" style="1" width="9.45"/>
    <col collapsed="false" customWidth="true" hidden="false" outlineLevel="0" max="312" min="312" style="1" width="7.74"/>
    <col collapsed="false" customWidth="true" hidden="false" outlineLevel="0" max="313" min="313" style="1" width="10.32"/>
    <col collapsed="false" customWidth="true" hidden="false" outlineLevel="0" max="314" min="314" style="1" width="8.61"/>
    <col collapsed="false" customWidth="true" hidden="false" outlineLevel="0" max="315" min="315" style="1" width="7.74"/>
    <col collapsed="false" customWidth="true" hidden="false" outlineLevel="0" max="316" min="316" style="1" width="8.61"/>
    <col collapsed="false" customWidth="true" hidden="false" outlineLevel="0" max="317" min="317" style="1" width="7.74"/>
    <col collapsed="false" customWidth="true" hidden="false" outlineLevel="0" max="318" min="318" style="1" width="8.61"/>
    <col collapsed="false" customWidth="true" hidden="false" outlineLevel="0" max="319" min="319" style="1" width="9.45"/>
    <col collapsed="false" customWidth="true" hidden="false" outlineLevel="0" max="320" min="320" style="1" width="8.61"/>
    <col collapsed="false" customWidth="true" hidden="false" outlineLevel="0" max="321" min="321" style="1" width="10.32"/>
    <col collapsed="false" customWidth="true" hidden="false" outlineLevel="0" max="322" min="322" style="1" width="7.74"/>
    <col collapsed="false" customWidth="true" hidden="false" outlineLevel="0" max="324" min="323" style="1" width="8.61"/>
    <col collapsed="false" customWidth="true" hidden="false" outlineLevel="0" max="325" min="325" style="1" width="9.45"/>
    <col collapsed="false" customWidth="true" hidden="false" outlineLevel="0" max="326" min="326" style="1" width="11.17"/>
    <col collapsed="false" customWidth="true" hidden="false" outlineLevel="0" max="329" min="327" style="1" width="8.61"/>
    <col collapsed="false" customWidth="true" hidden="false" outlineLevel="0" max="330" min="330" style="1" width="7.74"/>
    <col collapsed="false" customWidth="true" hidden="false" outlineLevel="0" max="332" min="331" style="1" width="8.61"/>
    <col collapsed="false" customWidth="true" hidden="false" outlineLevel="0" max="333" min="333" style="1" width="10.32"/>
    <col collapsed="false" customWidth="true" hidden="false" outlineLevel="0" max="334" min="334" style="1" width="7.74"/>
    <col collapsed="false" customWidth="true" hidden="false" outlineLevel="0" max="335" min="335" style="1" width="10.32"/>
    <col collapsed="false" customWidth="true" hidden="false" outlineLevel="0" max="336" min="336" style="1" width="9.45"/>
    <col collapsed="false" customWidth="true" hidden="false" outlineLevel="0" max="338" min="337" style="1" width="8.61"/>
    <col collapsed="false" customWidth="true" hidden="false" outlineLevel="0" max="339" min="339" style="1" width="9.45"/>
    <col collapsed="false" customWidth="true" hidden="false" outlineLevel="0" max="342" min="340" style="1" width="8.61"/>
    <col collapsed="false" customWidth="true" hidden="false" outlineLevel="0" max="343" min="343" style="1" width="10.32"/>
    <col collapsed="false" customWidth="true" hidden="false" outlineLevel="0" max="344" min="344" style="1" width="8.61"/>
    <col collapsed="false" customWidth="true" hidden="false" outlineLevel="0" max="345" min="345" style="1" width="10.32"/>
    <col collapsed="false" customWidth="true" hidden="false" outlineLevel="0" max="346" min="346" style="1" width="9.45"/>
    <col collapsed="false" customWidth="true" hidden="false" outlineLevel="0" max="352" min="347" style="1" width="8.61"/>
    <col collapsed="false" customWidth="true" hidden="false" outlineLevel="0" max="353" min="353" style="1" width="9.45"/>
    <col collapsed="false" customWidth="true" hidden="false" outlineLevel="0" max="355" min="354" style="1" width="8.61"/>
    <col collapsed="false" customWidth="true" hidden="false" outlineLevel="0" max="356" min="356" style="1" width="11.17"/>
    <col collapsed="false" customWidth="true" hidden="false" outlineLevel="0" max="359" min="357" style="1" width="8.61"/>
    <col collapsed="false" customWidth="true" hidden="false" outlineLevel="0" max="360" min="360" style="1" width="9.45"/>
    <col collapsed="false" customWidth="true" hidden="false" outlineLevel="0" max="361" min="361" style="1" width="7.74"/>
    <col collapsed="false" customWidth="true" hidden="false" outlineLevel="0" max="365" min="362" style="1" width="8.61"/>
    <col collapsed="false" customWidth="true" hidden="false" outlineLevel="0" max="367" min="366" style="1" width="9.45"/>
    <col collapsed="false" customWidth="true" hidden="false" outlineLevel="0" max="368" min="368" style="1" width="11.17"/>
  </cols>
  <sheetData>
    <row r="1" customFormat="false" ht="22.3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  <c r="JP1" s="3" t="s">
        <v>275</v>
      </c>
      <c r="JQ1" s="3" t="s">
        <v>276</v>
      </c>
      <c r="JR1" s="3" t="s">
        <v>277</v>
      </c>
      <c r="JS1" s="3" t="s">
        <v>278</v>
      </c>
      <c r="JT1" s="3" t="s">
        <v>279</v>
      </c>
      <c r="JU1" s="3" t="s">
        <v>280</v>
      </c>
      <c r="JV1" s="3" t="s">
        <v>281</v>
      </c>
      <c r="JW1" s="3" t="s">
        <v>282</v>
      </c>
      <c r="JX1" s="3" t="s">
        <v>283</v>
      </c>
      <c r="JY1" s="3" t="s">
        <v>284</v>
      </c>
      <c r="JZ1" s="3" t="s">
        <v>285</v>
      </c>
      <c r="KA1" s="3" t="s">
        <v>286</v>
      </c>
      <c r="KB1" s="3" t="s">
        <v>287</v>
      </c>
      <c r="KC1" s="3" t="s">
        <v>288</v>
      </c>
      <c r="KD1" s="3" t="s">
        <v>289</v>
      </c>
      <c r="KE1" s="3" t="s">
        <v>290</v>
      </c>
      <c r="KF1" s="3" t="s">
        <v>291</v>
      </c>
      <c r="KG1" s="3" t="s">
        <v>292</v>
      </c>
      <c r="KH1" s="3" t="s">
        <v>293</v>
      </c>
      <c r="KI1" s="3" t="s">
        <v>294</v>
      </c>
      <c r="KJ1" s="3" t="s">
        <v>295</v>
      </c>
      <c r="KK1" s="3" t="s">
        <v>296</v>
      </c>
      <c r="KL1" s="3" t="s">
        <v>297</v>
      </c>
      <c r="KM1" s="3" t="s">
        <v>298</v>
      </c>
      <c r="KN1" s="3" t="s">
        <v>299</v>
      </c>
      <c r="KO1" s="3" t="s">
        <v>300</v>
      </c>
      <c r="KP1" s="3" t="s">
        <v>301</v>
      </c>
      <c r="KQ1" s="3" t="s">
        <v>302</v>
      </c>
      <c r="KR1" s="3" t="s">
        <v>303</v>
      </c>
      <c r="KS1" s="3" t="s">
        <v>304</v>
      </c>
      <c r="KT1" s="3" t="s">
        <v>305</v>
      </c>
      <c r="KU1" s="3" t="s">
        <v>306</v>
      </c>
      <c r="KV1" s="3" t="s">
        <v>307</v>
      </c>
      <c r="KW1" s="3" t="s">
        <v>308</v>
      </c>
      <c r="KX1" s="3" t="s">
        <v>309</v>
      </c>
      <c r="KY1" s="3" t="s">
        <v>310</v>
      </c>
      <c r="KZ1" s="3" t="s">
        <v>311</v>
      </c>
      <c r="LA1" s="3" t="s">
        <v>312</v>
      </c>
      <c r="LB1" s="3" t="s">
        <v>313</v>
      </c>
      <c r="LC1" s="3" t="s">
        <v>314</v>
      </c>
      <c r="LD1" s="3" t="s">
        <v>315</v>
      </c>
      <c r="LE1" s="3" t="s">
        <v>316</v>
      </c>
      <c r="LF1" s="3" t="s">
        <v>317</v>
      </c>
      <c r="LG1" s="3" t="s">
        <v>318</v>
      </c>
      <c r="LH1" s="3" t="s">
        <v>319</v>
      </c>
      <c r="LI1" s="3" t="s">
        <v>320</v>
      </c>
      <c r="LJ1" s="3" t="s">
        <v>321</v>
      </c>
      <c r="LK1" s="3" t="s">
        <v>322</v>
      </c>
      <c r="LL1" s="3" t="s">
        <v>323</v>
      </c>
      <c r="LM1" s="3" t="s">
        <v>324</v>
      </c>
      <c r="LN1" s="3" t="s">
        <v>325</v>
      </c>
      <c r="LO1" s="3" t="s">
        <v>326</v>
      </c>
      <c r="LP1" s="3" t="s">
        <v>327</v>
      </c>
      <c r="LQ1" s="3" t="s">
        <v>328</v>
      </c>
      <c r="LR1" s="3" t="s">
        <v>329</v>
      </c>
      <c r="LS1" s="3" t="s">
        <v>330</v>
      </c>
      <c r="LT1" s="3" t="s">
        <v>331</v>
      </c>
      <c r="LU1" s="3" t="s">
        <v>332</v>
      </c>
      <c r="LV1" s="3" t="s">
        <v>333</v>
      </c>
      <c r="LW1" s="3" t="s">
        <v>334</v>
      </c>
      <c r="LX1" s="3" t="s">
        <v>335</v>
      </c>
      <c r="LY1" s="3" t="s">
        <v>336</v>
      </c>
      <c r="LZ1" s="3" t="s">
        <v>337</v>
      </c>
      <c r="MA1" s="3" t="s">
        <v>338</v>
      </c>
      <c r="MB1" s="3" t="s">
        <v>339</v>
      </c>
      <c r="MC1" s="3" t="s">
        <v>340</v>
      </c>
      <c r="MD1" s="3" t="s">
        <v>341</v>
      </c>
      <c r="ME1" s="3" t="s">
        <v>342</v>
      </c>
      <c r="MF1" s="3" t="s">
        <v>343</v>
      </c>
      <c r="MG1" s="3" t="s">
        <v>344</v>
      </c>
      <c r="MH1" s="3" t="s">
        <v>345</v>
      </c>
      <c r="MI1" s="3" t="s">
        <v>346</v>
      </c>
      <c r="MJ1" s="3" t="s">
        <v>347</v>
      </c>
      <c r="MK1" s="3" t="s">
        <v>348</v>
      </c>
      <c r="ML1" s="3" t="s">
        <v>349</v>
      </c>
      <c r="MM1" s="3" t="s">
        <v>350</v>
      </c>
      <c r="MN1" s="3" t="s">
        <v>351</v>
      </c>
      <c r="MO1" s="3" t="s">
        <v>352</v>
      </c>
      <c r="MP1" s="3" t="s">
        <v>353</v>
      </c>
      <c r="MQ1" s="3" t="s">
        <v>354</v>
      </c>
      <c r="MR1" s="3" t="s">
        <v>355</v>
      </c>
      <c r="MS1" s="3" t="s">
        <v>356</v>
      </c>
      <c r="MT1" s="3" t="s">
        <v>357</v>
      </c>
      <c r="MU1" s="3" t="s">
        <v>358</v>
      </c>
      <c r="MV1" s="3" t="s">
        <v>359</v>
      </c>
      <c r="MW1" s="3" t="s">
        <v>360</v>
      </c>
      <c r="MX1" s="3" t="s">
        <v>361</v>
      </c>
      <c r="MY1" s="3" t="s">
        <v>362</v>
      </c>
      <c r="MZ1" s="3" t="s">
        <v>363</v>
      </c>
      <c r="NA1" s="3" t="s">
        <v>364</v>
      </c>
      <c r="NB1" s="3" t="s">
        <v>365</v>
      </c>
      <c r="NC1" s="3" t="s">
        <v>366</v>
      </c>
      <c r="ND1" s="3" t="s">
        <v>367</v>
      </c>
    </row>
    <row r="2" s="7" customFormat="true" ht="12.8" hidden="false" customHeight="false" outlineLevel="0" collapsed="false">
      <c r="A2" s="4" t="s">
        <v>368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6" t="n">
        <f aca="false">SUM(A2:NC2)</f>
        <v>0</v>
      </c>
    </row>
    <row r="3" customFormat="false" ht="12.8" hidden="false" customHeight="false" outlineLevel="0" collapsed="false">
      <c r="A3" s="8" t="s">
        <v>369</v>
      </c>
      <c r="B3" s="9" t="n">
        <f aca="false">-1345.95</f>
        <v>-1345.95</v>
      </c>
      <c r="C3" s="9" t="n">
        <f aca="false">-244.85</f>
        <v>-244.85</v>
      </c>
      <c r="D3" s="9" t="n">
        <f aca="false">-62.5</f>
        <v>-62.5</v>
      </c>
      <c r="E3" s="9" t="n">
        <f aca="false">-1304.23</f>
        <v>-1304.23</v>
      </c>
      <c r="F3" s="9" t="n">
        <f aca="false">-5840.75</f>
        <v>-5840.75</v>
      </c>
      <c r="G3" s="9" t="n">
        <f aca="false">689.66</f>
        <v>689.66</v>
      </c>
      <c r="H3" s="9" t="n">
        <f aca="false">-521.84</f>
        <v>-521.84</v>
      </c>
      <c r="I3" s="9" t="n">
        <f aca="false">2462.39</f>
        <v>2462.39</v>
      </c>
      <c r="J3" s="9" t="n">
        <f aca="false">653.49</f>
        <v>653.49</v>
      </c>
      <c r="K3" s="9" t="n">
        <f aca="false">-1272.43</f>
        <v>-1272.43</v>
      </c>
      <c r="L3" s="9" t="n">
        <f aca="false">-928.4</f>
        <v>-928.4</v>
      </c>
      <c r="M3" s="9" t="n">
        <f aca="false">-8130.91</f>
        <v>-8130.91</v>
      </c>
      <c r="N3" s="9" t="n">
        <f aca="false">-3512.46</f>
        <v>-3512.46</v>
      </c>
      <c r="O3" s="9" t="n">
        <f aca="false">-507.36</f>
        <v>-507.36</v>
      </c>
      <c r="P3" s="9" t="n">
        <f aca="false">-274.92</f>
        <v>-274.92</v>
      </c>
      <c r="Q3" s="9" t="n">
        <f aca="false">155.1</f>
        <v>155.1</v>
      </c>
      <c r="R3" s="9" t="n">
        <f aca="false">-532</f>
        <v>-532</v>
      </c>
      <c r="S3" s="9" t="n">
        <f aca="false">132.2</f>
        <v>132.2</v>
      </c>
      <c r="T3" s="9" t="n">
        <f aca="false">-1856.45</f>
        <v>-1856.45</v>
      </c>
      <c r="U3" s="9" t="n">
        <f aca="false">-400</f>
        <v>-400</v>
      </c>
      <c r="V3" s="9" t="n">
        <f aca="false">-215.64</f>
        <v>-215.64</v>
      </c>
      <c r="W3" s="9" t="n">
        <f aca="false">-1086.58</f>
        <v>-1086.58</v>
      </c>
      <c r="X3" s="9" t="n">
        <f aca="false">-30.18</f>
        <v>-30.18</v>
      </c>
      <c r="Y3" s="9" t="n">
        <f aca="false">-2.09</f>
        <v>-2.09</v>
      </c>
      <c r="Z3" s="9" t="n">
        <f aca="false">-57.44</f>
        <v>-57.44</v>
      </c>
      <c r="AA3" s="9" t="n">
        <f aca="false">-272.98</f>
        <v>-272.98</v>
      </c>
      <c r="AB3" s="9" t="n">
        <f aca="false">-552.03</f>
        <v>-552.03</v>
      </c>
      <c r="AC3" s="9" t="n">
        <f aca="false">-87.31</f>
        <v>-87.31</v>
      </c>
      <c r="AD3" s="9" t="n">
        <f aca="false">-7265.95</f>
        <v>-7265.95</v>
      </c>
      <c r="AE3" s="9" t="n">
        <f aca="false">310.02</f>
        <v>310.02</v>
      </c>
      <c r="AF3" s="9" t="n">
        <f aca="false">723.42</f>
        <v>723.42</v>
      </c>
      <c r="AG3" s="9" t="n">
        <f aca="false">-815.32</f>
        <v>-815.32</v>
      </c>
      <c r="AH3" s="9" t="n">
        <f aca="false">-648.91</f>
        <v>-648.91</v>
      </c>
      <c r="AI3" s="9" t="n">
        <f aca="false">-1845.5</f>
        <v>-1845.5</v>
      </c>
      <c r="AJ3" s="9" t="n">
        <f aca="false">-410.12</f>
        <v>-410.12</v>
      </c>
      <c r="AK3" s="9" t="n">
        <f aca="false">-98.8</f>
        <v>-98.8</v>
      </c>
      <c r="AL3" s="9" t="n">
        <f aca="false">-395.67</f>
        <v>-395.67</v>
      </c>
      <c r="AM3" s="9" t="n">
        <f aca="false">-343.51</f>
        <v>-343.51</v>
      </c>
      <c r="AN3" s="9" t="n">
        <f aca="false">-867.09</f>
        <v>-867.09</v>
      </c>
      <c r="AO3" s="9" t="n">
        <f aca="false">-657.67</f>
        <v>-657.67</v>
      </c>
      <c r="AP3" s="9" t="n">
        <f aca="false">-286.27</f>
        <v>-286.27</v>
      </c>
      <c r="AQ3" s="9" t="n">
        <f aca="false">-954.82</f>
        <v>-954.82</v>
      </c>
      <c r="AR3" s="9" t="n">
        <f aca="false">2104.1</f>
        <v>2104.1</v>
      </c>
      <c r="AS3" s="9" t="n">
        <f aca="false">3076.81</f>
        <v>3076.81</v>
      </c>
      <c r="AT3" s="9" t="n">
        <f aca="false">-1123.48</f>
        <v>-1123.48</v>
      </c>
      <c r="AU3" s="9" t="n">
        <f aca="false">-3223.46</f>
        <v>-3223.46</v>
      </c>
      <c r="AV3" s="9" t="n">
        <f aca="false">-1075.12</f>
        <v>-1075.12</v>
      </c>
      <c r="AW3" s="9" t="n">
        <f aca="false">-1854.83</f>
        <v>-1854.83</v>
      </c>
      <c r="AX3" s="9" t="n">
        <f aca="false">-111.98</f>
        <v>-111.98</v>
      </c>
      <c r="AY3" s="9" t="n">
        <f aca="false">-744.07</f>
        <v>-744.07</v>
      </c>
      <c r="AZ3" s="9" t="n">
        <f aca="false">-55.5</f>
        <v>-55.5</v>
      </c>
      <c r="BA3" s="9" t="n">
        <f aca="false">83.35</f>
        <v>83.35</v>
      </c>
      <c r="BB3" s="9" t="n">
        <f aca="false">-649.08</f>
        <v>-649.08</v>
      </c>
      <c r="BC3" s="9" t="n">
        <f aca="false">-1015.33</f>
        <v>-1015.33</v>
      </c>
      <c r="BD3" s="9" t="n">
        <f aca="false">-62.72</f>
        <v>-62.72</v>
      </c>
      <c r="BE3" s="9" t="n">
        <f aca="false">-61.42</f>
        <v>-61.42</v>
      </c>
      <c r="BF3" s="9" t="n">
        <f aca="false">-5738.97</f>
        <v>-5738.97</v>
      </c>
      <c r="BG3" s="9" t="n">
        <f aca="false">-8548.61</f>
        <v>-8548.61</v>
      </c>
      <c r="BH3" s="9" t="n">
        <f aca="false">-170.45</f>
        <v>-170.45</v>
      </c>
      <c r="BI3" s="9" t="n">
        <f aca="false">30283.51</f>
        <v>30283.51</v>
      </c>
      <c r="BJ3" s="9" t="n">
        <f aca="false">-3270.72</f>
        <v>-3270.72</v>
      </c>
      <c r="BK3" s="9" t="n">
        <f aca="false">-34.1</f>
        <v>-34.1</v>
      </c>
      <c r="BL3" s="9" t="n">
        <f aca="false">-588.46</f>
        <v>-588.46</v>
      </c>
      <c r="BM3" s="9" t="n">
        <f aca="false">-2071.29</f>
        <v>-2071.29</v>
      </c>
      <c r="BN3" s="9" t="n">
        <f aca="false">1259.3</f>
        <v>1259.3</v>
      </c>
      <c r="BO3" s="9" t="n">
        <f aca="false">785.18</f>
        <v>785.18</v>
      </c>
      <c r="BP3" s="9" t="n">
        <f aca="false">-6554.21</f>
        <v>-6554.21</v>
      </c>
      <c r="BQ3" s="9" t="n">
        <f aca="false">-231.36</f>
        <v>-231.36</v>
      </c>
      <c r="BR3" s="9" t="n">
        <f aca="false">-522.23</f>
        <v>-522.23</v>
      </c>
      <c r="BS3" s="9" t="n">
        <f aca="false">-450.81</f>
        <v>-450.81</v>
      </c>
      <c r="BT3" s="9" t="n">
        <f aca="false">-2151.06</f>
        <v>-2151.06</v>
      </c>
      <c r="BU3" s="9" t="n">
        <f aca="false">-15</f>
        <v>-15</v>
      </c>
      <c r="BV3" s="9" t="n">
        <f aca="false">588.37</f>
        <v>588.37</v>
      </c>
      <c r="BW3" s="9" t="n">
        <f aca="false">-1125.72</f>
        <v>-1125.72</v>
      </c>
      <c r="BX3" s="9" t="n">
        <f aca="false">-4156.25</f>
        <v>-4156.25</v>
      </c>
      <c r="BY3" s="9" t="n">
        <f aca="false">-680.8</f>
        <v>-680.8</v>
      </c>
      <c r="BZ3" s="9" t="n">
        <f aca="false">-691.62</f>
        <v>-691.62</v>
      </c>
      <c r="CA3" s="9" t="n">
        <f aca="false">223.87</f>
        <v>223.87</v>
      </c>
      <c r="CB3" s="9" t="n">
        <f aca="false">-1752.9</f>
        <v>-1752.9</v>
      </c>
      <c r="CC3" s="9" t="n">
        <f aca="false">-189.45</f>
        <v>-189.45</v>
      </c>
      <c r="CD3" s="9" t="n">
        <f aca="false">-2329.69</f>
        <v>-2329.69</v>
      </c>
      <c r="CE3" s="9" t="n">
        <f aca="false">606.65</f>
        <v>606.65</v>
      </c>
      <c r="CF3" s="10"/>
      <c r="CG3" s="9" t="n">
        <f aca="false">-62.09</f>
        <v>-62.09</v>
      </c>
      <c r="CH3" s="9" t="n">
        <f aca="false">307.5</f>
        <v>307.5</v>
      </c>
      <c r="CI3" s="9" t="n">
        <f aca="false">-18</f>
        <v>-18</v>
      </c>
      <c r="CJ3" s="9" t="n">
        <f aca="false">-5098.07</f>
        <v>-5098.07</v>
      </c>
      <c r="CK3" s="9" t="n">
        <f aca="false">-931.51</f>
        <v>-931.51</v>
      </c>
      <c r="CL3" s="9" t="n">
        <f aca="false">-124.6</f>
        <v>-124.6</v>
      </c>
      <c r="CM3" s="10"/>
      <c r="CN3" s="9" t="n">
        <f aca="false">26393.84</f>
        <v>26393.84</v>
      </c>
      <c r="CO3" s="9" t="n">
        <f aca="false">-6785.03</f>
        <v>-6785.03</v>
      </c>
      <c r="CP3" s="9" t="n">
        <f aca="false">-1667.43</f>
        <v>-1667.43</v>
      </c>
      <c r="CQ3" s="9" t="n">
        <f aca="false">1081.43</f>
        <v>1081.43</v>
      </c>
      <c r="CR3" s="9" t="n">
        <f aca="false">-148.65</f>
        <v>-148.65</v>
      </c>
      <c r="CS3" s="9" t="n">
        <f aca="false">-11.37</f>
        <v>-11.37</v>
      </c>
      <c r="CT3" s="9" t="n">
        <f aca="false">-246.29</f>
        <v>-246.29</v>
      </c>
      <c r="CU3" s="10"/>
      <c r="CV3" s="9" t="n">
        <f aca="false">-114.81</f>
        <v>-114.81</v>
      </c>
      <c r="CW3" s="9" t="n">
        <f aca="false">-960.74</f>
        <v>-960.74</v>
      </c>
      <c r="CX3" s="9" t="n">
        <f aca="false">-5441.99</f>
        <v>-5441.99</v>
      </c>
      <c r="CY3" s="9" t="n">
        <f aca="false">-1922.86</f>
        <v>-1922.86</v>
      </c>
      <c r="CZ3" s="9" t="n">
        <f aca="false">403.5</f>
        <v>403.5</v>
      </c>
      <c r="DA3" s="9" t="n">
        <f aca="false">-1038.48</f>
        <v>-1038.48</v>
      </c>
      <c r="DB3" s="9" t="n">
        <f aca="false">-458.22</f>
        <v>-458.22</v>
      </c>
      <c r="DC3" s="9" t="n">
        <f aca="false">-1724.11</f>
        <v>-1724.11</v>
      </c>
      <c r="DD3" s="9" t="n">
        <f aca="false">-3077.02</f>
        <v>-3077.02</v>
      </c>
      <c r="DE3" s="9" t="n">
        <f aca="false">-313.87</f>
        <v>-313.87</v>
      </c>
      <c r="DF3" s="9" t="n">
        <f aca="false">-447.49</f>
        <v>-447.49</v>
      </c>
      <c r="DG3" s="9" t="n">
        <f aca="false">-530.85</f>
        <v>-530.85</v>
      </c>
      <c r="DH3" s="9" t="n">
        <f aca="false">-119.14</f>
        <v>-119.14</v>
      </c>
      <c r="DI3" s="9" t="n">
        <f aca="false">-665.47</f>
        <v>-665.47</v>
      </c>
      <c r="DJ3" s="9" t="n">
        <f aca="false">588.31</f>
        <v>588.31</v>
      </c>
      <c r="DK3" s="9" t="n">
        <f aca="false">-66.19</f>
        <v>-66.19</v>
      </c>
      <c r="DL3" s="9" t="n">
        <f aca="false">-290.93</f>
        <v>-290.93</v>
      </c>
      <c r="DM3" s="9" t="n">
        <f aca="false">-1651.22</f>
        <v>-1651.22</v>
      </c>
      <c r="DN3" s="9" t="n">
        <f aca="false">-111</f>
        <v>-111</v>
      </c>
      <c r="DO3" s="9" t="n">
        <f aca="false">-3571.67</f>
        <v>-3571.67</v>
      </c>
      <c r="DP3" s="10"/>
      <c r="DQ3" s="9" t="n">
        <f aca="false">-3043.74</f>
        <v>-3043.74</v>
      </c>
      <c r="DR3" s="9" t="n">
        <f aca="false">28110.69</f>
        <v>28110.69</v>
      </c>
      <c r="DS3" s="9" t="n">
        <f aca="false">-5434.07</f>
        <v>-5434.07</v>
      </c>
      <c r="DT3" s="9" t="n">
        <f aca="false">-2761.34</f>
        <v>-2761.34</v>
      </c>
      <c r="DU3" s="9" t="n">
        <f aca="false">1774.31</f>
        <v>1774.31</v>
      </c>
      <c r="DV3" s="9" t="n">
        <f aca="false">-35</f>
        <v>-35</v>
      </c>
      <c r="DW3" s="9" t="n">
        <f aca="false">-204.12</f>
        <v>-204.12</v>
      </c>
      <c r="DX3" s="9" t="n">
        <f aca="false">-5582.6</f>
        <v>-5582.6</v>
      </c>
      <c r="DY3" s="9" t="n">
        <f aca="false">-240.69</f>
        <v>-240.69</v>
      </c>
      <c r="DZ3" s="9" t="n">
        <f aca="false">-3787.43</f>
        <v>-3787.43</v>
      </c>
      <c r="EA3" s="9" t="n">
        <f aca="false">-639.72</f>
        <v>-639.72</v>
      </c>
      <c r="EB3" s="9" t="n">
        <f aca="false">-1491.85</f>
        <v>-1491.85</v>
      </c>
      <c r="EC3" s="9" t="n">
        <f aca="false">-94.86</f>
        <v>-94.86</v>
      </c>
      <c r="ED3" s="9" t="n">
        <f aca="false">-34</f>
        <v>-34</v>
      </c>
      <c r="EE3" s="9" t="n">
        <f aca="false">-2265.14</f>
        <v>-2265.14</v>
      </c>
      <c r="EF3" s="9" t="n">
        <f aca="false">-669.35</f>
        <v>-669.35</v>
      </c>
      <c r="EG3" s="9" t="n">
        <f aca="false">-2979.93</f>
        <v>-2979.93</v>
      </c>
      <c r="EH3" s="9" t="n">
        <f aca="false">-3211.9</f>
        <v>-3211.9</v>
      </c>
      <c r="EI3" s="9" t="n">
        <f aca="false">-409</f>
        <v>-409</v>
      </c>
      <c r="EJ3" s="9" t="n">
        <f aca="false">-1145.41</f>
        <v>-1145.41</v>
      </c>
      <c r="EK3" s="9" t="n">
        <f aca="false">-833.78</f>
        <v>-833.78</v>
      </c>
      <c r="EL3" s="9" t="n">
        <f aca="false">-489.13</f>
        <v>-489.13</v>
      </c>
      <c r="EM3" s="9" t="n">
        <f aca="false">1248.92</f>
        <v>1248.92</v>
      </c>
      <c r="EN3" s="9" t="n">
        <f aca="false">-541.4</f>
        <v>-541.4</v>
      </c>
      <c r="EO3" s="9" t="n">
        <f aca="false">-14.31</f>
        <v>-14.31</v>
      </c>
      <c r="EP3" s="9" t="n">
        <f aca="false">-12.09</f>
        <v>-12.09</v>
      </c>
      <c r="EQ3" s="9" t="n">
        <f aca="false">-7399.16</f>
        <v>-7399.16</v>
      </c>
      <c r="ER3" s="9" t="n">
        <f aca="false">-58.41</f>
        <v>-58.41</v>
      </c>
      <c r="ES3" s="9" t="n">
        <f aca="false">-265.5</f>
        <v>-265.5</v>
      </c>
      <c r="ET3" s="9" t="n">
        <f aca="false">1391.91</f>
        <v>1391.91</v>
      </c>
      <c r="EU3" s="9" t="n">
        <f aca="false">-1423.03</f>
        <v>-1423.03</v>
      </c>
      <c r="EV3" s="9" t="n">
        <f aca="false">-1086.32</f>
        <v>-1086.32</v>
      </c>
      <c r="EW3" s="9" t="n">
        <f aca="false">33912.72</f>
        <v>33912.72</v>
      </c>
      <c r="EX3" s="9" t="n">
        <f aca="false">120.32</f>
        <v>120.32</v>
      </c>
      <c r="EY3" s="9" t="n">
        <f aca="false">-277.59</f>
        <v>-277.59</v>
      </c>
      <c r="EZ3" s="9" t="n">
        <f aca="false">-2111.13</f>
        <v>-2111.13</v>
      </c>
      <c r="FA3" s="9" t="n">
        <f aca="false">-366.85</f>
        <v>-366.85</v>
      </c>
      <c r="FB3" s="9" t="n">
        <f aca="false">3120.06</f>
        <v>3120.06</v>
      </c>
      <c r="FC3" s="9" t="n">
        <f aca="false">-1753.81</f>
        <v>-1753.81</v>
      </c>
      <c r="FD3" s="9" t="n">
        <f aca="false">-1056.11</f>
        <v>-1056.11</v>
      </c>
      <c r="FE3" s="9" t="n">
        <f aca="false">-228.39</f>
        <v>-228.39</v>
      </c>
      <c r="FF3" s="9" t="n">
        <f aca="false">-260.2</f>
        <v>-260.2</v>
      </c>
      <c r="FG3" s="9" t="n">
        <f aca="false">1943.83</f>
        <v>1943.83</v>
      </c>
      <c r="FH3" s="9" t="n">
        <f aca="false">-595.29</f>
        <v>-595.29</v>
      </c>
      <c r="FI3" s="9" t="n">
        <f aca="false">-5028.68</f>
        <v>-5028.68</v>
      </c>
      <c r="FJ3" s="9" t="n">
        <f aca="false">-718.86</f>
        <v>-718.86</v>
      </c>
      <c r="FK3" s="9" t="n">
        <f aca="false">-6236.02</f>
        <v>-6236.02</v>
      </c>
      <c r="FL3" s="9" t="n">
        <f aca="false">-316.99</f>
        <v>-316.99</v>
      </c>
      <c r="FM3" s="9" t="n">
        <f aca="false">-60.51</f>
        <v>-60.51</v>
      </c>
      <c r="FN3" s="9" t="n">
        <f aca="false">4023.54</f>
        <v>4023.54</v>
      </c>
      <c r="FO3" s="9" t="n">
        <f aca="false">163.35</f>
        <v>163.35</v>
      </c>
      <c r="FP3" s="9" t="n">
        <f aca="false">-1709.79</f>
        <v>-1709.79</v>
      </c>
      <c r="FQ3" s="9" t="n">
        <f aca="false">157.71</f>
        <v>157.71</v>
      </c>
      <c r="FR3" s="9" t="n">
        <f aca="false">-481.39</f>
        <v>-481.39</v>
      </c>
      <c r="FS3" s="9" t="n">
        <f aca="false">-414.67</f>
        <v>-414.67</v>
      </c>
      <c r="FT3" s="9" t="n">
        <f aca="false">-174.75</f>
        <v>-174.75</v>
      </c>
      <c r="FU3" s="9" t="n">
        <f aca="false">1614.19</f>
        <v>1614.19</v>
      </c>
      <c r="FV3" s="9" t="n">
        <f aca="false">-2264.79</f>
        <v>-2264.79</v>
      </c>
      <c r="FW3" s="9" t="n">
        <f aca="false">779.48</f>
        <v>779.48</v>
      </c>
      <c r="FX3" s="9" t="n">
        <f aca="false">-1445.24</f>
        <v>-1445.24</v>
      </c>
      <c r="FY3" s="9" t="n">
        <f aca="false">-1248.24</f>
        <v>-1248.24</v>
      </c>
      <c r="FZ3" s="9" t="n">
        <f aca="false">-863.1</f>
        <v>-863.1</v>
      </c>
      <c r="GA3" s="9" t="n">
        <f aca="false">32925.45</f>
        <v>32925.45</v>
      </c>
      <c r="GB3" s="9" t="n">
        <f aca="false">-7925.39</f>
        <v>-7925.39</v>
      </c>
      <c r="GC3" s="9" t="n">
        <f aca="false">-7803.11</f>
        <v>-7803.11</v>
      </c>
      <c r="GD3" s="9" t="n">
        <f aca="false">1249.82</f>
        <v>1249.82</v>
      </c>
      <c r="GE3" s="9" t="n">
        <f aca="false">-422.54</f>
        <v>-422.54</v>
      </c>
      <c r="GF3" s="9" t="n">
        <f aca="false">23.4</f>
        <v>23.4</v>
      </c>
      <c r="GG3" s="9" t="n">
        <f aca="false">-118.89</f>
        <v>-118.89</v>
      </c>
      <c r="GH3" s="9" t="n">
        <f aca="false">-221.99</f>
        <v>-221.99</v>
      </c>
      <c r="GI3" s="9" t="n">
        <f aca="false">5582.3</f>
        <v>5582.3</v>
      </c>
      <c r="GJ3" s="9" t="n">
        <f aca="false">-913.83</f>
        <v>-913.83</v>
      </c>
      <c r="GK3" s="9" t="n">
        <f aca="false">-1582.08</f>
        <v>-1582.08</v>
      </c>
      <c r="GL3" s="9" t="n">
        <f aca="false">-1277.48</f>
        <v>-1277.48</v>
      </c>
      <c r="GM3" s="9" t="n">
        <f aca="false">-2882.43</f>
        <v>-2882.43</v>
      </c>
      <c r="GN3" s="9" t="n">
        <f aca="false">-231.02</f>
        <v>-231.02</v>
      </c>
      <c r="GO3" s="9" t="n">
        <f aca="false">-1141.19</f>
        <v>-1141.19</v>
      </c>
      <c r="GP3" s="9" t="n">
        <f aca="false">-1846.33</f>
        <v>-1846.33</v>
      </c>
      <c r="GQ3" s="9" t="n">
        <f aca="false">-4911.82</f>
        <v>-4911.82</v>
      </c>
      <c r="GR3" s="9" t="n">
        <f aca="false">-137.19</f>
        <v>-137.19</v>
      </c>
      <c r="GS3" s="9" t="n">
        <f aca="false">-1415.89</f>
        <v>-1415.89</v>
      </c>
      <c r="GT3" s="9" t="n">
        <f aca="false">-391.2</f>
        <v>-391.2</v>
      </c>
      <c r="GU3" s="9" t="n">
        <f aca="false">-868.64</f>
        <v>-868.64</v>
      </c>
      <c r="GV3" s="10"/>
      <c r="GW3" s="9" t="n">
        <f aca="false">1048.61</f>
        <v>1048.61</v>
      </c>
      <c r="GX3" s="9" t="n">
        <f aca="false">-1530.99</f>
        <v>-1530.99</v>
      </c>
      <c r="GY3" s="9" t="n">
        <f aca="false">-224.3</f>
        <v>-224.3</v>
      </c>
      <c r="GZ3" s="9" t="n">
        <f aca="false">-26.68</f>
        <v>-26.68</v>
      </c>
      <c r="HA3" s="9" t="n">
        <f aca="false">-341.5</f>
        <v>-341.5</v>
      </c>
      <c r="HB3" s="9" t="n">
        <f aca="false">-500.94</f>
        <v>-500.94</v>
      </c>
      <c r="HC3" s="10"/>
      <c r="HD3" s="9" t="n">
        <f aca="false">-2736.56</f>
        <v>-2736.56</v>
      </c>
      <c r="HE3" s="9" t="n">
        <f aca="false">-2110.79</f>
        <v>-2110.79</v>
      </c>
      <c r="HF3" s="9" t="n">
        <f aca="false">25206.78</f>
        <v>25206.78</v>
      </c>
      <c r="HG3" s="9" t="n">
        <f aca="false">-7675.18</f>
        <v>-7675.18</v>
      </c>
      <c r="HH3" s="9" t="n">
        <f aca="false">-1615.52</f>
        <v>-1615.52</v>
      </c>
      <c r="HI3" s="9" t="n">
        <f aca="false">-203.57</f>
        <v>-203.57</v>
      </c>
      <c r="HJ3" s="9" t="n">
        <f aca="false">-331.5</f>
        <v>-331.5</v>
      </c>
      <c r="HK3" s="9" t="n">
        <f aca="false">1378.08</f>
        <v>1378.08</v>
      </c>
      <c r="HL3" s="9" t="n">
        <f aca="false">-266.74</f>
        <v>-266.74</v>
      </c>
      <c r="HM3" s="9" t="n">
        <f aca="false">-942.31</f>
        <v>-942.31</v>
      </c>
      <c r="HN3" s="9" t="n">
        <f aca="false">-192.79</f>
        <v>-192.79</v>
      </c>
      <c r="HO3" s="9" t="n">
        <f aca="false">-1790.01</f>
        <v>-1790.01</v>
      </c>
      <c r="HP3" s="9" t="n">
        <f aca="false">-265.75</f>
        <v>-265.75</v>
      </c>
      <c r="HQ3" s="9" t="n">
        <f aca="false">-122.01</f>
        <v>-122.01</v>
      </c>
      <c r="HR3" s="9" t="n">
        <f aca="false">-1197.25</f>
        <v>-1197.25</v>
      </c>
      <c r="HS3" s="9" t="n">
        <f aca="false">-448.13</f>
        <v>-448.13</v>
      </c>
      <c r="HT3" s="9" t="n">
        <f aca="false">-1955.33</f>
        <v>-1955.33</v>
      </c>
      <c r="HU3" s="9" t="n">
        <f aca="false">-800.31</f>
        <v>-800.31</v>
      </c>
      <c r="HV3" s="9" t="n">
        <f aca="false">-4828.45</f>
        <v>-4828.45</v>
      </c>
      <c r="HW3" s="9" t="n">
        <f aca="false">304.91</f>
        <v>304.91</v>
      </c>
      <c r="HX3" s="9" t="n">
        <f aca="false">-817.32</f>
        <v>-817.32</v>
      </c>
      <c r="HY3" s="9" t="n">
        <f aca="false">1978.68</f>
        <v>1978.68</v>
      </c>
      <c r="HZ3" s="9" t="n">
        <f aca="false">1709.5</f>
        <v>1709.5</v>
      </c>
      <c r="IA3" s="9" t="n">
        <f aca="false">1295.64</f>
        <v>1295.64</v>
      </c>
      <c r="IB3" s="9" t="n">
        <f aca="false">1735.44</f>
        <v>1735.44</v>
      </c>
      <c r="IC3" s="9" t="n">
        <f aca="false">3303.14</f>
        <v>3303.14</v>
      </c>
      <c r="ID3" s="9" t="n">
        <f aca="false">2287.53</f>
        <v>2287.53</v>
      </c>
      <c r="IE3" s="9" t="n">
        <f aca="false">164.09</f>
        <v>164.09</v>
      </c>
      <c r="IF3" s="9" t="n">
        <f aca="false">2115.37</f>
        <v>2115.37</v>
      </c>
      <c r="IG3" s="9" t="n">
        <f aca="false">-388.82</f>
        <v>-388.82</v>
      </c>
      <c r="IH3" s="9" t="n">
        <f aca="false">-4214.56</f>
        <v>-4214.56</v>
      </c>
      <c r="II3" s="9" t="n">
        <f aca="false">-3371.13</f>
        <v>-3371.13</v>
      </c>
      <c r="IJ3" s="9" t="n">
        <f aca="false">-6325.81</f>
        <v>-6325.81</v>
      </c>
      <c r="IK3" s="9" t="n">
        <f aca="false">36553.68</f>
        <v>36553.68</v>
      </c>
      <c r="IL3" s="9" t="n">
        <f aca="false">496.09</f>
        <v>496.09</v>
      </c>
      <c r="IM3" s="9" t="n">
        <f aca="false">99.6</f>
        <v>99.6</v>
      </c>
      <c r="IN3" s="9" t="n">
        <f aca="false">1679.6</f>
        <v>1679.6</v>
      </c>
      <c r="IO3" s="9" t="n">
        <f aca="false">4613.13</f>
        <v>4613.13</v>
      </c>
      <c r="IP3" s="9" t="n">
        <f aca="false">3361.92</f>
        <v>3361.92</v>
      </c>
      <c r="IQ3" s="9" t="n">
        <f aca="false">1149.17</f>
        <v>1149.17</v>
      </c>
      <c r="IR3" s="9" t="n">
        <f aca="false">986.07</f>
        <v>986.07</v>
      </c>
      <c r="IS3" s="9" t="n">
        <f aca="false">636.49</f>
        <v>636.49</v>
      </c>
      <c r="IT3" s="9" t="n">
        <f aca="false">5315.64</f>
        <v>5315.64</v>
      </c>
      <c r="IU3" s="9" t="n">
        <f aca="false">2253.31</f>
        <v>2253.31</v>
      </c>
      <c r="IV3" s="9" t="n">
        <f aca="false">3076.07</f>
        <v>3076.07</v>
      </c>
      <c r="IW3" s="9" t="n">
        <f aca="false">2392.17</f>
        <v>2392.17</v>
      </c>
      <c r="IX3" s="9" t="n">
        <f aca="false">938.9</f>
        <v>938.9</v>
      </c>
      <c r="IY3" s="9" t="n">
        <f aca="false">1506.22</f>
        <v>1506.22</v>
      </c>
      <c r="IZ3" s="9" t="n">
        <f aca="false">1467.92</f>
        <v>1467.92</v>
      </c>
      <c r="JA3" s="9" t="n">
        <f aca="false">-1627.08</f>
        <v>-1627.08</v>
      </c>
      <c r="JB3" s="9" t="n">
        <f aca="false">3047.69</f>
        <v>3047.69</v>
      </c>
      <c r="JC3" s="9" t="n">
        <f aca="false">1171.93</f>
        <v>1171.93</v>
      </c>
      <c r="JD3" s="9" t="n">
        <f aca="false">2216.09</f>
        <v>2216.09</v>
      </c>
      <c r="JE3" s="9" t="n">
        <f aca="false">2018.1</f>
        <v>2018.1</v>
      </c>
      <c r="JF3" s="9" t="n">
        <f aca="false">-912.05</f>
        <v>-912.05</v>
      </c>
      <c r="JG3" s="9" t="n">
        <f aca="false">-939.76</f>
        <v>-939.76</v>
      </c>
      <c r="JH3" s="9" t="n">
        <f aca="false">1772.79</f>
        <v>1772.79</v>
      </c>
      <c r="JI3" s="9" t="n">
        <f aca="false">4186.76</f>
        <v>4186.76</v>
      </c>
      <c r="JJ3" s="9" t="n">
        <f aca="false">2270.52</f>
        <v>2270.52</v>
      </c>
      <c r="JK3" s="9" t="n">
        <f aca="false">-3194.55</f>
        <v>-3194.55</v>
      </c>
      <c r="JL3" s="9" t="n">
        <f aca="false">446.18</f>
        <v>446.18</v>
      </c>
      <c r="JM3" s="9" t="n">
        <f aca="false">1821.96</f>
        <v>1821.96</v>
      </c>
      <c r="JN3" s="9" t="n">
        <f aca="false">395.33</f>
        <v>395.33</v>
      </c>
      <c r="JO3" s="9" t="n">
        <f aca="false">25890.95</f>
        <v>25890.95</v>
      </c>
      <c r="JP3" s="9" t="n">
        <f aca="false">-4779.45</f>
        <v>-4779.45</v>
      </c>
      <c r="JQ3" s="9" t="n">
        <f aca="false">550.31</f>
        <v>550.31</v>
      </c>
      <c r="JR3" s="9" t="n">
        <f aca="false">4616.49</f>
        <v>4616.49</v>
      </c>
      <c r="JS3" s="9" t="n">
        <f aca="false">4880.51</f>
        <v>4880.51</v>
      </c>
      <c r="JT3" s="9" t="n">
        <f aca="false">2560.54</f>
        <v>2560.54</v>
      </c>
      <c r="JU3" s="9" t="n">
        <f aca="false">817.5</f>
        <v>817.5</v>
      </c>
      <c r="JV3" s="9" t="n">
        <f aca="false">957.37</f>
        <v>957.37</v>
      </c>
      <c r="JW3" s="9" t="n">
        <f aca="false">4555.18</f>
        <v>4555.18</v>
      </c>
      <c r="JX3" s="9" t="n">
        <f aca="false">-1887.64</f>
        <v>-1887.64</v>
      </c>
      <c r="JY3" s="9" t="n">
        <f aca="false">2702.2</f>
        <v>2702.2</v>
      </c>
      <c r="JZ3" s="9" t="n">
        <f aca="false">-1097.88</f>
        <v>-1097.88</v>
      </c>
      <c r="KA3" s="9" t="n">
        <f aca="false">1951.3</f>
        <v>1951.3</v>
      </c>
      <c r="KB3" s="9" t="n">
        <f aca="false">2366.55</f>
        <v>2366.55</v>
      </c>
      <c r="KC3" s="9" t="n">
        <f aca="false">-233.36</f>
        <v>-233.36</v>
      </c>
      <c r="KD3" s="9" t="n">
        <f aca="false">-4720.23</f>
        <v>-4720.23</v>
      </c>
      <c r="KE3" s="9" t="n">
        <f aca="false">10392.92</f>
        <v>10392.92</v>
      </c>
      <c r="KF3" s="9" t="n">
        <f aca="false">1380.62</f>
        <v>1380.62</v>
      </c>
      <c r="KG3" s="9" t="n">
        <f aca="false">2337.25</f>
        <v>2337.25</v>
      </c>
      <c r="KH3" s="9" t="n">
        <f aca="false">383.3</f>
        <v>383.3</v>
      </c>
      <c r="KI3" s="9" t="n">
        <f aca="false">687.39</f>
        <v>687.39</v>
      </c>
      <c r="KJ3" s="9" t="n">
        <f aca="false">1976.77</f>
        <v>1976.77</v>
      </c>
      <c r="KK3" s="9" t="n">
        <f aca="false">3853.55</f>
        <v>3853.55</v>
      </c>
      <c r="KL3" s="9" t="n">
        <f aca="false">1035.5</f>
        <v>1035.5</v>
      </c>
      <c r="KM3" s="9" t="n">
        <f aca="false">1783.61</f>
        <v>1783.61</v>
      </c>
      <c r="KN3" s="9" t="n">
        <f aca="false">1563.96</f>
        <v>1563.96</v>
      </c>
      <c r="KO3" s="9" t="n">
        <f aca="false">574.68</f>
        <v>574.68</v>
      </c>
      <c r="KP3" s="9" t="n">
        <f aca="false">589.12</f>
        <v>589.12</v>
      </c>
      <c r="KQ3" s="9" t="n">
        <f aca="false">-1416.38</f>
        <v>-1416.38</v>
      </c>
      <c r="KR3" s="9" t="n">
        <f aca="false">2519.48</f>
        <v>2519.48</v>
      </c>
      <c r="KS3" s="9" t="n">
        <f aca="false">103.94</f>
        <v>103.94</v>
      </c>
      <c r="KT3" s="9" t="n">
        <f aca="false">57140.09</f>
        <v>57140.09</v>
      </c>
      <c r="KU3" s="9" t="n">
        <f aca="false">-14041.23</f>
        <v>-14041.23</v>
      </c>
      <c r="KV3" s="9" t="n">
        <f aca="false">2269.81</f>
        <v>2269.81</v>
      </c>
      <c r="KW3" s="9" t="n">
        <f aca="false">133.71</f>
        <v>133.71</v>
      </c>
      <c r="KX3" s="9" t="n">
        <f aca="false">5737.84</f>
        <v>5737.84</v>
      </c>
      <c r="KY3" s="9" t="n">
        <f aca="false">6862.5</f>
        <v>6862.5</v>
      </c>
      <c r="KZ3" s="9" t="n">
        <f aca="false">-308.92</f>
        <v>-308.92</v>
      </c>
      <c r="LA3" s="9" t="n">
        <f aca="false">-1355.16</f>
        <v>-1355.16</v>
      </c>
      <c r="LB3" s="9" t="n">
        <f aca="false">1214.4</f>
        <v>1214.4</v>
      </c>
      <c r="LC3" s="9" t="n">
        <f aca="false">559.55</f>
        <v>559.55</v>
      </c>
      <c r="LD3" s="9" t="n">
        <f aca="false">1289.17</f>
        <v>1289.17</v>
      </c>
      <c r="LE3" s="9" t="n">
        <f aca="false">-695.07</f>
        <v>-695.07</v>
      </c>
      <c r="LF3" s="9" t="n">
        <f aca="false">2578.87</f>
        <v>2578.87</v>
      </c>
      <c r="LG3" s="9" t="n">
        <f aca="false">8421.87</f>
        <v>8421.87</v>
      </c>
      <c r="LH3" s="9" t="n">
        <f aca="false">1472.33</f>
        <v>1472.33</v>
      </c>
      <c r="LI3" s="9" t="n">
        <f aca="false">-5114.55</f>
        <v>-5114.55</v>
      </c>
      <c r="LJ3" s="9" t="n">
        <f aca="false">837.95</f>
        <v>837.95</v>
      </c>
      <c r="LK3" s="9" t="n">
        <f aca="false">2677.12</f>
        <v>2677.12</v>
      </c>
      <c r="LL3" s="9" t="n">
        <f aca="false">1936.68</f>
        <v>1936.68</v>
      </c>
      <c r="LM3" s="9" t="n">
        <f aca="false">-318.42</f>
        <v>-318.42</v>
      </c>
      <c r="LN3" s="9" t="n">
        <f aca="false">4122.42</f>
        <v>4122.42</v>
      </c>
      <c r="LO3" s="9" t="n">
        <f aca="false">1594.4</f>
        <v>1594.4</v>
      </c>
      <c r="LP3" s="9" t="n">
        <f aca="false">2604.39</f>
        <v>2604.39</v>
      </c>
      <c r="LQ3" s="9" t="n">
        <f aca="false">1231.17</f>
        <v>1231.17</v>
      </c>
      <c r="LR3" s="9" t="n">
        <f aca="false">637.17</f>
        <v>637.17</v>
      </c>
      <c r="LS3" s="9" t="n">
        <f aca="false">2920.71</f>
        <v>2920.71</v>
      </c>
      <c r="LT3" s="9" t="n">
        <f aca="false">1657.5</f>
        <v>1657.5</v>
      </c>
      <c r="LU3" s="9" t="n">
        <f aca="false">-6774.89</f>
        <v>-6774.89</v>
      </c>
      <c r="LV3" s="9" t="n">
        <f aca="false">-214.63</f>
        <v>-214.63</v>
      </c>
      <c r="LW3" s="9" t="n">
        <f aca="false">-3928.99</f>
        <v>-3928.99</v>
      </c>
      <c r="LX3" s="9" t="n">
        <f aca="false">38300.41</f>
        <v>38300.41</v>
      </c>
      <c r="LY3" s="9" t="n">
        <f aca="false">1621.58</f>
        <v>1621.58</v>
      </c>
      <c r="LZ3" s="9" t="n">
        <f aca="false">8123.56</f>
        <v>8123.56</v>
      </c>
      <c r="MA3" s="9" t="n">
        <f aca="false">6310.21</f>
        <v>6310.21</v>
      </c>
      <c r="MB3" s="9" t="n">
        <f aca="false">1975.95</f>
        <v>1975.95</v>
      </c>
      <c r="MC3" s="9" t="n">
        <f aca="false">1241.22</f>
        <v>1241.22</v>
      </c>
      <c r="MD3" s="9" t="n">
        <f aca="false">371.66</f>
        <v>371.66</v>
      </c>
      <c r="ME3" s="9" t="n">
        <f aca="false">188.05</f>
        <v>188.05</v>
      </c>
      <c r="MF3" s="9" t="n">
        <f aca="false">822.9</f>
        <v>822.9</v>
      </c>
      <c r="MG3" s="9" t="n">
        <f aca="false">-4463.7</f>
        <v>-4463.7</v>
      </c>
      <c r="MH3" s="9" t="n">
        <f aca="false">9762.81</f>
        <v>9762.81</v>
      </c>
      <c r="MI3" s="9" t="n">
        <f aca="false">4293.51</f>
        <v>4293.51</v>
      </c>
      <c r="MJ3" s="9" t="n">
        <f aca="false">3663.58</f>
        <v>3663.58</v>
      </c>
      <c r="MK3" s="9" t="n">
        <f aca="false">1682.1</f>
        <v>1682.1</v>
      </c>
      <c r="ML3" s="9" t="n">
        <f aca="false">2064.52</f>
        <v>2064.52</v>
      </c>
      <c r="MM3" s="9" t="n">
        <f aca="false">3082.4</f>
        <v>3082.4</v>
      </c>
      <c r="MN3" s="9" t="n">
        <f aca="false">5498.17</f>
        <v>5498.17</v>
      </c>
      <c r="MO3" s="9" t="n">
        <f aca="false">11138.47</f>
        <v>11138.47</v>
      </c>
      <c r="MP3" s="9" t="n">
        <f aca="false">2097.77</f>
        <v>2097.77</v>
      </c>
      <c r="MQ3" s="9" t="n">
        <f aca="false">1876.69</f>
        <v>1876.69</v>
      </c>
      <c r="MR3" s="9" t="n">
        <f aca="false">7412.4</f>
        <v>7412.4</v>
      </c>
      <c r="MS3" s="9" t="n">
        <f aca="false">1337.87</f>
        <v>1337.87</v>
      </c>
      <c r="MT3" s="9" t="n">
        <f aca="false">2534.44</f>
        <v>2534.44</v>
      </c>
      <c r="MU3" s="9" t="n">
        <f aca="false">5216.9</f>
        <v>5216.9</v>
      </c>
      <c r="MV3" s="9" t="n">
        <f aca="false">8660.74</f>
        <v>8660.74</v>
      </c>
      <c r="MW3" s="9" t="n">
        <f aca="false">98.14</f>
        <v>98.14</v>
      </c>
      <c r="MX3" s="9" t="n">
        <f aca="false">3354.52</f>
        <v>3354.52</v>
      </c>
      <c r="MY3" s="9" t="n">
        <f aca="false">-664.27</f>
        <v>-664.27</v>
      </c>
      <c r="MZ3" s="9" t="n">
        <f aca="false">1408.1</f>
        <v>1408.1</v>
      </c>
      <c r="NA3" s="9" t="n">
        <f aca="false">1225.03</f>
        <v>1225.03</v>
      </c>
      <c r="NB3" s="9" t="n">
        <f aca="false">-1031.36</f>
        <v>-1031.36</v>
      </c>
      <c r="NC3" s="9" t="n">
        <f aca="false">52409.32</f>
        <v>52409.32</v>
      </c>
      <c r="ND3" s="9" t="n">
        <f aca="false">SUM(A3:NC3)</f>
        <v>350879.52</v>
      </c>
    </row>
    <row r="4" s="7" customFormat="true" ht="12.8" hidden="false" customHeight="false" outlineLevel="0" collapsed="false">
      <c r="A4" s="4" t="s">
        <v>370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6" t="n">
        <f aca="false">SUM(A4:NC4)</f>
        <v>0</v>
      </c>
    </row>
    <row r="5" customFormat="false" ht="12.8" hidden="false" customHeight="false" outlineLevel="0" collapsed="false">
      <c r="A5" s="8" t="s">
        <v>371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9" t="n">
        <f aca="false">-2250</f>
        <v>-2250</v>
      </c>
      <c r="AT5" s="10"/>
      <c r="AU5" s="10"/>
      <c r="AV5" s="10"/>
      <c r="AW5" s="10"/>
      <c r="AX5" s="9" t="n">
        <f aca="false">250</f>
        <v>250</v>
      </c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9" t="n">
        <f aca="false">250</f>
        <v>250</v>
      </c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9" t="n">
        <f aca="false">250</f>
        <v>250</v>
      </c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9" t="n">
        <f aca="false">SUM(A5:NC5)</f>
        <v>-1500</v>
      </c>
    </row>
    <row r="6" customFormat="false" ht="12.8" hidden="false" customHeight="false" outlineLevel="0" collapsed="false">
      <c r="A6" s="8" t="s">
        <v>372</v>
      </c>
      <c r="B6" s="10"/>
      <c r="C6" s="9" t="n">
        <f aca="false">938.2</f>
        <v>938.2</v>
      </c>
      <c r="D6" s="9" t="n">
        <f aca="false">3946.18</f>
        <v>3946.18</v>
      </c>
      <c r="E6" s="9" t="n">
        <f aca="false">308.66</f>
        <v>308.66</v>
      </c>
      <c r="F6" s="9" t="n">
        <f aca="false">571.35</f>
        <v>571.35</v>
      </c>
      <c r="G6" s="10"/>
      <c r="H6" s="10"/>
      <c r="I6" s="9" t="n">
        <f aca="false">616.89</f>
        <v>616.89</v>
      </c>
      <c r="J6" s="9" t="n">
        <f aca="false">2156.53</f>
        <v>2156.53</v>
      </c>
      <c r="K6" s="9" t="n">
        <f aca="false">1548.4</f>
        <v>1548.4</v>
      </c>
      <c r="L6" s="9" t="n">
        <f aca="false">106.61</f>
        <v>106.61</v>
      </c>
      <c r="M6" s="9" t="n">
        <f aca="false">564.25</f>
        <v>564.25</v>
      </c>
      <c r="N6" s="10"/>
      <c r="O6" s="10"/>
      <c r="P6" s="10"/>
      <c r="Q6" s="9" t="n">
        <f aca="false">344.15</f>
        <v>344.15</v>
      </c>
      <c r="R6" s="9" t="n">
        <f aca="false">4481.09</f>
        <v>4481.09</v>
      </c>
      <c r="S6" s="9" t="n">
        <f aca="false">363.43</f>
        <v>363.43</v>
      </c>
      <c r="T6" s="9" t="n">
        <f aca="false">51.3</f>
        <v>51.3</v>
      </c>
      <c r="U6" s="10"/>
      <c r="V6" s="10"/>
      <c r="W6" s="9" t="n">
        <f aca="false">492.3</f>
        <v>492.3</v>
      </c>
      <c r="X6" s="9" t="n">
        <f aca="false">2720.28</f>
        <v>2720.28</v>
      </c>
      <c r="Y6" s="9" t="n">
        <f aca="false">425.06</f>
        <v>425.06</v>
      </c>
      <c r="Z6" s="9" t="n">
        <f aca="false">405.48</f>
        <v>405.48</v>
      </c>
      <c r="AA6" s="9" t="n">
        <f aca="false">625.01</f>
        <v>625.01</v>
      </c>
      <c r="AB6" s="10"/>
      <c r="AC6" s="10"/>
      <c r="AD6" s="9" t="n">
        <f aca="false">464.67</f>
        <v>464.67</v>
      </c>
      <c r="AE6" s="9" t="n">
        <f aca="false">2606.45</f>
        <v>2606.45</v>
      </c>
      <c r="AF6" s="9" t="n">
        <f aca="false">-20572.01</f>
        <v>-20572.01</v>
      </c>
      <c r="AG6" s="9" t="n">
        <f aca="false">507.05</f>
        <v>507.05</v>
      </c>
      <c r="AH6" s="9" t="n">
        <f aca="false">1140.38</f>
        <v>1140.38</v>
      </c>
      <c r="AI6" s="10"/>
      <c r="AJ6" s="10"/>
      <c r="AK6" s="9" t="n">
        <f aca="false">1754.78</f>
        <v>1754.78</v>
      </c>
      <c r="AL6" s="9" t="n">
        <f aca="false">1989.03</f>
        <v>1989.03</v>
      </c>
      <c r="AM6" s="9" t="n">
        <f aca="false">735.79</f>
        <v>735.79</v>
      </c>
      <c r="AN6" s="9" t="n">
        <f aca="false">981.37</f>
        <v>981.37</v>
      </c>
      <c r="AO6" s="9" t="n">
        <f aca="false">419.23</f>
        <v>419.23</v>
      </c>
      <c r="AP6" s="10"/>
      <c r="AQ6" s="10"/>
      <c r="AR6" s="9" t="n">
        <f aca="false">1597.86</f>
        <v>1597.86</v>
      </c>
      <c r="AS6" s="9" t="n">
        <f aca="false">4756.39</f>
        <v>4756.39</v>
      </c>
      <c r="AT6" s="9" t="n">
        <f aca="false">414.79</f>
        <v>414.79</v>
      </c>
      <c r="AU6" s="9" t="n">
        <f aca="false">1589.77</f>
        <v>1589.77</v>
      </c>
      <c r="AV6" s="9" t="n">
        <f aca="false">681.83</f>
        <v>681.83</v>
      </c>
      <c r="AW6" s="10"/>
      <c r="AX6" s="10"/>
      <c r="AY6" s="10"/>
      <c r="AZ6" s="9" t="n">
        <f aca="false">780.56</f>
        <v>780.56</v>
      </c>
      <c r="BA6" s="9" t="n">
        <f aca="false">7735.96</f>
        <v>7735.96</v>
      </c>
      <c r="BB6" s="9" t="n">
        <f aca="false">877.92</f>
        <v>877.92</v>
      </c>
      <c r="BC6" s="9" t="n">
        <f aca="false">490.9</f>
        <v>490.9</v>
      </c>
      <c r="BD6" s="10"/>
      <c r="BE6" s="10"/>
      <c r="BF6" s="9" t="n">
        <f aca="false">2404.39</f>
        <v>2404.39</v>
      </c>
      <c r="BG6" s="9" t="n">
        <f aca="false">5015.21</f>
        <v>5015.21</v>
      </c>
      <c r="BH6" s="9" t="n">
        <f aca="false">1648.66</f>
        <v>1648.66</v>
      </c>
      <c r="BI6" s="9" t="n">
        <f aca="false">-37499.78</f>
        <v>-37499.78</v>
      </c>
      <c r="BJ6" s="9" t="n">
        <f aca="false">556.54</f>
        <v>556.54</v>
      </c>
      <c r="BK6" s="10"/>
      <c r="BL6" s="10"/>
      <c r="BM6" s="9" t="n">
        <f aca="false">984.93</f>
        <v>984.93</v>
      </c>
      <c r="BN6" s="9" t="n">
        <f aca="false">6801.09</f>
        <v>6801.09</v>
      </c>
      <c r="BO6" s="9" t="n">
        <f aca="false">291.82</f>
        <v>291.82</v>
      </c>
      <c r="BP6" s="9" t="n">
        <f aca="false">1558.96</f>
        <v>1558.96</v>
      </c>
      <c r="BQ6" s="9" t="n">
        <f aca="false">1868.48</f>
        <v>1868.48</v>
      </c>
      <c r="BR6" s="10"/>
      <c r="BS6" s="10"/>
      <c r="BT6" s="9" t="n">
        <f aca="false">143.98</f>
        <v>143.98</v>
      </c>
      <c r="BU6" s="9" t="n">
        <f aca="false">3645.01</f>
        <v>3645.01</v>
      </c>
      <c r="BV6" s="9" t="n">
        <f aca="false">685.17</f>
        <v>685.17</v>
      </c>
      <c r="BW6" s="9" t="n">
        <f aca="false">758.97</f>
        <v>758.97</v>
      </c>
      <c r="BX6" s="9" t="n">
        <f aca="false">1554.94</f>
        <v>1554.94</v>
      </c>
      <c r="BY6" s="10"/>
      <c r="BZ6" s="10"/>
      <c r="CA6" s="9" t="n">
        <f aca="false">92</f>
        <v>92</v>
      </c>
      <c r="CB6" s="9" t="n">
        <f aca="false">2798.53</f>
        <v>2798.53</v>
      </c>
      <c r="CC6" s="9" t="n">
        <f aca="false">1454.14</f>
        <v>1454.14</v>
      </c>
      <c r="CD6" s="9" t="n">
        <f aca="false">549.01</f>
        <v>549.01</v>
      </c>
      <c r="CE6" s="9" t="n">
        <f aca="false">1139.31</f>
        <v>1139.31</v>
      </c>
      <c r="CF6" s="10"/>
      <c r="CG6" s="10"/>
      <c r="CH6" s="9" t="n">
        <f aca="false">295.09</f>
        <v>295.09</v>
      </c>
      <c r="CI6" s="9" t="n">
        <f aca="false">2028.67</f>
        <v>2028.67</v>
      </c>
      <c r="CJ6" s="9" t="n">
        <f aca="false">90.13</f>
        <v>90.13</v>
      </c>
      <c r="CK6" s="9" t="n">
        <f aca="false">362.87</f>
        <v>362.87</v>
      </c>
      <c r="CL6" s="9" t="n">
        <f aca="false">737.27</f>
        <v>737.27</v>
      </c>
      <c r="CM6" s="10"/>
      <c r="CN6" s="9" t="n">
        <f aca="false">-29830.6</f>
        <v>-29830.6</v>
      </c>
      <c r="CO6" s="9" t="n">
        <f aca="false">1309.32</f>
        <v>1309.32</v>
      </c>
      <c r="CP6" s="9" t="n">
        <f aca="false">2020.64</f>
        <v>2020.64</v>
      </c>
      <c r="CQ6" s="9" t="n">
        <f aca="false">270.42</f>
        <v>270.42</v>
      </c>
      <c r="CR6" s="9" t="n">
        <f aca="false">515.54</f>
        <v>515.54</v>
      </c>
      <c r="CS6" s="9" t="n">
        <f aca="false">800.43</f>
        <v>800.43</v>
      </c>
      <c r="CT6" s="10"/>
      <c r="CU6" s="10"/>
      <c r="CV6" s="9" t="n">
        <f aca="false">914.17</f>
        <v>914.17</v>
      </c>
      <c r="CW6" s="9" t="n">
        <f aca="false">2726.33</f>
        <v>2726.33</v>
      </c>
      <c r="CX6" s="9" t="n">
        <f aca="false">452.67</f>
        <v>452.67</v>
      </c>
      <c r="CY6" s="9" t="n">
        <f aca="false">1278.23</f>
        <v>1278.23</v>
      </c>
      <c r="CZ6" s="9" t="n">
        <f aca="false">523.2</f>
        <v>523.2</v>
      </c>
      <c r="DA6" s="9" t="n">
        <f aca="false">401.6</f>
        <v>401.6</v>
      </c>
      <c r="DB6" s="10"/>
      <c r="DC6" s="9" t="n">
        <f aca="false">2355.81</f>
        <v>2355.81</v>
      </c>
      <c r="DD6" s="9" t="n">
        <f aca="false">7494.56</f>
        <v>7494.56</v>
      </c>
      <c r="DE6" s="9" t="n">
        <f aca="false">774.39</f>
        <v>774.39</v>
      </c>
      <c r="DF6" s="9" t="n">
        <f aca="false">1248.49</f>
        <v>1248.49</v>
      </c>
      <c r="DG6" s="9" t="n">
        <f aca="false">900.87</f>
        <v>900.87</v>
      </c>
      <c r="DH6" s="10"/>
      <c r="DI6" s="10"/>
      <c r="DJ6" s="9" t="n">
        <f aca="false">352</f>
        <v>352</v>
      </c>
      <c r="DK6" s="9" t="n">
        <f aca="false">3495.86</f>
        <v>3495.86</v>
      </c>
      <c r="DL6" s="9" t="n">
        <f aca="false">843.62</f>
        <v>843.62</v>
      </c>
      <c r="DM6" s="9" t="n">
        <f aca="false">414.13</f>
        <v>414.13</v>
      </c>
      <c r="DN6" s="9" t="n">
        <f aca="false">917.89</f>
        <v>917.89</v>
      </c>
      <c r="DO6" s="10"/>
      <c r="DP6" s="10"/>
      <c r="DQ6" s="9" t="n">
        <f aca="false">1346.52</f>
        <v>1346.52</v>
      </c>
      <c r="DR6" s="9" t="n">
        <f aca="false">-30390.82</f>
        <v>-30390.82</v>
      </c>
      <c r="DS6" s="9" t="n">
        <f aca="false">743.65</f>
        <v>743.65</v>
      </c>
      <c r="DT6" s="9" t="n">
        <f aca="false">661.98</f>
        <v>661.98</v>
      </c>
      <c r="DU6" s="9" t="n">
        <f aca="false">1660.98</f>
        <v>1660.98</v>
      </c>
      <c r="DV6" s="10"/>
      <c r="DW6" s="10"/>
      <c r="DX6" s="9" t="n">
        <f aca="false">1489.11</f>
        <v>1489.11</v>
      </c>
      <c r="DY6" s="9" t="n">
        <f aca="false">5768.75</f>
        <v>5768.75</v>
      </c>
      <c r="DZ6" s="9" t="n">
        <f aca="false">725.05</f>
        <v>725.05</v>
      </c>
      <c r="EA6" s="9" t="n">
        <f aca="false">959.62</f>
        <v>959.62</v>
      </c>
      <c r="EB6" s="9" t="n">
        <f aca="false">1922.7</f>
        <v>1922.7</v>
      </c>
      <c r="EC6" s="10"/>
      <c r="ED6" s="10"/>
      <c r="EE6" s="9" t="n">
        <f aca="false">593.91</f>
        <v>593.91</v>
      </c>
      <c r="EF6" s="9" t="n">
        <f aca="false">7012.45</f>
        <v>7012.45</v>
      </c>
      <c r="EG6" s="9" t="n">
        <f aca="false">650.12</f>
        <v>650.12</v>
      </c>
      <c r="EH6" s="9" t="n">
        <f aca="false">1704.3</f>
        <v>1704.3</v>
      </c>
      <c r="EI6" s="9" t="n">
        <f aca="false">480.62</f>
        <v>480.62</v>
      </c>
      <c r="EJ6" s="10"/>
      <c r="EK6" s="10"/>
      <c r="EL6" s="9" t="n">
        <f aca="false">1168.77</f>
        <v>1168.77</v>
      </c>
      <c r="EM6" s="9" t="n">
        <f aca="false">2374.99</f>
        <v>2374.99</v>
      </c>
      <c r="EN6" s="9" t="n">
        <f aca="false">1493.74</f>
        <v>1493.74</v>
      </c>
      <c r="EO6" s="9" t="n">
        <f aca="false">789.55</f>
        <v>789.55</v>
      </c>
      <c r="EP6" s="9" t="n">
        <f aca="false">530.51</f>
        <v>530.51</v>
      </c>
      <c r="EQ6" s="10"/>
      <c r="ER6" s="10"/>
      <c r="ES6" s="10"/>
      <c r="ET6" s="9" t="n">
        <f aca="false">1102.56</f>
        <v>1102.56</v>
      </c>
      <c r="EU6" s="9" t="n">
        <f aca="false">4745.18</f>
        <v>4745.18</v>
      </c>
      <c r="EV6" s="9" t="n">
        <f aca="false">1241.01</f>
        <v>1241.01</v>
      </c>
      <c r="EW6" s="9" t="n">
        <f aca="false">-39820.14</f>
        <v>-39820.14</v>
      </c>
      <c r="EX6" s="10"/>
      <c r="EY6" s="10"/>
      <c r="EZ6" s="9" t="n">
        <f aca="false">1026.94</f>
        <v>1026.94</v>
      </c>
      <c r="FA6" s="9" t="n">
        <f aca="false">4308.49</f>
        <v>4308.49</v>
      </c>
      <c r="FB6" s="9" t="n">
        <f aca="false">4865.23</f>
        <v>4865.23</v>
      </c>
      <c r="FC6" s="9" t="n">
        <f aca="false">2386.8</f>
        <v>2386.8</v>
      </c>
      <c r="FD6" s="9" t="n">
        <f aca="false">293.29</f>
        <v>293.29</v>
      </c>
      <c r="FE6" s="10"/>
      <c r="FF6" s="10"/>
      <c r="FG6" s="9" t="n">
        <f aca="false">827.13</f>
        <v>827.13</v>
      </c>
      <c r="FH6" s="9" t="n">
        <f aca="false">4031.35</f>
        <v>4031.35</v>
      </c>
      <c r="FI6" s="9" t="n">
        <f aca="false">1450.16</f>
        <v>1450.16</v>
      </c>
      <c r="FJ6" s="9" t="n">
        <f aca="false">1124.73</f>
        <v>1124.73</v>
      </c>
      <c r="FK6" s="9" t="n">
        <f aca="false">1060.96</f>
        <v>1060.96</v>
      </c>
      <c r="FL6" s="10"/>
      <c r="FM6" s="10"/>
      <c r="FN6" s="9" t="n">
        <f aca="false">839.36</f>
        <v>839.36</v>
      </c>
      <c r="FO6" s="9" t="n">
        <f aca="false">3240.68</f>
        <v>3240.68</v>
      </c>
      <c r="FP6" s="10"/>
      <c r="FQ6" s="9" t="n">
        <f aca="false">907.67</f>
        <v>907.67</v>
      </c>
      <c r="FR6" s="9" t="n">
        <f aca="false">2015.09</f>
        <v>2015.09</v>
      </c>
      <c r="FS6" s="10"/>
      <c r="FT6" s="10"/>
      <c r="FU6" s="9" t="n">
        <f aca="false">758.18</f>
        <v>758.18</v>
      </c>
      <c r="FV6" s="9" t="n">
        <f aca="false">5541.81</f>
        <v>5541.81</v>
      </c>
      <c r="FW6" s="9" t="n">
        <f aca="false">446.52</f>
        <v>446.52</v>
      </c>
      <c r="FX6" s="9" t="n">
        <f aca="false">2052.16</f>
        <v>2052.16</v>
      </c>
      <c r="FY6" s="9" t="n">
        <f aca="false">925.74</f>
        <v>925.74</v>
      </c>
      <c r="FZ6" s="10"/>
      <c r="GA6" s="9" t="n">
        <f aca="false">-42420.83</f>
        <v>-42420.83</v>
      </c>
      <c r="GB6" s="9" t="n">
        <f aca="false">1189.63</f>
        <v>1189.63</v>
      </c>
      <c r="GC6" s="9" t="n">
        <f aca="false">4727.79</f>
        <v>4727.79</v>
      </c>
      <c r="GD6" s="9" t="n">
        <f aca="false">765.05</f>
        <v>765.05</v>
      </c>
      <c r="GE6" s="10"/>
      <c r="GF6" s="9" t="n">
        <f aca="false">532.5</f>
        <v>532.5</v>
      </c>
      <c r="GG6" s="10"/>
      <c r="GH6" s="10"/>
      <c r="GI6" s="9" t="n">
        <f aca="false">723.77</f>
        <v>723.77</v>
      </c>
      <c r="GJ6" s="9" t="n">
        <f aca="false">5676.04</f>
        <v>5676.04</v>
      </c>
      <c r="GK6" s="9" t="n">
        <f aca="false">828.55</f>
        <v>828.55</v>
      </c>
      <c r="GL6" s="9" t="n">
        <f aca="false">856.22</f>
        <v>856.22</v>
      </c>
      <c r="GM6" s="9" t="n">
        <f aca="false">493.09</f>
        <v>493.09</v>
      </c>
      <c r="GN6" s="10"/>
      <c r="GO6" s="10"/>
      <c r="GP6" s="9" t="n">
        <f aca="false">369.75</f>
        <v>369.75</v>
      </c>
      <c r="GQ6" s="9" t="n">
        <f aca="false">4604.79</f>
        <v>4604.79</v>
      </c>
      <c r="GR6" s="9" t="n">
        <f aca="false">370.18</f>
        <v>370.18</v>
      </c>
      <c r="GS6" s="9" t="n">
        <f aca="false">266.87</f>
        <v>266.87</v>
      </c>
      <c r="GT6" s="9" t="n">
        <f aca="false">2350.62</f>
        <v>2350.62</v>
      </c>
      <c r="GU6" s="10"/>
      <c r="GV6" s="10"/>
      <c r="GW6" s="9" t="n">
        <f aca="false">322.46</f>
        <v>322.46</v>
      </c>
      <c r="GX6" s="9" t="n">
        <f aca="false">5162.1</f>
        <v>5162.1</v>
      </c>
      <c r="GY6" s="9" t="n">
        <f aca="false">306.94</f>
        <v>306.94</v>
      </c>
      <c r="GZ6" s="9" t="n">
        <f aca="false">606.94</f>
        <v>606.94</v>
      </c>
      <c r="HA6" s="9" t="n">
        <f aca="false">545.47</f>
        <v>545.47</v>
      </c>
      <c r="HB6" s="10"/>
      <c r="HC6" s="10"/>
      <c r="HD6" s="9" t="n">
        <f aca="false">1785.38</f>
        <v>1785.38</v>
      </c>
      <c r="HE6" s="9" t="n">
        <f aca="false">4250.28</f>
        <v>4250.28</v>
      </c>
      <c r="HF6" s="9" t="n">
        <f aca="false">-33320.17</f>
        <v>-33320.17</v>
      </c>
      <c r="HG6" s="9" t="n">
        <f aca="false">747.69</f>
        <v>747.69</v>
      </c>
      <c r="HH6" s="9" t="n">
        <f aca="false">862.39</f>
        <v>862.39</v>
      </c>
      <c r="HI6" s="10"/>
      <c r="HJ6" s="10"/>
      <c r="HK6" s="9" t="n">
        <f aca="false">1456.31</f>
        <v>1456.31</v>
      </c>
      <c r="HL6" s="9" t="n">
        <f aca="false">2374.89</f>
        <v>2374.89</v>
      </c>
      <c r="HM6" s="9" t="n">
        <f aca="false">555.56</f>
        <v>555.56</v>
      </c>
      <c r="HN6" s="9" t="n">
        <f aca="false">404.69</f>
        <v>404.69</v>
      </c>
      <c r="HO6" s="9" t="n">
        <f aca="false">376.06</f>
        <v>376.06</v>
      </c>
      <c r="HP6" s="10"/>
      <c r="HQ6" s="10"/>
      <c r="HR6" s="9" t="n">
        <f aca="false">539.9</f>
        <v>539.9</v>
      </c>
      <c r="HS6" s="9" t="n">
        <f aca="false">3103.97</f>
        <v>3103.97</v>
      </c>
      <c r="HT6" s="9" t="n">
        <f aca="false">559.47</f>
        <v>559.47</v>
      </c>
      <c r="HU6" s="9" t="n">
        <f aca="false">142.85</f>
        <v>142.85</v>
      </c>
      <c r="HV6" s="9" t="n">
        <f aca="false">172.86</f>
        <v>172.86</v>
      </c>
      <c r="HW6" s="10"/>
      <c r="HX6" s="10"/>
      <c r="HY6" s="9" t="n">
        <f aca="false">678.99</f>
        <v>678.99</v>
      </c>
      <c r="HZ6" s="9" t="n">
        <f aca="false">2398.26</f>
        <v>2398.26</v>
      </c>
      <c r="IA6" s="9" t="n">
        <f aca="false">255.15</f>
        <v>255.15</v>
      </c>
      <c r="IB6" s="9" t="n">
        <f aca="false">969.94</f>
        <v>969.94</v>
      </c>
      <c r="IC6" s="9" t="n">
        <f aca="false">1214.24</f>
        <v>1214.24</v>
      </c>
      <c r="ID6" s="10"/>
      <c r="IE6" s="10"/>
      <c r="IF6" s="9" t="n">
        <f aca="false">1162.1</f>
        <v>1162.1</v>
      </c>
      <c r="IG6" s="9" t="n">
        <f aca="false">4577.69</f>
        <v>4577.69</v>
      </c>
      <c r="IH6" s="9" t="n">
        <f aca="false">2124.6</f>
        <v>2124.6</v>
      </c>
      <c r="II6" s="10"/>
      <c r="IJ6" s="9" t="n">
        <f aca="false">404.7</f>
        <v>404.7</v>
      </c>
      <c r="IK6" s="9" t="n">
        <f aca="false">-28409.52</f>
        <v>-28409.52</v>
      </c>
      <c r="IL6" s="10"/>
      <c r="IM6" s="10"/>
      <c r="IN6" s="9" t="n">
        <f aca="false">868.97</f>
        <v>868.97</v>
      </c>
      <c r="IO6" s="9" t="n">
        <f aca="false">4397.72</f>
        <v>4397.72</v>
      </c>
      <c r="IP6" s="9" t="n">
        <f aca="false">822.49</f>
        <v>822.49</v>
      </c>
      <c r="IQ6" s="9" t="n">
        <f aca="false">544.88</f>
        <v>544.88</v>
      </c>
      <c r="IR6" s="10"/>
      <c r="IS6" s="10"/>
      <c r="IT6" s="9" t="n">
        <f aca="false">548.4</f>
        <v>548.4</v>
      </c>
      <c r="IU6" s="9" t="n">
        <f aca="false">3369.81</f>
        <v>3369.81</v>
      </c>
      <c r="IV6" s="9" t="n">
        <f aca="false">934.09</f>
        <v>934.09</v>
      </c>
      <c r="IW6" s="9" t="n">
        <f aca="false">616.04</f>
        <v>616.04</v>
      </c>
      <c r="IX6" s="9" t="n">
        <f aca="false">776.15</f>
        <v>776.15</v>
      </c>
      <c r="IY6" s="10"/>
      <c r="IZ6" s="10"/>
      <c r="JA6" s="9" t="n">
        <f aca="false">1949.92</f>
        <v>1949.92</v>
      </c>
      <c r="JB6" s="9" t="n">
        <f aca="false">4003.75</f>
        <v>4003.75</v>
      </c>
      <c r="JC6" s="9" t="n">
        <f aca="false">567.53</f>
        <v>567.53</v>
      </c>
      <c r="JD6" s="9" t="n">
        <f aca="false">559.47</f>
        <v>559.47</v>
      </c>
      <c r="JE6" s="9" t="n">
        <f aca="false">1448.44</f>
        <v>1448.44</v>
      </c>
      <c r="JF6" s="10"/>
      <c r="JG6" s="10"/>
      <c r="JH6" s="9" t="n">
        <f aca="false">1321.04</f>
        <v>1321.04</v>
      </c>
      <c r="JI6" s="9" t="n">
        <f aca="false">3769.48</f>
        <v>3769.48</v>
      </c>
      <c r="JJ6" s="9" t="n">
        <f aca="false">314.12</f>
        <v>314.12</v>
      </c>
      <c r="JK6" s="9" t="n">
        <f aca="false">529.15</f>
        <v>529.15</v>
      </c>
      <c r="JL6" s="9" t="n">
        <f aca="false">1625.62</f>
        <v>1625.62</v>
      </c>
      <c r="JM6" s="10"/>
      <c r="JN6" s="10"/>
      <c r="JO6" s="9" t="n">
        <f aca="false">-31814.73</f>
        <v>-31814.73</v>
      </c>
      <c r="JP6" s="9" t="n">
        <f aca="false">3934.58</f>
        <v>3934.58</v>
      </c>
      <c r="JQ6" s="9" t="n">
        <f aca="false">1365.75</f>
        <v>1365.75</v>
      </c>
      <c r="JR6" s="9" t="n">
        <f aca="false">2133.51</f>
        <v>2133.51</v>
      </c>
      <c r="JS6" s="9" t="n">
        <f aca="false">2989.63</f>
        <v>2989.63</v>
      </c>
      <c r="JT6" s="10"/>
      <c r="JU6" s="10"/>
      <c r="JV6" s="9" t="n">
        <f aca="false">1193.77</f>
        <v>1193.77</v>
      </c>
      <c r="JW6" s="9" t="n">
        <f aca="false">5459.38</f>
        <v>5459.38</v>
      </c>
      <c r="JX6" s="9" t="n">
        <f aca="false">466.34</f>
        <v>466.34</v>
      </c>
      <c r="JY6" s="9" t="n">
        <f aca="false">573.62</f>
        <v>573.62</v>
      </c>
      <c r="JZ6" s="9" t="n">
        <f aca="false">796.74</f>
        <v>796.74</v>
      </c>
      <c r="KA6" s="10"/>
      <c r="KB6" s="10"/>
      <c r="KC6" s="10"/>
      <c r="KD6" s="9" t="n">
        <f aca="false">2044.51</f>
        <v>2044.51</v>
      </c>
      <c r="KE6" s="9" t="n">
        <f aca="false">9120.49</f>
        <v>9120.49</v>
      </c>
      <c r="KF6" s="9" t="n">
        <f aca="false">2375.1</f>
        <v>2375.1</v>
      </c>
      <c r="KG6" s="9" t="n">
        <f aca="false">1081.89</f>
        <v>1081.89</v>
      </c>
      <c r="KH6" s="10"/>
      <c r="KI6" s="10"/>
      <c r="KJ6" s="9" t="n">
        <f aca="false">707.97</f>
        <v>707.97</v>
      </c>
      <c r="KK6" s="9" t="n">
        <f aca="false">4116.02</f>
        <v>4116.02</v>
      </c>
      <c r="KL6" s="9" t="n">
        <f aca="false">362.28</f>
        <v>362.28</v>
      </c>
      <c r="KM6" s="9" t="n">
        <f aca="false">410.74</f>
        <v>410.74</v>
      </c>
      <c r="KN6" s="9" t="n">
        <f aca="false">864.52</f>
        <v>864.52</v>
      </c>
      <c r="KO6" s="10"/>
      <c r="KP6" s="10"/>
      <c r="KQ6" s="9" t="n">
        <f aca="false">1232.25</f>
        <v>1232.25</v>
      </c>
      <c r="KR6" s="9" t="n">
        <f aca="false">1851.93</f>
        <v>1851.93</v>
      </c>
      <c r="KS6" s="9" t="n">
        <f aca="false">793.04</f>
        <v>793.04</v>
      </c>
      <c r="KT6" s="9" t="n">
        <f aca="false">-43110.63</f>
        <v>-43110.63</v>
      </c>
      <c r="KU6" s="9" t="n">
        <f aca="false">1352.45</f>
        <v>1352.45</v>
      </c>
      <c r="KV6" s="10"/>
      <c r="KW6" s="10"/>
      <c r="KX6" s="9" t="n">
        <f aca="false">1866.39</f>
        <v>1866.39</v>
      </c>
      <c r="KY6" s="9" t="n">
        <f aca="false">4740.76</f>
        <v>4740.76</v>
      </c>
      <c r="KZ6" s="9" t="n">
        <f aca="false">227.77</f>
        <v>227.77</v>
      </c>
      <c r="LA6" s="9" t="n">
        <f aca="false">397.38</f>
        <v>397.38</v>
      </c>
      <c r="LB6" s="9" t="n">
        <f aca="false">745.39</f>
        <v>745.39</v>
      </c>
      <c r="LC6" s="10"/>
      <c r="LD6" s="10"/>
      <c r="LE6" s="10"/>
      <c r="LF6" s="9" t="n">
        <f aca="false">713.81</f>
        <v>713.81</v>
      </c>
      <c r="LG6" s="9" t="n">
        <f aca="false">3677.41</f>
        <v>3677.41</v>
      </c>
      <c r="LH6" s="9" t="n">
        <f aca="false">1604.28</f>
        <v>1604.28</v>
      </c>
      <c r="LI6" s="9" t="n">
        <f aca="false">1109.01</f>
        <v>1109.01</v>
      </c>
      <c r="LJ6" s="10"/>
      <c r="LK6" s="10"/>
      <c r="LL6" s="9" t="n">
        <f aca="false">1258.54</f>
        <v>1258.54</v>
      </c>
      <c r="LM6" s="9" t="n">
        <f aca="false">5034.62</f>
        <v>5034.62</v>
      </c>
      <c r="LN6" s="9" t="n">
        <f aca="false">1671.25</f>
        <v>1671.25</v>
      </c>
      <c r="LO6" s="9" t="n">
        <f aca="false">562.6</f>
        <v>562.6</v>
      </c>
      <c r="LP6" s="9" t="n">
        <f aca="false">2111.1</f>
        <v>2111.1</v>
      </c>
      <c r="LQ6" s="10"/>
      <c r="LR6" s="10"/>
      <c r="LS6" s="9" t="n">
        <f aca="false">924.43</f>
        <v>924.43</v>
      </c>
      <c r="LT6" s="9" t="n">
        <f aca="false">3212.8</f>
        <v>3212.8</v>
      </c>
      <c r="LU6" s="9" t="n">
        <f aca="false">345.92</f>
        <v>345.92</v>
      </c>
      <c r="LV6" s="10"/>
      <c r="LW6" s="9" t="n">
        <f aca="false">935.96</f>
        <v>935.96</v>
      </c>
      <c r="LX6" s="9" t="n">
        <f aca="false">-34175.34</f>
        <v>-34175.34</v>
      </c>
      <c r="LY6" s="10"/>
      <c r="LZ6" s="9" t="n">
        <f aca="false">1984.78</f>
        <v>1984.78</v>
      </c>
      <c r="MA6" s="9" t="n">
        <f aca="false">4602.34</f>
        <v>4602.34</v>
      </c>
      <c r="MB6" s="9" t="n">
        <f aca="false">2407.02</f>
        <v>2407.02</v>
      </c>
      <c r="MC6" s="9" t="n">
        <f aca="false">2249.69</f>
        <v>2249.69</v>
      </c>
      <c r="MD6" s="9" t="n">
        <f aca="false">702.74</f>
        <v>702.74</v>
      </c>
      <c r="ME6" s="10"/>
      <c r="MF6" s="10"/>
      <c r="MG6" s="9" t="n">
        <f aca="false">256.22</f>
        <v>256.22</v>
      </c>
      <c r="MH6" s="9" t="n">
        <f aca="false">4277.38</f>
        <v>4277.38</v>
      </c>
      <c r="MI6" s="9" t="n">
        <f aca="false">1386.58</f>
        <v>1386.58</v>
      </c>
      <c r="MJ6" s="9" t="n">
        <f aca="false">1577.25</f>
        <v>1577.25</v>
      </c>
      <c r="MK6" s="9" t="n">
        <f aca="false">3211.61</f>
        <v>3211.61</v>
      </c>
      <c r="ML6" s="10"/>
      <c r="MM6" s="10"/>
      <c r="MN6" s="9" t="n">
        <f aca="false">2077.36</f>
        <v>2077.36</v>
      </c>
      <c r="MO6" s="9" t="n">
        <f aca="false">8192.42</f>
        <v>8192.42</v>
      </c>
      <c r="MP6" s="9" t="n">
        <f aca="false">1340.03</f>
        <v>1340.03</v>
      </c>
      <c r="MQ6" s="9" t="n">
        <f aca="false">1300.07</f>
        <v>1300.07</v>
      </c>
      <c r="MR6" s="9" t="n">
        <f aca="false">986.58</f>
        <v>986.58</v>
      </c>
      <c r="MS6" s="10"/>
      <c r="MT6" s="10"/>
      <c r="MU6" s="9" t="n">
        <f aca="false">2083.87</f>
        <v>2083.87</v>
      </c>
      <c r="MV6" s="9" t="n">
        <f aca="false">7456.64</f>
        <v>7456.64</v>
      </c>
      <c r="MW6" s="10"/>
      <c r="MX6" s="9" t="n">
        <f aca="false">3784.4</f>
        <v>3784.4</v>
      </c>
      <c r="MY6" s="9" t="n">
        <f aca="false">1562.73</f>
        <v>1562.73</v>
      </c>
      <c r="MZ6" s="10"/>
      <c r="NA6" s="10"/>
      <c r="NB6" s="9" t="n">
        <f aca="false">722.39</f>
        <v>722.39</v>
      </c>
      <c r="NC6" s="9" t="n">
        <f aca="false">-50256.43</f>
        <v>-50256.43</v>
      </c>
      <c r="ND6" s="9" t="n">
        <f aca="false">SUM(A6:NC6)</f>
        <v>-7375.56999999999</v>
      </c>
    </row>
    <row r="7" customFormat="false" ht="12.8" hidden="false" customHeight="false" outlineLevel="0" collapsed="false">
      <c r="A7" s="8" t="s">
        <v>373</v>
      </c>
      <c r="B7" s="10"/>
      <c r="C7" s="10"/>
      <c r="D7" s="10"/>
      <c r="E7" s="10"/>
      <c r="F7" s="10"/>
      <c r="G7" s="10"/>
      <c r="H7" s="10"/>
      <c r="I7" s="10"/>
      <c r="J7" s="10"/>
      <c r="K7" s="9" t="n">
        <f aca="false">-50</f>
        <v>-50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9" t="n">
        <f aca="false">-0.05</f>
        <v>-0.05</v>
      </c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9" t="n">
        <f aca="false">-0.1</f>
        <v>-0.1</v>
      </c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9" t="n">
        <f aca="false">SUM(A7:NC7)</f>
        <v>-50.15</v>
      </c>
    </row>
    <row r="8" customFormat="false" ht="12.8" hidden="false" customHeight="false" outlineLevel="0" collapsed="false">
      <c r="A8" s="8" t="s">
        <v>374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9" t="n">
        <f aca="false">17760.51</f>
        <v>17760.51</v>
      </c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9" t="n">
        <f aca="false">3460.96</f>
        <v>3460.96</v>
      </c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9" t="n">
        <f aca="false">1179.54</f>
        <v>1179.54</v>
      </c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9" t="n">
        <f aca="false">2140.52</f>
        <v>2140.52</v>
      </c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9" t="n">
        <f aca="false">-1032.87</f>
        <v>-1032.87</v>
      </c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9" t="n">
        <f aca="false">6657.22</f>
        <v>6657.22</v>
      </c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9" t="n">
        <f aca="false">1530.45</f>
        <v>1530.45</v>
      </c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9" t="n">
        <f aca="false">-8328.45</f>
        <v>-8328.45</v>
      </c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9" t="n">
        <f aca="false">5631.74</f>
        <v>5631.74</v>
      </c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9" t="n">
        <f aca="false">-12690.6</f>
        <v>-12690.6</v>
      </c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9" t="n">
        <f aca="false">-6602.73</f>
        <v>-6602.73</v>
      </c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9" t="n">
        <f aca="false">19547.78</f>
        <v>19547.78</v>
      </c>
      <c r="NC8" s="9" t="n">
        <f aca="false">-1845.5</f>
        <v>-1845.5</v>
      </c>
      <c r="ND8" s="9" t="n">
        <f aca="false">SUM(A8:NC8)</f>
        <v>27408.57</v>
      </c>
    </row>
    <row r="9" customFormat="false" ht="12.8" hidden="false" customHeight="false" outlineLevel="0" collapsed="false">
      <c r="A9" s="8" t="s">
        <v>375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9" t="n">
        <f aca="false">2734.92</f>
        <v>2734.92</v>
      </c>
      <c r="ND9" s="9" t="n">
        <f aca="false">SUM(A9:NC9)</f>
        <v>2734.92</v>
      </c>
    </row>
    <row r="10" customFormat="false" ht="12.8" hidden="false" customHeight="false" outlineLevel="0" collapsed="false">
      <c r="A10" s="8" t="s">
        <v>376</v>
      </c>
      <c r="B10" s="9" t="n">
        <f aca="false">1136.95</f>
        <v>1136.95</v>
      </c>
      <c r="C10" s="9" t="n">
        <f aca="false">453.5</f>
        <v>453.5</v>
      </c>
      <c r="D10" s="9" t="n">
        <f aca="false">62.5</f>
        <v>62.5</v>
      </c>
      <c r="E10" s="9" t="n">
        <f aca="false">-6466.27</f>
        <v>-6466.27</v>
      </c>
      <c r="F10" s="9" t="n">
        <f aca="false">82.24</f>
        <v>82.24</v>
      </c>
      <c r="G10" s="10"/>
      <c r="H10" s="9" t="n">
        <f aca="false">317.84</f>
        <v>317.84</v>
      </c>
      <c r="I10" s="10"/>
      <c r="J10" s="10"/>
      <c r="K10" s="9" t="n">
        <f aca="false">1272.43</f>
        <v>1272.43</v>
      </c>
      <c r="L10" s="10"/>
      <c r="M10" s="9" t="n">
        <f aca="false">2034</f>
        <v>2034</v>
      </c>
      <c r="N10" s="9" t="n">
        <f aca="false">350</f>
        <v>350</v>
      </c>
      <c r="O10" s="10"/>
      <c r="P10" s="10"/>
      <c r="Q10" s="9" t="n">
        <f aca="false">113</f>
        <v>113</v>
      </c>
      <c r="R10" s="10"/>
      <c r="S10" s="9" t="n">
        <f aca="false">412.75</f>
        <v>412.75</v>
      </c>
      <c r="T10" s="9" t="n">
        <f aca="false">240</f>
        <v>240</v>
      </c>
      <c r="U10" s="10"/>
      <c r="V10" s="10"/>
      <c r="W10" s="10"/>
      <c r="X10" s="10"/>
      <c r="Y10" s="10"/>
      <c r="Z10" s="10"/>
      <c r="AA10" s="10"/>
      <c r="AB10" s="10"/>
      <c r="AC10" s="10"/>
      <c r="AD10" s="9" t="n">
        <f aca="false">1050.14</f>
        <v>1050.14</v>
      </c>
      <c r="AE10" s="9" t="n">
        <f aca="false">276</f>
        <v>276</v>
      </c>
      <c r="AF10" s="9" t="n">
        <f aca="false">19.99</f>
        <v>19.99</v>
      </c>
      <c r="AG10" s="10"/>
      <c r="AH10" s="9" t="n">
        <f aca="false">464.56</f>
        <v>464.56</v>
      </c>
      <c r="AI10" s="9" t="n">
        <f aca="false">1825.5</f>
        <v>1825.5</v>
      </c>
      <c r="AJ10" s="10"/>
      <c r="AK10" s="9" t="n">
        <f aca="false">-7406.43</f>
        <v>-7406.43</v>
      </c>
      <c r="AL10" s="9" t="n">
        <f aca="false">285.45</f>
        <v>285.45</v>
      </c>
      <c r="AM10" s="9" t="n">
        <f aca="false">180</f>
        <v>180</v>
      </c>
      <c r="AN10" s="9" t="n">
        <f aca="false">58.85</f>
        <v>58.85</v>
      </c>
      <c r="AO10" s="9" t="n">
        <f aca="false">211</f>
        <v>211</v>
      </c>
      <c r="AP10" s="10"/>
      <c r="AQ10" s="9" t="n">
        <f aca="false">150</f>
        <v>150</v>
      </c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9" t="n">
        <f aca="false">19.99</f>
        <v>19.99</v>
      </c>
      <c r="BK10" s="10"/>
      <c r="BL10" s="9" t="n">
        <f aca="false">588.46</f>
        <v>588.46</v>
      </c>
      <c r="BM10" s="9" t="n">
        <f aca="false">-7021.56</f>
        <v>-7021.56</v>
      </c>
      <c r="BN10" s="9" t="n">
        <f aca="false">-145.04</f>
        <v>-145.04</v>
      </c>
      <c r="BO10" s="10"/>
      <c r="BP10" s="10"/>
      <c r="BQ10" s="10"/>
      <c r="BR10" s="10"/>
      <c r="BS10" s="9" t="n">
        <f aca="false">392.81</f>
        <v>392.81</v>
      </c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9" t="n">
        <f aca="false">19.99</f>
        <v>19.99</v>
      </c>
      <c r="CO10" s="10"/>
      <c r="CP10" s="9" t="n">
        <f aca="false">1667.43</f>
        <v>1667.43</v>
      </c>
      <c r="CQ10" s="10"/>
      <c r="CR10" s="9" t="n">
        <f aca="false">-1358.09</f>
        <v>-1358.09</v>
      </c>
      <c r="CS10" s="9" t="n">
        <f aca="false">-30.07</f>
        <v>-30.07</v>
      </c>
      <c r="CT10" s="10"/>
      <c r="CU10" s="10"/>
      <c r="CV10" s="10"/>
      <c r="CW10" s="10"/>
      <c r="CX10" s="10"/>
      <c r="CY10" s="9" t="n">
        <f aca="false">288.98</f>
        <v>288.98</v>
      </c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9" t="n">
        <f aca="false">10</f>
        <v>10</v>
      </c>
      <c r="DO10" s="10"/>
      <c r="DP10" s="10"/>
      <c r="DQ10" s="10"/>
      <c r="DR10" s="9" t="n">
        <f aca="false">19.99</f>
        <v>19.99</v>
      </c>
      <c r="DS10" s="10"/>
      <c r="DT10" s="9" t="n">
        <f aca="false">1436.26</f>
        <v>1436.26</v>
      </c>
      <c r="DU10" s="10"/>
      <c r="DV10" s="9" t="n">
        <f aca="false">35</f>
        <v>35</v>
      </c>
      <c r="DW10" s="9" t="n">
        <f aca="false">-1657.35</f>
        <v>-1657.35</v>
      </c>
      <c r="DX10" s="10"/>
      <c r="DY10" s="10"/>
      <c r="DZ10" s="10"/>
      <c r="EA10" s="10"/>
      <c r="EB10" s="9" t="n">
        <f aca="false">52.92</f>
        <v>52.92</v>
      </c>
      <c r="EC10" s="10"/>
      <c r="ED10" s="10"/>
      <c r="EE10" s="9" t="n">
        <f aca="false">51.16</f>
        <v>51.16</v>
      </c>
      <c r="EF10" s="10"/>
      <c r="EG10" s="9" t="n">
        <f aca="false">448.01</f>
        <v>448.01</v>
      </c>
      <c r="EH10" s="10"/>
      <c r="EI10" s="10"/>
      <c r="EJ10" s="10"/>
      <c r="EK10" s="9" t="n">
        <f aca="false">150.68</f>
        <v>150.68</v>
      </c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9" t="n">
        <f aca="false">19.99</f>
        <v>19.99</v>
      </c>
      <c r="EW10" s="10"/>
      <c r="EX10" s="9" t="n">
        <f aca="false">431</f>
        <v>431</v>
      </c>
      <c r="EY10" s="9" t="n">
        <f aca="false">165.21</f>
        <v>165.21</v>
      </c>
      <c r="EZ10" s="10"/>
      <c r="FA10" s="9" t="n">
        <f aca="false">-1843.15</f>
        <v>-1843.15</v>
      </c>
      <c r="FB10" s="9" t="n">
        <f aca="false">-35.11</f>
        <v>-35.11</v>
      </c>
      <c r="FC10" s="10"/>
      <c r="FD10" s="10"/>
      <c r="FE10" s="9" t="n">
        <f aca="false">54</f>
        <v>54</v>
      </c>
      <c r="FF10" s="9" t="n">
        <f aca="false">48.48</f>
        <v>48.48</v>
      </c>
      <c r="FG10" s="10"/>
      <c r="FH10" s="10"/>
      <c r="FI10" s="10"/>
      <c r="FJ10" s="9" t="n">
        <f aca="false">198.63</f>
        <v>198.63</v>
      </c>
      <c r="FK10" s="10"/>
      <c r="FL10" s="9" t="n">
        <f aca="false">229</f>
        <v>229</v>
      </c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9" t="n">
        <f aca="false">768.49</f>
        <v>768.49</v>
      </c>
      <c r="GA10" s="10"/>
      <c r="GB10" s="9" t="n">
        <f aca="false">491.01</f>
        <v>491.01</v>
      </c>
      <c r="GC10" s="10"/>
      <c r="GD10" s="10"/>
      <c r="GE10" s="9" t="n">
        <f aca="false">-827.65</f>
        <v>-827.65</v>
      </c>
      <c r="GF10" s="9" t="n">
        <f aca="false">-26.39</f>
        <v>-26.39</v>
      </c>
      <c r="GG10" s="10"/>
      <c r="GH10" s="10"/>
      <c r="GI10" s="10"/>
      <c r="GJ10" s="9" t="n">
        <f aca="false">224.3</f>
        <v>224.3</v>
      </c>
      <c r="GK10" s="10"/>
      <c r="GL10" s="10"/>
      <c r="GM10" s="10"/>
      <c r="GN10" s="9" t="n">
        <f aca="false">231.02</f>
        <v>231.02</v>
      </c>
      <c r="GO10" s="9" t="n">
        <f aca="false">912</f>
        <v>912</v>
      </c>
      <c r="GP10" s="10"/>
      <c r="GQ10" s="10"/>
      <c r="GR10" s="10"/>
      <c r="GS10" s="10"/>
      <c r="GT10" s="10"/>
      <c r="GU10" s="9" t="n">
        <f aca="false">61.5</f>
        <v>61.5</v>
      </c>
      <c r="GV10" s="10"/>
      <c r="GW10" s="9" t="n">
        <f aca="false">388.15</f>
        <v>388.15</v>
      </c>
      <c r="GX10" s="10"/>
      <c r="GY10" s="10"/>
      <c r="GZ10" s="10"/>
      <c r="HA10" s="10"/>
      <c r="HB10" s="10"/>
      <c r="HC10" s="10"/>
      <c r="HD10" s="9" t="n">
        <f aca="false">19.99</f>
        <v>19.99</v>
      </c>
      <c r="HE10" s="10"/>
      <c r="HF10" s="10"/>
      <c r="HG10" s="10"/>
      <c r="HH10" s="9" t="n">
        <f aca="false">2458.9</f>
        <v>2458.9</v>
      </c>
      <c r="HI10" s="10"/>
      <c r="HJ10" s="9" t="n">
        <f aca="false">-2059.31</f>
        <v>-2059.31</v>
      </c>
      <c r="HK10" s="9" t="n">
        <f aca="false">-48.35</f>
        <v>-48.35</v>
      </c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9" t="n">
        <f aca="false">730.95</f>
        <v>730.95</v>
      </c>
      <c r="IF10" s="10"/>
      <c r="IG10" s="10"/>
      <c r="IH10" s="9" t="n">
        <f aca="false">19.99</f>
        <v>19.99</v>
      </c>
      <c r="II10" s="10"/>
      <c r="IJ10" s="10"/>
      <c r="IK10" s="10"/>
      <c r="IL10" s="10"/>
      <c r="IM10" s="10"/>
      <c r="IN10" s="10"/>
      <c r="IO10" s="9" t="n">
        <f aca="false">-4354.71</f>
        <v>-4354.71</v>
      </c>
      <c r="IP10" s="9" t="n">
        <f aca="false">-88.07</f>
        <v>-88.07</v>
      </c>
      <c r="IQ10" s="10"/>
      <c r="IR10" s="9" t="n">
        <f aca="false">648</f>
        <v>648</v>
      </c>
      <c r="IS10" s="10"/>
      <c r="IT10" s="10"/>
      <c r="IU10" s="10"/>
      <c r="IV10" s="10"/>
      <c r="IW10" s="9" t="n">
        <f aca="false">252.03</f>
        <v>252.03</v>
      </c>
      <c r="IX10" s="10"/>
      <c r="IY10" s="10"/>
      <c r="IZ10" s="10"/>
      <c r="JA10" s="10"/>
      <c r="JB10" s="10"/>
      <c r="JC10" s="10"/>
      <c r="JD10" s="10"/>
      <c r="JE10" s="10"/>
      <c r="JF10" s="10"/>
      <c r="JG10" s="9" t="n">
        <f aca="false">1809.95</f>
        <v>1809.95</v>
      </c>
      <c r="JH10" s="10"/>
      <c r="JI10" s="10"/>
      <c r="JJ10" s="9" t="n">
        <f aca="false">307.28</f>
        <v>307.28</v>
      </c>
      <c r="JK10" s="10"/>
      <c r="JL10" s="9" t="n">
        <f aca="false">19.99</f>
        <v>19.99</v>
      </c>
      <c r="JM10" s="10"/>
      <c r="JN10" s="10"/>
      <c r="JO10" s="10"/>
      <c r="JP10" s="10"/>
      <c r="JQ10" s="10"/>
      <c r="JR10" s="10"/>
      <c r="JS10" s="9" t="n">
        <f aca="false">-1310.87</f>
        <v>-1310.87</v>
      </c>
      <c r="JT10" s="9" t="n">
        <f aca="false">-27.98</f>
        <v>-27.98</v>
      </c>
      <c r="JU10" s="10"/>
      <c r="JV10" s="10"/>
      <c r="JW10" s="10"/>
      <c r="JX10" s="10"/>
      <c r="JY10" s="10"/>
      <c r="JZ10" s="10"/>
      <c r="KA10" s="10"/>
      <c r="KB10" s="10"/>
      <c r="KC10" s="9" t="n">
        <f aca="false">436.9</f>
        <v>436.9</v>
      </c>
      <c r="KD10" s="10"/>
      <c r="KE10" s="10"/>
      <c r="KF10" s="10"/>
      <c r="KG10" s="10"/>
      <c r="KH10" s="10"/>
      <c r="KI10" s="10"/>
      <c r="KJ10" s="10"/>
      <c r="KK10" s="9" t="n">
        <f aca="false">162.05</f>
        <v>162.05</v>
      </c>
      <c r="KL10" s="9" t="n">
        <f aca="false">43.2</f>
        <v>43.2</v>
      </c>
      <c r="KM10" s="10"/>
      <c r="KN10" s="9" t="n">
        <f aca="false">99.17</f>
        <v>99.17</v>
      </c>
      <c r="KO10" s="10"/>
      <c r="KP10" s="9" t="n">
        <f aca="false">19.99</f>
        <v>19.99</v>
      </c>
      <c r="KQ10" s="10"/>
      <c r="KR10" s="10"/>
      <c r="KS10" s="10"/>
      <c r="KT10" s="10"/>
      <c r="KU10" s="10"/>
      <c r="KV10" s="10"/>
      <c r="KW10" s="10"/>
      <c r="KX10" s="10"/>
      <c r="KY10" s="9" t="n">
        <f aca="false">-2409.05</f>
        <v>-2409.05</v>
      </c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9" t="n">
        <f aca="false">226.13</f>
        <v>226.13</v>
      </c>
      <c r="LL10" s="9" t="n">
        <f aca="false">221</f>
        <v>221</v>
      </c>
      <c r="LM10" s="10"/>
      <c r="LN10" s="10"/>
      <c r="LO10" s="10"/>
      <c r="LP10" s="10"/>
      <c r="LQ10" s="9" t="n">
        <f aca="false">436.34</f>
        <v>436.34</v>
      </c>
      <c r="LR10" s="10"/>
      <c r="LS10" s="10"/>
      <c r="LT10" s="9" t="n">
        <f aca="false">19.99</f>
        <v>19.99</v>
      </c>
      <c r="LU10" s="10"/>
      <c r="LV10" s="10"/>
      <c r="LW10" s="10"/>
      <c r="LX10" s="10"/>
      <c r="LY10" s="10"/>
      <c r="LZ10" s="10"/>
      <c r="MA10" s="10"/>
      <c r="MB10" s="9" t="n">
        <f aca="false">-713.53</f>
        <v>-713.53</v>
      </c>
      <c r="MC10" s="9" t="n">
        <f aca="false">-15.22</f>
        <v>-15.22</v>
      </c>
      <c r="MD10" s="9" t="n">
        <f aca="false">1413</f>
        <v>1413</v>
      </c>
      <c r="ME10" s="9" t="n">
        <f aca="false">997.5</f>
        <v>997.5</v>
      </c>
      <c r="MF10" s="10"/>
      <c r="MG10" s="9" t="n">
        <f aca="false">317.5</f>
        <v>317.5</v>
      </c>
      <c r="MH10" s="10"/>
      <c r="MI10" s="10"/>
      <c r="MJ10" s="10"/>
      <c r="MK10" s="10"/>
      <c r="ML10" s="9" t="n">
        <f aca="false">1280.1</f>
        <v>1280.1</v>
      </c>
      <c r="MM10" s="9" t="n">
        <f aca="false">112.75</f>
        <v>112.75</v>
      </c>
      <c r="MN10" s="10"/>
      <c r="MO10" s="10"/>
      <c r="MP10" s="10"/>
      <c r="MQ10" s="10"/>
      <c r="MR10" s="10"/>
      <c r="MS10" s="10"/>
      <c r="MT10" s="9" t="n">
        <f aca="false">14.5</f>
        <v>14.5</v>
      </c>
      <c r="MU10" s="10"/>
      <c r="MV10" s="10"/>
      <c r="MW10" s="10"/>
      <c r="MX10" s="9" t="n">
        <f aca="false">19.99</f>
        <v>19.99</v>
      </c>
      <c r="MY10" s="10"/>
      <c r="MZ10" s="9" t="n">
        <f aca="false">144</f>
        <v>144</v>
      </c>
      <c r="NA10" s="10"/>
      <c r="NB10" s="10"/>
      <c r="NC10" s="9" t="n">
        <f aca="false">11.5</f>
        <v>11.5</v>
      </c>
      <c r="ND10" s="9" t="n">
        <f aca="false">SUM(A10:NC10)</f>
        <v>-5200.35</v>
      </c>
    </row>
    <row r="11" customFormat="false" ht="12.8" hidden="false" customHeight="false" outlineLevel="0" collapsed="false">
      <c r="A11" s="8" t="s">
        <v>377</v>
      </c>
      <c r="B11" s="9" t="n">
        <f aca="false">-39</f>
        <v>-39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9" t="n">
        <f aca="false">SUM(A11:NC11)</f>
        <v>-39</v>
      </c>
    </row>
    <row r="12" customFormat="false" ht="12.8" hidden="false" customHeight="false" outlineLevel="0" collapsed="false">
      <c r="A12" s="8" t="s">
        <v>378</v>
      </c>
      <c r="B12" s="10"/>
      <c r="C12" s="10"/>
      <c r="D12" s="10"/>
      <c r="E12" s="10"/>
      <c r="F12" s="10"/>
      <c r="G12" s="10"/>
      <c r="H12" s="10"/>
      <c r="I12" s="9" t="n">
        <f aca="false">50</f>
        <v>50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9" t="n">
        <f aca="false">50</f>
        <v>50</v>
      </c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9" t="n">
        <f aca="false">50</f>
        <v>50</v>
      </c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9" t="n">
        <f aca="false">272.48</f>
        <v>272.48</v>
      </c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9" t="n">
        <f aca="false">22.17</f>
        <v>22.17</v>
      </c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9" t="n">
        <f aca="false">74.42</f>
        <v>74.42</v>
      </c>
      <c r="GM12" s="10"/>
      <c r="GN12" s="10"/>
      <c r="GO12" s="9" t="n">
        <f aca="false">67.52</f>
        <v>67.52</v>
      </c>
      <c r="GP12" s="10"/>
      <c r="GQ12" s="10"/>
      <c r="GR12" s="9" t="n">
        <f aca="false">37.63</f>
        <v>37.63</v>
      </c>
      <c r="GS12" s="9" t="n">
        <f aca="false">44.35</f>
        <v>44.35</v>
      </c>
      <c r="GT12" s="9" t="n">
        <f aca="false">13.31</f>
        <v>13.31</v>
      </c>
      <c r="GU12" s="9" t="n">
        <f aca="false">176.22</f>
        <v>176.22</v>
      </c>
      <c r="GV12" s="10"/>
      <c r="GW12" s="10"/>
      <c r="GX12" s="10"/>
      <c r="GY12" s="10"/>
      <c r="GZ12" s="10"/>
      <c r="HA12" s="10"/>
      <c r="HB12" s="9" t="n">
        <f aca="false">64.82</f>
        <v>64.82</v>
      </c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9" t="n">
        <f aca="false">SUM(A12:NC12)</f>
        <v>922.92</v>
      </c>
    </row>
    <row r="13" customFormat="false" ht="12.8" hidden="false" customHeight="false" outlineLevel="0" collapsed="false">
      <c r="A13" s="8" t="s">
        <v>379</v>
      </c>
      <c r="B13" s="10"/>
      <c r="C13" s="10"/>
      <c r="D13" s="10"/>
      <c r="E13" s="9" t="n">
        <f aca="false">-1619.47</f>
        <v>-1619.47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9" t="n">
        <f aca="false">-50</f>
        <v>-50</v>
      </c>
      <c r="AE13" s="10"/>
      <c r="AF13" s="10"/>
      <c r="AG13" s="10"/>
      <c r="AH13" s="10"/>
      <c r="AI13" s="9" t="n">
        <f aca="false">20</f>
        <v>20</v>
      </c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9" t="n">
        <f aca="false">4.2</f>
        <v>4.2</v>
      </c>
      <c r="BB13" s="9" t="n">
        <f aca="false">4.2</f>
        <v>4.2</v>
      </c>
      <c r="BC13" s="10"/>
      <c r="BD13" s="10"/>
      <c r="BE13" s="10"/>
      <c r="BF13" s="10"/>
      <c r="BG13" s="9" t="n">
        <f aca="false">1618.93</f>
        <v>1618.93</v>
      </c>
      <c r="BH13" s="10"/>
      <c r="BI13" s="10"/>
      <c r="BJ13" s="10"/>
      <c r="BK13" s="10"/>
      <c r="BL13" s="10"/>
      <c r="BM13" s="10"/>
      <c r="BN13" s="9" t="n">
        <f aca="false">-70</f>
        <v>-70</v>
      </c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9" t="n">
        <f aca="false">2</f>
        <v>2</v>
      </c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9" t="n">
        <f aca="false">-40</f>
        <v>-40</v>
      </c>
      <c r="CQ13" s="10"/>
      <c r="CR13" s="10"/>
      <c r="CS13" s="10"/>
      <c r="CT13" s="10"/>
      <c r="CU13" s="10"/>
      <c r="CV13" s="10"/>
      <c r="CW13" s="10"/>
      <c r="CX13" s="10"/>
      <c r="CY13" s="9" t="n">
        <f aca="false">22.03</f>
        <v>22.03</v>
      </c>
      <c r="CZ13" s="10"/>
      <c r="DA13" s="10"/>
      <c r="DB13" s="10"/>
      <c r="DC13" s="10"/>
      <c r="DD13" s="10"/>
      <c r="DE13" s="10"/>
      <c r="DF13" s="9" t="n">
        <f aca="false">3</f>
        <v>3</v>
      </c>
      <c r="DG13" s="10"/>
      <c r="DH13" s="10"/>
      <c r="DI13" s="10"/>
      <c r="DJ13" s="10"/>
      <c r="DK13" s="10"/>
      <c r="DL13" s="10"/>
      <c r="DM13" s="10"/>
      <c r="DN13" s="9" t="n">
        <f aca="false">3</f>
        <v>3</v>
      </c>
      <c r="DO13" s="10"/>
      <c r="DP13" s="10"/>
      <c r="DQ13" s="10"/>
      <c r="DR13" s="10"/>
      <c r="DS13" s="10"/>
      <c r="DT13" s="10"/>
      <c r="DU13" s="9" t="n">
        <f aca="false">-500</f>
        <v>-500</v>
      </c>
      <c r="DV13" s="10"/>
      <c r="DW13" s="10"/>
      <c r="DX13" s="10"/>
      <c r="DY13" s="10"/>
      <c r="DZ13" s="10"/>
      <c r="EA13" s="10"/>
      <c r="EB13" s="10"/>
      <c r="EC13" s="10"/>
      <c r="ED13" s="9" t="n">
        <f aca="false">19</f>
        <v>19</v>
      </c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9" t="n">
        <f aca="false">-500</f>
        <v>-500</v>
      </c>
      <c r="FC13" s="10"/>
      <c r="FD13" s="10"/>
      <c r="FE13" s="10"/>
      <c r="FF13" s="10"/>
      <c r="FG13" s="10"/>
      <c r="FH13" s="10"/>
      <c r="FI13" s="9" t="n">
        <f aca="false">15.53</f>
        <v>15.53</v>
      </c>
      <c r="FJ13" s="10"/>
      <c r="FK13" s="10"/>
      <c r="FL13" s="10"/>
      <c r="FM13" s="10"/>
      <c r="FN13" s="9" t="n">
        <f aca="false">-996.54</f>
        <v>-996.54</v>
      </c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9" t="n">
        <f aca="false">4</f>
        <v>4</v>
      </c>
      <c r="GQ13" s="10"/>
      <c r="GR13" s="10"/>
      <c r="GS13" s="9" t="n">
        <f aca="false">6</f>
        <v>6</v>
      </c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9" t="n">
        <f aca="false">-488.27</f>
        <v>-488.27</v>
      </c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9" t="n">
        <f aca="false">3</f>
        <v>3</v>
      </c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9" t="n">
        <f aca="false">-3</f>
        <v>-3</v>
      </c>
      <c r="JW13" s="10"/>
      <c r="JX13" s="9" t="n">
        <f aca="false">2202.41</f>
        <v>2202.41</v>
      </c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9" t="n">
        <f aca="false">1.75</f>
        <v>1.75</v>
      </c>
      <c r="KT13" s="10"/>
      <c r="KU13" s="10"/>
      <c r="KV13" s="10"/>
      <c r="KW13" s="10"/>
      <c r="KX13" s="10"/>
      <c r="KY13" s="10"/>
      <c r="KZ13" s="10"/>
      <c r="LA13" s="9" t="n">
        <f aca="false">-2204.16</f>
        <v>-2204.16</v>
      </c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9" t="n">
        <f aca="false">330.45</f>
        <v>330.45</v>
      </c>
      <c r="MK13" s="9" t="n">
        <f aca="false">330.45</f>
        <v>330.45</v>
      </c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9" t="n">
        <f aca="false">SUM(A13:NC13)</f>
        <v>-1881.49</v>
      </c>
    </row>
    <row r="14" customFormat="false" ht="12.8" hidden="false" customHeight="false" outlineLevel="0" collapsed="false">
      <c r="A14" s="8" t="s">
        <v>380</v>
      </c>
      <c r="B14" s="10"/>
      <c r="C14" s="10"/>
      <c r="D14" s="10"/>
      <c r="E14" s="10"/>
      <c r="F14" s="10"/>
      <c r="G14" s="10"/>
      <c r="H14" s="9" t="n">
        <f aca="false">204</f>
        <v>204</v>
      </c>
      <c r="I14" s="10"/>
      <c r="J14" s="9" t="n">
        <f aca="false">-2300</f>
        <v>-2300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9" t="n">
        <f aca="false">162.43</f>
        <v>162.43</v>
      </c>
      <c r="AL14" s="10"/>
      <c r="AM14" s="10"/>
      <c r="AN14" s="10"/>
      <c r="AO14" s="10"/>
      <c r="AP14" s="10"/>
      <c r="AQ14" s="10"/>
      <c r="AR14" s="9" t="n">
        <f aca="false">1500</f>
        <v>1500</v>
      </c>
      <c r="AS14" s="10"/>
      <c r="AT14" s="10"/>
      <c r="AU14" s="10"/>
      <c r="AV14" s="10"/>
      <c r="AW14" s="10"/>
      <c r="AX14" s="9" t="n">
        <f aca="false">0</f>
        <v>0</v>
      </c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9" t="n">
        <f aca="false">2000</f>
        <v>2000</v>
      </c>
      <c r="BK14" s="10"/>
      <c r="BL14" s="10"/>
      <c r="BM14" s="10"/>
      <c r="BN14" s="10"/>
      <c r="BO14" s="10"/>
      <c r="BP14" s="9" t="n">
        <f aca="false">192.39</f>
        <v>192.39</v>
      </c>
      <c r="BQ14" s="9" t="n">
        <f aca="false">1000</f>
        <v>1000</v>
      </c>
      <c r="BR14" s="10"/>
      <c r="BS14" s="10"/>
      <c r="BT14" s="10"/>
      <c r="BU14" s="10"/>
      <c r="BV14" s="10"/>
      <c r="BW14" s="10"/>
      <c r="BX14" s="9" t="n">
        <f aca="false">1500</f>
        <v>1500</v>
      </c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9" t="n">
        <f aca="false">0</f>
        <v>0</v>
      </c>
      <c r="CP14" s="10"/>
      <c r="CQ14" s="10"/>
      <c r="CR14" s="10"/>
      <c r="CS14" s="10"/>
      <c r="CT14" s="9" t="n">
        <f aca="false">231.02</f>
        <v>231.02</v>
      </c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9" t="n">
        <f aca="false">-431.12</f>
        <v>-431.12</v>
      </c>
      <c r="DT14" s="10"/>
      <c r="DU14" s="10"/>
      <c r="DV14" s="10"/>
      <c r="DW14" s="10"/>
      <c r="DX14" s="10"/>
      <c r="DY14" s="9" t="n">
        <f aca="false">240.69</f>
        <v>240.69</v>
      </c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9" t="n">
        <f aca="false">-438.78</f>
        <v>-438.78</v>
      </c>
      <c r="FA14" s="10"/>
      <c r="FB14" s="10"/>
      <c r="FC14" s="9" t="n">
        <f aca="false">230.65</f>
        <v>230.65</v>
      </c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9" t="n">
        <f aca="false">-2000</f>
        <v>-2000</v>
      </c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9" t="n">
        <f aca="false">221.99</f>
        <v>221.99</v>
      </c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9" t="n">
        <f aca="false">-2000</f>
        <v>-2000</v>
      </c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9" t="n">
        <f aca="false">203.34</f>
        <v>203.34</v>
      </c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9" t="n">
        <f aca="false">-1000</f>
        <v>-1000</v>
      </c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9" t="n">
        <f aca="false">181.54</f>
        <v>181.54</v>
      </c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9" t="n">
        <f aca="false">-334.21</f>
        <v>-334.21</v>
      </c>
      <c r="JQ14" s="10"/>
      <c r="JR14" s="10"/>
      <c r="JS14" s="10"/>
      <c r="JT14" s="10"/>
      <c r="JU14" s="10"/>
      <c r="JV14" s="9" t="n">
        <f aca="false">679.82</f>
        <v>679.82</v>
      </c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9" t="n">
        <f aca="false">-335.97</f>
        <v>-335.97</v>
      </c>
      <c r="KV14" s="10"/>
      <c r="KW14" s="10"/>
      <c r="KX14" s="10"/>
      <c r="KY14" s="10"/>
      <c r="KZ14" s="9" t="n">
        <f aca="false">175.32</f>
        <v>175.32</v>
      </c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9" t="n">
        <f aca="false">-329.91</f>
        <v>-329.91</v>
      </c>
      <c r="LZ14" s="10"/>
      <c r="MA14" s="10"/>
      <c r="MB14" s="10"/>
      <c r="MC14" s="10"/>
      <c r="MD14" s="10"/>
      <c r="ME14" s="9" t="n">
        <f aca="false">176.09</f>
        <v>176.09</v>
      </c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9" t="n">
        <f aca="false">SUM(A14:NC14)</f>
        <v>-270.71</v>
      </c>
    </row>
    <row r="15" customFormat="false" ht="12.8" hidden="false" customHeight="false" outlineLevel="0" collapsed="false">
      <c r="A15" s="8" t="s">
        <v>381</v>
      </c>
      <c r="B15" s="9" t="n">
        <f aca="false">209</f>
        <v>209</v>
      </c>
      <c r="C15" s="10"/>
      <c r="D15" s="9" t="n">
        <f aca="false">0</f>
        <v>0</v>
      </c>
      <c r="E15" s="9" t="n">
        <f aca="false">1304.23</f>
        <v>1304.23</v>
      </c>
      <c r="F15" s="9" t="n">
        <f aca="false">71.18</f>
        <v>71.18</v>
      </c>
      <c r="G15" s="9" t="n">
        <f aca="false">250.34</f>
        <v>250.34</v>
      </c>
      <c r="H15" s="10"/>
      <c r="I15" s="9" t="n">
        <f aca="false">250</f>
        <v>250</v>
      </c>
      <c r="J15" s="9" t="n">
        <f aca="false">1628.96</f>
        <v>1628.96</v>
      </c>
      <c r="K15" s="10"/>
      <c r="L15" s="9" t="n">
        <f aca="false">888.71</f>
        <v>888.71</v>
      </c>
      <c r="M15" s="9" t="n">
        <f aca="false">3621.51</f>
        <v>3621.51</v>
      </c>
      <c r="N15" s="9" t="n">
        <f aca="false">17.43</f>
        <v>17.43</v>
      </c>
      <c r="O15" s="9" t="n">
        <f aca="false">507.36</f>
        <v>507.36</v>
      </c>
      <c r="P15" s="10"/>
      <c r="Q15" s="9" t="n">
        <f aca="false">36.46</f>
        <v>36.46</v>
      </c>
      <c r="R15" s="9" t="n">
        <f aca="false">532</f>
        <v>532</v>
      </c>
      <c r="S15" s="10"/>
      <c r="T15" s="9" t="n">
        <f aca="false">275.43</f>
        <v>275.43</v>
      </c>
      <c r="U15" s="10"/>
      <c r="V15" s="10"/>
      <c r="W15" s="9" t="n">
        <f aca="false">-7458.34</f>
        <v>-7458.34</v>
      </c>
      <c r="X15" s="9" t="n">
        <f aca="false">30.18</f>
        <v>30.18</v>
      </c>
      <c r="Y15" s="10"/>
      <c r="Z15" s="10"/>
      <c r="AA15" s="10"/>
      <c r="AB15" s="9" t="n">
        <f aca="false">90.01</f>
        <v>90.01</v>
      </c>
      <c r="AC15" s="10"/>
      <c r="AD15" s="9" t="n">
        <f aca="false">6215.81</f>
        <v>6215.81</v>
      </c>
      <c r="AE15" s="9" t="n">
        <f aca="false">56.17</f>
        <v>56.17</v>
      </c>
      <c r="AF15" s="9" t="n">
        <f aca="false">1120.95</f>
        <v>1120.95</v>
      </c>
      <c r="AG15" s="9" t="n">
        <f aca="false">697.28</f>
        <v>697.28</v>
      </c>
      <c r="AH15" s="9" t="n">
        <f aca="false">184.35</f>
        <v>184.35</v>
      </c>
      <c r="AI15" s="10"/>
      <c r="AJ15" s="9" t="n">
        <f aca="false">345.12</f>
        <v>345.12</v>
      </c>
      <c r="AK15" s="9" t="n">
        <f aca="false">1969.68</f>
        <v>1969.68</v>
      </c>
      <c r="AL15" s="10"/>
      <c r="AM15" s="9" t="n">
        <f aca="false">49.49</f>
        <v>49.49</v>
      </c>
      <c r="AN15" s="9" t="n">
        <f aca="false">597.88</f>
        <v>597.88</v>
      </c>
      <c r="AO15" s="9" t="n">
        <f aca="false">335.6</f>
        <v>335.6</v>
      </c>
      <c r="AP15" s="9" t="n">
        <f aca="false">78.73</f>
        <v>78.73</v>
      </c>
      <c r="AQ15" s="9" t="n">
        <f aca="false">87.18</f>
        <v>87.18</v>
      </c>
      <c r="AR15" s="9" t="n">
        <f aca="false">15</f>
        <v>15</v>
      </c>
      <c r="AS15" s="9" t="n">
        <f aca="false">393.27</f>
        <v>393.27</v>
      </c>
      <c r="AT15" s="9" t="n">
        <f aca="false">1116</f>
        <v>1116</v>
      </c>
      <c r="AU15" s="9" t="n">
        <f aca="false">282.36</f>
        <v>282.36</v>
      </c>
      <c r="AV15" s="9" t="n">
        <f aca="false">1161.82</f>
        <v>1161.82</v>
      </c>
      <c r="AW15" s="9" t="n">
        <f aca="false">592.09</f>
        <v>592.09</v>
      </c>
      <c r="AX15" s="10"/>
      <c r="AY15" s="9" t="n">
        <f aca="false">489.25</f>
        <v>489.25</v>
      </c>
      <c r="AZ15" s="9" t="n">
        <f aca="false">0</f>
        <v>0</v>
      </c>
      <c r="BA15" s="9" t="n">
        <f aca="false">-13600.36</f>
        <v>-13600.36</v>
      </c>
      <c r="BB15" s="9" t="n">
        <f aca="false">-136</f>
        <v>-136</v>
      </c>
      <c r="BC15" s="9" t="n">
        <f aca="false">837.97</f>
        <v>837.97</v>
      </c>
      <c r="BD15" s="9" t="n">
        <f aca="false">7.61</f>
        <v>7.61</v>
      </c>
      <c r="BE15" s="10"/>
      <c r="BF15" s="9" t="n">
        <f aca="false">5827.12</f>
        <v>5827.12</v>
      </c>
      <c r="BG15" s="9" t="n">
        <f aca="false">670.22</f>
        <v>670.22</v>
      </c>
      <c r="BH15" s="10"/>
      <c r="BI15" s="9" t="n">
        <f aca="false">1372.61</f>
        <v>1372.61</v>
      </c>
      <c r="BJ15" s="9" t="n">
        <f aca="false">1009.9</f>
        <v>1009.9</v>
      </c>
      <c r="BK15" s="10"/>
      <c r="BL15" s="10"/>
      <c r="BM15" s="9" t="n">
        <f aca="false">2154.54</f>
        <v>2154.54</v>
      </c>
      <c r="BN15" s="9" t="n">
        <f aca="false">135.99</f>
        <v>135.99</v>
      </c>
      <c r="BO15" s="9" t="n">
        <f aca="false">498.44</f>
        <v>498.44</v>
      </c>
      <c r="BP15" s="9" t="n">
        <f aca="false">6325.82</f>
        <v>6325.82</v>
      </c>
      <c r="BQ15" s="9" t="n">
        <f aca="false">21</f>
        <v>21</v>
      </c>
      <c r="BR15" s="9" t="n">
        <f aca="false">253.33</f>
        <v>253.33</v>
      </c>
      <c r="BS15" s="10"/>
      <c r="BT15" s="9" t="n">
        <f aca="false">1707.56</f>
        <v>1707.56</v>
      </c>
      <c r="BU15" s="9" t="n">
        <f aca="false">15</f>
        <v>15</v>
      </c>
      <c r="BV15" s="9" t="n">
        <f aca="false">81.63</f>
        <v>81.63</v>
      </c>
      <c r="BW15" s="9" t="n">
        <f aca="false">927</f>
        <v>927</v>
      </c>
      <c r="BX15" s="10"/>
      <c r="BY15" s="10"/>
      <c r="BZ15" s="10"/>
      <c r="CA15" s="9" t="n">
        <f aca="false">514.18</f>
        <v>514.18</v>
      </c>
      <c r="CB15" s="9" t="n">
        <f aca="false">1354.1</f>
        <v>1354.1</v>
      </c>
      <c r="CC15" s="9" t="n">
        <f aca="false">39</f>
        <v>39</v>
      </c>
      <c r="CD15" s="9" t="n">
        <f aca="false">505.32</f>
        <v>505.32</v>
      </c>
      <c r="CE15" s="9" t="n">
        <f aca="false">-428</f>
        <v>-428</v>
      </c>
      <c r="CF15" s="10"/>
      <c r="CG15" s="9" t="n">
        <f aca="false">10</f>
        <v>10</v>
      </c>
      <c r="CH15" s="9" t="n">
        <f aca="false">-14986.79</f>
        <v>-14986.79</v>
      </c>
      <c r="CI15" s="9" t="n">
        <f aca="false">18</f>
        <v>18</v>
      </c>
      <c r="CJ15" s="9" t="n">
        <f aca="false">4705.18</f>
        <v>4705.18</v>
      </c>
      <c r="CK15" s="9" t="n">
        <f aca="false">916.63</f>
        <v>916.63</v>
      </c>
      <c r="CL15" s="9" t="n">
        <f aca="false">94.61</f>
        <v>94.61</v>
      </c>
      <c r="CM15" s="10"/>
      <c r="CN15" s="10"/>
      <c r="CO15" s="9" t="n">
        <f aca="false">1960.74</f>
        <v>1960.74</v>
      </c>
      <c r="CP15" s="10"/>
      <c r="CQ15" s="9" t="n">
        <f aca="false">774.82</f>
        <v>774.82</v>
      </c>
      <c r="CR15" s="9" t="n">
        <f aca="false">140.57</f>
        <v>140.57</v>
      </c>
      <c r="CS15" s="9" t="n">
        <f aca="false">41.44</f>
        <v>41.44</v>
      </c>
      <c r="CT15" s="10"/>
      <c r="CU15" s="10"/>
      <c r="CV15" s="9" t="n">
        <f aca="false">1508.1</f>
        <v>1508.1</v>
      </c>
      <c r="CW15" s="9" t="n">
        <f aca="false">951.27</f>
        <v>951.27</v>
      </c>
      <c r="CX15" s="10"/>
      <c r="CY15" s="9" t="n">
        <f aca="false">1535.86</f>
        <v>1535.86</v>
      </c>
      <c r="CZ15" s="9" t="n">
        <f aca="false">15</f>
        <v>15</v>
      </c>
      <c r="DA15" s="9" t="n">
        <f aca="false">1038.48</f>
        <v>1038.48</v>
      </c>
      <c r="DB15" s="9" t="n">
        <f aca="false">426.06</f>
        <v>426.06</v>
      </c>
      <c r="DC15" s="10"/>
      <c r="DD15" s="10"/>
      <c r="DE15" s="9" t="n">
        <f aca="false">603</f>
        <v>603</v>
      </c>
      <c r="DF15" s="10"/>
      <c r="DG15" s="10"/>
      <c r="DH15" s="9" t="n">
        <f aca="false">39</f>
        <v>39</v>
      </c>
      <c r="DI15" s="9" t="n">
        <f aca="false">481.7</f>
        <v>481.7</v>
      </c>
      <c r="DJ15" s="10"/>
      <c r="DK15" s="10"/>
      <c r="DL15" s="10"/>
      <c r="DM15" s="9" t="n">
        <f aca="false">1560</f>
        <v>1560</v>
      </c>
      <c r="DN15" s="10"/>
      <c r="DO15" s="9" t="n">
        <f aca="false">96.85</f>
        <v>96.85</v>
      </c>
      <c r="DP15" s="10"/>
      <c r="DQ15" s="9" t="n">
        <f aca="false">-18510.83</f>
        <v>-18510.83</v>
      </c>
      <c r="DR15" s="9" t="n">
        <f aca="false">577.4</f>
        <v>577.4</v>
      </c>
      <c r="DS15" s="9" t="n">
        <f aca="false">763.04</f>
        <v>763.04</v>
      </c>
      <c r="DT15" s="9" t="n">
        <f aca="false">1325.08</f>
        <v>1325.08</v>
      </c>
      <c r="DU15" s="10"/>
      <c r="DV15" s="10"/>
      <c r="DW15" s="9" t="n">
        <f aca="false">204.12</f>
        <v>204.12</v>
      </c>
      <c r="DX15" s="9" t="n">
        <f aca="false">49.83</f>
        <v>49.83</v>
      </c>
      <c r="DY15" s="10"/>
      <c r="DZ15" s="9" t="n">
        <f aca="false">1261.29</f>
        <v>1261.29</v>
      </c>
      <c r="EA15" s="9" t="n">
        <f aca="false">639.72</f>
        <v>639.72</v>
      </c>
      <c r="EB15" s="9" t="n">
        <f aca="false">1613.28</f>
        <v>1613.28</v>
      </c>
      <c r="EC15" s="9" t="n">
        <f aca="false">94.86</f>
        <v>94.86</v>
      </c>
      <c r="ED15" s="9" t="n">
        <f aca="false">15</f>
        <v>15</v>
      </c>
      <c r="EE15" s="9" t="n">
        <f aca="false">2389.56</f>
        <v>2389.56</v>
      </c>
      <c r="EF15" s="9" t="n">
        <f aca="false">669.35</f>
        <v>669.35</v>
      </c>
      <c r="EG15" s="9" t="n">
        <f aca="false">463</f>
        <v>463</v>
      </c>
      <c r="EH15" s="9" t="n">
        <f aca="false">237.32</f>
        <v>237.32</v>
      </c>
      <c r="EI15" s="9" t="n">
        <f aca="false">409</f>
        <v>409</v>
      </c>
      <c r="EJ15" s="10"/>
      <c r="EK15" s="10"/>
      <c r="EL15" s="9" t="n">
        <f aca="false">-15250.46</f>
        <v>-15250.46</v>
      </c>
      <c r="EM15" s="9" t="n">
        <f aca="false">480.54</f>
        <v>480.54</v>
      </c>
      <c r="EN15" s="9" t="n">
        <f aca="false">141.4</f>
        <v>141.4</v>
      </c>
      <c r="EO15" s="10"/>
      <c r="EP15" s="10"/>
      <c r="EQ15" s="9" t="n">
        <f aca="false">1560</f>
        <v>1560</v>
      </c>
      <c r="ER15" s="10"/>
      <c r="ES15" s="10"/>
      <c r="ET15" s="9" t="n">
        <f aca="false">427.95</f>
        <v>427.95</v>
      </c>
      <c r="EU15" s="9" t="n">
        <f aca="false">978.85</f>
        <v>978.85</v>
      </c>
      <c r="EV15" s="9" t="n">
        <f aca="false">1066.33</f>
        <v>1066.33</v>
      </c>
      <c r="EW15" s="9" t="n">
        <f aca="false">979</f>
        <v>979</v>
      </c>
      <c r="EX15" s="9" t="n">
        <f aca="false">61.68</f>
        <v>61.68</v>
      </c>
      <c r="EY15" s="9" t="n">
        <f aca="false">112.38</f>
        <v>112.38</v>
      </c>
      <c r="EZ15" s="9" t="n">
        <f aca="false">2054</f>
        <v>2054</v>
      </c>
      <c r="FA15" s="9" t="n">
        <f aca="false">357.38</f>
        <v>357.38</v>
      </c>
      <c r="FB15" s="9" t="n">
        <f aca="false">90.83</f>
        <v>90.83</v>
      </c>
      <c r="FC15" s="9" t="n">
        <f aca="false">2174.01</f>
        <v>2174.01</v>
      </c>
      <c r="FD15" s="9" t="n">
        <f aca="false">1056.11</f>
        <v>1056.11</v>
      </c>
      <c r="FE15" s="10"/>
      <c r="FF15" s="9" t="n">
        <f aca="false">211.72</f>
        <v>211.72</v>
      </c>
      <c r="FG15" s="9" t="n">
        <f aca="false">507.4</f>
        <v>507.4</v>
      </c>
      <c r="FH15" s="9" t="n">
        <f aca="false">595.29</f>
        <v>595.29</v>
      </c>
      <c r="FI15" s="9" t="n">
        <f aca="false">1483.5</f>
        <v>1483.5</v>
      </c>
      <c r="FJ15" s="10"/>
      <c r="FK15" s="10"/>
      <c r="FL15" s="10"/>
      <c r="FM15" s="10"/>
      <c r="FN15" s="9" t="n">
        <f aca="false">2110.56</f>
        <v>2110.56</v>
      </c>
      <c r="FO15" s="10"/>
      <c r="FP15" s="9" t="n">
        <f aca="false">1026.51</f>
        <v>1026.51</v>
      </c>
      <c r="FQ15" s="9" t="n">
        <f aca="false">-18968.81</f>
        <v>-18968.81</v>
      </c>
      <c r="FR15" s="9" t="n">
        <f aca="false">481.39</f>
        <v>481.39</v>
      </c>
      <c r="FS15" s="10"/>
      <c r="FT15" s="10"/>
      <c r="FU15" s="9" t="n">
        <f aca="false">25</f>
        <v>25</v>
      </c>
      <c r="FV15" s="9" t="n">
        <f aca="false">2255</f>
        <v>2255</v>
      </c>
      <c r="FW15" s="9" t="n">
        <f aca="false">26.1</f>
        <v>26.1</v>
      </c>
      <c r="FX15" s="9" t="n">
        <f aca="false">1003.92</f>
        <v>1003.92</v>
      </c>
      <c r="FY15" s="9" t="n">
        <f aca="false">500</f>
        <v>500</v>
      </c>
      <c r="FZ15" s="9" t="n">
        <f aca="false">94.61</f>
        <v>94.61</v>
      </c>
      <c r="GA15" s="10"/>
      <c r="GB15" s="9" t="n">
        <f aca="false">62.15</f>
        <v>62.15</v>
      </c>
      <c r="GC15" s="9" t="n">
        <f aca="false">2218.47</f>
        <v>2218.47</v>
      </c>
      <c r="GD15" s="10"/>
      <c r="GE15" s="9" t="n">
        <f aca="false">155.47</f>
        <v>155.47</v>
      </c>
      <c r="GF15" s="9" t="n">
        <f aca="false">2.99</f>
        <v>2.99</v>
      </c>
      <c r="GG15" s="9" t="n">
        <f aca="false">118.89</f>
        <v>118.89</v>
      </c>
      <c r="GH15" s="10"/>
      <c r="GI15" s="9" t="n">
        <f aca="false">288.94</f>
        <v>288.94</v>
      </c>
      <c r="GJ15" s="9" t="n">
        <f aca="false">220.1</f>
        <v>220.1</v>
      </c>
      <c r="GK15" s="9" t="n">
        <f aca="false">1730.15</f>
        <v>1730.15</v>
      </c>
      <c r="GL15" s="9" t="n">
        <f aca="false">1203.06</f>
        <v>1203.06</v>
      </c>
      <c r="GM15" s="9" t="n">
        <f aca="false">2671.12</f>
        <v>2671.12</v>
      </c>
      <c r="GN15" s="10"/>
      <c r="GO15" s="9" t="n">
        <f aca="false">55.17</f>
        <v>55.17</v>
      </c>
      <c r="GP15" s="10"/>
      <c r="GQ15" s="9" t="n">
        <f aca="false">22</f>
        <v>22</v>
      </c>
      <c r="GR15" s="10"/>
      <c r="GS15" s="9" t="n">
        <f aca="false">536.87</f>
        <v>536.87</v>
      </c>
      <c r="GT15" s="10"/>
      <c r="GU15" s="10"/>
      <c r="GV15" s="10"/>
      <c r="GW15" s="9" t="n">
        <f aca="false">-16786.49</f>
        <v>-16786.49</v>
      </c>
      <c r="GX15" s="9" t="n">
        <f aca="false">1412.09</f>
        <v>1412.09</v>
      </c>
      <c r="GY15" s="9" t="n">
        <f aca="false">222.21</f>
        <v>222.21</v>
      </c>
      <c r="GZ15" s="9" t="n">
        <f aca="false">26.68</f>
        <v>26.68</v>
      </c>
      <c r="HA15" s="9" t="n">
        <f aca="false">341.5</f>
        <v>341.5</v>
      </c>
      <c r="HB15" s="10"/>
      <c r="HC15" s="10"/>
      <c r="HD15" s="9" t="n">
        <f aca="false">2716.57</f>
        <v>2716.57</v>
      </c>
      <c r="HE15" s="9" t="n">
        <f aca="false">2110.79</f>
        <v>2110.79</v>
      </c>
      <c r="HF15" s="9" t="n">
        <f aca="false">4852.33</f>
        <v>4852.33</v>
      </c>
      <c r="HG15" s="9" t="n">
        <f aca="false">987.42</f>
        <v>987.42</v>
      </c>
      <c r="HH15" s="9" t="n">
        <f aca="false">449.38</f>
        <v>449.38</v>
      </c>
      <c r="HI15" s="9" t="n">
        <f aca="false">203.57</f>
        <v>203.57</v>
      </c>
      <c r="HJ15" s="10"/>
      <c r="HK15" s="9" t="n">
        <f aca="false">728.27</f>
        <v>728.27</v>
      </c>
      <c r="HL15" s="9" t="n">
        <f aca="false">205.56</f>
        <v>205.56</v>
      </c>
      <c r="HM15" s="9" t="n">
        <f aca="false">1247.43</f>
        <v>1247.43</v>
      </c>
      <c r="HN15" s="10"/>
      <c r="HO15" s="9" t="n">
        <f aca="false">1790.01</f>
        <v>1790.01</v>
      </c>
      <c r="HP15" s="10"/>
      <c r="HQ15" s="9" t="n">
        <f aca="false">70.39</f>
        <v>70.39</v>
      </c>
      <c r="HR15" s="9" t="n">
        <f aca="false">2997.9</f>
        <v>2997.9</v>
      </c>
      <c r="HS15" s="9" t="n">
        <f aca="false">448.13</f>
        <v>448.13</v>
      </c>
      <c r="HT15" s="9" t="n">
        <f aca="false">1904</f>
        <v>1904</v>
      </c>
      <c r="HU15" s="10"/>
      <c r="HV15" s="9" t="n">
        <f aca="false">682.65</f>
        <v>682.65</v>
      </c>
      <c r="HW15" s="9" t="n">
        <f aca="false">122.98</f>
        <v>122.98</v>
      </c>
      <c r="HX15" s="10"/>
      <c r="HY15" s="9" t="n">
        <f aca="false">23.22</f>
        <v>23.22</v>
      </c>
      <c r="HZ15" s="9" t="n">
        <f aca="false">-15064.25</f>
        <v>-15064.25</v>
      </c>
      <c r="IA15" s="10"/>
      <c r="IB15" s="10"/>
      <c r="IC15" s="10"/>
      <c r="ID15" s="10"/>
      <c r="IE15" s="10"/>
      <c r="IF15" s="9" t="n">
        <f aca="false">480.6</f>
        <v>480.6</v>
      </c>
      <c r="IG15" s="9" t="n">
        <f aca="false">4233.77</f>
        <v>4233.77</v>
      </c>
      <c r="IH15" s="10"/>
      <c r="II15" s="9" t="n">
        <f aca="false">3848.41</f>
        <v>3848.41</v>
      </c>
      <c r="IJ15" s="9" t="n">
        <f aca="false">1705.8</f>
        <v>1705.8</v>
      </c>
      <c r="IK15" s="9" t="n">
        <f aca="false">578.29</f>
        <v>578.29</v>
      </c>
      <c r="IL15" s="9" t="n">
        <f aca="false">490.23</f>
        <v>490.23</v>
      </c>
      <c r="IM15" s="10"/>
      <c r="IN15" s="10"/>
      <c r="IO15" s="10"/>
      <c r="IP15" s="9" t="n">
        <f aca="false">-11.96</f>
        <v>-11.96</v>
      </c>
      <c r="IQ15" s="9" t="n">
        <f aca="false">33.01</f>
        <v>33.01</v>
      </c>
      <c r="IR15" s="9" t="n">
        <f aca="false">217.89</f>
        <v>217.89</v>
      </c>
      <c r="IS15" s="10"/>
      <c r="IT15" s="9" t="n">
        <f aca="false">240.01</f>
        <v>240.01</v>
      </c>
      <c r="IU15" s="9" t="n">
        <f aca="false">1682.91</f>
        <v>1682.91</v>
      </c>
      <c r="IV15" s="9" t="n">
        <f aca="false">205.14</f>
        <v>205.14</v>
      </c>
      <c r="IW15" s="9" t="n">
        <f aca="false">840.62</f>
        <v>840.62</v>
      </c>
      <c r="IX15" s="9" t="n">
        <f aca="false">15.1</f>
        <v>15.1</v>
      </c>
      <c r="IY15" s="10"/>
      <c r="IZ15" s="10"/>
      <c r="JA15" s="10"/>
      <c r="JB15" s="9" t="n">
        <f aca="false">65</f>
        <v>65</v>
      </c>
      <c r="JC15" s="10"/>
      <c r="JD15" s="9" t="n">
        <f aca="false">-96.33</f>
        <v>-96.33</v>
      </c>
      <c r="JE15" s="9" t="n">
        <f aca="false">213.38</f>
        <v>213.38</v>
      </c>
      <c r="JF15" s="9" t="n">
        <f aca="false">553.8</f>
        <v>553.8</v>
      </c>
      <c r="JG15" s="10"/>
      <c r="JH15" s="10"/>
      <c r="JI15" s="10"/>
      <c r="JJ15" s="9" t="n">
        <f aca="false">-22189.8</f>
        <v>-22189.8</v>
      </c>
      <c r="JK15" s="9" t="n">
        <f aca="false">4710.2</f>
        <v>4710.2</v>
      </c>
      <c r="JL15" s="9" t="n">
        <f aca="false">3016.01</f>
        <v>3016.01</v>
      </c>
      <c r="JM15" s="10"/>
      <c r="JN15" s="9" t="n">
        <f aca="false">94.61</f>
        <v>94.61</v>
      </c>
      <c r="JO15" s="9" t="n">
        <f aca="false">2272.78</f>
        <v>2272.78</v>
      </c>
      <c r="JP15" s="9" t="n">
        <f aca="false">4597.84</f>
        <v>4597.84</v>
      </c>
      <c r="JQ15" s="9" t="n">
        <f aca="false">4306.16</f>
        <v>4306.16</v>
      </c>
      <c r="JR15" s="9" t="n">
        <f aca="false">308</f>
        <v>308</v>
      </c>
      <c r="JS15" s="10"/>
      <c r="JT15" s="9" t="n">
        <f aca="false">2.99</f>
        <v>2.99</v>
      </c>
      <c r="JU15" s="10"/>
      <c r="JV15" s="9" t="n">
        <f aca="false">828.41</f>
        <v>828.41</v>
      </c>
      <c r="JW15" s="9" t="n">
        <f aca="false">1165.98</f>
        <v>1165.98</v>
      </c>
      <c r="JX15" s="9" t="n">
        <f aca="false">1197.01</f>
        <v>1197.01</v>
      </c>
      <c r="JY15" s="9" t="n">
        <f aca="false">314.79</f>
        <v>314.79</v>
      </c>
      <c r="JZ15" s="9" t="n">
        <f aca="false">117.39</f>
        <v>117.39</v>
      </c>
      <c r="KA15" s="9" t="n">
        <f aca="false">1790.2</f>
        <v>1790.2</v>
      </c>
      <c r="KB15" s="9" t="n">
        <f aca="false">18.07</f>
        <v>18.07</v>
      </c>
      <c r="KC15" s="9" t="n">
        <f aca="false">1324.83</f>
        <v>1324.83</v>
      </c>
      <c r="KD15" s="9" t="n">
        <f aca="false">5816.22</f>
        <v>5816.22</v>
      </c>
      <c r="KE15" s="9" t="n">
        <f aca="false">270</f>
        <v>270</v>
      </c>
      <c r="KF15" s="9" t="n">
        <f aca="false">1414.13</f>
        <v>1414.13</v>
      </c>
      <c r="KG15" s="9" t="n">
        <f aca="false">264</f>
        <v>264</v>
      </c>
      <c r="KH15" s="10"/>
      <c r="KI15" s="10"/>
      <c r="KJ15" s="9" t="n">
        <f aca="false">-15430.91</f>
        <v>-15430.91</v>
      </c>
      <c r="KK15" s="9" t="n">
        <f aca="false">110</f>
        <v>110</v>
      </c>
      <c r="KL15" s="10"/>
      <c r="KM15" s="10"/>
      <c r="KN15" s="10"/>
      <c r="KO15" s="10"/>
      <c r="KP15" s="10"/>
      <c r="KQ15" s="9" t="n">
        <f aca="false">3138.38</f>
        <v>3138.38</v>
      </c>
      <c r="KR15" s="9" t="n">
        <f aca="false">94.61</f>
        <v>94.61</v>
      </c>
      <c r="KS15" s="9" t="n">
        <f aca="false">1993.45</f>
        <v>1993.45</v>
      </c>
      <c r="KT15" s="9" t="n">
        <f aca="false">22</f>
        <v>22</v>
      </c>
      <c r="KU15" s="9" t="n">
        <f aca="false">4509.81</f>
        <v>4509.81</v>
      </c>
      <c r="KV15" s="9" t="n">
        <f aca="false">424.37</f>
        <v>424.37</v>
      </c>
      <c r="KW15" s="9" t="n">
        <f aca="false">44.34</f>
        <v>44.34</v>
      </c>
      <c r="KX15" s="9" t="n">
        <f aca="false">2918.84</f>
        <v>2918.84</v>
      </c>
      <c r="KY15" s="9" t="n">
        <f aca="false">4186.52</f>
        <v>4186.52</v>
      </c>
      <c r="KZ15" s="9" t="n">
        <f aca="false">495.9</f>
        <v>495.9</v>
      </c>
      <c r="LA15" s="9" t="n">
        <f aca="false">2353.73</f>
        <v>2353.73</v>
      </c>
      <c r="LB15" s="10"/>
      <c r="LC15" s="9" t="n">
        <f aca="false">230.58</f>
        <v>230.58</v>
      </c>
      <c r="LD15" s="10"/>
      <c r="LE15" s="9" t="n">
        <f aca="false">1403.52</f>
        <v>1403.52</v>
      </c>
      <c r="LF15" s="9" t="n">
        <f aca="false">458</f>
        <v>458</v>
      </c>
      <c r="LG15" s="9" t="n">
        <f aca="false">22</f>
        <v>22</v>
      </c>
      <c r="LH15" s="9" t="n">
        <f aca="false">438.02</f>
        <v>438.02</v>
      </c>
      <c r="LI15" s="9" t="n">
        <f aca="false">811.58</f>
        <v>811.58</v>
      </c>
      <c r="LJ15" s="10"/>
      <c r="LK15" s="9" t="n">
        <f aca="false">179.63</f>
        <v>179.63</v>
      </c>
      <c r="LL15" s="9" t="n">
        <f aca="false">1475.03</f>
        <v>1475.03</v>
      </c>
      <c r="LM15" s="9" t="n">
        <f aca="false">-70</f>
        <v>-70</v>
      </c>
      <c r="LN15" s="9" t="n">
        <f aca="false">-33772.68</f>
        <v>-33772.68</v>
      </c>
      <c r="LO15" s="10"/>
      <c r="LP15" s="10"/>
      <c r="LQ15" s="10"/>
      <c r="LR15" s="10"/>
      <c r="LS15" s="10"/>
      <c r="LT15" s="9" t="n">
        <f aca="false">2285.68</f>
        <v>2285.68</v>
      </c>
      <c r="LU15" s="9" t="n">
        <f aca="false">2759.64</f>
        <v>2759.64</v>
      </c>
      <c r="LV15" s="9" t="n">
        <f aca="false">214.63</f>
        <v>214.63</v>
      </c>
      <c r="LW15" s="9" t="n">
        <f aca="false">94.61</f>
        <v>94.61</v>
      </c>
      <c r="LX15" s="9" t="n">
        <f aca="false">1820.62</f>
        <v>1820.62</v>
      </c>
      <c r="LY15" s="9" t="n">
        <f aca="false">270.28</f>
        <v>270.28</v>
      </c>
      <c r="LZ15" s="10"/>
      <c r="MA15" s="9" t="n">
        <f aca="false">470.23</f>
        <v>470.23</v>
      </c>
      <c r="MB15" s="9" t="n">
        <f aca="false">1546.97</f>
        <v>1546.97</v>
      </c>
      <c r="MC15" s="9" t="n">
        <f aca="false">529.68</f>
        <v>529.68</v>
      </c>
      <c r="MD15" s="9" t="n">
        <f aca="false">1361.32</f>
        <v>1361.32</v>
      </c>
      <c r="ME15" s="10"/>
      <c r="MF15" s="10"/>
      <c r="MG15" s="9" t="n">
        <f aca="false">300.95</f>
        <v>300.95</v>
      </c>
      <c r="MH15" s="9" t="n">
        <f aca="false">306.58</f>
        <v>306.58</v>
      </c>
      <c r="MI15" s="9" t="n">
        <f aca="false">263.57</f>
        <v>263.57</v>
      </c>
      <c r="MJ15" s="9" t="n">
        <f aca="false">37</f>
        <v>37</v>
      </c>
      <c r="MK15" s="9" t="n">
        <f aca="false">487.16</f>
        <v>487.16</v>
      </c>
      <c r="ML15" s="9" t="n">
        <f aca="false">101.62</f>
        <v>101.62</v>
      </c>
      <c r="MM15" s="10"/>
      <c r="MN15" s="9" t="n">
        <f aca="false">256.48</f>
        <v>256.48</v>
      </c>
      <c r="MO15" s="9" t="n">
        <f aca="false">213.91</f>
        <v>213.91</v>
      </c>
      <c r="MP15" s="9" t="n">
        <f aca="false">178.34</f>
        <v>178.34</v>
      </c>
      <c r="MQ15" s="9" t="n">
        <f aca="false">516.98</f>
        <v>516.98</v>
      </c>
      <c r="MR15" s="9" t="n">
        <f aca="false">-25359.05</f>
        <v>-25359.05</v>
      </c>
      <c r="MS15" s="10"/>
      <c r="MT15" s="10"/>
      <c r="MU15" s="9" t="n">
        <f aca="false">379.92</f>
        <v>379.92</v>
      </c>
      <c r="MV15" s="9" t="n">
        <f aca="false">35.79</f>
        <v>35.79</v>
      </c>
      <c r="MW15" s="10"/>
      <c r="MX15" s="9" t="n">
        <f aca="false">39</f>
        <v>39</v>
      </c>
      <c r="MY15" s="9" t="n">
        <f aca="false">2918.53</f>
        <v>2918.53</v>
      </c>
      <c r="MZ15" s="10"/>
      <c r="NA15" s="9" t="n">
        <f aca="false">94.61</f>
        <v>94.61</v>
      </c>
      <c r="NB15" s="9" t="n">
        <f aca="false">3672.39</f>
        <v>3672.39</v>
      </c>
      <c r="NC15" s="9" t="n">
        <f aca="false">1099.69</f>
        <v>1099.69</v>
      </c>
      <c r="ND15" s="9" t="n">
        <f aca="false">SUM(A15:NC15)</f>
        <v>10757.26</v>
      </c>
    </row>
    <row r="16" customFormat="false" ht="12.8" hidden="false" customHeight="false" outlineLevel="0" collapsed="false">
      <c r="A16" s="8" t="s">
        <v>382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9" t="n">
        <f aca="false">-1319.25</f>
        <v>-1319.25</v>
      </c>
      <c r="R16" s="10"/>
      <c r="S16" s="10"/>
      <c r="T16" s="9" t="n">
        <f aca="false">658.02</f>
        <v>658.02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9" t="n">
        <f aca="false">-1306.07</f>
        <v>-1306.07</v>
      </c>
      <c r="AT16" s="10"/>
      <c r="AU16" s="10"/>
      <c r="AV16" s="10"/>
      <c r="AW16" s="9" t="n">
        <f aca="false">609.74</f>
        <v>609.74</v>
      </c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9" t="n">
        <f aca="false">-1251.31</f>
        <v>-1251.31</v>
      </c>
      <c r="BW16" s="10"/>
      <c r="BX16" s="10"/>
      <c r="BY16" s="10"/>
      <c r="BZ16" s="10"/>
      <c r="CA16" s="10"/>
      <c r="CB16" s="9" t="n">
        <f aca="false">644.92</f>
        <v>644.92</v>
      </c>
      <c r="CC16" s="10"/>
      <c r="CD16" s="10"/>
      <c r="CE16" s="10"/>
      <c r="CF16" s="10"/>
      <c r="CG16" s="10"/>
      <c r="CH16" s="9" t="n">
        <f aca="false">2090</f>
        <v>2090</v>
      </c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9" t="n">
        <f aca="false">-1280.07</f>
        <v>-1280.07</v>
      </c>
      <c r="DB16" s="10"/>
      <c r="DC16" s="10"/>
      <c r="DD16" s="10"/>
      <c r="DE16" s="10"/>
      <c r="DF16" s="9" t="n">
        <f aca="false">635.02</f>
        <v>635.02</v>
      </c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9" t="n">
        <f aca="false">-1284.72</f>
        <v>-1284.72</v>
      </c>
      <c r="EF16" s="10"/>
      <c r="EG16" s="10"/>
      <c r="EH16" s="10"/>
      <c r="EI16" s="10"/>
      <c r="EJ16" s="10"/>
      <c r="EK16" s="9" t="n">
        <f aca="false">653.1</f>
        <v>653.1</v>
      </c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9" t="n">
        <f aca="false">-1046.3</f>
        <v>-1046.3</v>
      </c>
      <c r="FK16" s="10"/>
      <c r="FL16" s="10"/>
      <c r="FM16" s="10"/>
      <c r="FN16" s="10"/>
      <c r="FO16" s="9" t="n">
        <f aca="false">625.87</f>
        <v>625.87</v>
      </c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9" t="n">
        <f aca="false">-1512.64</f>
        <v>-1512.64</v>
      </c>
      <c r="GO16" s="10"/>
      <c r="GP16" s="10"/>
      <c r="GQ16" s="10"/>
      <c r="GR16" s="10"/>
      <c r="GS16" s="9" t="n">
        <f aca="false">640.11</f>
        <v>640.11</v>
      </c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9" t="n">
        <f aca="false">-1270.51</f>
        <v>-1270.51</v>
      </c>
      <c r="HT16" s="10"/>
      <c r="HU16" s="10"/>
      <c r="HV16" s="10"/>
      <c r="HW16" s="10"/>
      <c r="HX16" s="9" t="n">
        <f aca="false">635.25</f>
        <v>635.25</v>
      </c>
      <c r="HY16" s="9" t="n">
        <f aca="false">4756</f>
        <v>4756</v>
      </c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9" t="n">
        <f aca="false">-1306.91</f>
        <v>-1306.91</v>
      </c>
      <c r="IY16" s="10"/>
      <c r="IZ16" s="10"/>
      <c r="JA16" s="10"/>
      <c r="JB16" s="10"/>
      <c r="JC16" s="9" t="n">
        <f aca="false">653.56</f>
        <v>653.56</v>
      </c>
      <c r="JD16" s="10"/>
      <c r="JE16" s="10"/>
      <c r="JF16" s="10"/>
      <c r="JG16" s="10"/>
      <c r="JH16" s="10"/>
      <c r="JI16" s="10"/>
      <c r="JJ16" s="9" t="n">
        <f aca="false">4145</f>
        <v>4145</v>
      </c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9" t="n">
        <f aca="false">-1318.5</f>
        <v>-1318.5</v>
      </c>
      <c r="KE16" s="10"/>
      <c r="KF16" s="10"/>
      <c r="KG16" s="10"/>
      <c r="KH16" s="9" t="n">
        <f aca="false">672.09</f>
        <v>672.09</v>
      </c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9" t="n">
        <f aca="false">-1371.83</f>
        <v>-1371.83</v>
      </c>
      <c r="LH16" s="10"/>
      <c r="LI16" s="10"/>
      <c r="LJ16" s="10"/>
      <c r="LK16" s="10"/>
      <c r="LL16" s="9" t="n">
        <f aca="false">646.48</f>
        <v>646.48</v>
      </c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9" t="n">
        <f aca="false">-1339.23</f>
        <v>-1339.23</v>
      </c>
      <c r="ML16" s="10"/>
      <c r="MM16" s="10"/>
      <c r="MN16" s="10"/>
      <c r="MO16" s="10"/>
      <c r="MP16" s="10"/>
      <c r="MQ16" s="9" t="n">
        <f aca="false">651.26</f>
        <v>651.26</v>
      </c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9" t="n">
        <f aca="false">SUM(A16:NC16)</f>
        <v>3109.08</v>
      </c>
    </row>
    <row r="17" customFormat="false" ht="12.8" hidden="false" customHeight="false" outlineLevel="0" collapsed="false">
      <c r="A17" s="8" t="s">
        <v>383</v>
      </c>
      <c r="B17" s="10"/>
      <c r="C17" s="10"/>
      <c r="D17" s="10"/>
      <c r="E17" s="10"/>
      <c r="F17" s="9" t="n">
        <f aca="false">178.69</f>
        <v>178.69</v>
      </c>
      <c r="G17" s="10"/>
      <c r="H17" s="10"/>
      <c r="I17" s="9" t="n">
        <f aca="false">-1060.76</f>
        <v>-1060.76</v>
      </c>
      <c r="J17" s="9" t="n">
        <f aca="false">8.08</f>
        <v>8.08</v>
      </c>
      <c r="K17" s="10"/>
      <c r="L17" s="10"/>
      <c r="M17" s="9" t="n">
        <f aca="false">364.7</f>
        <v>364.7</v>
      </c>
      <c r="N17" s="9" t="n">
        <f aca="false">1197.18</f>
        <v>1197.18</v>
      </c>
      <c r="O17" s="10"/>
      <c r="P17" s="9" t="n">
        <f aca="false">274.92</f>
        <v>274.92</v>
      </c>
      <c r="Q17" s="9" t="n">
        <f aca="false">56.19</f>
        <v>56.19</v>
      </c>
      <c r="R17" s="10"/>
      <c r="S17" s="10"/>
      <c r="T17" s="10"/>
      <c r="U17" s="10"/>
      <c r="V17" s="9" t="n">
        <f aca="false">215.64</f>
        <v>215.64</v>
      </c>
      <c r="W17" s="10"/>
      <c r="X17" s="10"/>
      <c r="Y17" s="9" t="n">
        <f aca="false">2.09</f>
        <v>2.09</v>
      </c>
      <c r="Z17" s="9" t="n">
        <f aca="false">57.44</f>
        <v>57.44</v>
      </c>
      <c r="AA17" s="9" t="n">
        <f aca="false">272.98</f>
        <v>272.98</v>
      </c>
      <c r="AB17" s="9" t="n">
        <f aca="false">163.7</f>
        <v>163.7</v>
      </c>
      <c r="AC17" s="9" t="n">
        <f aca="false">87.31</f>
        <v>87.31</v>
      </c>
      <c r="AD17" s="10"/>
      <c r="AE17" s="9" t="n">
        <f aca="false">39.16</f>
        <v>39.16</v>
      </c>
      <c r="AF17" s="9" t="n">
        <f aca="false">24.28</f>
        <v>24.28</v>
      </c>
      <c r="AG17" s="10"/>
      <c r="AH17" s="10"/>
      <c r="AI17" s="10"/>
      <c r="AJ17" s="9" t="n">
        <f aca="false">65</f>
        <v>65</v>
      </c>
      <c r="AK17" s="9" t="n">
        <f aca="false">13.99</f>
        <v>13.99</v>
      </c>
      <c r="AL17" s="9" t="n">
        <f aca="false">110.22</f>
        <v>110.22</v>
      </c>
      <c r="AM17" s="9" t="n">
        <f aca="false">-4753.41</f>
        <v>-4753.41</v>
      </c>
      <c r="AN17" s="9" t="n">
        <f aca="false">160.36</f>
        <v>160.36</v>
      </c>
      <c r="AO17" s="9" t="n">
        <f aca="false">111.07</f>
        <v>111.07</v>
      </c>
      <c r="AP17" s="10"/>
      <c r="AQ17" s="9" t="n">
        <f aca="false">717.64</f>
        <v>717.64</v>
      </c>
      <c r="AR17" s="9" t="n">
        <f aca="false">18.61</f>
        <v>18.61</v>
      </c>
      <c r="AS17" s="10"/>
      <c r="AT17" s="10"/>
      <c r="AU17" s="10"/>
      <c r="AV17" s="10"/>
      <c r="AW17" s="10"/>
      <c r="AX17" s="9" t="n">
        <f aca="false">104.5</f>
        <v>104.5</v>
      </c>
      <c r="AY17" s="9" t="n">
        <f aca="false">284.7</f>
        <v>284.7</v>
      </c>
      <c r="AZ17" s="9" t="n">
        <f aca="false">55.5</f>
        <v>55.5</v>
      </c>
      <c r="BA17" s="9" t="n">
        <f aca="false">103.55</f>
        <v>103.55</v>
      </c>
      <c r="BB17" s="9" t="n">
        <f aca="false">380.88</f>
        <v>380.88</v>
      </c>
      <c r="BC17" s="9" t="n">
        <f aca="false">177.36</f>
        <v>177.36</v>
      </c>
      <c r="BD17" s="9" t="n">
        <f aca="false">55.11</f>
        <v>55.11</v>
      </c>
      <c r="BE17" s="9" t="n">
        <f aca="false">61.42</f>
        <v>61.42</v>
      </c>
      <c r="BF17" s="9" t="n">
        <f aca="false">206.85</f>
        <v>206.85</v>
      </c>
      <c r="BG17" s="9" t="n">
        <f aca="false">10.4</f>
        <v>10.4</v>
      </c>
      <c r="BH17" s="9" t="n">
        <f aca="false">10.45</f>
        <v>10.45</v>
      </c>
      <c r="BI17" s="9" t="n">
        <f aca="false">20</f>
        <v>20</v>
      </c>
      <c r="BJ17" s="9" t="n">
        <f aca="false">73.49</f>
        <v>73.49</v>
      </c>
      <c r="BK17" s="9" t="n">
        <f aca="false">34.1</f>
        <v>34.1</v>
      </c>
      <c r="BL17" s="10"/>
      <c r="BM17" s="9" t="n">
        <f aca="false">60.63</f>
        <v>60.63</v>
      </c>
      <c r="BN17" s="10"/>
      <c r="BO17" s="9" t="n">
        <f aca="false">39.33</f>
        <v>39.33</v>
      </c>
      <c r="BP17" s="9" t="n">
        <f aca="false">-3849.36</f>
        <v>-3849.36</v>
      </c>
      <c r="BQ17" s="9" t="n">
        <f aca="false">160.36</f>
        <v>160.36</v>
      </c>
      <c r="BR17" s="9" t="n">
        <f aca="false">268.9</f>
        <v>268.9</v>
      </c>
      <c r="BS17" s="9" t="n">
        <f aca="false">58</f>
        <v>58</v>
      </c>
      <c r="BT17" s="9" t="n">
        <f aca="false">62.5</f>
        <v>62.5</v>
      </c>
      <c r="BU17" s="10"/>
      <c r="BV17" s="10"/>
      <c r="BW17" s="10"/>
      <c r="BX17" s="9" t="n">
        <f aca="false">32.81</f>
        <v>32.81</v>
      </c>
      <c r="BY17" s="9" t="n">
        <f aca="false">680.8</f>
        <v>680.8</v>
      </c>
      <c r="BZ17" s="9" t="n">
        <f aca="false">691.62</f>
        <v>691.62</v>
      </c>
      <c r="CA17" s="10"/>
      <c r="CB17" s="9" t="n">
        <f aca="false">390.54</f>
        <v>390.54</v>
      </c>
      <c r="CC17" s="9" t="n">
        <f aca="false">150.45</f>
        <v>150.45</v>
      </c>
      <c r="CD17" s="9" t="n">
        <f aca="false">136.12</f>
        <v>136.12</v>
      </c>
      <c r="CE17" s="9" t="n">
        <f aca="false">101.33</f>
        <v>101.33</v>
      </c>
      <c r="CF17" s="10"/>
      <c r="CG17" s="9" t="n">
        <f aca="false">52.09</f>
        <v>52.09</v>
      </c>
      <c r="CH17" s="10"/>
      <c r="CI17" s="10"/>
      <c r="CJ17" s="10"/>
      <c r="CK17" s="9" t="n">
        <f aca="false">14.88</f>
        <v>14.88</v>
      </c>
      <c r="CL17" s="10"/>
      <c r="CM17" s="10"/>
      <c r="CN17" s="9" t="n">
        <f aca="false">208.03</f>
        <v>208.03</v>
      </c>
      <c r="CO17" s="10"/>
      <c r="CP17" s="10"/>
      <c r="CQ17" s="10"/>
      <c r="CR17" s="9" t="n">
        <f aca="false">8.08</f>
        <v>8.08</v>
      </c>
      <c r="CS17" s="10"/>
      <c r="CT17" s="10"/>
      <c r="CU17" s="9" t="n">
        <f aca="false">-2270.45</f>
        <v>-2270.45</v>
      </c>
      <c r="CV17" s="9" t="n">
        <f aca="false">160.36</f>
        <v>160.36</v>
      </c>
      <c r="CW17" s="9" t="n">
        <f aca="false">9.47</f>
        <v>9.47</v>
      </c>
      <c r="CX17" s="9" t="n">
        <f aca="false">199.9</f>
        <v>199.9</v>
      </c>
      <c r="CY17" s="9" t="n">
        <f aca="false">63.45</f>
        <v>63.45</v>
      </c>
      <c r="CZ17" s="10"/>
      <c r="DA17" s="10"/>
      <c r="DB17" s="9" t="n">
        <f aca="false">32.16</f>
        <v>32.16</v>
      </c>
      <c r="DC17" s="9" t="n">
        <f aca="false">95.26</f>
        <v>95.26</v>
      </c>
      <c r="DD17" s="9" t="n">
        <f aca="false">485.27</f>
        <v>485.27</v>
      </c>
      <c r="DE17" s="9" t="n">
        <f aca="false">396.66</f>
        <v>396.66</v>
      </c>
      <c r="DF17" s="9" t="n">
        <f aca="false">379.93</f>
        <v>379.93</v>
      </c>
      <c r="DG17" s="9" t="n">
        <f aca="false">23.85</f>
        <v>23.85</v>
      </c>
      <c r="DH17" s="9" t="n">
        <f aca="false">261.84</f>
        <v>261.84</v>
      </c>
      <c r="DI17" s="9" t="n">
        <f aca="false">176.29</f>
        <v>176.29</v>
      </c>
      <c r="DJ17" s="9" t="n">
        <f aca="false">293.98</f>
        <v>293.98</v>
      </c>
      <c r="DK17" s="9" t="n">
        <f aca="false">66.19</f>
        <v>66.19</v>
      </c>
      <c r="DL17" s="9" t="n">
        <f aca="false">290.93</f>
        <v>290.93</v>
      </c>
      <c r="DM17" s="9" t="n">
        <f aca="false">124.22</f>
        <v>124.22</v>
      </c>
      <c r="DN17" s="9" t="n">
        <f aca="false">152</f>
        <v>152</v>
      </c>
      <c r="DO17" s="9" t="n">
        <f aca="false">168.03</f>
        <v>168.03</v>
      </c>
      <c r="DP17" s="10"/>
      <c r="DQ17" s="9" t="n">
        <f aca="false">54.23</f>
        <v>54.23</v>
      </c>
      <c r="DR17" s="10"/>
      <c r="DS17" s="10"/>
      <c r="DT17" s="10"/>
      <c r="DU17" s="9" t="n">
        <f aca="false">4.24</f>
        <v>4.24</v>
      </c>
      <c r="DV17" s="9" t="n">
        <f aca="false">137.14</f>
        <v>137.14</v>
      </c>
      <c r="DW17" s="10"/>
      <c r="DX17" s="9" t="n">
        <f aca="false">380.28</f>
        <v>380.28</v>
      </c>
      <c r="DY17" s="9" t="n">
        <f aca="false">-2899.93</f>
        <v>-2899.93</v>
      </c>
      <c r="DZ17" s="9" t="n">
        <f aca="false">163.54</f>
        <v>163.54</v>
      </c>
      <c r="EA17" s="10"/>
      <c r="EB17" s="9" t="n">
        <f aca="false">79.3</f>
        <v>79.3</v>
      </c>
      <c r="EC17" s="10"/>
      <c r="ED17" s="10"/>
      <c r="EE17" s="10"/>
      <c r="EF17" s="10"/>
      <c r="EG17" s="10"/>
      <c r="EH17" s="10"/>
      <c r="EI17" s="10"/>
      <c r="EJ17" s="10"/>
      <c r="EK17" s="10"/>
      <c r="EL17" s="9" t="n">
        <f aca="false">489.13</f>
        <v>489.13</v>
      </c>
      <c r="EM17" s="9" t="n">
        <f aca="false">65.11</f>
        <v>65.11</v>
      </c>
      <c r="EN17" s="10"/>
      <c r="EO17" s="9" t="n">
        <f aca="false">14.31</f>
        <v>14.31</v>
      </c>
      <c r="EP17" s="9" t="n">
        <f aca="false">12.09</f>
        <v>12.09</v>
      </c>
      <c r="EQ17" s="9" t="n">
        <f aca="false">254.52</f>
        <v>254.52</v>
      </c>
      <c r="ER17" s="9" t="n">
        <f aca="false">227.61</f>
        <v>227.61</v>
      </c>
      <c r="ES17" s="9" t="n">
        <f aca="false">265.5</f>
        <v>265.5</v>
      </c>
      <c r="ET17" s="10"/>
      <c r="EU17" s="10"/>
      <c r="EV17" s="10"/>
      <c r="EW17" s="9" t="n">
        <f aca="false">83.59</f>
        <v>83.59</v>
      </c>
      <c r="EX17" s="10"/>
      <c r="EY17" s="10"/>
      <c r="EZ17" s="10"/>
      <c r="FA17" s="9" t="n">
        <f aca="false">9.47</f>
        <v>9.47</v>
      </c>
      <c r="FB17" s="9" t="n">
        <f aca="false">347.42</f>
        <v>347.42</v>
      </c>
      <c r="FC17" s="10"/>
      <c r="FD17" s="9" t="n">
        <f aca="false">-3765.34</f>
        <v>-3765.34</v>
      </c>
      <c r="FE17" s="9" t="n">
        <f aca="false">174.39</f>
        <v>174.39</v>
      </c>
      <c r="FF17" s="10"/>
      <c r="FG17" s="10"/>
      <c r="FH17" s="10"/>
      <c r="FI17" s="9" t="n">
        <f aca="false">12.09</f>
        <v>12.09</v>
      </c>
      <c r="FJ17" s="9" t="n">
        <f aca="false">386.06</f>
        <v>386.06</v>
      </c>
      <c r="FK17" s="9" t="n">
        <f aca="false">52.48</f>
        <v>52.48</v>
      </c>
      <c r="FL17" s="9" t="n">
        <f aca="false">87.99</f>
        <v>87.99</v>
      </c>
      <c r="FM17" s="9" t="n">
        <f aca="false">60.51</f>
        <v>60.51</v>
      </c>
      <c r="FN17" s="9" t="n">
        <f aca="false">101.94</f>
        <v>101.94</v>
      </c>
      <c r="FO17" s="9" t="n">
        <f aca="false">26.48</f>
        <v>26.48</v>
      </c>
      <c r="FP17" s="9" t="n">
        <f aca="false">0.28</f>
        <v>0.28</v>
      </c>
      <c r="FQ17" s="9" t="n">
        <f aca="false">67.64</f>
        <v>67.64</v>
      </c>
      <c r="FR17" s="10"/>
      <c r="FS17" s="9" t="n">
        <f aca="false">14.67</f>
        <v>14.67</v>
      </c>
      <c r="FT17" s="9" t="n">
        <f aca="false">174.75</f>
        <v>174.75</v>
      </c>
      <c r="FU17" s="9" t="n">
        <f aca="false">2.09</f>
        <v>2.09</v>
      </c>
      <c r="FV17" s="9" t="n">
        <f aca="false">9.79</f>
        <v>9.79</v>
      </c>
      <c r="FW17" s="9" t="n">
        <f aca="false">13.64</f>
        <v>13.64</v>
      </c>
      <c r="FX17" s="10"/>
      <c r="FY17" s="9" t="n">
        <f aca="false">748.28</f>
        <v>748.28</v>
      </c>
      <c r="FZ17" s="10"/>
      <c r="GA17" s="10"/>
      <c r="GB17" s="9" t="n">
        <f aca="false">827.4</f>
        <v>827.4</v>
      </c>
      <c r="GC17" s="10"/>
      <c r="GD17" s="9" t="n">
        <f aca="false">68.83</f>
        <v>68.83</v>
      </c>
      <c r="GE17" s="10"/>
      <c r="GF17" s="10"/>
      <c r="GG17" s="10"/>
      <c r="GH17" s="9" t="n">
        <f aca="false">-1815.21</f>
        <v>-1815.21</v>
      </c>
      <c r="GI17" s="9" t="n">
        <f aca="false">154.07</f>
        <v>154.07</v>
      </c>
      <c r="GJ17" s="9" t="n">
        <f aca="false">787.58</f>
        <v>787.58</v>
      </c>
      <c r="GK17" s="9" t="n">
        <f aca="false">147.73</f>
        <v>147.73</v>
      </c>
      <c r="GL17" s="10"/>
      <c r="GM17" s="10"/>
      <c r="GN17" s="9" t="n">
        <f aca="false">64</f>
        <v>64</v>
      </c>
      <c r="GO17" s="9" t="n">
        <f aca="false">106.5</f>
        <v>106.5</v>
      </c>
      <c r="GP17" s="9" t="n">
        <f aca="false">213.48</f>
        <v>213.48</v>
      </c>
      <c r="GQ17" s="9" t="n">
        <f aca="false">478.47</f>
        <v>478.47</v>
      </c>
      <c r="GR17" s="9" t="n">
        <f aca="false">99.56</f>
        <v>99.56</v>
      </c>
      <c r="GS17" s="9" t="n">
        <f aca="false">188.56</f>
        <v>188.56</v>
      </c>
      <c r="GT17" s="9" t="n">
        <f aca="false">299.69</f>
        <v>299.69</v>
      </c>
      <c r="GU17" s="9" t="n">
        <f aca="false">230.92</f>
        <v>230.92</v>
      </c>
      <c r="GV17" s="10"/>
      <c r="GW17" s="9" t="n">
        <f aca="false">192.49</f>
        <v>192.49</v>
      </c>
      <c r="GX17" s="9" t="n">
        <f aca="false">9.79</f>
        <v>9.79</v>
      </c>
      <c r="GY17" s="9" t="n">
        <f aca="false">2.09</f>
        <v>2.09</v>
      </c>
      <c r="GZ17" s="10"/>
      <c r="HA17" s="10"/>
      <c r="HB17" s="10"/>
      <c r="HC17" s="10"/>
      <c r="HD17" s="10"/>
      <c r="HE17" s="10"/>
      <c r="HF17" s="10"/>
      <c r="HG17" s="10"/>
      <c r="HH17" s="9" t="n">
        <f aca="false">17.94</f>
        <v>17.94</v>
      </c>
      <c r="HI17" s="10"/>
      <c r="HJ17" s="10"/>
      <c r="HK17" s="10"/>
      <c r="HL17" s="9" t="n">
        <f aca="false">61.18</f>
        <v>61.18</v>
      </c>
      <c r="HM17" s="9" t="n">
        <f aca="false">-3872.23</f>
        <v>-3872.23</v>
      </c>
      <c r="HN17" s="9" t="n">
        <f aca="false">192.79</f>
        <v>192.79</v>
      </c>
      <c r="HO17" s="10"/>
      <c r="HP17" s="10"/>
      <c r="HQ17" s="9" t="n">
        <f aca="false">51.62</f>
        <v>51.62</v>
      </c>
      <c r="HR17" s="10"/>
      <c r="HS17" s="10"/>
      <c r="HT17" s="9" t="n">
        <f aca="false">51.33</f>
        <v>51.33</v>
      </c>
      <c r="HU17" s="10"/>
      <c r="HV17" s="9" t="n">
        <f aca="false">38.08</f>
        <v>38.08</v>
      </c>
      <c r="HW17" s="9" t="n">
        <f aca="false">-141.13</f>
        <v>-141.13</v>
      </c>
      <c r="HX17" s="9" t="n">
        <f aca="false">220.03</f>
        <v>220.03</v>
      </c>
      <c r="HY17" s="9" t="n">
        <f aca="false">207.29</f>
        <v>207.29</v>
      </c>
      <c r="HZ17" s="9" t="n">
        <f aca="false">127</f>
        <v>127</v>
      </c>
      <c r="IA17" s="9" t="n">
        <f aca="false">656.37</f>
        <v>656.37</v>
      </c>
      <c r="IB17" s="10"/>
      <c r="IC17" s="10"/>
      <c r="ID17" s="9" t="n">
        <f aca="false">11.95</f>
        <v>11.95</v>
      </c>
      <c r="IE17" s="10"/>
      <c r="IF17" s="9" t="n">
        <f aca="false">201.3</f>
        <v>201.3</v>
      </c>
      <c r="IG17" s="9" t="n">
        <f aca="false">323.44</f>
        <v>323.44</v>
      </c>
      <c r="IH17" s="9" t="n">
        <f aca="false">644.88</f>
        <v>644.88</v>
      </c>
      <c r="II17" s="9" t="n">
        <f aca="false">657.74</f>
        <v>657.74</v>
      </c>
      <c r="IJ17" s="9" t="n">
        <f aca="false">86.67</f>
        <v>86.67</v>
      </c>
      <c r="IK17" s="9" t="n">
        <f aca="false">176.64</f>
        <v>176.64</v>
      </c>
      <c r="IL17" s="9" t="n">
        <f aca="false">110.55</f>
        <v>110.55</v>
      </c>
      <c r="IM17" s="9" t="n">
        <f aca="false">121.25</f>
        <v>121.25</v>
      </c>
      <c r="IN17" s="9" t="n">
        <f aca="false">138.02</f>
        <v>138.02</v>
      </c>
      <c r="IO17" s="9" t="n">
        <f aca="false">188.55</f>
        <v>188.55</v>
      </c>
      <c r="IP17" s="9" t="n">
        <f aca="false">25.69</f>
        <v>25.69</v>
      </c>
      <c r="IQ17" s="9" t="n">
        <f aca="false">35.47</f>
        <v>35.47</v>
      </c>
      <c r="IR17" s="9" t="n">
        <f aca="false">-2067.66</f>
        <v>-2067.66</v>
      </c>
      <c r="IS17" s="9" t="n">
        <f aca="false">168.75</f>
        <v>168.75</v>
      </c>
      <c r="IT17" s="9" t="n">
        <f aca="false">476.34</f>
        <v>476.34</v>
      </c>
      <c r="IU17" s="9" t="n">
        <f aca="false">65.42</f>
        <v>65.42</v>
      </c>
      <c r="IV17" s="9" t="n">
        <f aca="false">46.98</f>
        <v>46.98</v>
      </c>
      <c r="IW17" s="9" t="n">
        <f aca="false">5.56</f>
        <v>5.56</v>
      </c>
      <c r="IX17" s="9" t="n">
        <f aca="false">337.25</f>
        <v>337.25</v>
      </c>
      <c r="IY17" s="10"/>
      <c r="IZ17" s="10"/>
      <c r="JA17" s="9" t="n">
        <f aca="false">68.99</f>
        <v>68.99</v>
      </c>
      <c r="JB17" s="9" t="n">
        <f aca="false">584.66</f>
        <v>584.66</v>
      </c>
      <c r="JC17" s="9" t="n">
        <f aca="false">170.32</f>
        <v>170.32</v>
      </c>
      <c r="JD17" s="9" t="n">
        <f aca="false">85.39</f>
        <v>85.39</v>
      </c>
      <c r="JE17" s="10"/>
      <c r="JF17" s="10"/>
      <c r="JG17" s="9" t="n">
        <f aca="false">37.17</f>
        <v>37.17</v>
      </c>
      <c r="JH17" s="9" t="n">
        <f aca="false">43.78</f>
        <v>43.78</v>
      </c>
      <c r="JI17" s="9" t="n">
        <f aca="false">2.09</f>
        <v>2.09</v>
      </c>
      <c r="JJ17" s="9" t="n">
        <f aca="false">63.32</f>
        <v>63.32</v>
      </c>
      <c r="JK17" s="9" t="n">
        <f aca="false">770.75</f>
        <v>770.75</v>
      </c>
      <c r="JL17" s="10"/>
      <c r="JM17" s="10"/>
      <c r="JN17" s="10"/>
      <c r="JO17" s="9" t="n">
        <f aca="false">78.89</f>
        <v>78.89</v>
      </c>
      <c r="JP17" s="9" t="n">
        <f aca="false">51.19</f>
        <v>51.19</v>
      </c>
      <c r="JQ17" s="9" t="n">
        <f aca="false">12.71</f>
        <v>12.71</v>
      </c>
      <c r="JR17" s="10"/>
      <c r="JS17" s="10"/>
      <c r="JT17" s="9" t="n">
        <f aca="false">109.44</f>
        <v>109.44</v>
      </c>
      <c r="JU17" s="10"/>
      <c r="JV17" s="9" t="n">
        <f aca="false">-4780.03</f>
        <v>-4780.03</v>
      </c>
      <c r="JW17" s="9" t="n">
        <f aca="false">754.57</f>
        <v>754.57</v>
      </c>
      <c r="JX17" s="9" t="n">
        <f aca="false">143</f>
        <v>143</v>
      </c>
      <c r="JY17" s="10"/>
      <c r="JZ17" s="9" t="n">
        <f aca="false">88</f>
        <v>88</v>
      </c>
      <c r="KA17" s="9" t="n">
        <f aca="false">30</f>
        <v>30</v>
      </c>
      <c r="KB17" s="9" t="n">
        <f aca="false">63.39</f>
        <v>63.39</v>
      </c>
      <c r="KC17" s="10"/>
      <c r="KD17" s="9" t="n">
        <f aca="false">90.26</f>
        <v>90.26</v>
      </c>
      <c r="KE17" s="9" t="n">
        <f aca="false">197.68</f>
        <v>197.68</v>
      </c>
      <c r="KF17" s="9" t="n">
        <f aca="false">242.92</f>
        <v>242.92</v>
      </c>
      <c r="KG17" s="9" t="n">
        <f aca="false">55.38</f>
        <v>55.38</v>
      </c>
      <c r="KH17" s="9" t="n">
        <f aca="false">294.41</f>
        <v>294.41</v>
      </c>
      <c r="KI17" s="10"/>
      <c r="KJ17" s="10"/>
      <c r="KK17" s="9" t="n">
        <f aca="false">41.73</f>
        <v>41.73</v>
      </c>
      <c r="KL17" s="10"/>
      <c r="KM17" s="9" t="n">
        <f aca="false">2.09</f>
        <v>2.09</v>
      </c>
      <c r="KN17" s="10"/>
      <c r="KO17" s="10"/>
      <c r="KP17" s="10"/>
      <c r="KQ17" s="9" t="n">
        <f aca="false">465.22</f>
        <v>465.22</v>
      </c>
      <c r="KR17" s="9" t="n">
        <f aca="false">125.56</f>
        <v>125.56</v>
      </c>
      <c r="KS17" s="9" t="n">
        <f aca="false">456.76</f>
        <v>456.76</v>
      </c>
      <c r="KT17" s="10"/>
      <c r="KU17" s="9" t="n">
        <f aca="false">38.04</f>
        <v>38.04</v>
      </c>
      <c r="KV17" s="9" t="n">
        <f aca="false">47.8</f>
        <v>47.8</v>
      </c>
      <c r="KW17" s="10"/>
      <c r="KX17" s="9" t="n">
        <f aca="false">140</f>
        <v>140</v>
      </c>
      <c r="KY17" s="10"/>
      <c r="KZ17" s="9" t="n">
        <f aca="false">55.1</f>
        <v>55.1</v>
      </c>
      <c r="LA17" s="9" t="n">
        <f aca="false">-3087.87</f>
        <v>-3087.87</v>
      </c>
      <c r="LB17" s="9" t="n">
        <f aca="false">509.12</f>
        <v>509.12</v>
      </c>
      <c r="LC17" s="10"/>
      <c r="LD17" s="10"/>
      <c r="LE17" s="10"/>
      <c r="LF17" s="9" t="n">
        <f aca="false">103.6</f>
        <v>103.6</v>
      </c>
      <c r="LG17" s="9" t="n">
        <f aca="false">181.97</f>
        <v>181.97</v>
      </c>
      <c r="LH17" s="9" t="n">
        <f aca="false">103.79</f>
        <v>103.79</v>
      </c>
      <c r="LI17" s="9" t="n">
        <f aca="false">78.61</f>
        <v>78.61</v>
      </c>
      <c r="LJ17" s="9" t="n">
        <f aca="false">53.99</f>
        <v>53.99</v>
      </c>
      <c r="LK17" s="9" t="n">
        <f aca="false">8.77</f>
        <v>8.77</v>
      </c>
      <c r="LL17" s="9" t="n">
        <f aca="false">78.06</f>
        <v>78.06</v>
      </c>
      <c r="LM17" s="9" t="n">
        <f aca="false">-70</f>
        <v>-70</v>
      </c>
      <c r="LN17" s="9" t="n">
        <f aca="false">1453.95</f>
        <v>1453.95</v>
      </c>
      <c r="LO17" s="10"/>
      <c r="LP17" s="9" t="n">
        <f aca="false">71.15</f>
        <v>71.15</v>
      </c>
      <c r="LQ17" s="10"/>
      <c r="LR17" s="9" t="n">
        <f aca="false">2.09</f>
        <v>2.09</v>
      </c>
      <c r="LS17" s="9" t="n">
        <f aca="false">22.91</f>
        <v>22.91</v>
      </c>
      <c r="LT17" s="9" t="n">
        <f aca="false">51.76</f>
        <v>51.76</v>
      </c>
      <c r="LU17" s="9" t="n">
        <f aca="false">511.8</f>
        <v>511.8</v>
      </c>
      <c r="LV17" s="10"/>
      <c r="LW17" s="9" t="n">
        <f aca="false">344.3</f>
        <v>344.3</v>
      </c>
      <c r="LX17" s="9" t="n">
        <f aca="false">181.54</f>
        <v>181.54</v>
      </c>
      <c r="LY17" s="10"/>
      <c r="LZ17" s="9" t="n">
        <f aca="false">52.67</f>
        <v>52.67</v>
      </c>
      <c r="MA17" s="10"/>
      <c r="MB17" s="10"/>
      <c r="MC17" s="9" t="n">
        <f aca="false">232</f>
        <v>232</v>
      </c>
      <c r="MD17" s="9" t="n">
        <f aca="false">88</f>
        <v>88</v>
      </c>
      <c r="ME17" s="9" t="n">
        <f aca="false">-3278.27</f>
        <v>-3278.27</v>
      </c>
      <c r="MF17" s="9" t="n">
        <f aca="false">248.52</f>
        <v>248.52</v>
      </c>
      <c r="MG17" s="9" t="n">
        <f aca="false">458.03</f>
        <v>458.03</v>
      </c>
      <c r="MH17" s="10"/>
      <c r="MI17" s="10"/>
      <c r="MJ17" s="9" t="n">
        <f aca="false">468</f>
        <v>468</v>
      </c>
      <c r="MK17" s="9" t="n">
        <f aca="false">53.46</f>
        <v>53.46</v>
      </c>
      <c r="ML17" s="10"/>
      <c r="MM17" s="9" t="n">
        <f aca="false">78.61</f>
        <v>78.61</v>
      </c>
      <c r="MN17" s="9" t="n">
        <f aca="false">25</f>
        <v>25</v>
      </c>
      <c r="MO17" s="9" t="n">
        <f aca="false">111.32</f>
        <v>111.32</v>
      </c>
      <c r="MP17" s="10"/>
      <c r="MQ17" s="10"/>
      <c r="MR17" s="10"/>
      <c r="MS17" s="10"/>
      <c r="MT17" s="9" t="n">
        <f aca="false">32.57</f>
        <v>32.57</v>
      </c>
      <c r="MU17" s="10"/>
      <c r="MV17" s="9" t="n">
        <f aca="false">22.26</f>
        <v>22.26</v>
      </c>
      <c r="MW17" s="10"/>
      <c r="MX17" s="10"/>
      <c r="MY17" s="9" t="n">
        <f aca="false">584.45</f>
        <v>584.45</v>
      </c>
      <c r="MZ17" s="9" t="n">
        <f aca="false">123.06</f>
        <v>123.06</v>
      </c>
      <c r="NA17" s="10"/>
      <c r="NB17" s="9" t="n">
        <f aca="false">11.87</f>
        <v>11.87</v>
      </c>
      <c r="NC17" s="10"/>
      <c r="ND17" s="9" t="n">
        <f aca="false">SUM(A17:NC17)</f>
        <v>97.8100000000008</v>
      </c>
    </row>
    <row r="18" customFormat="false" ht="12.8" hidden="false" customHeight="false" outlineLevel="0" collapsed="false">
      <c r="A18" s="8" t="s">
        <v>384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9" t="n">
        <f aca="false">-2561.93</f>
        <v>-2561.93</v>
      </c>
      <c r="ND18" s="9" t="n">
        <f aca="false">SUM(A18:NC18)</f>
        <v>-2561.93</v>
      </c>
    </row>
    <row r="19" customFormat="false" ht="12.8" hidden="false" customHeight="false" outlineLevel="0" collapsed="false">
      <c r="A19" s="8" t="s">
        <v>385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9" t="n">
        <f aca="false">-19547.78</f>
        <v>-19547.78</v>
      </c>
      <c r="NC19" s="10"/>
      <c r="ND19" s="9" t="n">
        <f aca="false">SUM(A19:NC19)</f>
        <v>-19547.78</v>
      </c>
    </row>
    <row r="20" customFormat="false" ht="12.8" hidden="false" customHeight="false" outlineLevel="0" collapsed="false">
      <c r="A20" s="8" t="s">
        <v>386</v>
      </c>
      <c r="B20" s="10"/>
      <c r="C20" s="9" t="n">
        <f aca="false">-2108.98</f>
        <v>-2108.98</v>
      </c>
      <c r="D20" s="10"/>
      <c r="E20" s="10"/>
      <c r="F20" s="10"/>
      <c r="G20" s="10"/>
      <c r="H20" s="10"/>
      <c r="I20" s="10"/>
      <c r="J20" s="10"/>
      <c r="K20" s="10"/>
      <c r="L20" s="10"/>
      <c r="M20" s="9" t="n">
        <f aca="false">0</f>
        <v>0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9" t="n">
        <f aca="false">0</f>
        <v>0</v>
      </c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9" t="n">
        <f aca="false">0</f>
        <v>0</v>
      </c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9" t="n">
        <f aca="false">0</f>
        <v>0</v>
      </c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9" t="n">
        <f aca="false">0</f>
        <v>0</v>
      </c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9" t="n">
        <f aca="false">1582.97</f>
        <v>1582.97</v>
      </c>
      <c r="CP20" s="9" t="n">
        <f aca="false">-1582.97</f>
        <v>-1582.97</v>
      </c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9" t="n">
        <f aca="false">1248.33</f>
        <v>1248.33</v>
      </c>
      <c r="DD20" s="9" t="n">
        <f aca="false">-1248.33</f>
        <v>-1248.33</v>
      </c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9" t="n">
        <f aca="false">0</f>
        <v>0</v>
      </c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9" t="n">
        <f aca="false">0</f>
        <v>0</v>
      </c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9" t="n">
        <f aca="false">1248.33</f>
        <v>1248.33</v>
      </c>
      <c r="EX20" s="10"/>
      <c r="EY20" s="10"/>
      <c r="EZ20" s="9" t="n">
        <f aca="false">-1248.33</f>
        <v>-1248.33</v>
      </c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9" t="n">
        <f aca="false">0</f>
        <v>0</v>
      </c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9" t="n">
        <f aca="false">0</f>
        <v>0</v>
      </c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9" t="n">
        <f aca="false">0</f>
        <v>0</v>
      </c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9" t="n">
        <f aca="false">0</f>
        <v>0</v>
      </c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9" t="n">
        <f aca="false">0</f>
        <v>0</v>
      </c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9" t="n">
        <f aca="false">0</f>
        <v>0</v>
      </c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9" t="n">
        <f aca="false">0</f>
        <v>0</v>
      </c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9" t="n">
        <f aca="false">0</f>
        <v>0</v>
      </c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9" t="n">
        <f aca="false">0</f>
        <v>0</v>
      </c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9" t="n">
        <f aca="false">0</f>
        <v>0</v>
      </c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9" t="n">
        <f aca="false">0</f>
        <v>0</v>
      </c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9" t="n">
        <f aca="false">0</f>
        <v>0</v>
      </c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9" t="n">
        <f aca="false">0</f>
        <v>0</v>
      </c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9" t="n">
        <f aca="false">0</f>
        <v>0</v>
      </c>
      <c r="ND20" s="9" t="n">
        <f aca="false">SUM(A20:NC20)</f>
        <v>-2108.98</v>
      </c>
    </row>
    <row r="21" customFormat="false" ht="12.8" hidden="false" customHeight="false" outlineLevel="0" collapsed="false">
      <c r="A21" s="8" t="s">
        <v>387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9" t="n">
        <f aca="false">-2290.55</f>
        <v>-2290.55</v>
      </c>
      <c r="O21" s="10"/>
      <c r="P21" s="10"/>
      <c r="Q21" s="10"/>
      <c r="R21" s="10"/>
      <c r="S21" s="10"/>
      <c r="T21" s="10"/>
      <c r="U21" s="10"/>
      <c r="V21" s="10"/>
      <c r="W21" s="10"/>
      <c r="X21" s="9" t="n">
        <f aca="false">-29</f>
        <v>-29</v>
      </c>
      <c r="Y21" s="10"/>
      <c r="Z21" s="10"/>
      <c r="AA21" s="10"/>
      <c r="AB21" s="10"/>
      <c r="AC21" s="10"/>
      <c r="AD21" s="10"/>
      <c r="AE21" s="10"/>
      <c r="AF21" s="9" t="n">
        <f aca="false">-224.77</f>
        <v>-224.77</v>
      </c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9" t="n">
        <f aca="false">-534.16</f>
        <v>-534.16</v>
      </c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9" t="n">
        <f aca="false">-2012.8</f>
        <v>-2012.8</v>
      </c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9" t="n">
        <f aca="false">-113.33</f>
        <v>-113.33</v>
      </c>
      <c r="CX21" s="10"/>
      <c r="CY21" s="10"/>
      <c r="CZ21" s="10"/>
      <c r="DA21" s="9" t="n">
        <f aca="false">-980.71</f>
        <v>-980.71</v>
      </c>
      <c r="DB21" s="10"/>
      <c r="DC21" s="10"/>
      <c r="DD21" s="10"/>
      <c r="DE21" s="10"/>
      <c r="DF21" s="10"/>
      <c r="DG21" s="10"/>
      <c r="DH21" s="10"/>
      <c r="DI21" s="10"/>
      <c r="DJ21" s="10"/>
      <c r="DK21" s="9" t="n">
        <f aca="false">-25.29</f>
        <v>-25.29</v>
      </c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9" t="n">
        <f aca="false">-755.04</f>
        <v>-755.04</v>
      </c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9" t="n">
        <f aca="false">-1426.69</f>
        <v>-1426.69</v>
      </c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9" t="n">
        <f aca="false">-108.5</f>
        <v>-108.5</v>
      </c>
      <c r="GH21" s="10"/>
      <c r="GI21" s="10"/>
      <c r="GJ21" s="10"/>
      <c r="GK21" s="10"/>
      <c r="GL21" s="10"/>
      <c r="GM21" s="10"/>
      <c r="GN21" s="9" t="n">
        <f aca="false">-672.15</f>
        <v>-672.15</v>
      </c>
      <c r="GO21" s="10"/>
      <c r="GP21" s="10"/>
      <c r="GQ21" s="10"/>
      <c r="GR21" s="10"/>
      <c r="GS21" s="10"/>
      <c r="GT21" s="9" t="n">
        <f aca="false">-10</f>
        <v>-10</v>
      </c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9" t="n">
        <f aca="false">-1502.5</f>
        <v>-1502.5</v>
      </c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9" t="n">
        <f aca="false">-2153.2</f>
        <v>-2153.2</v>
      </c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9" t="n">
        <f aca="false">-739.63</f>
        <v>-739.63</v>
      </c>
      <c r="KB21" s="10"/>
      <c r="KC21" s="10"/>
      <c r="KD21" s="10"/>
      <c r="KE21" s="10"/>
      <c r="KF21" s="10"/>
      <c r="KG21" s="10"/>
      <c r="KH21" s="10"/>
      <c r="KI21" s="10"/>
      <c r="KJ21" s="10"/>
      <c r="KK21" s="9" t="n">
        <f aca="false">-32.5</f>
        <v>-32.5</v>
      </c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9" t="n">
        <f aca="false">-1469.01</f>
        <v>-1469.01</v>
      </c>
      <c r="LJ21" s="10"/>
      <c r="LK21" s="10"/>
      <c r="LL21" s="10"/>
      <c r="LM21" s="10"/>
      <c r="LN21" s="9" t="n">
        <f aca="false">-19.5</f>
        <v>-19.5</v>
      </c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9" t="n">
        <f aca="false">-2132.23</f>
        <v>-2132.23</v>
      </c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9" t="n">
        <f aca="false">SUM(A21:NC21)</f>
        <v>-17231.56</v>
      </c>
    </row>
    <row r="22" customFormat="false" ht="12.8" hidden="false" customHeight="false" outlineLevel="0" collapsed="false">
      <c r="A22" s="8" t="s">
        <v>388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9" t="n">
        <f aca="false">68</f>
        <v>68</v>
      </c>
      <c r="N22" s="10"/>
      <c r="O22" s="10"/>
      <c r="P22" s="10"/>
      <c r="Q22" s="10"/>
      <c r="R22" s="10"/>
      <c r="S22" s="10"/>
      <c r="T22" s="9" t="n">
        <f aca="false">-470</f>
        <v>-470</v>
      </c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9" t="n">
        <f aca="false">68</f>
        <v>68</v>
      </c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9" t="n">
        <f aca="false">91</f>
        <v>91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9" t="n">
        <f aca="false">68</f>
        <v>68</v>
      </c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9" t="n">
        <f aca="false">138</f>
        <v>138</v>
      </c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9" t="n">
        <f aca="false">136</f>
        <v>136</v>
      </c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9" t="n">
        <f aca="false">66</f>
        <v>66</v>
      </c>
      <c r="DD22" s="9" t="n">
        <f aca="false">77</f>
        <v>77</v>
      </c>
      <c r="DE22" s="10"/>
      <c r="DF22" s="9" t="n">
        <f aca="false">-361</f>
        <v>-361</v>
      </c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9" t="n">
        <f aca="false">151</f>
        <v>151</v>
      </c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9" t="n">
        <f aca="false">66</f>
        <v>66</v>
      </c>
      <c r="EH22" s="9" t="n">
        <f aca="false">87</f>
        <v>87</v>
      </c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9" t="n">
        <f aca="false">155</f>
        <v>155</v>
      </c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9" t="n">
        <f aca="false">187</f>
        <v>187</v>
      </c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9" t="n">
        <f aca="false">199</f>
        <v>199</v>
      </c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9" t="n">
        <f aca="false">66</f>
        <v>66</v>
      </c>
      <c r="GQ22" s="9" t="n">
        <f aca="false">129</f>
        <v>129</v>
      </c>
      <c r="GR22" s="10"/>
      <c r="GS22" s="10"/>
      <c r="GT22" s="9" t="n">
        <f aca="false">-403</f>
        <v>-403</v>
      </c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9" t="n">
        <f aca="false">210</f>
        <v>210</v>
      </c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9" t="n">
        <f aca="false">66</f>
        <v>66</v>
      </c>
      <c r="HV22" s="9" t="n">
        <f aca="false">152</f>
        <v>152</v>
      </c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9" t="n">
        <f aca="false">186</f>
        <v>186</v>
      </c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9" t="n">
        <f aca="false">66</f>
        <v>66</v>
      </c>
      <c r="IY22" s="10"/>
      <c r="IZ22" s="10"/>
      <c r="JA22" s="9" t="n">
        <f aca="false">147</f>
        <v>147</v>
      </c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9" t="n">
        <f aca="false">207</f>
        <v>207</v>
      </c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9" t="n">
        <f aca="false">204</f>
        <v>204</v>
      </c>
      <c r="KE22" s="10"/>
      <c r="KF22" s="10"/>
      <c r="KG22" s="10"/>
      <c r="KH22" s="10"/>
      <c r="KI22" s="10"/>
      <c r="KJ22" s="9" t="n">
        <f aca="false">-409</f>
        <v>-409</v>
      </c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9" t="n">
        <f aca="false">223</f>
        <v>223</v>
      </c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9" t="n">
        <f aca="false">285</f>
        <v>285</v>
      </c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9" t="n">
        <f aca="false">132</f>
        <v>132</v>
      </c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9" t="n">
        <f aca="false">132</f>
        <v>132</v>
      </c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9" t="n">
        <f aca="false">132</f>
        <v>132</v>
      </c>
      <c r="ND22" s="9" t="n">
        <f aca="false">SUM(A22:NC22)</f>
        <v>2251</v>
      </c>
    </row>
    <row r="23" customFormat="false" ht="12.8" hidden="false" customHeight="false" outlineLevel="0" collapsed="false">
      <c r="A23" s="8" t="s">
        <v>389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9" t="n">
        <f aca="false">9.75</f>
        <v>9.75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9" t="n">
        <f aca="false">9.75</f>
        <v>9.75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9" t="n">
        <f aca="false">5.75</f>
        <v>5.75</v>
      </c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9" t="n">
        <f aca="false">9.75</f>
        <v>9.75</v>
      </c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9" t="n">
        <f aca="false">0</f>
        <v>0</v>
      </c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9" t="n">
        <f aca="false">17.75</f>
        <v>17.75</v>
      </c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9" t="n">
        <f aca="false">0</f>
        <v>0</v>
      </c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9" t="n">
        <f aca="false">17.75</f>
        <v>17.75</v>
      </c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9" t="n">
        <f aca="false">0</f>
        <v>0</v>
      </c>
      <c r="EH23" s="9" t="n">
        <f aca="false">4</f>
        <v>4</v>
      </c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9" t="n">
        <f aca="false">4</f>
        <v>4</v>
      </c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9" t="n">
        <f aca="false">25.75</f>
        <v>25.75</v>
      </c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9" t="n">
        <f aca="false">25.75</f>
        <v>25.75</v>
      </c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9" t="n">
        <f aca="false">0</f>
        <v>0</v>
      </c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9" t="n">
        <f aca="false">25.75</f>
        <v>25.75</v>
      </c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9" t="n">
        <f aca="false">0</f>
        <v>0</v>
      </c>
      <c r="HV23" s="9" t="n">
        <f aca="false">4</f>
        <v>4</v>
      </c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9" t="n">
        <f aca="false">4</f>
        <v>4</v>
      </c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9" t="n">
        <f aca="false">9.75</f>
        <v>9.75</v>
      </c>
      <c r="IY23" s="10"/>
      <c r="IZ23" s="10"/>
      <c r="JA23" s="9" t="n">
        <f aca="false">16</f>
        <v>16</v>
      </c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9" t="n">
        <f aca="false">25.75</f>
        <v>25.75</v>
      </c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9" t="n">
        <f aca="false">0</f>
        <v>0</v>
      </c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9" t="n">
        <f aca="false">25.75</f>
        <v>25.75</v>
      </c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9" t="n">
        <f aca="false">0</f>
        <v>0</v>
      </c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9" t="n">
        <f aca="false">0</f>
        <v>0</v>
      </c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9" t="n">
        <f aca="false">9.75</f>
        <v>9.75</v>
      </c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9" t="n">
        <f aca="false">0</f>
        <v>0</v>
      </c>
      <c r="ND23" s="9" t="n">
        <f aca="false">SUM(A23:NC23)</f>
        <v>250.75</v>
      </c>
    </row>
    <row r="24" customFormat="false" ht="12.8" hidden="false" customHeight="false" outlineLevel="0" collapsed="false">
      <c r="A24" s="8" t="s">
        <v>390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9" t="n">
        <f aca="false">7.88</f>
        <v>7.88</v>
      </c>
      <c r="N24" s="10"/>
      <c r="O24" s="10"/>
      <c r="P24" s="10"/>
      <c r="Q24" s="10"/>
      <c r="R24" s="10"/>
      <c r="S24" s="10"/>
      <c r="T24" s="9" t="n">
        <f aca="false">-58.28</f>
        <v>-58.28</v>
      </c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9" t="n">
        <f aca="false">7.88</f>
        <v>7.88</v>
      </c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9" t="n">
        <f aca="false">12.13</f>
        <v>12.13</v>
      </c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9" t="n">
        <f aca="false">7.88</f>
        <v>7.88</v>
      </c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9" t="n">
        <f aca="false">16.93</f>
        <v>16.93</v>
      </c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9" t="n">
        <f aca="false">17.68</f>
        <v>17.68</v>
      </c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9" t="n">
        <f aca="false">6.75</f>
        <v>6.75</v>
      </c>
      <c r="DD24" s="9" t="n">
        <f aca="false">10.6</f>
        <v>10.6</v>
      </c>
      <c r="DE24" s="10"/>
      <c r="DF24" s="9" t="n">
        <f aca="false">-42.52</f>
        <v>-42.52</v>
      </c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9" t="n">
        <f aca="false">19.2</f>
        <v>19.2</v>
      </c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9" t="n">
        <f aca="false">8.56</f>
        <v>8.56</v>
      </c>
      <c r="EH24" s="9" t="n">
        <f aca="false">12.21</f>
        <v>12.21</v>
      </c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9" t="n">
        <f aca="false">19.3</f>
        <v>19.3</v>
      </c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9" t="n">
        <f aca="false">25.38</f>
        <v>25.38</v>
      </c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9" t="n">
        <f aca="false">26.86</f>
        <v>26.86</v>
      </c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9" t="n">
        <f aca="false">6.75</f>
        <v>6.75</v>
      </c>
      <c r="GQ24" s="9" t="n">
        <f aca="false">18.51</f>
        <v>18.51</v>
      </c>
      <c r="GR24" s="10"/>
      <c r="GS24" s="10"/>
      <c r="GT24" s="9" t="n">
        <f aca="false">-44.01</f>
        <v>-44.01</v>
      </c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9" t="n">
        <f aca="false">27.46</f>
        <v>27.46</v>
      </c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9" t="n">
        <f aca="false">6.75</f>
        <v>6.75</v>
      </c>
      <c r="HV24" s="9" t="n">
        <f aca="false">20.3</f>
        <v>20.3</v>
      </c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9" t="n">
        <f aca="false">25.76</f>
        <v>25.76</v>
      </c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9" t="n">
        <f aca="false">6.75</f>
        <v>6.75</v>
      </c>
      <c r="IY24" s="10"/>
      <c r="IZ24" s="10"/>
      <c r="JA24" s="9" t="n">
        <f aca="false">19.99</f>
        <v>19.99</v>
      </c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9" t="n">
        <f aca="false">25.96</f>
        <v>25.96</v>
      </c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9" t="n">
        <f aca="false">25.99</f>
        <v>25.99</v>
      </c>
      <c r="KE24" s="10"/>
      <c r="KF24" s="10"/>
      <c r="KG24" s="10"/>
      <c r="KH24" s="10"/>
      <c r="KI24" s="10"/>
      <c r="KJ24" s="9" t="n">
        <f aca="false">-43.68</f>
        <v>-43.68</v>
      </c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9" t="n">
        <f aca="false">27.42</f>
        <v>27.42</v>
      </c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9" t="n">
        <f aca="false">32.02</f>
        <v>32.02</v>
      </c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9" t="n">
        <f aca="false">14.7</f>
        <v>14.7</v>
      </c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9" t="n">
        <f aca="false">13.5</f>
        <v>13.5</v>
      </c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9" t="n">
        <f aca="false">13.5</f>
        <v>13.5</v>
      </c>
      <c r="ND24" s="9" t="n">
        <f aca="false">SUM(A24:NC24)</f>
        <v>296.11</v>
      </c>
    </row>
    <row r="25" customFormat="false" ht="12.8" hidden="false" customHeight="false" outlineLevel="0" collapsed="false">
      <c r="A25" s="8" t="s">
        <v>391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9" t="n">
        <f aca="false">15.94</f>
        <v>15.94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9" t="n">
        <f aca="false">-35.99</f>
        <v>-35.99</v>
      </c>
      <c r="Y25" s="10"/>
      <c r="Z25" s="10"/>
      <c r="AA25" s="10"/>
      <c r="AB25" s="10"/>
      <c r="AC25" s="10"/>
      <c r="AD25" s="10"/>
      <c r="AE25" s="10"/>
      <c r="AF25" s="10"/>
      <c r="AG25" s="9" t="n">
        <f aca="false">15.95</f>
        <v>15.95</v>
      </c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9" t="n">
        <f aca="false">24.74</f>
        <v>24.74</v>
      </c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9" t="n">
        <f aca="false">16.31</f>
        <v>16.31</v>
      </c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9" t="n">
        <f aca="false">54.41</f>
        <v>54.41</v>
      </c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9" t="n">
        <f aca="false">52.02</f>
        <v>52.02</v>
      </c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9" t="n">
        <f aca="false">14.1</f>
        <v>14.1</v>
      </c>
      <c r="DD25" s="9" t="n">
        <f aca="false">39.49</f>
        <v>39.49</v>
      </c>
      <c r="DE25" s="10"/>
      <c r="DF25" s="9" t="n">
        <f aca="false">-88.84</f>
        <v>-88.84</v>
      </c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9" t="n">
        <f aca="false">60.45</f>
        <v>60.45</v>
      </c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9" t="n">
        <f aca="false">17.89</f>
        <v>17.89</v>
      </c>
      <c r="EH25" s="9" t="n">
        <f aca="false">45.44</f>
        <v>45.44</v>
      </c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9" t="n">
        <f aca="false">60.79</f>
        <v>60.79</v>
      </c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9" t="n">
        <f aca="false">83.44</f>
        <v>83.44</v>
      </c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9" t="n">
        <f aca="false">88.99</f>
        <v>88.99</v>
      </c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9" t="n">
        <f aca="false">14.1</f>
        <v>14.1</v>
      </c>
      <c r="GQ25" s="9" t="n">
        <f aca="false">68.94</f>
        <v>68.94</v>
      </c>
      <c r="GR25" s="10"/>
      <c r="GS25" s="10"/>
      <c r="GT25" s="9" t="n">
        <f aca="false">-91.94</f>
        <v>-91.94</v>
      </c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9" t="n">
        <f aca="false">91.19</f>
        <v>91.19</v>
      </c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9" t="n">
        <f aca="false">14.1</f>
        <v>14.1</v>
      </c>
      <c r="HV25" s="9" t="n">
        <f aca="false">75.55</f>
        <v>75.55</v>
      </c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9" t="n">
        <f aca="false">77.77</f>
        <v>77.77</v>
      </c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9" t="n">
        <f aca="false">0</f>
        <v>0</v>
      </c>
      <c r="IY25" s="10"/>
      <c r="IZ25" s="10"/>
      <c r="JA25" s="9" t="n">
        <f aca="false">74.42</f>
        <v>74.42</v>
      </c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9" t="n">
        <f aca="false">71.51</f>
        <v>71.51</v>
      </c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9" t="n">
        <f aca="false">71.61</f>
        <v>71.61</v>
      </c>
      <c r="KE25" s="10"/>
      <c r="KF25" s="10"/>
      <c r="KG25" s="10"/>
      <c r="KH25" s="10"/>
      <c r="KI25" s="10"/>
      <c r="KJ25" s="9" t="n">
        <f aca="false">-75.27</f>
        <v>-75.27</v>
      </c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9" t="n">
        <f aca="false">76.97</f>
        <v>76.97</v>
      </c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9" t="n">
        <f aca="false">68.89</f>
        <v>68.89</v>
      </c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9" t="n">
        <f aca="false">2.51</f>
        <v>2.51</v>
      </c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9" t="n">
        <f aca="false">0</f>
        <v>0</v>
      </c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9" t="n">
        <f aca="false">0</f>
        <v>0</v>
      </c>
      <c r="ND25" s="9" t="n">
        <f aca="false">SUM(A25:NC25)</f>
        <v>1005.48</v>
      </c>
    </row>
    <row r="26" customFormat="false" ht="12.8" hidden="false" customHeight="false" outlineLevel="0" collapsed="false">
      <c r="A26" s="8" t="s">
        <v>392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9" t="n">
        <f aca="false">332.21</f>
        <v>332.21</v>
      </c>
      <c r="N26" s="10"/>
      <c r="O26" s="10"/>
      <c r="P26" s="10"/>
      <c r="Q26" s="9" t="n">
        <f aca="false">-1210.76</f>
        <v>-1210.76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9" t="n">
        <f aca="false">332.25</f>
        <v>332.25</v>
      </c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9" t="n">
        <f aca="false">144.14</f>
        <v>144.14</v>
      </c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9" t="n">
        <f aca="false">332.25</f>
        <v>332.25</v>
      </c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9" t="n">
        <f aca="false">-147.73</f>
        <v>-147.73</v>
      </c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9" t="n">
        <f aca="false">733.64</f>
        <v>733.64</v>
      </c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9" t="n">
        <f aca="false">-332.25</f>
        <v>-332.25</v>
      </c>
      <c r="DD26" s="9" t="n">
        <f aca="false">372.89</f>
        <v>372.89</v>
      </c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9" t="n">
        <f aca="false">733.17</f>
        <v>733.17</v>
      </c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9" t="n">
        <f aca="false">-289.83</f>
        <v>-289.83</v>
      </c>
      <c r="EH26" s="9" t="n">
        <f aca="false">462.89</f>
        <v>462.89</v>
      </c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9" t="n">
        <f aca="false">817.97</f>
        <v>817.97</v>
      </c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9" t="n">
        <f aca="false">965.82</f>
        <v>965.82</v>
      </c>
      <c r="FL26" s="10"/>
      <c r="FM26" s="10"/>
      <c r="FN26" s="9" t="n">
        <f aca="false">-942.67</f>
        <v>-942.67</v>
      </c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9" t="n">
        <f aca="false">1080.07</f>
        <v>1080.07</v>
      </c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9" t="n">
        <f aca="false">0</f>
        <v>0</v>
      </c>
      <c r="GQ26" s="9" t="n">
        <f aca="false">716.1</f>
        <v>716.1</v>
      </c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9" t="n">
        <f aca="false">1092.37</f>
        <v>1092.37</v>
      </c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9" t="n">
        <f aca="false">-293.67</f>
        <v>-293.67</v>
      </c>
      <c r="HV26" s="9" t="n">
        <f aca="false">756.21</f>
        <v>756.21</v>
      </c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9" t="n">
        <f aca="false">1000.2</f>
        <v>1000.2</v>
      </c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9" t="n">
        <f aca="false">293.67</f>
        <v>293.67</v>
      </c>
      <c r="IY26" s="10"/>
      <c r="IZ26" s="10"/>
      <c r="JA26" s="9" t="n">
        <f aca="false">-249.62</f>
        <v>-249.62</v>
      </c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9" t="n">
        <f aca="false">1058.66</f>
        <v>1058.66</v>
      </c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9" t="n">
        <f aca="false">704.02</f>
        <v>704.02</v>
      </c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9" t="n">
        <f aca="false">1092.26</f>
        <v>1092.26</v>
      </c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9" t="n">
        <f aca="false">770.51</f>
        <v>770.51</v>
      </c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9" t="n">
        <f aca="false">628.12</f>
        <v>628.12</v>
      </c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9" t="n">
        <f aca="false">587.34</f>
        <v>587.34</v>
      </c>
      <c r="ML26" s="10"/>
      <c r="MM26" s="10"/>
      <c r="MN26" s="9" t="n">
        <f aca="false">-1509.13</f>
        <v>-1509.13</v>
      </c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9" t="n">
        <f aca="false">587.34</f>
        <v>587.34</v>
      </c>
      <c r="ND26" s="9" t="n">
        <f aca="false">SUM(A26:NC26)</f>
        <v>10618.44</v>
      </c>
    </row>
    <row r="27" customFormat="false" ht="12.8" hidden="false" customHeight="false" outlineLevel="0" collapsed="false">
      <c r="A27" s="8" t="s">
        <v>393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9" t="n">
        <f aca="false">10.51</f>
        <v>10.51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9" t="n">
        <f aca="false">-99.12</f>
        <v>-99.12</v>
      </c>
      <c r="AG27" s="9" t="n">
        <f aca="false">10.51</f>
        <v>10.51</v>
      </c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9" t="n">
        <f aca="false">16.17</f>
        <v>16.17</v>
      </c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9" t="n">
        <f aca="false">10.51</f>
        <v>10.51</v>
      </c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9" t="n">
        <f aca="false">19.57</f>
        <v>19.57</v>
      </c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9" t="n">
        <f aca="false">14.58</f>
        <v>14.58</v>
      </c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9" t="n">
        <f aca="false">0</f>
        <v>0</v>
      </c>
      <c r="DD27" s="9" t="n">
        <f aca="false">14.15</f>
        <v>14.15</v>
      </c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9" t="n">
        <f aca="false">9.15</f>
        <v>9.15</v>
      </c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9" t="n">
        <f aca="false">2.41</f>
        <v>2.41</v>
      </c>
      <c r="EH27" s="9" t="n">
        <f aca="false">6.99</f>
        <v>6.99</v>
      </c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9" t="n">
        <f aca="false">3.02</f>
        <v>3.02</v>
      </c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9" t="n">
        <f aca="false">16.21</f>
        <v>16.21</v>
      </c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9" t="n">
        <f aca="false">15.85</f>
        <v>15.85</v>
      </c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9" t="n">
        <f aca="false">0</f>
        <v>0</v>
      </c>
      <c r="GQ27" s="9" t="n">
        <f aca="false">14.83</f>
        <v>14.83</v>
      </c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9" t="n">
        <f aca="false">15.36</f>
        <v>15.36</v>
      </c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9" t="n">
        <f aca="false">0</f>
        <v>0</v>
      </c>
      <c r="HV27" s="9" t="n">
        <f aca="false">15.56</f>
        <v>15.56</v>
      </c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9" t="n">
        <f aca="false">13.1</f>
        <v>13.1</v>
      </c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9" t="n">
        <f aca="false">0</f>
        <v>0</v>
      </c>
      <c r="IY27" s="10"/>
      <c r="IZ27" s="10"/>
      <c r="JA27" s="9" t="n">
        <f aca="false">9.62</f>
        <v>9.62</v>
      </c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9" t="n">
        <f aca="false">12.4</f>
        <v>12.4</v>
      </c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9" t="n">
        <f aca="false">9.26</f>
        <v>9.26</v>
      </c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9" t="n">
        <f aca="false">11.34</f>
        <v>11.34</v>
      </c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9" t="n">
        <f aca="false">15.32</f>
        <v>15.32</v>
      </c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9" t="n">
        <f aca="false">1.6</f>
        <v>1.6</v>
      </c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9" t="n">
        <f aca="false">0</f>
        <v>0</v>
      </c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9" t="n">
        <f aca="false">0</f>
        <v>0</v>
      </c>
      <c r="ND27" s="9" t="n">
        <f aca="false">SUM(A27:NC27)</f>
        <v>168.9</v>
      </c>
    </row>
    <row r="28" customFormat="false" ht="12.8" hidden="false" customHeight="false" outlineLevel="0" collapsed="false">
      <c r="A28" s="8" t="s">
        <v>394</v>
      </c>
      <c r="B28" s="10"/>
      <c r="C28" s="10"/>
      <c r="D28" s="9" t="n">
        <f aca="false">-24</f>
        <v>-24</v>
      </c>
      <c r="E28" s="10"/>
      <c r="F28" s="10"/>
      <c r="G28" s="10"/>
      <c r="H28" s="10"/>
      <c r="I28" s="9" t="n">
        <f aca="false">-52</f>
        <v>-52</v>
      </c>
      <c r="J28" s="10"/>
      <c r="K28" s="10"/>
      <c r="L28" s="10"/>
      <c r="M28" s="10"/>
      <c r="N28" s="9" t="n">
        <f aca="false">-3181.55</f>
        <v>-3181.55</v>
      </c>
      <c r="O28" s="10"/>
      <c r="P28" s="10"/>
      <c r="Q28" s="10"/>
      <c r="R28" s="10"/>
      <c r="S28" s="9" t="n">
        <f aca="false">-861.78</f>
        <v>-861.78</v>
      </c>
      <c r="T28" s="10"/>
      <c r="U28" s="9" t="n">
        <f aca="false">-1341.42</f>
        <v>-1341.42</v>
      </c>
      <c r="V28" s="10"/>
      <c r="W28" s="9" t="n">
        <f aca="false">-172.05</f>
        <v>-172.05</v>
      </c>
      <c r="X28" s="9" t="n">
        <f aca="false">-3175.4</f>
        <v>-3175.4</v>
      </c>
      <c r="Y28" s="9" t="n">
        <f aca="false">-1099.21</f>
        <v>-1099.21</v>
      </c>
      <c r="Z28" s="10"/>
      <c r="AA28" s="10"/>
      <c r="AB28" s="10"/>
      <c r="AC28" s="10"/>
      <c r="AD28" s="10"/>
      <c r="AE28" s="10"/>
      <c r="AF28" s="9" t="n">
        <f aca="false">1464.4</f>
        <v>1464.4</v>
      </c>
      <c r="AG28" s="9" t="n">
        <f aca="false">-2507.64</f>
        <v>-2507.64</v>
      </c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9" t="n">
        <f aca="false">-3002.58</f>
        <v>-3002.58</v>
      </c>
      <c r="AW28" s="10"/>
      <c r="AX28" s="10"/>
      <c r="AY28" s="10"/>
      <c r="AZ28" s="10"/>
      <c r="BA28" s="9" t="n">
        <f aca="false">-203.79</f>
        <v>-203.79</v>
      </c>
      <c r="BB28" s="9" t="n">
        <f aca="false">-1191.48</f>
        <v>-1191.48</v>
      </c>
      <c r="BC28" s="10"/>
      <c r="BD28" s="10"/>
      <c r="BE28" s="10"/>
      <c r="BF28" s="10"/>
      <c r="BG28" s="10"/>
      <c r="BH28" s="10"/>
      <c r="BI28" s="9" t="n">
        <f aca="false">2695.87</f>
        <v>2695.87</v>
      </c>
      <c r="BJ28" s="9" t="n">
        <f aca="false">-2835.88</f>
        <v>-2835.88</v>
      </c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9" t="n">
        <f aca="false">-2001.01</f>
        <v>-2001.01</v>
      </c>
      <c r="CD28" s="10"/>
      <c r="CE28" s="10"/>
      <c r="CF28" s="9" t="n">
        <f aca="false">-664.22</f>
        <v>-664.22</v>
      </c>
      <c r="CG28" s="10"/>
      <c r="CH28" s="10"/>
      <c r="CI28" s="10"/>
      <c r="CJ28" s="10"/>
      <c r="CK28" s="10"/>
      <c r="CL28" s="10"/>
      <c r="CM28" s="10"/>
      <c r="CN28" s="9" t="n">
        <f aca="false">2029.2</f>
        <v>2029.2</v>
      </c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9" t="n">
        <f aca="false">-28</f>
        <v>-28</v>
      </c>
      <c r="DA28" s="10"/>
      <c r="DB28" s="10"/>
      <c r="DC28" s="10"/>
      <c r="DD28" s="10"/>
      <c r="DE28" s="9" t="n">
        <f aca="false">-851.46</f>
        <v>-851.46</v>
      </c>
      <c r="DF28" s="10"/>
      <c r="DG28" s="10"/>
      <c r="DH28" s="10"/>
      <c r="DI28" s="10"/>
      <c r="DJ28" s="10"/>
      <c r="DK28" s="9" t="n">
        <f aca="false">-120.97</f>
        <v>-120.97</v>
      </c>
      <c r="DL28" s="9" t="n">
        <f aca="false">-1879.47</f>
        <v>-1879.47</v>
      </c>
      <c r="DM28" s="10"/>
      <c r="DN28" s="10"/>
      <c r="DO28" s="10"/>
      <c r="DP28" s="10"/>
      <c r="DQ28" s="10"/>
      <c r="DR28" s="9" t="n">
        <f aca="false">2209.57</f>
        <v>2209.57</v>
      </c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9" t="n">
        <f aca="false">-2167.02</f>
        <v>-2167.02</v>
      </c>
      <c r="EO28" s="10"/>
      <c r="EP28" s="10"/>
      <c r="EQ28" s="10"/>
      <c r="ER28" s="10"/>
      <c r="ES28" s="10"/>
      <c r="ET28" s="10"/>
      <c r="EU28" s="10"/>
      <c r="EV28" s="10"/>
      <c r="EW28" s="9" t="n">
        <f aca="false">2756.95</f>
        <v>2756.95</v>
      </c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9" t="n">
        <f aca="false">-1708</f>
        <v>-1708</v>
      </c>
      <c r="FS28" s="9" t="n">
        <f aca="false">-1130.68</f>
        <v>-1130.68</v>
      </c>
      <c r="FT28" s="10"/>
      <c r="FU28" s="10"/>
      <c r="FV28" s="10"/>
      <c r="FW28" s="10"/>
      <c r="FX28" s="10"/>
      <c r="FY28" s="10"/>
      <c r="FZ28" s="10"/>
      <c r="GA28" s="9" t="n">
        <f aca="false">2838.16</f>
        <v>2838.16</v>
      </c>
      <c r="GB28" s="10"/>
      <c r="GC28" s="10"/>
      <c r="GD28" s="10"/>
      <c r="GE28" s="10"/>
      <c r="GF28" s="10"/>
      <c r="GG28" s="10"/>
      <c r="GH28" s="10"/>
      <c r="GI28" s="10"/>
      <c r="GJ28" s="9" t="n">
        <f aca="false">-52</f>
        <v>-52</v>
      </c>
      <c r="GK28" s="10"/>
      <c r="GL28" s="10"/>
      <c r="GM28" s="10"/>
      <c r="GN28" s="10"/>
      <c r="GO28" s="10"/>
      <c r="GP28" s="9" t="n">
        <f aca="false">-40</f>
        <v>-40</v>
      </c>
      <c r="GQ28" s="10"/>
      <c r="GR28" s="10"/>
      <c r="GS28" s="9" t="n">
        <f aca="false">-879.35</f>
        <v>-879.35</v>
      </c>
      <c r="GT28" s="10"/>
      <c r="GU28" s="9" t="n">
        <f aca="false">-1.12</f>
        <v>-1.12</v>
      </c>
      <c r="GV28" s="10"/>
      <c r="GW28" s="10"/>
      <c r="GX28" s="10"/>
      <c r="GY28" s="9" t="n">
        <f aca="false">-1605.28</f>
        <v>-1605.28</v>
      </c>
      <c r="GZ28" s="9" t="n">
        <f aca="false">-1175.71</f>
        <v>-1175.71</v>
      </c>
      <c r="HA28" s="10"/>
      <c r="HB28" s="10"/>
      <c r="HC28" s="10"/>
      <c r="HD28" s="10"/>
      <c r="HE28" s="10"/>
      <c r="HF28" s="9" t="n">
        <f aca="false">2232.02</f>
        <v>2232.02</v>
      </c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9" t="n">
        <f aca="false">-1409.47</f>
        <v>-1409.47</v>
      </c>
      <c r="IB28" s="9" t="n">
        <f aca="false">-912.38</f>
        <v>-912.38</v>
      </c>
      <c r="IC28" s="10"/>
      <c r="ID28" s="10"/>
      <c r="IE28" s="10"/>
      <c r="IF28" s="10"/>
      <c r="IG28" s="10"/>
      <c r="IH28" s="10"/>
      <c r="II28" s="10"/>
      <c r="IJ28" s="10"/>
      <c r="IK28" s="9" t="n">
        <f aca="false">1915.61</f>
        <v>1915.61</v>
      </c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9" t="n">
        <f aca="false">-1088.92</f>
        <v>-1088.92</v>
      </c>
      <c r="JG28" s="10"/>
      <c r="JH28" s="10"/>
      <c r="JI28" s="9" t="n">
        <f aca="false">-780.68</f>
        <v>-780.68</v>
      </c>
      <c r="JJ28" s="10"/>
      <c r="JK28" s="10"/>
      <c r="JL28" s="10"/>
      <c r="JM28" s="10"/>
      <c r="JN28" s="10"/>
      <c r="JO28" s="9" t="n">
        <f aca="false">2224.65</f>
        <v>2224.65</v>
      </c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9" t="n">
        <f aca="false">-56</f>
        <v>-56</v>
      </c>
      <c r="KE28" s="10"/>
      <c r="KF28" s="10"/>
      <c r="KG28" s="9" t="n">
        <f aca="false">-1357.24</f>
        <v>-1357.24</v>
      </c>
      <c r="KH28" s="10"/>
      <c r="KI28" s="10"/>
      <c r="KJ28" s="10"/>
      <c r="KK28" s="9" t="n">
        <f aca="false">-1.74</f>
        <v>-1.74</v>
      </c>
      <c r="KL28" s="9" t="n">
        <f aca="false">-2239</f>
        <v>-2239</v>
      </c>
      <c r="KM28" s="10"/>
      <c r="KN28" s="10"/>
      <c r="KO28" s="10"/>
      <c r="KP28" s="10"/>
      <c r="KQ28" s="10"/>
      <c r="KR28" s="10"/>
      <c r="KS28" s="10"/>
      <c r="KT28" s="9" t="n">
        <f aca="false">2905.1</f>
        <v>2905.1</v>
      </c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9" t="n">
        <f aca="false">-1643.38</f>
        <v>-1643.38</v>
      </c>
      <c r="LP28" s="9" t="n">
        <f aca="false">-1191.51</f>
        <v>-1191.51</v>
      </c>
      <c r="LQ28" s="10"/>
      <c r="LR28" s="10"/>
      <c r="LS28" s="10"/>
      <c r="LT28" s="10"/>
      <c r="LU28" s="10"/>
      <c r="LV28" s="10"/>
      <c r="LW28" s="10"/>
      <c r="LX28" s="9" t="n">
        <f aca="false">2263.93</f>
        <v>2263.93</v>
      </c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9" t="n">
        <f aca="false">-1205.03</f>
        <v>-1205.03</v>
      </c>
      <c r="MT28" s="10"/>
      <c r="MU28" s="10"/>
      <c r="MV28" s="9" t="n">
        <f aca="false">-870.46</f>
        <v>-870.46</v>
      </c>
      <c r="MW28" s="10"/>
      <c r="MX28" s="10"/>
      <c r="MY28" s="10"/>
      <c r="MZ28" s="10"/>
      <c r="NA28" s="10"/>
      <c r="NB28" s="10"/>
      <c r="NC28" s="9" t="n">
        <f aca="false">3593.35</f>
        <v>3593.35</v>
      </c>
      <c r="ND28" s="9" t="n">
        <f aca="false">SUM(A28:NC28)</f>
        <v>-17580.07</v>
      </c>
    </row>
    <row r="29" customFormat="false" ht="12.8" hidden="false" customHeight="false" outlineLevel="0" collapsed="false">
      <c r="A29" s="8" t="s">
        <v>395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9" t="n">
        <f aca="false">38880</f>
        <v>38880</v>
      </c>
      <c r="DP29" s="10"/>
      <c r="DQ29" s="10"/>
      <c r="DR29" s="10"/>
      <c r="DS29" s="9" t="n">
        <f aca="false">-76.35</f>
        <v>-76.35</v>
      </c>
      <c r="DT29" s="9" t="n">
        <f aca="false">-79.63</f>
        <v>-79.63</v>
      </c>
      <c r="DU29" s="9" t="n">
        <f aca="false">-193.85</f>
        <v>-193.85</v>
      </c>
      <c r="DV29" s="9" t="n">
        <f aca="false">-152.73</f>
        <v>-152.73</v>
      </c>
      <c r="DW29" s="10"/>
      <c r="DX29" s="10"/>
      <c r="DY29" s="9" t="n">
        <f aca="false">-118.63</f>
        <v>-118.63</v>
      </c>
      <c r="DZ29" s="9" t="n">
        <f aca="false">-496.93</f>
        <v>-496.93</v>
      </c>
      <c r="EA29" s="9" t="n">
        <f aca="false">-105</f>
        <v>-105</v>
      </c>
      <c r="EB29" s="9" t="n">
        <f aca="false">-197.24</f>
        <v>-197.24</v>
      </c>
      <c r="EC29" s="10"/>
      <c r="ED29" s="10"/>
      <c r="EE29" s="9" t="n">
        <f aca="false">-60.91</f>
        <v>-60.91</v>
      </c>
      <c r="EF29" s="9" t="n">
        <f aca="false">-161.42</f>
        <v>-161.42</v>
      </c>
      <c r="EG29" s="9" t="n">
        <f aca="false">-633.3</f>
        <v>-633.3</v>
      </c>
      <c r="EH29" s="9" t="n">
        <f aca="false">-165.62</f>
        <v>-165.62</v>
      </c>
      <c r="EI29" s="9" t="n">
        <f aca="false">-50.41</f>
        <v>-50.41</v>
      </c>
      <c r="EJ29" s="10"/>
      <c r="EK29" s="10"/>
      <c r="EL29" s="9" t="n">
        <f aca="false">-119.87</f>
        <v>-119.87</v>
      </c>
      <c r="EM29" s="9" t="n">
        <f aca="false">-111.94</f>
        <v>-111.94</v>
      </c>
      <c r="EN29" s="9" t="n">
        <f aca="false">-305.51</f>
        <v>-305.51</v>
      </c>
      <c r="EO29" s="9" t="n">
        <f aca="false">-80.98</f>
        <v>-80.98</v>
      </c>
      <c r="EP29" s="9" t="n">
        <f aca="false">-54.45</f>
        <v>-54.45</v>
      </c>
      <c r="EQ29" s="10"/>
      <c r="ER29" s="10"/>
      <c r="ES29" s="10"/>
      <c r="ET29" s="9" t="n">
        <f aca="false">-87.41</f>
        <v>-87.41</v>
      </c>
      <c r="EU29" s="9" t="n">
        <f aca="false">-152.78</f>
        <v>-152.78</v>
      </c>
      <c r="EV29" s="9" t="n">
        <f aca="false">-473.86</f>
        <v>-473.86</v>
      </c>
      <c r="EW29" s="9" t="n">
        <f aca="false">-161.73</f>
        <v>-161.73</v>
      </c>
      <c r="EX29" s="10"/>
      <c r="EY29" s="10"/>
      <c r="EZ29" s="9" t="n">
        <f aca="false">-106.1</f>
        <v>-106.1</v>
      </c>
      <c r="FA29" s="9" t="n">
        <f aca="false">-87.3</f>
        <v>-87.3</v>
      </c>
      <c r="FB29" s="9" t="n">
        <f aca="false">-885.23</f>
        <v>-885.23</v>
      </c>
      <c r="FC29" s="9" t="n">
        <f aca="false">-244.8</f>
        <v>-244.8</v>
      </c>
      <c r="FD29" s="9" t="n">
        <f aca="false">-30.08</f>
        <v>-30.08</v>
      </c>
      <c r="FE29" s="10"/>
      <c r="FF29" s="10"/>
      <c r="FG29" s="9" t="n">
        <f aca="false">-86.98</f>
        <v>-86.98</v>
      </c>
      <c r="FH29" s="9" t="n">
        <f aca="false">-240.58</f>
        <v>-240.58</v>
      </c>
      <c r="FI29" s="9" t="n">
        <f aca="false">-326.83</f>
        <v>-326.83</v>
      </c>
      <c r="FJ29" s="9" t="n">
        <f aca="false">-115.36</f>
        <v>-115.36</v>
      </c>
      <c r="FK29" s="9" t="n">
        <f aca="false">-108.81</f>
        <v>-108.81</v>
      </c>
      <c r="FL29" s="10"/>
      <c r="FM29" s="10"/>
      <c r="FN29" s="9" t="n">
        <f aca="false">-86.12</f>
        <v>-86.12</v>
      </c>
      <c r="FO29" s="10"/>
      <c r="FP29" s="9" t="n">
        <f aca="false">-121.64</f>
        <v>-121.64</v>
      </c>
      <c r="FQ29" s="9" t="n">
        <f aca="false">-331.46</f>
        <v>-331.46</v>
      </c>
      <c r="FR29" s="9" t="n">
        <f aca="false">-70.97</f>
        <v>-70.97</v>
      </c>
      <c r="FS29" s="10"/>
      <c r="FT29" s="10"/>
      <c r="FU29" s="9" t="n">
        <f aca="false">-241.11</f>
        <v>-241.11</v>
      </c>
      <c r="FV29" s="9" t="n">
        <f aca="false">-348</f>
        <v>-348</v>
      </c>
      <c r="FW29" s="9" t="n">
        <f aca="false">-271.52</f>
        <v>-271.52</v>
      </c>
      <c r="FX29" s="9" t="n">
        <f aca="false">-210.64</f>
        <v>-210.64</v>
      </c>
      <c r="FY29" s="9" t="n">
        <f aca="false">-106.95</f>
        <v>-106.95</v>
      </c>
      <c r="FZ29" s="10"/>
      <c r="GA29" s="10"/>
      <c r="GB29" s="9" t="n">
        <f aca="false">-122.01</f>
        <v>-122.01</v>
      </c>
      <c r="GC29" s="9" t="n">
        <f aca="false">-158.38</f>
        <v>-158.38</v>
      </c>
      <c r="GD29" s="9" t="n">
        <f aca="false">-330.69</f>
        <v>-330.69</v>
      </c>
      <c r="GE29" s="10"/>
      <c r="GF29" s="9" t="n">
        <f aca="false">-59.76</f>
        <v>-59.76</v>
      </c>
      <c r="GG29" s="10"/>
      <c r="GH29" s="10"/>
      <c r="GI29" s="9" t="n">
        <f aca="false">-72.93</f>
        <v>-72.93</v>
      </c>
      <c r="GJ29" s="9" t="n">
        <f aca="false">-170.23</f>
        <v>-170.23</v>
      </c>
      <c r="GK29" s="9" t="n">
        <f aca="false">-509.37</f>
        <v>-509.37</v>
      </c>
      <c r="GL29" s="9" t="n">
        <f aca="false">-87.85</f>
        <v>-87.85</v>
      </c>
      <c r="GM29" s="9" t="n">
        <f aca="false">-50.57</f>
        <v>-50.57</v>
      </c>
      <c r="GN29" s="10"/>
      <c r="GO29" s="10"/>
      <c r="GP29" s="9" t="n">
        <f aca="false">-40.07</f>
        <v>-40.07</v>
      </c>
      <c r="GQ29" s="9" t="n">
        <f aca="false">-160.3</f>
        <v>-160.3</v>
      </c>
      <c r="GR29" s="9" t="n">
        <f aca="false">-392.48</f>
        <v>-392.48</v>
      </c>
      <c r="GS29" s="9" t="n">
        <f aca="false">-27.37</f>
        <v>-27.37</v>
      </c>
      <c r="GT29" s="9" t="n">
        <f aca="false">-241.14</f>
        <v>-241.14</v>
      </c>
      <c r="GU29" s="10"/>
      <c r="GV29" s="10"/>
      <c r="GW29" s="9" t="n">
        <f aca="false">-33.07</f>
        <v>-33.07</v>
      </c>
      <c r="GX29" s="9" t="n">
        <f aca="false">-305.48</f>
        <v>-305.48</v>
      </c>
      <c r="GY29" s="9" t="n">
        <f aca="false">-255.91</f>
        <v>-255.91</v>
      </c>
      <c r="GZ29" s="9" t="n">
        <f aca="false">-62.25</f>
        <v>-62.25</v>
      </c>
      <c r="HA29" s="9" t="n">
        <f aca="false">-63.45</f>
        <v>-63.45</v>
      </c>
      <c r="HB29" s="10"/>
      <c r="HC29" s="10"/>
      <c r="HD29" s="9" t="n">
        <f aca="false">-183.15</f>
        <v>-183.15</v>
      </c>
      <c r="HE29" s="9" t="n">
        <f aca="false">-115.83</f>
        <v>-115.83</v>
      </c>
      <c r="HF29" s="9" t="n">
        <f aca="false">-295.04</f>
        <v>-295.04</v>
      </c>
      <c r="HG29" s="9" t="n">
        <f aca="false">-82.96</f>
        <v>-82.96</v>
      </c>
      <c r="HH29" s="9" t="n">
        <f aca="false">-91.23</f>
        <v>-91.23</v>
      </c>
      <c r="HI29" s="10"/>
      <c r="HJ29" s="10"/>
      <c r="HK29" s="9" t="n">
        <f aca="false">-149.36</f>
        <v>-149.36</v>
      </c>
      <c r="HL29" s="9" t="n">
        <f aca="false">-130.4</f>
        <v>-130.4</v>
      </c>
      <c r="HM29" s="9" t="n">
        <f aca="false">-173.9</f>
        <v>-173.9</v>
      </c>
      <c r="HN29" s="9" t="n">
        <f aca="false">-41.51</f>
        <v>-41.51</v>
      </c>
      <c r="HO29" s="9" t="n">
        <f aca="false">-38.63</f>
        <v>-38.63</v>
      </c>
      <c r="HP29" s="10"/>
      <c r="HQ29" s="10"/>
      <c r="HR29" s="9" t="n">
        <f aca="false">-64.71</f>
        <v>-64.71</v>
      </c>
      <c r="HS29" s="9" t="n">
        <f aca="false">-58.35</f>
        <v>-58.35</v>
      </c>
      <c r="HT29" s="9" t="n">
        <f aca="false">-382.27</f>
        <v>-382.27</v>
      </c>
      <c r="HU29" s="9" t="n">
        <f aca="false">-17.09</f>
        <v>-17.09</v>
      </c>
      <c r="HV29" s="9" t="n">
        <f aca="false">-17.73</f>
        <v>-17.73</v>
      </c>
      <c r="HW29" s="10"/>
      <c r="HX29" s="10"/>
      <c r="HY29" s="9" t="n">
        <f aca="false">-69.64</f>
        <v>-69.64</v>
      </c>
      <c r="HZ29" s="9" t="n">
        <f aca="false">-66.9</f>
        <v>-66.9</v>
      </c>
      <c r="IA29" s="9" t="n">
        <f aca="false">-123.95</f>
        <v>-123.95</v>
      </c>
      <c r="IB29" s="9" t="n">
        <f aca="false">-99.52</f>
        <v>-99.52</v>
      </c>
      <c r="IC29" s="9" t="n">
        <f aca="false">-124.54</f>
        <v>-124.54</v>
      </c>
      <c r="ID29" s="10"/>
      <c r="IE29" s="10"/>
      <c r="IF29" s="9" t="n">
        <f aca="false">-119.19</f>
        <v>-119.19</v>
      </c>
      <c r="IG29" s="9" t="n">
        <f aca="false">-212.04</f>
        <v>-212.04</v>
      </c>
      <c r="IH29" s="9" t="n">
        <f aca="false">-476.52</f>
        <v>-476.52</v>
      </c>
      <c r="II29" s="10"/>
      <c r="IJ29" s="9" t="n">
        <f aca="false">-41.51</f>
        <v>-41.51</v>
      </c>
      <c r="IK29" s="10"/>
      <c r="IL29" s="10"/>
      <c r="IM29" s="10"/>
      <c r="IN29" s="9" t="n">
        <f aca="false">-89.13</f>
        <v>-89.13</v>
      </c>
      <c r="IO29" s="9" t="n">
        <f aca="false">-131.62</f>
        <v>-131.62</v>
      </c>
      <c r="IP29" s="9" t="n">
        <f aca="false">-435.67</f>
        <v>-435.67</v>
      </c>
      <c r="IQ29" s="9" t="n">
        <f aca="false">-55.92</f>
        <v>-55.92</v>
      </c>
      <c r="IR29" s="10"/>
      <c r="IS29" s="10"/>
      <c r="IT29" s="9" t="n">
        <f aca="false">-56.29</f>
        <v>-56.29</v>
      </c>
      <c r="IU29" s="9" t="n">
        <f aca="false">-86.87</f>
        <v>-86.87</v>
      </c>
      <c r="IV29" s="9" t="n">
        <f aca="false">-377.54</f>
        <v>-377.54</v>
      </c>
      <c r="IW29" s="9" t="n">
        <f aca="false">-63.18</f>
        <v>-63.18</v>
      </c>
      <c r="IX29" s="9" t="n">
        <f aca="false">-79.93</f>
        <v>-79.93</v>
      </c>
      <c r="IY29" s="10"/>
      <c r="IZ29" s="10"/>
      <c r="JA29" s="9" t="n">
        <f aca="false">-224.67</f>
        <v>-224.67</v>
      </c>
      <c r="JB29" s="9" t="n">
        <f aca="false">-64.34</f>
        <v>-64.34</v>
      </c>
      <c r="JC29" s="9" t="n">
        <f aca="false">-397.26</f>
        <v>-397.26</v>
      </c>
      <c r="JD29" s="9" t="n">
        <f aca="false">-57.38</f>
        <v>-57.38</v>
      </c>
      <c r="JE29" s="9" t="n">
        <f aca="false">-149.05</f>
        <v>-149.05</v>
      </c>
      <c r="JF29" s="10"/>
      <c r="JG29" s="10"/>
      <c r="JH29" s="9" t="n">
        <f aca="false">-135.49</f>
        <v>-135.49</v>
      </c>
      <c r="JI29" s="9" t="n">
        <f aca="false">-134.33</f>
        <v>-134.33</v>
      </c>
      <c r="JJ29" s="9" t="n">
        <f aca="false">-284.69</f>
        <v>-284.69</v>
      </c>
      <c r="JK29" s="9" t="n">
        <f aca="false">-54.27</f>
        <v>-54.27</v>
      </c>
      <c r="JL29" s="9" t="n">
        <f aca="false">-171.56</f>
        <v>-171.56</v>
      </c>
      <c r="JM29" s="10"/>
      <c r="JN29" s="10"/>
      <c r="JO29" s="9" t="n">
        <f aca="false">-156.16</f>
        <v>-156.16</v>
      </c>
      <c r="JP29" s="9" t="n">
        <f aca="false">-170.11</f>
        <v>-170.11</v>
      </c>
      <c r="JQ29" s="9" t="n">
        <f aca="false">-374.4</f>
        <v>-374.4</v>
      </c>
      <c r="JR29" s="9" t="n">
        <f aca="false">-218.86</f>
        <v>-218.86</v>
      </c>
      <c r="JS29" s="9" t="n">
        <f aca="false">-310.96</f>
        <v>-310.96</v>
      </c>
      <c r="JT29" s="10"/>
      <c r="JU29" s="10"/>
      <c r="JV29" s="9" t="n">
        <f aca="false">-122.44</f>
        <v>-122.44</v>
      </c>
      <c r="JW29" s="9" t="n">
        <f aca="false">-109.88</f>
        <v>-109.88</v>
      </c>
      <c r="JX29" s="9" t="n">
        <f aca="false">-429.97</f>
        <v>-429.97</v>
      </c>
      <c r="JY29" s="9" t="n">
        <f aca="false">-75.56</f>
        <v>-75.56</v>
      </c>
      <c r="JZ29" s="9" t="n">
        <f aca="false">-81.72</f>
        <v>-81.72</v>
      </c>
      <c r="KA29" s="10"/>
      <c r="KB29" s="10"/>
      <c r="KC29" s="10"/>
      <c r="KD29" s="9" t="n">
        <f aca="false">-209.77</f>
        <v>-209.77</v>
      </c>
      <c r="KE29" s="9" t="n">
        <f aca="false">-166.52</f>
        <v>-166.52</v>
      </c>
      <c r="KF29" s="9" t="n">
        <f aca="false">-1025.68</f>
        <v>-1025.68</v>
      </c>
      <c r="KG29" s="9" t="n">
        <f aca="false">-110.96</f>
        <v>-110.96</v>
      </c>
      <c r="KH29" s="10"/>
      <c r="KI29" s="10"/>
      <c r="KJ29" s="9" t="n">
        <f aca="false">-97.06</f>
        <v>-97.06</v>
      </c>
      <c r="KK29" s="9" t="n">
        <f aca="false">-143.23</f>
        <v>-143.23</v>
      </c>
      <c r="KL29" s="9" t="n">
        <f aca="false">-317.33</f>
        <v>-317.33</v>
      </c>
      <c r="KM29" s="9" t="n">
        <f aca="false">-42.13</f>
        <v>-42.13</v>
      </c>
      <c r="KN29" s="9" t="n">
        <f aca="false">-88.67</f>
        <v>-88.67</v>
      </c>
      <c r="KO29" s="10"/>
      <c r="KP29" s="10"/>
      <c r="KQ29" s="9" t="n">
        <f aca="false">-137.5</f>
        <v>-137.5</v>
      </c>
      <c r="KR29" s="9" t="n">
        <f aca="false">-24.84</f>
        <v>-24.84</v>
      </c>
      <c r="KS29" s="9" t="n">
        <f aca="false">-255.76</f>
        <v>-255.76</v>
      </c>
      <c r="KT29" s="9" t="n">
        <f aca="false">-121.9</f>
        <v>-121.9</v>
      </c>
      <c r="KU29" s="9" t="n">
        <f aca="false">-139.43</f>
        <v>-139.43</v>
      </c>
      <c r="KV29" s="10"/>
      <c r="KW29" s="10"/>
      <c r="KX29" s="9" t="n">
        <f aca="false">-191.68</f>
        <v>-191.68</v>
      </c>
      <c r="KY29" s="9" t="n">
        <f aca="false">-209.33</f>
        <v>-209.33</v>
      </c>
      <c r="KZ29" s="9" t="n">
        <f aca="false">-308.45</f>
        <v>-308.45</v>
      </c>
      <c r="LA29" s="9" t="n">
        <f aca="false">-42.36</f>
        <v>-42.36</v>
      </c>
      <c r="LB29" s="9" t="n">
        <f aca="false">-76.45</f>
        <v>-76.45</v>
      </c>
      <c r="LC29" s="10"/>
      <c r="LD29" s="10"/>
      <c r="LE29" s="10"/>
      <c r="LF29" s="9" t="n">
        <f aca="false">-73.21</f>
        <v>-73.21</v>
      </c>
      <c r="LG29" s="9" t="n">
        <f aca="false">-108.6</f>
        <v>-108.6</v>
      </c>
      <c r="LH29" s="9" t="n">
        <f aca="false">-434.14</f>
        <v>-434.14</v>
      </c>
      <c r="LI29" s="9" t="n">
        <f aca="false">-113.75</f>
        <v>-113.75</v>
      </c>
      <c r="LJ29" s="10"/>
      <c r="LK29" s="10"/>
      <c r="LL29" s="9" t="n">
        <f aca="false">-66.36</f>
        <v>-66.36</v>
      </c>
      <c r="LM29" s="9" t="n">
        <f aca="false">48457.75</f>
        <v>48457.75</v>
      </c>
      <c r="LN29" s="9" t="n">
        <f aca="false">-586.48</f>
        <v>-586.48</v>
      </c>
      <c r="LO29" s="9" t="n">
        <f aca="false">-59.63</f>
        <v>-59.63</v>
      </c>
      <c r="LP29" s="9" t="n">
        <f aca="false">-216.57</f>
        <v>-216.57</v>
      </c>
      <c r="LQ29" s="10"/>
      <c r="LR29" s="10"/>
      <c r="LS29" s="9" t="n">
        <f aca="false">-94.81</f>
        <v>-94.81</v>
      </c>
      <c r="LT29" s="9" t="n">
        <f aca="false">-51.37</f>
        <v>-51.37</v>
      </c>
      <c r="LU29" s="9" t="n">
        <f aca="false">-319.49</f>
        <v>-319.49</v>
      </c>
      <c r="LV29" s="10"/>
      <c r="LW29" s="9" t="n">
        <f aca="false">-106.29</f>
        <v>-106.29</v>
      </c>
      <c r="LX29" s="10"/>
      <c r="LY29" s="10"/>
      <c r="LZ29" s="9" t="n">
        <f aca="false">-171.66</f>
        <v>-171.66</v>
      </c>
      <c r="MA29" s="9" t="n">
        <f aca="false">-112.68</f>
        <v>-112.68</v>
      </c>
      <c r="MB29" s="9" t="n">
        <f aca="false">-642.62</f>
        <v>-642.62</v>
      </c>
      <c r="MC29" s="9" t="n">
        <f aca="false">-185.65</f>
        <v>-185.65</v>
      </c>
      <c r="MD29" s="9" t="n">
        <f aca="false">-114.12</f>
        <v>-114.12</v>
      </c>
      <c r="ME29" s="10"/>
      <c r="MF29" s="10"/>
      <c r="MG29" s="9" t="n">
        <f aca="false">-26.32</f>
        <v>-26.32</v>
      </c>
      <c r="MH29" s="9" t="n">
        <f aca="false">-153.62</f>
        <v>-153.62</v>
      </c>
      <c r="MI29" s="9" t="n">
        <f aca="false">-430.27</f>
        <v>-430.27</v>
      </c>
      <c r="MJ29" s="9" t="n">
        <f aca="false">-161.77</f>
        <v>-161.77</v>
      </c>
      <c r="MK29" s="9" t="n">
        <f aca="false">-329.43</f>
        <v>-329.43</v>
      </c>
      <c r="ML29" s="10"/>
      <c r="MM29" s="10"/>
      <c r="MN29" s="9" t="n">
        <f aca="false">-222.5</f>
        <v>-222.5</v>
      </c>
      <c r="MO29" s="9" t="n">
        <f aca="false">-149.81</f>
        <v>-149.81</v>
      </c>
      <c r="MP29" s="9" t="n">
        <f aca="false">-838.49</f>
        <v>-838.49</v>
      </c>
      <c r="MQ29" s="9" t="n">
        <f aca="false">-134.07</f>
        <v>-134.07</v>
      </c>
      <c r="MR29" s="9" t="n">
        <f aca="false">-101.19</f>
        <v>-101.19</v>
      </c>
      <c r="MS29" s="10"/>
      <c r="MT29" s="10"/>
      <c r="MU29" s="9" t="n">
        <f aca="false">-213.73</f>
        <v>-213.73</v>
      </c>
      <c r="MV29" s="9" t="n">
        <f aca="false">-277.44</f>
        <v>-277.44</v>
      </c>
      <c r="MW29" s="10"/>
      <c r="MX29" s="9" t="n">
        <f aca="false">-883.05</f>
        <v>-883.05</v>
      </c>
      <c r="MY29" s="9" t="n">
        <f aca="false">-150.54</f>
        <v>-150.54</v>
      </c>
      <c r="MZ29" s="10"/>
      <c r="NA29" s="10"/>
      <c r="NB29" s="9" t="n">
        <f aca="false">-16.42</f>
        <v>-16.42</v>
      </c>
      <c r="NC29" s="9" t="n">
        <f aca="false">-79.25</f>
        <v>-79.25</v>
      </c>
      <c r="ND29" s="9" t="n">
        <f aca="false">SUM(A29:NC29)</f>
        <v>56523.81</v>
      </c>
    </row>
    <row r="30" customFormat="false" ht="12.8" hidden="false" customHeight="false" outlineLevel="0" collapsed="false">
      <c r="A30" s="8" t="s">
        <v>396</v>
      </c>
      <c r="B30" s="11" t="n">
        <f aca="false">(((((((((((((((((((((((((B4)+(B5))+(B6))+(B7))+(B8))+(B9))+(B10))+(B11))+(B12))+(B13))+(B14))+(B15))+(B16))+(B17))+(B18))+(B19))+(B20))+(B21))+(B22))+(B23))+(B24))+(B25))+(B26))+(B27))+(B28))+(B29)</f>
        <v>1306.95</v>
      </c>
      <c r="C30" s="11" t="n">
        <f aca="false">(((((((((((((((((((((((((C4)+(C5))+(C6))+(C7))+(C8))+(C9))+(C10))+(C11))+(C12))+(C13))+(C14))+(C15))+(C16))+(C17))+(C18))+(C19))+(C20))+(C21))+(C22))+(C23))+(C24))+(C25))+(C26))+(C27))+(C28))+(C29)</f>
        <v>-717.28</v>
      </c>
      <c r="D30" s="11" t="n">
        <f aca="false">(((((((((((((((((((((((((D4)+(D5))+(D6))+(D7))+(D8))+(D9))+(D10))+(D11))+(D12))+(D13))+(D14))+(D15))+(D16))+(D17))+(D18))+(D19))+(D20))+(D21))+(D22))+(D23))+(D24))+(D25))+(D26))+(D27))+(D28))+(D29)</f>
        <v>3984.68</v>
      </c>
      <c r="E30" s="11" t="n">
        <f aca="false">(((((((((((((((((((((((((E4)+(E5))+(E6))+(E7))+(E8))+(E9))+(E10))+(E11))+(E12))+(E13))+(E14))+(E15))+(E16))+(E17))+(E18))+(E19))+(E20))+(E21))+(E22))+(E23))+(E24))+(E25))+(E26))+(E27))+(E28))+(E29)</f>
        <v>-6472.85</v>
      </c>
      <c r="F30" s="11" t="n">
        <f aca="false">(((((((((((((((((((((((((F4)+(F5))+(F6))+(F7))+(F8))+(F9))+(F10))+(F11))+(F12))+(F13))+(F14))+(F15))+(F16))+(F17))+(F18))+(F19))+(F20))+(F21))+(F22))+(F23))+(F24))+(F25))+(F26))+(F27))+(F28))+(F29)</f>
        <v>903.46</v>
      </c>
      <c r="G30" s="11" t="n">
        <f aca="false">(((((((((((((((((((((((((G4)+(G5))+(G6))+(G7))+(G8))+(G9))+(G10))+(G11))+(G12))+(G13))+(G14))+(G15))+(G16))+(G17))+(G18))+(G19))+(G20))+(G21))+(G22))+(G23))+(G24))+(G25))+(G26))+(G27))+(G28))+(G29)</f>
        <v>250.34</v>
      </c>
      <c r="H30" s="11" t="n">
        <f aca="false">(((((((((((((((((((((((((H4)+(H5))+(H6))+(H7))+(H8))+(H9))+(H10))+(H11))+(H12))+(H13))+(H14))+(H15))+(H16))+(H17))+(H18))+(H19))+(H20))+(H21))+(H22))+(H23))+(H24))+(H25))+(H26))+(H27))+(H28))+(H29)</f>
        <v>521.84</v>
      </c>
      <c r="I30" s="11" t="n">
        <f aca="false">(((((((((((((((((((((((((I4)+(I5))+(I6))+(I7))+(I8))+(I9))+(I10))+(I11))+(I12))+(I13))+(I14))+(I15))+(I16))+(I17))+(I18))+(I19))+(I20))+(I21))+(I22))+(I23))+(I24))+(I25))+(I26))+(I27))+(I28))+(I29)</f>
        <v>-195.87</v>
      </c>
      <c r="J30" s="11" t="n">
        <f aca="false">(((((((((((((((((((((((((J4)+(J5))+(J6))+(J7))+(J8))+(J9))+(J10))+(J11))+(J12))+(J13))+(J14))+(J15))+(J16))+(J17))+(J18))+(J19))+(J20))+(J21))+(J22))+(J23))+(J24))+(J25))+(J26))+(J27))+(J28))+(J29)</f>
        <v>1493.57</v>
      </c>
      <c r="K30" s="11" t="n">
        <f aca="false">(((((((((((((((((((((((((K4)+(K5))+(K6))+(K7))+(K8))+(K9))+(K10))+(K11))+(K12))+(K13))+(K14))+(K15))+(K16))+(K17))+(K18))+(K19))+(K20))+(K21))+(K22))+(K23))+(K24))+(K25))+(K26))+(K27))+(K28))+(K29)</f>
        <v>2770.83</v>
      </c>
      <c r="L30" s="11" t="n">
        <f aca="false">(((((((((((((((((((((((((L4)+(L5))+(L6))+(L7))+(L8))+(L9))+(L10))+(L11))+(L12))+(L13))+(L14))+(L15))+(L16))+(L17))+(L18))+(L19))+(L20))+(L21))+(L22))+(L23))+(L24))+(L25))+(L26))+(L27))+(L28))+(L29)</f>
        <v>995.32</v>
      </c>
      <c r="M30" s="11" t="n">
        <f aca="false">(((((((((((((((((((((((((M4)+(M5))+(M6))+(M7))+(M8))+(M9))+(M10))+(M11))+(M12))+(M13))+(M14))+(M15))+(M16))+(M17))+(M18))+(M19))+(M20))+(M21))+(M22))+(M23))+(M24))+(M25))+(M26))+(M27))+(M28))+(M29)</f>
        <v>7028.75</v>
      </c>
      <c r="N30" s="11" t="n">
        <f aca="false">(((((((((((((((((((((((((N4)+(N5))+(N6))+(N7))+(N8))+(N9))+(N10))+(N11))+(N12))+(N13))+(N14))+(N15))+(N16))+(N17))+(N18))+(N19))+(N20))+(N21))+(N22))+(N23))+(N24))+(N25))+(N26))+(N27))+(N28))+(N29)</f>
        <v>-3907.49</v>
      </c>
      <c r="O30" s="11" t="n">
        <f aca="false">(((((((((((((((((((((((((O4)+(O5))+(O6))+(O7))+(O8))+(O9))+(O10))+(O11))+(O12))+(O13))+(O14))+(O15))+(O16))+(O17))+(O18))+(O19))+(O20))+(O21))+(O22))+(O23))+(O24))+(O25))+(O26))+(O27))+(O28))+(O29)</f>
        <v>507.36</v>
      </c>
      <c r="P30" s="11" t="n">
        <f aca="false">(((((((((((((((((((((((((P4)+(P5))+(P6))+(P7))+(P8))+(P9))+(P10))+(P11))+(P12))+(P13))+(P14))+(P15))+(P16))+(P17))+(P18))+(P19))+(P20))+(P21))+(P22))+(P23))+(P24))+(P25))+(P26))+(P27))+(P28))+(P29)</f>
        <v>274.92</v>
      </c>
      <c r="Q30" s="11" t="n">
        <f aca="false">(((((((((((((((((((((((((Q4)+(Q5))+(Q6))+(Q7))+(Q8))+(Q9))+(Q10))+(Q11))+(Q12))+(Q13))+(Q14))+(Q15))+(Q16))+(Q17))+(Q18))+(Q19))+(Q20))+(Q21))+(Q22))+(Q23))+(Q24))+(Q25))+(Q26))+(Q27))+(Q28))+(Q29)</f>
        <v>-1980.21</v>
      </c>
      <c r="R30" s="11" t="n">
        <f aca="false">(((((((((((((((((((((((((R4)+(R5))+(R6))+(R7))+(R8))+(R9))+(R10))+(R11))+(R12))+(R13))+(R14))+(R15))+(R16))+(R17))+(R18))+(R19))+(R20))+(R21))+(R22))+(R23))+(R24))+(R25))+(R26))+(R27))+(R28))+(R29)</f>
        <v>5013.09</v>
      </c>
      <c r="S30" s="11" t="n">
        <f aca="false">(((((((((((((((((((((((((S4)+(S5))+(S6))+(S7))+(S8))+(S9))+(S10))+(S11))+(S12))+(S13))+(S14))+(S15))+(S16))+(S17))+(S18))+(S19))+(S20))+(S21))+(S22))+(S23))+(S24))+(S25))+(S26))+(S27))+(S28))+(S29)</f>
        <v>-85.5999999999999</v>
      </c>
      <c r="T30" s="11" t="n">
        <f aca="false">(((((((((((((((((((((((((T4)+(T5))+(T6))+(T7))+(T8))+(T9))+(T10))+(T11))+(T12))+(T13))+(T14))+(T15))+(T16))+(T17))+(T18))+(T19))+(T20))+(T21))+(T22))+(T23))+(T24))+(T25))+(T26))+(T27))+(T28))+(T29)</f>
        <v>696.47</v>
      </c>
      <c r="U30" s="11" t="n">
        <f aca="false">(((((((((((((((((((((((((U4)+(U5))+(U6))+(U7))+(U8))+(U9))+(U10))+(U11))+(U12))+(U13))+(U14))+(U15))+(U16))+(U17))+(U18))+(U19))+(U20))+(U21))+(U22))+(U23))+(U24))+(U25))+(U26))+(U27))+(U28))+(U29)</f>
        <v>-1341.42</v>
      </c>
      <c r="V30" s="11" t="n">
        <f aca="false">(((((((((((((((((((((((((V4)+(V5))+(V6))+(V7))+(V8))+(V9))+(V10))+(V11))+(V12))+(V13))+(V14))+(V15))+(V16))+(V17))+(V18))+(V19))+(V20))+(V21))+(V22))+(V23))+(V24))+(V25))+(V26))+(V27))+(V28))+(V29)</f>
        <v>215.64</v>
      </c>
      <c r="W30" s="11" t="n">
        <f aca="false">(((((((((((((((((((((((((W4)+(W5))+(W6))+(W7))+(W8))+(W9))+(W10))+(W11))+(W12))+(W13))+(W14))+(W15))+(W16))+(W17))+(W18))+(W19))+(W20))+(W21))+(W22))+(W23))+(W24))+(W25))+(W26))+(W27))+(W28))+(W29)</f>
        <v>-7138.09</v>
      </c>
      <c r="X30" s="11" t="n">
        <f aca="false">(((((((((((((((((((((((((X4)+(X5))+(X6))+(X7))+(X8))+(X9))+(X10))+(X11))+(X12))+(X13))+(X14))+(X15))+(X16))+(X17))+(X18))+(X19))+(X20))+(X21))+(X22))+(X23))+(X24))+(X25))+(X26))+(X27))+(X28))+(X29)</f>
        <v>-489.93</v>
      </c>
      <c r="Y30" s="11" t="n">
        <f aca="false">(((((((((((((((((((((((((Y4)+(Y5))+(Y6))+(Y7))+(Y8))+(Y9))+(Y10))+(Y11))+(Y12))+(Y13))+(Y14))+(Y15))+(Y16))+(Y17))+(Y18))+(Y19))+(Y20))+(Y21))+(Y22))+(Y23))+(Y24))+(Y25))+(Y26))+(Y27))+(Y28))+(Y29)</f>
        <v>-672.06</v>
      </c>
      <c r="Z30" s="11" t="n">
        <f aca="false">(((((((((((((((((((((((((Z4)+(Z5))+(Z6))+(Z7))+(Z8))+(Z9))+(Z10))+(Z11))+(Z12))+(Z13))+(Z14))+(Z15))+(Z16))+(Z17))+(Z18))+(Z19))+(Z20))+(Z21))+(Z22))+(Z23))+(Z24))+(Z25))+(Z26))+(Z27))+(Z28))+(Z29)</f>
        <v>462.92</v>
      </c>
      <c r="AA30" s="11" t="n">
        <f aca="false">(((((((((((((((((((((((((AA4)+(AA5))+(AA6))+(AA7))+(AA8))+(AA9))+(AA10))+(AA11))+(AA12))+(AA13))+(AA14))+(AA15))+(AA16))+(AA17))+(AA18))+(AA19))+(AA20))+(AA21))+(AA22))+(AA23))+(AA24))+(AA25))+(AA26))+(AA27))+(AA28))+(AA29)</f>
        <v>897.94</v>
      </c>
      <c r="AB30" s="11" t="n">
        <f aca="false">(((((((((((((((((((((((((AB4)+(AB5))+(AB6))+(AB7))+(AB8))+(AB9))+(AB10))+(AB11))+(AB12))+(AB13))+(AB14))+(AB15))+(AB16))+(AB17))+(AB18))+(AB19))+(AB20))+(AB21))+(AB22))+(AB23))+(AB24))+(AB25))+(AB26))+(AB27))+(AB28))+(AB29)</f>
        <v>253.71</v>
      </c>
      <c r="AC30" s="11" t="n">
        <f aca="false">(((((((((((((((((((((((((AC4)+(AC5))+(AC6))+(AC7))+(AC8))+(AC9))+(AC10))+(AC11))+(AC12))+(AC13))+(AC14))+(AC15))+(AC16))+(AC17))+(AC18))+(AC19))+(AC20))+(AC21))+(AC22))+(AC23))+(AC24))+(AC25))+(AC26))+(AC27))+(AC28))+(AC29)</f>
        <v>87.31</v>
      </c>
      <c r="AD30" s="11" t="n">
        <f aca="false">(((((((((((((((((((((((((AD4)+(AD5))+(AD6))+(AD7))+(AD8))+(AD9))+(AD10))+(AD11))+(AD12))+(AD13))+(AD14))+(AD15))+(AD16))+(AD17))+(AD18))+(AD19))+(AD20))+(AD21))+(AD22))+(AD23))+(AD24))+(AD25))+(AD26))+(AD27))+(AD28))+(AD29)</f>
        <v>7680.62</v>
      </c>
      <c r="AE30" s="11" t="n">
        <f aca="false">(((((((((((((((((((((((((AE4)+(AE5))+(AE6))+(AE7))+(AE8))+(AE9))+(AE10))+(AE11))+(AE12))+(AE13))+(AE14))+(AE15))+(AE16))+(AE17))+(AE18))+(AE19))+(AE20))+(AE21))+(AE22))+(AE23))+(AE24))+(AE25))+(AE26))+(AE27))+(AE28))+(AE29)</f>
        <v>2977.78</v>
      </c>
      <c r="AF30" s="11" t="n">
        <f aca="false">(((((((((((((((((((((((((AF4)+(AF5))+(AF6))+(AF7))+(AF8))+(AF9))+(AF10))+(AF11))+(AF12))+(AF13))+(AF14))+(AF15))+(AF16))+(AF17))+(AF18))+(AF19))+(AF20))+(AF21))+(AF22))+(AF23))+(AF24))+(AF25))+(AF26))+(AF27))+(AF28))+(AF29)</f>
        <v>-505.77</v>
      </c>
      <c r="AG30" s="11" t="n">
        <f aca="false">(((((((((((((((((((((((((AG4)+(AG5))+(AG6))+(AG7))+(AG8))+(AG9))+(AG10))+(AG11))+(AG12))+(AG13))+(AG14))+(AG15))+(AG16))+(AG17))+(AG18))+(AG19))+(AG20))+(AG21))+(AG22))+(AG23))+(AG24))+(AG25))+(AG26))+(AG27))+(AG28))+(AG29)</f>
        <v>-858.97</v>
      </c>
      <c r="AH30" s="11" t="n">
        <f aca="false">(((((((((((((((((((((((((AH4)+(AH5))+(AH6))+(AH7))+(AH8))+(AH9))+(AH10))+(AH11))+(AH12))+(AH13))+(AH14))+(AH15))+(AH16))+(AH17))+(AH18))+(AH19))+(AH20))+(AH21))+(AH22))+(AH23))+(AH24))+(AH25))+(AH26))+(AH27))+(AH28))+(AH29)</f>
        <v>1789.29</v>
      </c>
      <c r="AI30" s="11" t="n">
        <f aca="false">(((((((((((((((((((((((((AI4)+(AI5))+(AI6))+(AI7))+(AI8))+(AI9))+(AI10))+(AI11))+(AI12))+(AI13))+(AI14))+(AI15))+(AI16))+(AI17))+(AI18))+(AI19))+(AI20))+(AI21))+(AI22))+(AI23))+(AI24))+(AI25))+(AI26))+(AI27))+(AI28))+(AI29)</f>
        <v>1845.5</v>
      </c>
      <c r="AJ30" s="11" t="n">
        <f aca="false">(((((((((((((((((((((((((AJ4)+(AJ5))+(AJ6))+(AJ7))+(AJ8))+(AJ9))+(AJ10))+(AJ11))+(AJ12))+(AJ13))+(AJ14))+(AJ15))+(AJ16))+(AJ17))+(AJ18))+(AJ19))+(AJ20))+(AJ21))+(AJ22))+(AJ23))+(AJ24))+(AJ25))+(AJ26))+(AJ27))+(AJ28))+(AJ29)</f>
        <v>410.12</v>
      </c>
      <c r="AK30" s="11" t="n">
        <f aca="false">(((((((((((((((((((((((((AK4)+(AK5))+(AK6))+(AK7))+(AK8))+(AK9))+(AK10))+(AK11))+(AK12))+(AK13))+(AK14))+(AK15))+(AK16))+(AK17))+(AK18))+(AK19))+(AK20))+(AK21))+(AK22))+(AK23))+(AK24))+(AK25))+(AK26))+(AK27))+(AK28))+(AK29)</f>
        <v>-3505.55</v>
      </c>
      <c r="AL30" s="11" t="n">
        <f aca="false">(((((((((((((((((((((((((AL4)+(AL5))+(AL6))+(AL7))+(AL8))+(AL9))+(AL10))+(AL11))+(AL12))+(AL13))+(AL14))+(AL15))+(AL16))+(AL17))+(AL18))+(AL19))+(AL20))+(AL21))+(AL22))+(AL23))+(AL24))+(AL25))+(AL26))+(AL27))+(AL28))+(AL29)</f>
        <v>2384.7</v>
      </c>
      <c r="AM30" s="11" t="n">
        <f aca="false">(((((((((((((((((((((((((AM4)+(AM5))+(AM6))+(AM7))+(AM8))+(AM9))+(AM10))+(AM11))+(AM12))+(AM13))+(AM14))+(AM15))+(AM16))+(AM17))+(AM18))+(AM19))+(AM20))+(AM21))+(AM22))+(AM23))+(AM24))+(AM25))+(AM26))+(AM27))+(AM28))+(AM29)</f>
        <v>-3788.13</v>
      </c>
      <c r="AN30" s="11" t="n">
        <f aca="false">(((((((((((((((((((((((((AN4)+(AN5))+(AN6))+(AN7))+(AN8))+(AN9))+(AN10))+(AN11))+(AN12))+(AN13))+(AN14))+(AN15))+(AN16))+(AN17))+(AN18))+(AN19))+(AN20))+(AN21))+(AN22))+(AN23))+(AN24))+(AN25))+(AN26))+(AN27))+(AN28))+(AN29)</f>
        <v>1848.46</v>
      </c>
      <c r="AO30" s="11" t="n">
        <f aca="false">(((((((((((((((((((((((((AO4)+(AO5))+(AO6))+(AO7))+(AO8))+(AO9))+(AO10))+(AO11))+(AO12))+(AO13))+(AO14))+(AO15))+(AO16))+(AO17))+(AO18))+(AO19))+(AO20))+(AO21))+(AO22))+(AO23))+(AO24))+(AO25))+(AO26))+(AO27))+(AO28))+(AO29)</f>
        <v>1076.9</v>
      </c>
      <c r="AP30" s="11" t="n">
        <f aca="false">(((((((((((((((((((((((((AP4)+(AP5))+(AP6))+(AP7))+(AP8))+(AP9))+(AP10))+(AP11))+(AP12))+(AP13))+(AP14))+(AP15))+(AP16))+(AP17))+(AP18))+(AP19))+(AP20))+(AP21))+(AP22))+(AP23))+(AP24))+(AP25))+(AP26))+(AP27))+(AP28))+(AP29)</f>
        <v>78.73</v>
      </c>
      <c r="AQ30" s="11" t="n">
        <f aca="false">(((((((((((((((((((((((((AQ4)+(AQ5))+(AQ6))+(AQ7))+(AQ8))+(AQ9))+(AQ10))+(AQ11))+(AQ12))+(AQ13))+(AQ14))+(AQ15))+(AQ16))+(AQ17))+(AQ18))+(AQ19))+(AQ20))+(AQ21))+(AQ22))+(AQ23))+(AQ24))+(AQ25))+(AQ26))+(AQ27))+(AQ28))+(AQ29)</f>
        <v>954.82</v>
      </c>
      <c r="AR30" s="11" t="n">
        <f aca="false">(((((((((((((((((((((((((AR4)+(AR5))+(AR6))+(AR7))+(AR8))+(AR9))+(AR10))+(AR11))+(AR12))+(AR13))+(AR14))+(AR15))+(AR16))+(AR17))+(AR18))+(AR19))+(AR20))+(AR21))+(AR22))+(AR23))+(AR24))+(AR25))+(AR26))+(AR27))+(AR28))+(AR29)</f>
        <v>3131.47</v>
      </c>
      <c r="AS30" s="11" t="n">
        <f aca="false">(((((((((((((((((((((((((AS4)+(AS5))+(AS6))+(AS7))+(AS8))+(AS9))+(AS10))+(AS11))+(AS12))+(AS13))+(AS14))+(AS15))+(AS16))+(AS17))+(AS18))+(AS19))+(AS20))+(AS21))+(AS22))+(AS23))+(AS24))+(AS25))+(AS26))+(AS27))+(AS28))+(AS29)</f>
        <v>1593.59</v>
      </c>
      <c r="AT30" s="11" t="n">
        <f aca="false">(((((((((((((((((((((((((AT4)+(AT5))+(AT6))+(AT7))+(AT8))+(AT9))+(AT10))+(AT11))+(AT12))+(AT13))+(AT14))+(AT15))+(AT16))+(AT17))+(AT18))+(AT19))+(AT20))+(AT21))+(AT22))+(AT23))+(AT24))+(AT25))+(AT26))+(AT27))+(AT28))+(AT29)</f>
        <v>1530.79</v>
      </c>
      <c r="AU30" s="11" t="n">
        <f aca="false">(((((((((((((((((((((((((AU4)+(AU5))+(AU6))+(AU7))+(AU8))+(AU9))+(AU10))+(AU11))+(AU12))+(AU13))+(AU14))+(AU15))+(AU16))+(AU17))+(AU18))+(AU19))+(AU20))+(AU21))+(AU22))+(AU23))+(AU24))+(AU25))+(AU26))+(AU27))+(AU28))+(AU29)</f>
        <v>1631.9</v>
      </c>
      <c r="AV30" s="11" t="n">
        <f aca="false">(((((((((((((((((((((((((AV4)+(AV5))+(AV6))+(AV7))+(AV8))+(AV9))+(AV10))+(AV11))+(AV12))+(AV13))+(AV14))+(AV15))+(AV16))+(AV17))+(AV18))+(AV19))+(AV20))+(AV21))+(AV22))+(AV23))+(AV24))+(AV25))+(AV26))+(AV27))+(AV28))+(AV29)</f>
        <v>-1158.93</v>
      </c>
      <c r="AW30" s="11" t="n">
        <f aca="false">(((((((((((((((((((((((((AW4)+(AW5))+(AW6))+(AW7))+(AW8))+(AW9))+(AW10))+(AW11))+(AW12))+(AW13))+(AW14))+(AW15))+(AW16))+(AW17))+(AW18))+(AW19))+(AW20))+(AW21))+(AW22))+(AW23))+(AW24))+(AW25))+(AW26))+(AW27))+(AW28))+(AW29)</f>
        <v>1201.83</v>
      </c>
      <c r="AX30" s="11" t="n">
        <f aca="false">(((((((((((((((((((((((((AX4)+(AX5))+(AX6))+(AX7))+(AX8))+(AX9))+(AX10))+(AX11))+(AX12))+(AX13))+(AX14))+(AX15))+(AX16))+(AX17))+(AX18))+(AX19))+(AX20))+(AX21))+(AX22))+(AX23))+(AX24))+(AX25))+(AX26))+(AX27))+(AX28))+(AX29)</f>
        <v>354.5</v>
      </c>
      <c r="AY30" s="11" t="n">
        <f aca="false">(((((((((((((((((((((((((AY4)+(AY5))+(AY6))+(AY7))+(AY8))+(AY9))+(AY10))+(AY11))+(AY12))+(AY13))+(AY14))+(AY15))+(AY16))+(AY17))+(AY18))+(AY19))+(AY20))+(AY21))+(AY22))+(AY23))+(AY24))+(AY25))+(AY26))+(AY27))+(AY28))+(AY29)</f>
        <v>773.95</v>
      </c>
      <c r="AZ30" s="11" t="n">
        <f aca="false">(((((((((((((((((((((((((AZ4)+(AZ5))+(AZ6))+(AZ7))+(AZ8))+(AZ9))+(AZ10))+(AZ11))+(AZ12))+(AZ13))+(AZ14))+(AZ15))+(AZ16))+(AZ17))+(AZ18))+(AZ19))+(AZ20))+(AZ21))+(AZ22))+(AZ23))+(AZ24))+(AZ25))+(AZ26))+(AZ27))+(AZ28))+(AZ29)</f>
        <v>836.06</v>
      </c>
      <c r="BA30" s="11" t="n">
        <f aca="false">(((((((((((((((((((((((((BA4)+(BA5))+(BA6))+(BA7))+(BA8))+(BA9))+(BA10))+(BA11))+(BA12))+(BA13))+(BA14))+(BA15))+(BA16))+(BA17))+(BA18))+(BA19))+(BA20))+(BA21))+(BA22))+(BA23))+(BA24))+(BA25))+(BA26))+(BA27))+(BA28))+(BA29)</f>
        <v>-5960.44</v>
      </c>
      <c r="BB30" s="11" t="n">
        <f aca="false">(((((((((((((((((((((((((BB4)+(BB5))+(BB6))+(BB7))+(BB8))+(BB9))+(BB10))+(BB11))+(BB12))+(BB13))+(BB14))+(BB15))+(BB16))+(BB17))+(BB18))+(BB19))+(BB20))+(BB21))+(BB22))+(BB23))+(BB24))+(BB25))+(BB26))+(BB27))+(BB28))+(BB29)</f>
        <v>-64.48</v>
      </c>
      <c r="BC30" s="11" t="n">
        <f aca="false">(((((((((((((((((((((((((BC4)+(BC5))+(BC6))+(BC7))+(BC8))+(BC9))+(BC10))+(BC11))+(BC12))+(BC13))+(BC14))+(BC15))+(BC16))+(BC17))+(BC18))+(BC19))+(BC20))+(BC21))+(BC22))+(BC23))+(BC24))+(BC25))+(BC26))+(BC27))+(BC28))+(BC29)</f>
        <v>1506.23</v>
      </c>
      <c r="BD30" s="11" t="n">
        <f aca="false">(((((((((((((((((((((((((BD4)+(BD5))+(BD6))+(BD7))+(BD8))+(BD9))+(BD10))+(BD11))+(BD12))+(BD13))+(BD14))+(BD15))+(BD16))+(BD17))+(BD18))+(BD19))+(BD20))+(BD21))+(BD22))+(BD23))+(BD24))+(BD25))+(BD26))+(BD27))+(BD28))+(BD29)</f>
        <v>62.72</v>
      </c>
      <c r="BE30" s="11" t="n">
        <f aca="false">(((((((((((((((((((((((((BE4)+(BE5))+(BE6))+(BE7))+(BE8))+(BE9))+(BE10))+(BE11))+(BE12))+(BE13))+(BE14))+(BE15))+(BE16))+(BE17))+(BE18))+(BE19))+(BE20))+(BE21))+(BE22))+(BE23))+(BE24))+(BE25))+(BE26))+(BE27))+(BE28))+(BE29)</f>
        <v>61.42</v>
      </c>
      <c r="BF30" s="11" t="n">
        <f aca="false">(((((((((((((((((((((((((BF4)+(BF5))+(BF6))+(BF7))+(BF8))+(BF9))+(BF10))+(BF11))+(BF12))+(BF13))+(BF14))+(BF15))+(BF16))+(BF17))+(BF18))+(BF19))+(BF20))+(BF21))+(BF22))+(BF23))+(BF24))+(BF25))+(BF26))+(BF27))+(BF28))+(BF29)</f>
        <v>8438.36</v>
      </c>
      <c r="BG30" s="11" t="n">
        <f aca="false">(((((((((((((((((((((((((BG4)+(BG5))+(BG6))+(BG7))+(BG8))+(BG9))+(BG10))+(BG11))+(BG12))+(BG13))+(BG14))+(BG15))+(BG16))+(BG17))+(BG18))+(BG19))+(BG20))+(BG21))+(BG22))+(BG23))+(BG24))+(BG25))+(BG26))+(BG27))+(BG28))+(BG29)</f>
        <v>7314.76</v>
      </c>
      <c r="BH30" s="11" t="n">
        <f aca="false">(((((((((((((((((((((((((BH4)+(BH5))+(BH6))+(BH7))+(BH8))+(BH9))+(BH10))+(BH11))+(BH12))+(BH13))+(BH14))+(BH15))+(BH16))+(BH17))+(BH18))+(BH19))+(BH20))+(BH21))+(BH22))+(BH23))+(BH24))+(BH25))+(BH26))+(BH27))+(BH28))+(BH29)</f>
        <v>1659.11</v>
      </c>
      <c r="BI30" s="11" t="n">
        <f aca="false">(((((((((((((((((((((((((BI4)+(BI5))+(BI6))+(BI7))+(BI8))+(BI9))+(BI10))+(BI11))+(BI12))+(BI13))+(BI14))+(BI15))+(BI16))+(BI17))+(BI18))+(BI19))+(BI20))+(BI21))+(BI22))+(BI23))+(BI24))+(BI25))+(BI26))+(BI27))+(BI28))+(BI29)</f>
        <v>-29950.34</v>
      </c>
      <c r="BJ30" s="11" t="n">
        <f aca="false">(((((((((((((((((((((((((BJ4)+(BJ5))+(BJ6))+(BJ7))+(BJ8))+(BJ9))+(BJ10))+(BJ11))+(BJ12))+(BJ13))+(BJ14))+(BJ15))+(BJ16))+(BJ17))+(BJ18))+(BJ19))+(BJ20))+(BJ21))+(BJ22))+(BJ23))+(BJ24))+(BJ25))+(BJ26))+(BJ27))+(BJ28))+(BJ29)</f>
        <v>1268.74</v>
      </c>
      <c r="BK30" s="11" t="n">
        <f aca="false">(((((((((((((((((((((((((BK4)+(BK5))+(BK6))+(BK7))+(BK8))+(BK9))+(BK10))+(BK11))+(BK12))+(BK13))+(BK14))+(BK15))+(BK16))+(BK17))+(BK18))+(BK19))+(BK20))+(BK21))+(BK22))+(BK23))+(BK24))+(BK25))+(BK26))+(BK27))+(BK28))+(BK29)</f>
        <v>34.1</v>
      </c>
      <c r="BL30" s="11" t="n">
        <f aca="false">(((((((((((((((((((((((((BL4)+(BL5))+(BL6))+(BL7))+(BL8))+(BL9))+(BL10))+(BL11))+(BL12))+(BL13))+(BL14))+(BL15))+(BL16))+(BL17))+(BL18))+(BL19))+(BL20))+(BL21))+(BL22))+(BL23))+(BL24))+(BL25))+(BL26))+(BL27))+(BL28))+(BL29)</f>
        <v>588.46</v>
      </c>
      <c r="BM30" s="11" t="n">
        <f aca="false">(((((((((((((((((((((((((BM4)+(BM5))+(BM6))+(BM7))+(BM8))+(BM9))+(BM10))+(BM11))+(BM12))+(BM13))+(BM14))+(BM15))+(BM16))+(BM17))+(BM18))+(BM19))+(BM20))+(BM21))+(BM22))+(BM23))+(BM24))+(BM25))+(BM26))+(BM27))+(BM28))+(BM29)</f>
        <v>-3821.46</v>
      </c>
      <c r="BN30" s="11" t="n">
        <f aca="false">(((((((((((((((((((((((((BN4)+(BN5))+(BN6))+(BN7))+(BN8))+(BN9))+(BN10))+(BN11))+(BN12))+(BN13))+(BN14))+(BN15))+(BN16))+(BN17))+(BN18))+(BN19))+(BN20))+(BN21))+(BN22))+(BN23))+(BN24))+(BN25))+(BN26))+(BN27))+(BN28))+(BN29)</f>
        <v>6722.04</v>
      </c>
      <c r="BO30" s="11" t="n">
        <f aca="false">(((((((((((((((((((((((((BO4)+(BO5))+(BO6))+(BO7))+(BO8))+(BO9))+(BO10))+(BO11))+(BO12))+(BO13))+(BO14))+(BO15))+(BO16))+(BO17))+(BO18))+(BO19))+(BO20))+(BO21))+(BO22))+(BO23))+(BO24))+(BO25))+(BO26))+(BO27))+(BO28))+(BO29)</f>
        <v>829.59</v>
      </c>
      <c r="BP30" s="11" t="n">
        <f aca="false">(((((((((((((((((((((((((BP4)+(BP5))+(BP6))+(BP7))+(BP8))+(BP9))+(BP10))+(BP11))+(BP12))+(BP13))+(BP14))+(BP15))+(BP16))+(BP17))+(BP18))+(BP19))+(BP20))+(BP21))+(BP22))+(BP23))+(BP24))+(BP25))+(BP26))+(BP27))+(BP28))+(BP29)</f>
        <v>4227.81</v>
      </c>
      <c r="BQ30" s="11" t="n">
        <f aca="false">(((((((((((((((((((((((((BQ4)+(BQ5))+(BQ6))+(BQ7))+(BQ8))+(BQ9))+(BQ10))+(BQ11))+(BQ12))+(BQ13))+(BQ14))+(BQ15))+(BQ16))+(BQ17))+(BQ18))+(BQ19))+(BQ20))+(BQ21))+(BQ22))+(BQ23))+(BQ24))+(BQ25))+(BQ26))+(BQ27))+(BQ28))+(BQ29)</f>
        <v>3099.74</v>
      </c>
      <c r="BR30" s="11" t="n">
        <f aca="false">(((((((((((((((((((((((((BR4)+(BR5))+(BR6))+(BR7))+(BR8))+(BR9))+(BR10))+(BR11))+(BR12))+(BR13))+(BR14))+(BR15))+(BR16))+(BR17))+(BR18))+(BR19))+(BR20))+(BR21))+(BR22))+(BR23))+(BR24))+(BR25))+(BR26))+(BR27))+(BR28))+(BR29)</f>
        <v>522.23</v>
      </c>
      <c r="BS30" s="11" t="n">
        <f aca="false">(((((((((((((((((((((((((BS4)+(BS5))+(BS6))+(BS7))+(BS8))+(BS9))+(BS10))+(BS11))+(BS12))+(BS13))+(BS14))+(BS15))+(BS16))+(BS17))+(BS18))+(BS19))+(BS20))+(BS21))+(BS22))+(BS23))+(BS24))+(BS25))+(BS26))+(BS27))+(BS28))+(BS29)</f>
        <v>450.81</v>
      </c>
      <c r="BT30" s="11" t="n">
        <f aca="false">(((((((((((((((((((((((((BT4)+(BT5))+(BT6))+(BT7))+(BT8))+(BT9))+(BT10))+(BT11))+(BT12))+(BT13))+(BT14))+(BT15))+(BT16))+(BT17))+(BT18))+(BT19))+(BT20))+(BT21))+(BT22))+(BT23))+(BT24))+(BT25))+(BT26))+(BT27))+(BT28))+(BT29)</f>
        <v>1914.04</v>
      </c>
      <c r="BU30" s="11" t="n">
        <f aca="false">(((((((((((((((((((((((((BU4)+(BU5))+(BU6))+(BU7))+(BU8))+(BU9))+(BU10))+(BU11))+(BU12))+(BU13))+(BU14))+(BU15))+(BU16))+(BU17))+(BU18))+(BU19))+(BU20))+(BU21))+(BU22))+(BU23))+(BU24))+(BU25))+(BU26))+(BU27))+(BU28))+(BU29)</f>
        <v>3660.01</v>
      </c>
      <c r="BV30" s="11" t="n">
        <f aca="false">(((((((((((((((((((((((((BV4)+(BV5))+(BV6))+(BV7))+(BV8))+(BV9))+(BV10))+(BV11))+(BV12))+(BV13))+(BV14))+(BV15))+(BV16))+(BV17))+(BV18))+(BV19))+(BV20))+(BV21))+(BV22))+(BV23))+(BV24))+(BV25))+(BV26))+(BV27))+(BV28))+(BV29)</f>
        <v>-234.51</v>
      </c>
      <c r="BW30" s="11" t="n">
        <f aca="false">(((((((((((((((((((((((((BW4)+(BW5))+(BW6))+(BW7))+(BW8))+(BW9))+(BW10))+(BW11))+(BW12))+(BW13))+(BW14))+(BW15))+(BW16))+(BW17))+(BW18))+(BW19))+(BW20))+(BW21))+(BW22))+(BW23))+(BW24))+(BW25))+(BW26))+(BW27))+(BW28))+(BW29)</f>
        <v>1685.97</v>
      </c>
      <c r="BX30" s="11" t="n">
        <f aca="false">(((((((((((((((((((((((((BX4)+(BX5))+(BX6))+(BX7))+(BX8))+(BX9))+(BX10))+(BX11))+(BX12))+(BX13))+(BX14))+(BX15))+(BX16))+(BX17))+(BX18))+(BX19))+(BX20))+(BX21))+(BX22))+(BX23))+(BX24))+(BX25))+(BX26))+(BX27))+(BX28))+(BX29)</f>
        <v>1156.13</v>
      </c>
      <c r="BY30" s="11" t="n">
        <f aca="false">(((((((((((((((((((((((((BY4)+(BY5))+(BY6))+(BY7))+(BY8))+(BY9))+(BY10))+(BY11))+(BY12))+(BY13))+(BY14))+(BY15))+(BY16))+(BY17))+(BY18))+(BY19))+(BY20))+(BY21))+(BY22))+(BY23))+(BY24))+(BY25))+(BY26))+(BY27))+(BY28))+(BY29)</f>
        <v>680.8</v>
      </c>
      <c r="BZ30" s="11" t="n">
        <f aca="false">(((((((((((((((((((((((((BZ4)+(BZ5))+(BZ6))+(BZ7))+(BZ8))+(BZ9))+(BZ10))+(BZ11))+(BZ12))+(BZ13))+(BZ14))+(BZ15))+(BZ16))+(BZ17))+(BZ18))+(BZ19))+(BZ20))+(BZ21))+(BZ22))+(BZ23))+(BZ24))+(BZ25))+(BZ26))+(BZ27))+(BZ28))+(BZ29)</f>
        <v>691.62</v>
      </c>
      <c r="CA30" s="11" t="n">
        <f aca="false">(((((((((((((((((((((((((CA4)+(CA5))+(CA6))+(CA7))+(CA8))+(CA9))+(CA10))+(CA11))+(CA12))+(CA13))+(CA14))+(CA15))+(CA16))+(CA17))+(CA18))+(CA19))+(CA20))+(CA21))+(CA22))+(CA23))+(CA24))+(CA25))+(CA26))+(CA27))+(CA28))+(CA29)</f>
        <v>606.18</v>
      </c>
      <c r="CB30" s="11" t="n">
        <f aca="false">(((((((((((((((((((((((((CB4)+(CB5))+(CB6))+(CB7))+(CB8))+(CB9))+(CB10))+(CB11))+(CB12))+(CB13))+(CB14))+(CB15))+(CB16))+(CB17))+(CB18))+(CB19))+(CB20))+(CB21))+(CB22))+(CB23))+(CB24))+(CB25))+(CB26))+(CB27))+(CB28))+(CB29)</f>
        <v>5190.09</v>
      </c>
      <c r="CC30" s="11" t="n">
        <f aca="false">(((((((((((((((((((((((((CC4)+(CC5))+(CC6))+(CC7))+(CC8))+(CC9))+(CC10))+(CC11))+(CC12))+(CC13))+(CC14))+(CC15))+(CC16))+(CC17))+(CC18))+(CC19))+(CC20))+(CC21))+(CC22))+(CC23))+(CC24))+(CC25))+(CC26))+(CC27))+(CC28))+(CC29)</f>
        <v>-357.42</v>
      </c>
      <c r="CD30" s="11" t="n">
        <f aca="false">(((((((((((((((((((((((((CD4)+(CD5))+(CD6))+(CD7))+(CD8))+(CD9))+(CD10))+(CD11))+(CD12))+(CD13))+(CD14))+(CD15))+(CD16))+(CD17))+(CD18))+(CD19))+(CD20))+(CD21))+(CD22))+(CD23))+(CD24))+(CD25))+(CD26))+(CD27))+(CD28))+(CD29)</f>
        <v>1190.45</v>
      </c>
      <c r="CE30" s="11" t="n">
        <f aca="false">(((((((((((((((((((((((((CE4)+(CE5))+(CE6))+(CE7))+(CE8))+(CE9))+(CE10))+(CE11))+(CE12))+(CE13))+(CE14))+(CE15))+(CE16))+(CE17))+(CE18))+(CE19))+(CE20))+(CE21))+(CE22))+(CE23))+(CE24))+(CE25))+(CE26))+(CE27))+(CE28))+(CE29)</f>
        <v>812.64</v>
      </c>
      <c r="CF30" s="11" t="n">
        <f aca="false">(((((((((((((((((((((((((CF4)+(CF5))+(CF6))+(CF7))+(CF8))+(CF9))+(CF10))+(CF11))+(CF12))+(CF13))+(CF14))+(CF15))+(CF16))+(CF17))+(CF18))+(CF19))+(CF20))+(CF21))+(CF22))+(CF23))+(CF24))+(CF25))+(CF26))+(CF27))+(CF28))+(CF29)</f>
        <v>-664.22</v>
      </c>
      <c r="CG30" s="11" t="n">
        <f aca="false">(((((((((((((((((((((((((CG4)+(CG5))+(CG6))+(CG7))+(CG8))+(CG9))+(CG10))+(CG11))+(CG12))+(CG13))+(CG14))+(CG15))+(CG16))+(CG17))+(CG18))+(CG19))+(CG20))+(CG21))+(CG22))+(CG23))+(CG24))+(CG25))+(CG26))+(CG27))+(CG28))+(CG29)</f>
        <v>62.09</v>
      </c>
      <c r="CH30" s="11" t="n">
        <f aca="false">(((((((((((((((((((((((((CH4)+(CH5))+(CH6))+(CH7))+(CH8))+(CH9))+(CH10))+(CH11))+(CH12))+(CH13))+(CH14))+(CH15))+(CH16))+(CH17))+(CH18))+(CH19))+(CH20))+(CH21))+(CH22))+(CH23))+(CH24))+(CH25))+(CH26))+(CH27))+(CH28))+(CH29)</f>
        <v>-12601.7</v>
      </c>
      <c r="CI30" s="11" t="n">
        <f aca="false">(((((((((((((((((((((((((CI4)+(CI5))+(CI6))+(CI7))+(CI8))+(CI9))+(CI10))+(CI11))+(CI12))+(CI13))+(CI14))+(CI15))+(CI16))+(CI17))+(CI18))+(CI19))+(CI20))+(CI21))+(CI22))+(CI23))+(CI24))+(CI25))+(CI26))+(CI27))+(CI28))+(CI29)</f>
        <v>2046.67</v>
      </c>
      <c r="CJ30" s="11" t="n">
        <f aca="false">(((((((((((((((((((((((((CJ4)+(CJ5))+(CJ6))+(CJ7))+(CJ8))+(CJ9))+(CJ10))+(CJ11))+(CJ12))+(CJ13))+(CJ14))+(CJ15))+(CJ16))+(CJ17))+(CJ18))+(CJ19))+(CJ20))+(CJ21))+(CJ22))+(CJ23))+(CJ24))+(CJ25))+(CJ26))+(CJ27))+(CJ28))+(CJ29)</f>
        <v>4795.31</v>
      </c>
      <c r="CK30" s="11" t="n">
        <f aca="false">(((((((((((((((((((((((((CK4)+(CK5))+(CK6))+(CK7))+(CK8))+(CK9))+(CK10))+(CK11))+(CK12))+(CK13))+(CK14))+(CK15))+(CK16))+(CK17))+(CK18))+(CK19))+(CK20))+(CK21))+(CK22))+(CK23))+(CK24))+(CK25))+(CK26))+(CK27))+(CK28))+(CK29)</f>
        <v>1294.38</v>
      </c>
      <c r="CL30" s="11" t="n">
        <f aca="false">(((((((((((((((((((((((((CL4)+(CL5))+(CL6))+(CL7))+(CL8))+(CL9))+(CL10))+(CL11))+(CL12))+(CL13))+(CL14))+(CL15))+(CL16))+(CL17))+(CL18))+(CL19))+(CL20))+(CL21))+(CL22))+(CL23))+(CL24))+(CL25))+(CL26))+(CL27))+(CL28))+(CL29)</f>
        <v>831.88</v>
      </c>
      <c r="CM30" s="11" t="n">
        <f aca="false">(((((((((((((((((((((((((CM4)+(CM5))+(CM6))+(CM7))+(CM8))+(CM9))+(CM10))+(CM11))+(CM12))+(CM13))+(CM14))+(CM15))+(CM16))+(CM17))+(CM18))+(CM19))+(CM20))+(CM21))+(CM22))+(CM23))+(CM24))+(CM25))+(CM26))+(CM27))+(CM28))+(CM29)</f>
        <v>0</v>
      </c>
      <c r="CN30" s="11" t="n">
        <f aca="false">(((((((((((((((((((((((((CN4)+(CN5))+(CN6))+(CN7))+(CN8))+(CN9))+(CN10))+(CN11))+(CN12))+(CN13))+(CN14))+(CN15))+(CN16))+(CN17))+(CN18))+(CN19))+(CN20))+(CN21))+(CN22))+(CN23))+(CN24))+(CN25))+(CN26))+(CN27))+(CN28))+(CN29)</f>
        <v>-26393.84</v>
      </c>
      <c r="CO30" s="11" t="n">
        <f aca="false">(((((((((((((((((((((((((CO4)+(CO5))+(CO6))+(CO7))+(CO8))+(CO9))+(CO10))+(CO11))+(CO12))+(CO13))+(CO14))+(CO15))+(CO16))+(CO17))+(CO18))+(CO19))+(CO20))+(CO21))+(CO22))+(CO23))+(CO24))+(CO25))+(CO26))+(CO27))+(CO28))+(CO29)</f>
        <v>5824.7</v>
      </c>
      <c r="CP30" s="11" t="n">
        <f aca="false">(((((((((((((((((((((((((CP4)+(CP5))+(CP6))+(CP7))+(CP8))+(CP9))+(CP10))+(CP11))+(CP12))+(CP13))+(CP14))+(CP15))+(CP16))+(CP17))+(CP18))+(CP19))+(CP20))+(CP21))+(CP22))+(CP23))+(CP24))+(CP25))+(CP26))+(CP27))+(CP28))+(CP29)</f>
        <v>2065.1</v>
      </c>
      <c r="CQ30" s="11" t="n">
        <f aca="false">(((((((((((((((((((((((((CQ4)+(CQ5))+(CQ6))+(CQ7))+(CQ8))+(CQ9))+(CQ10))+(CQ11))+(CQ12))+(CQ13))+(CQ14))+(CQ15))+(CQ16))+(CQ17))+(CQ18))+(CQ19))+(CQ20))+(CQ21))+(CQ22))+(CQ23))+(CQ24))+(CQ25))+(CQ26))+(CQ27))+(CQ28))+(CQ29)</f>
        <v>1045.24</v>
      </c>
      <c r="CR30" s="11" t="n">
        <f aca="false">(((((((((((((((((((((((((CR4)+(CR5))+(CR6))+(CR7))+(CR8))+(CR9))+(CR10))+(CR11))+(CR12))+(CR13))+(CR14))+(CR15))+(CR16))+(CR17))+(CR18))+(CR19))+(CR20))+(CR21))+(CR22))+(CR23))+(CR24))+(CR25))+(CR26))+(CR27))+(CR28))+(CR29)</f>
        <v>-693.9</v>
      </c>
      <c r="CS30" s="11" t="n">
        <f aca="false">(((((((((((((((((((((((((CS4)+(CS5))+(CS6))+(CS7))+(CS8))+(CS9))+(CS10))+(CS11))+(CS12))+(CS13))+(CS14))+(CS15))+(CS16))+(CS17))+(CS18))+(CS19))+(CS20))+(CS21))+(CS22))+(CS23))+(CS24))+(CS25))+(CS26))+(CS27))+(CS28))+(CS29)</f>
        <v>811.8</v>
      </c>
      <c r="CT30" s="11" t="n">
        <f aca="false">(((((((((((((((((((((((((CT4)+(CT5))+(CT6))+(CT7))+(CT8))+(CT9))+(CT10))+(CT11))+(CT12))+(CT13))+(CT14))+(CT15))+(CT16))+(CT17))+(CT18))+(CT19))+(CT20))+(CT21))+(CT22))+(CT23))+(CT24))+(CT25))+(CT26))+(CT27))+(CT28))+(CT29)</f>
        <v>231.02</v>
      </c>
      <c r="CU30" s="11" t="n">
        <f aca="false">(((((((((((((((((((((((((CU4)+(CU5))+(CU6))+(CU7))+(CU8))+(CU9))+(CU10))+(CU11))+(CU12))+(CU13))+(CU14))+(CU15))+(CU16))+(CU17))+(CU18))+(CU19))+(CU20))+(CU21))+(CU22))+(CU23))+(CU24))+(CU25))+(CU26))+(CU27))+(CU28))+(CU29)</f>
        <v>-2270.45</v>
      </c>
      <c r="CV30" s="11" t="n">
        <f aca="false">(((((((((((((((((((((((((CV4)+(CV5))+(CV6))+(CV7))+(CV8))+(CV9))+(CV10))+(CV11))+(CV12))+(CV13))+(CV14))+(CV15))+(CV16))+(CV17))+(CV18))+(CV19))+(CV20))+(CV21))+(CV22))+(CV23))+(CV24))+(CV25))+(CV26))+(CV27))+(CV28))+(CV29)</f>
        <v>2582.63</v>
      </c>
      <c r="CW30" s="11" t="n">
        <f aca="false">(((((((((((((((((((((((((CW4)+(CW5))+(CW6))+(CW7))+(CW8))+(CW9))+(CW10))+(CW11))+(CW12))+(CW13))+(CW14))+(CW15))+(CW16))+(CW17))+(CW18))+(CW19))+(CW20))+(CW21))+(CW22))+(CW23))+(CW24))+(CW25))+(CW26))+(CW27))+(CW28))+(CW29)</f>
        <v>3573.74</v>
      </c>
      <c r="CX30" s="11" t="n">
        <f aca="false">(((((((((((((((((((((((((CX4)+(CX5))+(CX6))+(CX7))+(CX8))+(CX9))+(CX10))+(CX11))+(CX12))+(CX13))+(CX14))+(CX15))+(CX16))+(CX17))+(CX18))+(CX19))+(CX20))+(CX21))+(CX22))+(CX23))+(CX24))+(CX25))+(CX26))+(CX27))+(CX28))+(CX29)</f>
        <v>652.57</v>
      </c>
      <c r="CY30" s="11" t="n">
        <f aca="false">(((((((((((((((((((((((((CY4)+(CY5))+(CY6))+(CY7))+(CY8))+(CY9))+(CY10))+(CY11))+(CY12))+(CY13))+(CY14))+(CY15))+(CY16))+(CY17))+(CY18))+(CY19))+(CY20))+(CY21))+(CY22))+(CY23))+(CY24))+(CY25))+(CY26))+(CY27))+(CY28))+(CY29)</f>
        <v>3188.55</v>
      </c>
      <c r="CZ30" s="11" t="n">
        <f aca="false">(((((((((((((((((((((((((CZ4)+(CZ5))+(CZ6))+(CZ7))+(CZ8))+(CZ9))+(CZ10))+(CZ11))+(CZ12))+(CZ13))+(CZ14))+(CZ15))+(CZ16))+(CZ17))+(CZ18))+(CZ19))+(CZ20))+(CZ21))+(CZ22))+(CZ23))+(CZ24))+(CZ25))+(CZ26))+(CZ27))+(CZ28))+(CZ29)</f>
        <v>510.2</v>
      </c>
      <c r="DA30" s="11" t="n">
        <f aca="false">(((((((((((((((((((((((((DA4)+(DA5))+(DA6))+(DA7))+(DA8))+(DA9))+(DA10))+(DA11))+(DA12))+(DA13))+(DA14))+(DA15))+(DA16))+(DA17))+(DA18))+(DA19))+(DA20))+(DA21))+(DA22))+(DA23))+(DA24))+(DA25))+(DA26))+(DA27))+(DA28))+(DA29)</f>
        <v>-820.7</v>
      </c>
      <c r="DB30" s="11" t="n">
        <f aca="false">(((((((((((((((((((((((((DB4)+(DB5))+(DB6))+(DB7))+(DB8))+(DB9))+(DB10))+(DB11))+(DB12))+(DB13))+(DB14))+(DB15))+(DB16))+(DB17))+(DB18))+(DB19))+(DB20))+(DB21))+(DB22))+(DB23))+(DB24))+(DB25))+(DB26))+(DB27))+(DB28))+(DB29)</f>
        <v>458.22</v>
      </c>
      <c r="DC30" s="11" t="n">
        <f aca="false">(((((((((((((((((((((((((DC4)+(DC5))+(DC6))+(DC7))+(DC8))+(DC9))+(DC10))+(DC11))+(DC12))+(DC13))+(DC14))+(DC15))+(DC16))+(DC17))+(DC18))+(DC19))+(DC20))+(DC21))+(DC22))+(DC23))+(DC24))+(DC25))+(DC26))+(DC27))+(DC28))+(DC29)</f>
        <v>3454</v>
      </c>
      <c r="DD30" s="11" t="n">
        <f aca="false">(((((((((((((((((((((((((DD4)+(DD5))+(DD6))+(DD7))+(DD8))+(DD9))+(DD10))+(DD11))+(DD12))+(DD13))+(DD14))+(DD15))+(DD16))+(DD17))+(DD18))+(DD19))+(DD20))+(DD21))+(DD22))+(DD23))+(DD24))+(DD25))+(DD26))+(DD27))+(DD28))+(DD29)</f>
        <v>7245.63</v>
      </c>
      <c r="DE30" s="11" t="n">
        <f aca="false">(((((((((((((((((((((((((DE4)+(DE5))+(DE6))+(DE7))+(DE8))+(DE9))+(DE10))+(DE11))+(DE12))+(DE13))+(DE14))+(DE15))+(DE16))+(DE17))+(DE18))+(DE19))+(DE20))+(DE21))+(DE22))+(DE23))+(DE24))+(DE25))+(DE26))+(DE27))+(DE28))+(DE29)</f>
        <v>922.59</v>
      </c>
      <c r="DF30" s="11" t="n">
        <f aca="false">(((((((((((((((((((((((((DF4)+(DF5))+(DF6))+(DF7))+(DF8))+(DF9))+(DF10))+(DF11))+(DF12))+(DF13))+(DF14))+(DF15))+(DF16))+(DF17))+(DF18))+(DF19))+(DF20))+(DF21))+(DF22))+(DF23))+(DF24))+(DF25))+(DF26))+(DF27))+(DF28))+(DF29)</f>
        <v>1774.08</v>
      </c>
      <c r="DG30" s="11" t="n">
        <f aca="false">(((((((((((((((((((((((((DG4)+(DG5))+(DG6))+(DG7))+(DG8))+(DG9))+(DG10))+(DG11))+(DG12))+(DG13))+(DG14))+(DG15))+(DG16))+(DG17))+(DG18))+(DG19))+(DG20))+(DG21))+(DG22))+(DG23))+(DG24))+(DG25))+(DG26))+(DG27))+(DG28))+(DG29)</f>
        <v>924.72</v>
      </c>
      <c r="DH30" s="11" t="n">
        <f aca="false">(((((((((((((((((((((((((DH4)+(DH5))+(DH6))+(DH7))+(DH8))+(DH9))+(DH10))+(DH11))+(DH12))+(DH13))+(DH14))+(DH15))+(DH16))+(DH17))+(DH18))+(DH19))+(DH20))+(DH21))+(DH22))+(DH23))+(DH24))+(DH25))+(DH26))+(DH27))+(DH28))+(DH29)</f>
        <v>550.84</v>
      </c>
      <c r="DI30" s="11" t="n">
        <f aca="false">(((((((((((((((((((((((((DI4)+(DI5))+(DI6))+(DI7))+(DI8))+(DI9))+(DI10))+(DI11))+(DI12))+(DI13))+(DI14))+(DI15))+(DI16))+(DI17))+(DI18))+(DI19))+(DI20))+(DI21))+(DI22))+(DI23))+(DI24))+(DI25))+(DI26))+(DI27))+(DI28))+(DI29)</f>
        <v>657.99</v>
      </c>
      <c r="DJ30" s="11" t="n">
        <f aca="false">(((((((((((((((((((((((((DJ4)+(DJ5))+(DJ6))+(DJ7))+(DJ8))+(DJ9))+(DJ10))+(DJ11))+(DJ12))+(DJ13))+(DJ14))+(DJ15))+(DJ16))+(DJ17))+(DJ18))+(DJ19))+(DJ20))+(DJ21))+(DJ22))+(DJ23))+(DJ24))+(DJ25))+(DJ26))+(DJ27))+(DJ28))+(DJ29)</f>
        <v>645.98</v>
      </c>
      <c r="DK30" s="11" t="n">
        <f aca="false">(((((((((((((((((((((((((DK4)+(DK5))+(DK6))+(DK7))+(DK8))+(DK9))+(DK10))+(DK11))+(DK12))+(DK13))+(DK14))+(DK15))+(DK16))+(DK17))+(DK18))+(DK19))+(DK20))+(DK21))+(DK22))+(DK23))+(DK24))+(DK25))+(DK26))+(DK27))+(DK28))+(DK29)</f>
        <v>3415.79</v>
      </c>
      <c r="DL30" s="11" t="n">
        <f aca="false">(((((((((((((((((((((((((DL4)+(DL5))+(DL6))+(DL7))+(DL8))+(DL9))+(DL10))+(DL11))+(DL12))+(DL13))+(DL14))+(DL15))+(DL16))+(DL17))+(DL18))+(DL19))+(DL20))+(DL21))+(DL22))+(DL23))+(DL24))+(DL25))+(DL26))+(DL27))+(DL28))+(DL29)</f>
        <v>-744.92</v>
      </c>
      <c r="DM30" s="11" t="n">
        <f aca="false">(((((((((((((((((((((((((DM4)+(DM5))+(DM6))+(DM7))+(DM8))+(DM9))+(DM10))+(DM11))+(DM12))+(DM13))+(DM14))+(DM15))+(DM16))+(DM17))+(DM18))+(DM19))+(DM20))+(DM21))+(DM22))+(DM23))+(DM24))+(DM25))+(DM26))+(DM27))+(DM28))+(DM29)</f>
        <v>2098.35</v>
      </c>
      <c r="DN30" s="11" t="n">
        <f aca="false">(((((((((((((((((((((((((DN4)+(DN5))+(DN6))+(DN7))+(DN8))+(DN9))+(DN10))+(DN11))+(DN12))+(DN13))+(DN14))+(DN15))+(DN16))+(DN17))+(DN18))+(DN19))+(DN20))+(DN21))+(DN22))+(DN23))+(DN24))+(DN25))+(DN26))+(DN27))+(DN28))+(DN29)</f>
        <v>1082.89</v>
      </c>
      <c r="DO30" s="11" t="n">
        <f aca="false">(((((((((((((((((((((((((DO4)+(DO5))+(DO6))+(DO7))+(DO8))+(DO9))+(DO10))+(DO11))+(DO12))+(DO13))+(DO14))+(DO15))+(DO16))+(DO17))+(DO18))+(DO19))+(DO20))+(DO21))+(DO22))+(DO23))+(DO24))+(DO25))+(DO26))+(DO27))+(DO28))+(DO29)</f>
        <v>39144.88</v>
      </c>
      <c r="DP30" s="11" t="n">
        <f aca="false">(((((((((((((((((((((((((DP4)+(DP5))+(DP6))+(DP7))+(DP8))+(DP9))+(DP10))+(DP11))+(DP12))+(DP13))+(DP14))+(DP15))+(DP16))+(DP17))+(DP18))+(DP19))+(DP20))+(DP21))+(DP22))+(DP23))+(DP24))+(DP25))+(DP26))+(DP27))+(DP28))+(DP29)</f>
        <v>0</v>
      </c>
      <c r="DQ30" s="11" t="n">
        <f aca="false">(((((((((((((((((((((((((DQ4)+(DQ5))+(DQ6))+(DQ7))+(DQ8))+(DQ9))+(DQ10))+(DQ11))+(DQ12))+(DQ13))+(DQ14))+(DQ15))+(DQ16))+(DQ17))+(DQ18))+(DQ19))+(DQ20))+(DQ21))+(DQ22))+(DQ23))+(DQ24))+(DQ25))+(DQ26))+(DQ27))+(DQ28))+(DQ29)</f>
        <v>-17110.08</v>
      </c>
      <c r="DR30" s="11" t="n">
        <f aca="false">(((((((((((((((((((((((((DR4)+(DR5))+(DR6))+(DR7))+(DR8))+(DR9))+(DR10))+(DR11))+(DR12))+(DR13))+(DR14))+(DR15))+(DR16))+(DR17))+(DR18))+(DR19))+(DR20))+(DR21))+(DR22))+(DR23))+(DR24))+(DR25))+(DR26))+(DR27))+(DR28))+(DR29)</f>
        <v>-25443.34</v>
      </c>
      <c r="DS30" s="11" t="n">
        <f aca="false">(((((((((((((((((((((((((DS4)+(DS5))+(DS6))+(DS7))+(DS8))+(DS9))+(DS10))+(DS11))+(DS12))+(DS13))+(DS14))+(DS15))+(DS16))+(DS17))+(DS18))+(DS19))+(DS20))+(DS21))+(DS22))+(DS23))+(DS24))+(DS25))+(DS26))+(DS27))+(DS28))+(DS29)</f>
        <v>1989.94</v>
      </c>
      <c r="DT30" s="11" t="n">
        <f aca="false">(((((((((((((((((((((((((DT4)+(DT5))+(DT6))+(DT7))+(DT8))+(DT9))+(DT10))+(DT11))+(DT12))+(DT13))+(DT14))+(DT15))+(DT16))+(DT17))+(DT18))+(DT19))+(DT20))+(DT21))+(DT22))+(DT23))+(DT24))+(DT25))+(DT26))+(DT27))+(DT28))+(DT29)</f>
        <v>3343.69</v>
      </c>
      <c r="DU30" s="11" t="n">
        <f aca="false">(((((((((((((((((((((((((DU4)+(DU5))+(DU6))+(DU7))+(DU8))+(DU9))+(DU10))+(DU11))+(DU12))+(DU13))+(DU14))+(DU15))+(DU16))+(DU17))+(DU18))+(DU19))+(DU20))+(DU21))+(DU22))+(DU23))+(DU24))+(DU25))+(DU26))+(DU27))+(DU28))+(DU29)</f>
        <v>971.37</v>
      </c>
      <c r="DV30" s="11" t="n">
        <f aca="false">(((((((((((((((((((((((((DV4)+(DV5))+(DV6))+(DV7))+(DV8))+(DV9))+(DV10))+(DV11))+(DV12))+(DV13))+(DV14))+(DV15))+(DV16))+(DV17))+(DV18))+(DV19))+(DV20))+(DV21))+(DV22))+(DV23))+(DV24))+(DV25))+(DV26))+(DV27))+(DV28))+(DV29)</f>
        <v>19.41</v>
      </c>
      <c r="DW30" s="11" t="n">
        <f aca="false">(((((((((((((((((((((((((DW4)+(DW5))+(DW6))+(DW7))+(DW8))+(DW9))+(DW10))+(DW11))+(DW12))+(DW13))+(DW14))+(DW15))+(DW16))+(DW17))+(DW18))+(DW19))+(DW20))+(DW21))+(DW22))+(DW23))+(DW24))+(DW25))+(DW26))+(DW27))+(DW28))+(DW29)</f>
        <v>-1453.23</v>
      </c>
      <c r="DX30" s="11" t="n">
        <f aca="false">(((((((((((((((((((((((((DX4)+(DX5))+(DX6))+(DX7))+(DX8))+(DX9))+(DX10))+(DX11))+(DX12))+(DX13))+(DX14))+(DX15))+(DX16))+(DX17))+(DX18))+(DX19))+(DX20))+(DX21))+(DX22))+(DX23))+(DX24))+(DX25))+(DX26))+(DX27))+(DX28))+(DX29)</f>
        <v>1919.22</v>
      </c>
      <c r="DY30" s="11" t="n">
        <f aca="false">(((((((((((((((((((((((((DY4)+(DY5))+(DY6))+(DY7))+(DY8))+(DY9))+(DY10))+(DY11))+(DY12))+(DY13))+(DY14))+(DY15))+(DY16))+(DY17))+(DY18))+(DY19))+(DY20))+(DY21))+(DY22))+(DY23))+(DY24))+(DY25))+(DY26))+(DY27))+(DY28))+(DY29)</f>
        <v>2990.88</v>
      </c>
      <c r="DZ30" s="11" t="n">
        <f aca="false">(((((((((((((((((((((((((DZ4)+(DZ5))+(DZ6))+(DZ7))+(DZ8))+(DZ9))+(DZ10))+(DZ11))+(DZ12))+(DZ13))+(DZ14))+(DZ15))+(DZ16))+(DZ17))+(DZ18))+(DZ19))+(DZ20))+(DZ21))+(DZ22))+(DZ23))+(DZ24))+(DZ25))+(DZ26))+(DZ27))+(DZ28))+(DZ29)</f>
        <v>1652.95</v>
      </c>
      <c r="EA30" s="11" t="n">
        <f aca="false">(((((((((((((((((((((((((EA4)+(EA5))+(EA6))+(EA7))+(EA8))+(EA9))+(EA10))+(EA11))+(EA12))+(EA13))+(EA14))+(EA15))+(EA16))+(EA17))+(EA18))+(EA19))+(EA20))+(EA21))+(EA22))+(EA23))+(EA24))+(EA25))+(EA26))+(EA27))+(EA28))+(EA29)</f>
        <v>1494.34</v>
      </c>
      <c r="EB30" s="11" t="n">
        <f aca="false">(((((((((((((((((((((((((EB4)+(EB5))+(EB6))+(EB7))+(EB8))+(EB9))+(EB10))+(EB11))+(EB12))+(EB13))+(EB14))+(EB15))+(EB16))+(EB17))+(EB18))+(EB19))+(EB20))+(EB21))+(EB22))+(EB23))+(EB24))+(EB25))+(EB26))+(EB27))+(EB28))+(EB29)</f>
        <v>3470.96</v>
      </c>
      <c r="EC30" s="11" t="n">
        <f aca="false">(((((((((((((((((((((((((EC4)+(EC5))+(EC6))+(EC7))+(EC8))+(EC9))+(EC10))+(EC11))+(EC12))+(EC13))+(EC14))+(EC15))+(EC16))+(EC17))+(EC18))+(EC19))+(EC20))+(EC21))+(EC22))+(EC23))+(EC24))+(EC25))+(EC26))+(EC27))+(EC28))+(EC29)</f>
        <v>94.86</v>
      </c>
      <c r="ED30" s="11" t="n">
        <f aca="false">(((((((((((((((((((((((((ED4)+(ED5))+(ED6))+(ED7))+(ED8))+(ED9))+(ED10))+(ED11))+(ED12))+(ED13))+(ED14))+(ED15))+(ED16))+(ED17))+(ED18))+(ED19))+(ED20))+(ED21))+(ED22))+(ED23))+(ED24))+(ED25))+(ED26))+(ED27))+(ED28))+(ED29)</f>
        <v>34</v>
      </c>
      <c r="EE30" s="11" t="n">
        <f aca="false">(((((((((((((((((((((((((EE4)+(EE5))+(EE6))+(EE7))+(EE8))+(EE9))+(EE10))+(EE11))+(EE12))+(EE13))+(EE14))+(EE15))+(EE16))+(EE17))+(EE18))+(EE19))+(EE20))+(EE21))+(EE22))+(EE23))+(EE24))+(EE25))+(EE26))+(EE27))+(EE28))+(EE29)</f>
        <v>1689</v>
      </c>
      <c r="EF30" s="11" t="n">
        <f aca="false">(((((((((((((((((((((((((EF4)+(EF5))+(EF6))+(EF7))+(EF8))+(EF9))+(EF10))+(EF11))+(EF12))+(EF13))+(EF14))+(EF15))+(EF16))+(EF17))+(EF18))+(EF19))+(EF20))+(EF21))+(EF22))+(EF23))+(EF24))+(EF25))+(EF26))+(EF27))+(EF28))+(EF29)</f>
        <v>7520.38</v>
      </c>
      <c r="EG30" s="11" t="n">
        <f aca="false">(((((((((((((((((((((((((EG4)+(EG5))+(EG6))+(EG7))+(EG8))+(EG9))+(EG10))+(EG11))+(EG12))+(EG13))+(EG14))+(EG15))+(EG16))+(EG17))+(EG18))+(EG19))+(EG20))+(EG21))+(EG22))+(EG23))+(EG24))+(EG25))+(EG26))+(EG27))+(EG28))+(EG29)</f>
        <v>-22.18</v>
      </c>
      <c r="EH30" s="11" t="n">
        <f aca="false">(((((((((((((((((((((((((EH4)+(EH5))+(EH6))+(EH7))+(EH8))+(EH9))+(EH10))+(EH11))+(EH12))+(EH13))+(EH14))+(EH15))+(EH16))+(EH17))+(EH18))+(EH19))+(EH20))+(EH21))+(EH22))+(EH23))+(EH24))+(EH25))+(EH26))+(EH27))+(EH28))+(EH29)</f>
        <v>2394.53</v>
      </c>
      <c r="EI30" s="11" t="n">
        <f aca="false">(((((((((((((((((((((((((EI4)+(EI5))+(EI6))+(EI7))+(EI8))+(EI9))+(EI10))+(EI11))+(EI12))+(EI13))+(EI14))+(EI15))+(EI16))+(EI17))+(EI18))+(EI19))+(EI20))+(EI21))+(EI22))+(EI23))+(EI24))+(EI25))+(EI26))+(EI27))+(EI28))+(EI29)</f>
        <v>839.21</v>
      </c>
      <c r="EJ30" s="11" t="n">
        <f aca="false">(((((((((((((((((((((((((EJ4)+(EJ5))+(EJ6))+(EJ7))+(EJ8))+(EJ9))+(EJ10))+(EJ11))+(EJ12))+(EJ13))+(EJ14))+(EJ15))+(EJ16))+(EJ17))+(EJ18))+(EJ19))+(EJ20))+(EJ21))+(EJ22))+(EJ23))+(EJ24))+(EJ25))+(EJ26))+(EJ27))+(EJ28))+(EJ29)</f>
        <v>0</v>
      </c>
      <c r="EK30" s="11" t="n">
        <f aca="false">(((((((((((((((((((((((((EK4)+(EK5))+(EK6))+(EK7))+(EK8))+(EK9))+(EK10))+(EK11))+(EK12))+(EK13))+(EK14))+(EK15))+(EK16))+(EK17))+(EK18))+(EK19))+(EK20))+(EK21))+(EK22))+(EK23))+(EK24))+(EK25))+(EK26))+(EK27))+(EK28))+(EK29)</f>
        <v>803.78</v>
      </c>
      <c r="EL30" s="11" t="n">
        <f aca="false">(((((((((((((((((((((((((EL4)+(EL5))+(EL6))+(EL7))+(EL8))+(EL9))+(EL10))+(EL11))+(EL12))+(EL13))+(EL14))+(EL15))+(EL16))+(EL17))+(EL18))+(EL19))+(EL20))+(EL21))+(EL22))+(EL23))+(EL24))+(EL25))+(EL26))+(EL27))+(EL28))+(EL29)</f>
        <v>-13712.43</v>
      </c>
      <c r="EM30" s="11" t="n">
        <f aca="false">(((((((((((((((((((((((((EM4)+(EM5))+(EM6))+(EM7))+(EM8))+(EM9))+(EM10))+(EM11))+(EM12))+(EM13))+(EM14))+(EM15))+(EM16))+(EM17))+(EM18))+(EM19))+(EM20))+(EM21))+(EM22))+(EM23))+(EM24))+(EM25))+(EM26))+(EM27))+(EM28))+(EM29)</f>
        <v>2808.7</v>
      </c>
      <c r="EN30" s="11" t="n">
        <f aca="false">(((((((((((((((((((((((((EN4)+(EN5))+(EN6))+(EN7))+(EN8))+(EN9))+(EN10))+(EN11))+(EN12))+(EN13))+(EN14))+(EN15))+(EN16))+(EN17))+(EN18))+(EN19))+(EN20))+(EN21))+(EN22))+(EN23))+(EN24))+(EN25))+(EN26))+(EN27))+(EN28))+(EN29)</f>
        <v>-837.39</v>
      </c>
      <c r="EO30" s="11" t="n">
        <f aca="false">(((((((((((((((((((((((((EO4)+(EO5))+(EO6))+(EO7))+(EO8))+(EO9))+(EO10))+(EO11))+(EO12))+(EO13))+(EO14))+(EO15))+(EO16))+(EO17))+(EO18))+(EO19))+(EO20))+(EO21))+(EO22))+(EO23))+(EO24))+(EO25))+(EO26))+(EO27))+(EO28))+(EO29)</f>
        <v>722.88</v>
      </c>
      <c r="EP30" s="11" t="n">
        <f aca="false">(((((((((((((((((((((((((EP4)+(EP5))+(EP6))+(EP7))+(EP8))+(EP9))+(EP10))+(EP11))+(EP12))+(EP13))+(EP14))+(EP15))+(EP16))+(EP17))+(EP18))+(EP19))+(EP20))+(EP21))+(EP22))+(EP23))+(EP24))+(EP25))+(EP26))+(EP27))+(EP28))+(EP29)</f>
        <v>488.15</v>
      </c>
      <c r="EQ30" s="11" t="n">
        <f aca="false">(((((((((((((((((((((((((EQ4)+(EQ5))+(EQ6))+(EQ7))+(EQ8))+(EQ9))+(EQ10))+(EQ11))+(EQ12))+(EQ13))+(EQ14))+(EQ15))+(EQ16))+(EQ17))+(EQ18))+(EQ19))+(EQ20))+(EQ21))+(EQ22))+(EQ23))+(EQ24))+(EQ25))+(EQ26))+(EQ27))+(EQ28))+(EQ29)</f>
        <v>1814.52</v>
      </c>
      <c r="ER30" s="11" t="n">
        <f aca="false">(((((((((((((((((((((((((ER4)+(ER5))+(ER6))+(ER7))+(ER8))+(ER9))+(ER10))+(ER11))+(ER12))+(ER13))+(ER14))+(ER15))+(ER16))+(ER17))+(ER18))+(ER19))+(ER20))+(ER21))+(ER22))+(ER23))+(ER24))+(ER25))+(ER26))+(ER27))+(ER28))+(ER29)</f>
        <v>227.61</v>
      </c>
      <c r="ES30" s="11" t="n">
        <f aca="false">(((((((((((((((((((((((((ES4)+(ES5))+(ES6))+(ES7))+(ES8))+(ES9))+(ES10))+(ES11))+(ES12))+(ES13))+(ES14))+(ES15))+(ES16))+(ES17))+(ES18))+(ES19))+(ES20))+(ES21))+(ES22))+(ES23))+(ES24))+(ES25))+(ES26))+(ES27))+(ES28))+(ES29)</f>
        <v>265.5</v>
      </c>
      <c r="ET30" s="11" t="n">
        <f aca="false">(((((((((((((((((((((((((ET4)+(ET5))+(ET6))+(ET7))+(ET8))+(ET9))+(ET10))+(ET11))+(ET12))+(ET13))+(ET14))+(ET15))+(ET16))+(ET17))+(ET18))+(ET19))+(ET20))+(ET21))+(ET22))+(ET23))+(ET24))+(ET25))+(ET26))+(ET27))+(ET28))+(ET29)</f>
        <v>1443.1</v>
      </c>
      <c r="EU30" s="11" t="n">
        <f aca="false">(((((((((((((((((((((((((EU4)+(EU5))+(EU6))+(EU7))+(EU8))+(EU9))+(EU10))+(EU11))+(EU12))+(EU13))+(EU14))+(EU15))+(EU16))+(EU17))+(EU18))+(EU19))+(EU20))+(EU21))+(EU22))+(EU23))+(EU24))+(EU25))+(EU26))+(EU27))+(EU28))+(EU29)</f>
        <v>5843.73</v>
      </c>
      <c r="EV30" s="11" t="n">
        <f aca="false">(((((((((((((((((((((((((EV4)+(EV5))+(EV6))+(EV7))+(EV8))+(EV9))+(EV10))+(EV11))+(EV12))+(EV13))+(EV14))+(EV15))+(EV16))+(EV17))+(EV18))+(EV19))+(EV20))+(EV21))+(EV22))+(EV23))+(EV24))+(EV25))+(EV26))+(EV27))+(EV28))+(EV29)</f>
        <v>1853.47</v>
      </c>
      <c r="EW30" s="11" t="n">
        <f aca="false">(((((((((((((((((((((((((EW4)+(EW5))+(EW6))+(EW7))+(EW8))+(EW9))+(EW10))+(EW11))+(EW12))+(EW13))+(EW14))+(EW15))+(EW16))+(EW17))+(EW18))+(EW19))+(EW20))+(EW21))+(EW22))+(EW23))+(EW24))+(EW25))+(EW26))+(EW27))+(EW28))+(EW29)</f>
        <v>-34886.79</v>
      </c>
      <c r="EX30" s="11" t="n">
        <f aca="false">(((((((((((((((((((((((((EX4)+(EX5))+(EX6))+(EX7))+(EX8))+(EX9))+(EX10))+(EX11))+(EX12))+(EX13))+(EX14))+(EX15))+(EX16))+(EX17))+(EX18))+(EX19))+(EX20))+(EX21))+(EX22))+(EX23))+(EX24))+(EX25))+(EX26))+(EX27))+(EX28))+(EX29)</f>
        <v>492.68</v>
      </c>
      <c r="EY30" s="11" t="n">
        <f aca="false">(((((((((((((((((((((((((EY4)+(EY5))+(EY6))+(EY7))+(EY8))+(EY9))+(EY10))+(EY11))+(EY12))+(EY13))+(EY14))+(EY15))+(EY16))+(EY17))+(EY18))+(EY19))+(EY20))+(EY21))+(EY22))+(EY23))+(EY24))+(EY25))+(EY26))+(EY27))+(EY28))+(EY29)</f>
        <v>277.59</v>
      </c>
      <c r="EZ30" s="11" t="n">
        <f aca="false">(((((((((((((((((((((((((EZ4)+(EZ5))+(EZ6))+(EZ7))+(EZ8))+(EZ9))+(EZ10))+(EZ11))+(EZ12))+(EZ13))+(EZ14))+(EZ15))+(EZ16))+(EZ17))+(EZ18))+(EZ19))+(EZ20))+(EZ21))+(EZ22))+(EZ23))+(EZ24))+(EZ25))+(EZ26))+(EZ27))+(EZ28))+(EZ29)</f>
        <v>1287.73</v>
      </c>
      <c r="FA30" s="11" t="n">
        <f aca="false">(((((((((((((((((((((((((FA4)+(FA5))+(FA6))+(FA7))+(FA8))+(FA9))+(FA10))+(FA11))+(FA12))+(FA13))+(FA14))+(FA15))+(FA16))+(FA17))+(FA18))+(FA19))+(FA20))+(FA21))+(FA22))+(FA23))+(FA24))+(FA25))+(FA26))+(FA27))+(FA28))+(FA29)</f>
        <v>2744.89</v>
      </c>
      <c r="FB30" s="11" t="n">
        <f aca="false">(((((((((((((((((((((((((FB4)+(FB5))+(FB6))+(FB7))+(FB8))+(FB9))+(FB10))+(FB11))+(FB12))+(FB13))+(FB14))+(FB15))+(FB16))+(FB17))+(FB18))+(FB19))+(FB20))+(FB21))+(FB22))+(FB23))+(FB24))+(FB25))+(FB26))+(FB27))+(FB28))+(FB29)</f>
        <v>3883.14</v>
      </c>
      <c r="FC30" s="11" t="n">
        <f aca="false">(((((((((((((((((((((((((FC4)+(FC5))+(FC6))+(FC7))+(FC8))+(FC9))+(FC10))+(FC11))+(FC12))+(FC13))+(FC14))+(FC15))+(FC16))+(FC17))+(FC18))+(FC19))+(FC20))+(FC21))+(FC22))+(FC23))+(FC24))+(FC25))+(FC26))+(FC27))+(FC28))+(FC29)</f>
        <v>4546.66</v>
      </c>
      <c r="FD30" s="11" t="n">
        <f aca="false">(((((((((((((((((((((((((FD4)+(FD5))+(FD6))+(FD7))+(FD8))+(FD9))+(FD10))+(FD11))+(FD12))+(FD13))+(FD14))+(FD15))+(FD16))+(FD17))+(FD18))+(FD19))+(FD20))+(FD21))+(FD22))+(FD23))+(FD24))+(FD25))+(FD26))+(FD27))+(FD28))+(FD29)</f>
        <v>-2446.02</v>
      </c>
      <c r="FE30" s="11" t="n">
        <f aca="false">(((((((((((((((((((((((((FE4)+(FE5))+(FE6))+(FE7))+(FE8))+(FE9))+(FE10))+(FE11))+(FE12))+(FE13))+(FE14))+(FE15))+(FE16))+(FE17))+(FE18))+(FE19))+(FE20))+(FE21))+(FE22))+(FE23))+(FE24))+(FE25))+(FE26))+(FE27))+(FE28))+(FE29)</f>
        <v>228.39</v>
      </c>
      <c r="FF30" s="11" t="n">
        <f aca="false">(((((((((((((((((((((((((FF4)+(FF5))+(FF6))+(FF7))+(FF8))+(FF9))+(FF10))+(FF11))+(FF12))+(FF13))+(FF14))+(FF15))+(FF16))+(FF17))+(FF18))+(FF19))+(FF20))+(FF21))+(FF22))+(FF23))+(FF24))+(FF25))+(FF26))+(FF27))+(FF28))+(FF29)</f>
        <v>260.2</v>
      </c>
      <c r="FG30" s="11" t="n">
        <f aca="false">(((((((((((((((((((((((((FG4)+(FG5))+(FG6))+(FG7))+(FG8))+(FG9))+(FG10))+(FG11))+(FG12))+(FG13))+(FG14))+(FG15))+(FG16))+(FG17))+(FG18))+(FG19))+(FG20))+(FG21))+(FG22))+(FG23))+(FG24))+(FG25))+(FG26))+(FG27))+(FG28))+(FG29)</f>
        <v>1247.55</v>
      </c>
      <c r="FH30" s="11" t="n">
        <f aca="false">(((((((((((((((((((((((((FH4)+(FH5))+(FH6))+(FH7))+(FH8))+(FH9))+(FH10))+(FH11))+(FH12))+(FH13))+(FH14))+(FH15))+(FH16))+(FH17))+(FH18))+(FH19))+(FH20))+(FH21))+(FH22))+(FH23))+(FH24))+(FH25))+(FH26))+(FH27))+(FH28))+(FH29)</f>
        <v>4386.06</v>
      </c>
      <c r="FI30" s="11" t="n">
        <f aca="false">(((((((((((((((((((((((((FI4)+(FI5))+(FI6))+(FI7))+(FI8))+(FI9))+(FI10))+(FI11))+(FI12))+(FI13))+(FI14))+(FI15))+(FI16))+(FI17))+(FI18))+(FI19))+(FI20))+(FI21))+(FI22))+(FI23))+(FI24))+(FI25))+(FI26))+(FI27))+(FI28))+(FI29)</f>
        <v>2634.45</v>
      </c>
      <c r="FJ30" s="11" t="n">
        <f aca="false">(((((((((((((((((((((((((FJ4)+(FJ5))+(FJ6))+(FJ7))+(FJ8))+(FJ9))+(FJ10))+(FJ11))+(FJ12))+(FJ13))+(FJ14))+(FJ15))+(FJ16))+(FJ17))+(FJ18))+(FJ19))+(FJ20))+(FJ21))+(FJ22))+(FJ23))+(FJ24))+(FJ25))+(FJ26))+(FJ27))+(FJ28))+(FJ29)</f>
        <v>569.93</v>
      </c>
      <c r="FK30" s="11" t="n">
        <f aca="false">(((((((((((((((((((((((((FK4)+(FK5))+(FK6))+(FK7))+(FK8))+(FK9))+(FK10))+(FK11))+(FK12))+(FK13))+(FK14))+(FK15))+(FK16))+(FK17))+(FK18))+(FK19))+(FK20))+(FK21))+(FK22))+(FK23))+(FK24))+(FK25))+(FK26))+(FK27))+(FK28))+(FK29)</f>
        <v>2308.23</v>
      </c>
      <c r="FL30" s="11" t="n">
        <f aca="false">(((((((((((((((((((((((((FL4)+(FL5))+(FL6))+(FL7))+(FL8))+(FL9))+(FL10))+(FL11))+(FL12))+(FL13))+(FL14))+(FL15))+(FL16))+(FL17))+(FL18))+(FL19))+(FL20))+(FL21))+(FL22))+(FL23))+(FL24))+(FL25))+(FL26))+(FL27))+(FL28))+(FL29)</f>
        <v>-1109.7</v>
      </c>
      <c r="FM30" s="11" t="n">
        <f aca="false">(((((((((((((((((((((((((FM4)+(FM5))+(FM6))+(FM7))+(FM8))+(FM9))+(FM10))+(FM11))+(FM12))+(FM13))+(FM14))+(FM15))+(FM16))+(FM17))+(FM18))+(FM19))+(FM20))+(FM21))+(FM22))+(FM23))+(FM24))+(FM25))+(FM26))+(FM27))+(FM28))+(FM29)</f>
        <v>60.51</v>
      </c>
      <c r="FN30" s="11" t="n">
        <f aca="false">(((((((((((((((((((((((((FN4)+(FN5))+(FN6))+(FN7))+(FN8))+(FN9))+(FN10))+(FN11))+(FN12))+(FN13))+(FN14))+(FN15))+(FN16))+(FN17))+(FN18))+(FN19))+(FN20))+(FN21))+(FN22))+(FN23))+(FN24))+(FN25))+(FN26))+(FN27))+(FN28))+(FN29)</f>
        <v>-973.47</v>
      </c>
      <c r="FO30" s="11" t="n">
        <f aca="false">(((((((((((((((((((((((((FO4)+(FO5))+(FO6))+(FO7))+(FO8))+(FO9))+(FO10))+(FO11))+(FO12))+(FO13))+(FO14))+(FO15))+(FO16))+(FO17))+(FO18))+(FO19))+(FO20))+(FO21))+(FO22))+(FO23))+(FO24))+(FO25))+(FO26))+(FO27))+(FO28))+(FO29)</f>
        <v>3893.03</v>
      </c>
      <c r="FP30" s="11" t="n">
        <f aca="false">(((((((((((((((((((((((((FP4)+(FP5))+(FP6))+(FP7))+(FP8))+(FP9))+(FP10))+(FP11))+(FP12))+(FP13))+(FP14))+(FP15))+(FP16))+(FP17))+(FP18))+(FP19))+(FP20))+(FP21))+(FP22))+(FP23))+(FP24))+(FP25))+(FP26))+(FP27))+(FP28))+(FP29)</f>
        <v>905.15</v>
      </c>
      <c r="FQ30" s="11" t="n">
        <f aca="false">(((((((((((((((((((((((((FQ4)+(FQ5))+(FQ6))+(FQ7))+(FQ8))+(FQ9))+(FQ10))+(FQ11))+(FQ12))+(FQ13))+(FQ14))+(FQ15))+(FQ16))+(FQ17))+(FQ18))+(FQ19))+(FQ20))+(FQ21))+(FQ22))+(FQ23))+(FQ24))+(FQ25))+(FQ26))+(FQ27))+(FQ28))+(FQ29)</f>
        <v>-18324.96</v>
      </c>
      <c r="FR30" s="11" t="n">
        <f aca="false">(((((((((((((((((((((((((FR4)+(FR5))+(FR6))+(FR7))+(FR8))+(FR9))+(FR10))+(FR11))+(FR12))+(FR13))+(FR14))+(FR15))+(FR16))+(FR17))+(FR18))+(FR19))+(FR20))+(FR21))+(FR22))+(FR23))+(FR24))+(FR25))+(FR26))+(FR27))+(FR28))+(FR29)</f>
        <v>717.51</v>
      </c>
      <c r="FS30" s="11" t="n">
        <f aca="false">(((((((((((((((((((((((((FS4)+(FS5))+(FS6))+(FS7))+(FS8))+(FS9))+(FS10))+(FS11))+(FS12))+(FS13))+(FS14))+(FS15))+(FS16))+(FS17))+(FS18))+(FS19))+(FS20))+(FS21))+(FS22))+(FS23))+(FS24))+(FS25))+(FS26))+(FS27))+(FS28))+(FS29)</f>
        <v>-1116.01</v>
      </c>
      <c r="FT30" s="11" t="n">
        <f aca="false">(((((((((((((((((((((((((FT4)+(FT5))+(FT6))+(FT7))+(FT8))+(FT9))+(FT10))+(FT11))+(FT12))+(FT13))+(FT14))+(FT15))+(FT16))+(FT17))+(FT18))+(FT19))+(FT20))+(FT21))+(FT22))+(FT23))+(FT24))+(FT25))+(FT26))+(FT27))+(FT28))+(FT29)</f>
        <v>174.75</v>
      </c>
      <c r="FU30" s="11" t="n">
        <f aca="false">(((((((((((((((((((((((((FU4)+(FU5))+(FU6))+(FU7))+(FU8))+(FU9))+(FU10))+(FU11))+(FU12))+(FU13))+(FU14))+(FU15))+(FU16))+(FU17))+(FU18))+(FU19))+(FU20))+(FU21))+(FU22))+(FU23))+(FU24))+(FU25))+(FU26))+(FU27))+(FU28))+(FU29)</f>
        <v>544.16</v>
      </c>
      <c r="FV30" s="11" t="n">
        <f aca="false">(((((((((((((((((((((((((FV4)+(FV5))+(FV6))+(FV7))+(FV8))+(FV9))+(FV10))+(FV11))+(FV12))+(FV13))+(FV14))+(FV15))+(FV16))+(FV17))+(FV18))+(FV19))+(FV20))+(FV21))+(FV22))+(FV23))+(FV24))+(FV25))+(FV26))+(FV27))+(FV28))+(FV29)</f>
        <v>7458.6</v>
      </c>
      <c r="FW30" s="11" t="n">
        <f aca="false">(((((((((((((((((((((((((FW4)+(FW5))+(FW6))+(FW7))+(FW8))+(FW9))+(FW10))+(FW11))+(FW12))+(FW13))+(FW14))+(FW15))+(FW16))+(FW17))+(FW18))+(FW19))+(FW20))+(FW21))+(FW22))+(FW23))+(FW24))+(FW25))+(FW26))+(FW27))+(FW28))+(FW29)</f>
        <v>214.74</v>
      </c>
      <c r="FX30" s="11" t="n">
        <f aca="false">(((((((((((((((((((((((((FX4)+(FX5))+(FX6))+(FX7))+(FX8))+(FX9))+(FX10))+(FX11))+(FX12))+(FX13))+(FX14))+(FX15))+(FX16))+(FX17))+(FX18))+(FX19))+(FX20))+(FX21))+(FX22))+(FX23))+(FX24))+(FX25))+(FX26))+(FX27))+(FX28))+(FX29)</f>
        <v>2845.44</v>
      </c>
      <c r="FY30" s="11" t="n">
        <f aca="false">(((((((((((((((((((((((((FY4)+(FY5))+(FY6))+(FY7))+(FY8))+(FY9))+(FY10))+(FY11))+(FY12))+(FY13))+(FY14))+(FY15))+(FY16))+(FY17))+(FY18))+(FY19))+(FY20))+(FY21))+(FY22))+(FY23))+(FY24))+(FY25))+(FY26))+(FY27))+(FY28))+(FY29)</f>
        <v>2067.07</v>
      </c>
      <c r="FZ30" s="11" t="n">
        <f aca="false">(((((((((((((((((((((((((FZ4)+(FZ5))+(FZ6))+(FZ7))+(FZ8))+(FZ9))+(FZ10))+(FZ11))+(FZ12))+(FZ13))+(FZ14))+(FZ15))+(FZ16))+(FZ17))+(FZ18))+(FZ19))+(FZ20))+(FZ21))+(FZ22))+(FZ23))+(FZ24))+(FZ25))+(FZ26))+(FZ27))+(FZ28))+(FZ29)</f>
        <v>863.1</v>
      </c>
      <c r="GA30" s="11" t="n">
        <f aca="false">(((((((((((((((((((((((((GA4)+(GA5))+(GA6))+(GA7))+(GA8))+(GA9))+(GA10))+(GA11))+(GA12))+(GA13))+(GA14))+(GA15))+(GA16))+(GA17))+(GA18))+(GA19))+(GA20))+(GA21))+(GA22))+(GA23))+(GA24))+(GA25))+(GA26))+(GA27))+(GA28))+(GA29)</f>
        <v>-32925.45</v>
      </c>
      <c r="GB30" s="11" t="n">
        <f aca="false">(((((((((((((((((((((((((GB4)+(GB5))+(GB6))+(GB7))+(GB8))+(GB9))+(GB10))+(GB11))+(GB12))+(GB13))+(GB14))+(GB15))+(GB16))+(GB17))+(GB18))+(GB19))+(GB20))+(GB21))+(GB22))+(GB23))+(GB24))+(GB25))+(GB26))+(GB27))+(GB28))+(GB29)</f>
        <v>3884.7</v>
      </c>
      <c r="GC30" s="11" t="n">
        <f aca="false">(((((((((((((((((((((((((GC4)+(GC5))+(GC6))+(GC7))+(GC8))+(GC9))+(GC10))+(GC11))+(GC12))+(GC13))+(GC14))+(GC15))+(GC16))+(GC17))+(GC18))+(GC19))+(GC20))+(GC21))+(GC22))+(GC23))+(GC24))+(GC25))+(GC26))+(GC27))+(GC28))+(GC29)</f>
        <v>6787.88</v>
      </c>
      <c r="GD30" s="11" t="n">
        <f aca="false">(((((((((((((((((((((((((GD4)+(GD5))+(GD6))+(GD7))+(GD8))+(GD9))+(GD10))+(GD11))+(GD12))+(GD13))+(GD14))+(GD15))+(GD16))+(GD17))+(GD18))+(GD19))+(GD20))+(GD21))+(GD22))+(GD23))+(GD24))+(GD25))+(GD26))+(GD27))+(GD28))+(GD29)</f>
        <v>503.19</v>
      </c>
      <c r="GE30" s="11" t="n">
        <f aca="false">(((((((((((((((((((((((((GE4)+(GE5))+(GE6))+(GE7))+(GE8))+(GE9))+(GE10))+(GE11))+(GE12))+(GE13))+(GE14))+(GE15))+(GE16))+(GE17))+(GE18))+(GE19))+(GE20))+(GE21))+(GE22))+(GE23))+(GE24))+(GE25))+(GE26))+(GE27))+(GE28))+(GE29)</f>
        <v>-672.18</v>
      </c>
      <c r="GF30" s="11" t="n">
        <f aca="false">(((((((((((((((((((((((((GF4)+(GF5))+(GF6))+(GF7))+(GF8))+(GF9))+(GF10))+(GF11))+(GF12))+(GF13))+(GF14))+(GF15))+(GF16))+(GF17))+(GF18))+(GF19))+(GF20))+(GF21))+(GF22))+(GF23))+(GF24))+(GF25))+(GF26))+(GF27))+(GF28))+(GF29)</f>
        <v>449.34</v>
      </c>
      <c r="GG30" s="11" t="n">
        <f aca="false">(((((((((((((((((((((((((GG4)+(GG5))+(GG6))+(GG7))+(GG8))+(GG9))+(GG10))+(GG11))+(GG12))+(GG13))+(GG14))+(GG15))+(GG16))+(GG17))+(GG18))+(GG19))+(GG20))+(GG21))+(GG22))+(GG23))+(GG24))+(GG25))+(GG26))+(GG27))+(GG28))+(GG29)</f>
        <v>10.39</v>
      </c>
      <c r="GH30" s="11" t="n">
        <f aca="false">(((((((((((((((((((((((((GH4)+(GH5))+(GH6))+(GH7))+(GH8))+(GH9))+(GH10))+(GH11))+(GH12))+(GH13))+(GH14))+(GH15))+(GH16))+(GH17))+(GH18))+(GH19))+(GH20))+(GH21))+(GH22))+(GH23))+(GH24))+(GH25))+(GH26))+(GH27))+(GH28))+(GH29)</f>
        <v>-1593.22</v>
      </c>
      <c r="GI30" s="11" t="n">
        <f aca="false">(((((((((((((((((((((((((GI4)+(GI5))+(GI6))+(GI7))+(GI8))+(GI9))+(GI10))+(GI11))+(GI12))+(GI13))+(GI14))+(GI15))+(GI16))+(GI17))+(GI18))+(GI19))+(GI20))+(GI21))+(GI22))+(GI23))+(GI24))+(GI25))+(GI26))+(GI27))+(GI28))+(GI29)</f>
        <v>1093.85</v>
      </c>
      <c r="GJ30" s="11" t="n">
        <f aca="false">(((((((((((((((((((((((((GJ4)+(GJ5))+(GJ6))+(GJ7))+(GJ8))+(GJ9))+(GJ10))+(GJ11))+(GJ12))+(GJ13))+(GJ14))+(GJ15))+(GJ16))+(GJ17))+(GJ18))+(GJ19))+(GJ20))+(GJ21))+(GJ22))+(GJ23))+(GJ24))+(GJ25))+(GJ26))+(GJ27))+(GJ28))+(GJ29)</f>
        <v>6685.79</v>
      </c>
      <c r="GK30" s="11" t="n">
        <f aca="false">(((((((((((((((((((((((((GK4)+(GK5))+(GK6))+(GK7))+(GK8))+(GK9))+(GK10))+(GK11))+(GK12))+(GK13))+(GK14))+(GK15))+(GK16))+(GK17))+(GK18))+(GK19))+(GK20))+(GK21))+(GK22))+(GK23))+(GK24))+(GK25))+(GK26))+(GK27))+(GK28))+(GK29)</f>
        <v>2197.06</v>
      </c>
      <c r="GL30" s="11" t="n">
        <f aca="false">(((((((((((((((((((((((((GL4)+(GL5))+(GL6))+(GL7))+(GL8))+(GL9))+(GL10))+(GL11))+(GL12))+(GL13))+(GL14))+(GL15))+(GL16))+(GL17))+(GL18))+(GL19))+(GL20))+(GL21))+(GL22))+(GL23))+(GL24))+(GL25))+(GL26))+(GL27))+(GL28))+(GL29)</f>
        <v>2045.85</v>
      </c>
      <c r="GM30" s="11" t="n">
        <f aca="false">(((((((((((((((((((((((((GM4)+(GM5))+(GM6))+(GM7))+(GM8))+(GM9))+(GM10))+(GM11))+(GM12))+(GM13))+(GM14))+(GM15))+(GM16))+(GM17))+(GM18))+(GM19))+(GM20))+(GM21))+(GM22))+(GM23))+(GM24))+(GM25))+(GM26))+(GM27))+(GM28))+(GM29)</f>
        <v>3113.64</v>
      </c>
      <c r="GN30" s="11" t="n">
        <f aca="false">(((((((((((((((((((((((((GN4)+(GN5))+(GN6))+(GN7))+(GN8))+(GN9))+(GN10))+(GN11))+(GN12))+(GN13))+(GN14))+(GN15))+(GN16))+(GN17))+(GN18))+(GN19))+(GN20))+(GN21))+(GN22))+(GN23))+(GN24))+(GN25))+(GN26))+(GN27))+(GN28))+(GN29)</f>
        <v>-1889.77</v>
      </c>
      <c r="GO30" s="11" t="n">
        <f aca="false">(((((((((((((((((((((((((GO4)+(GO5))+(GO6))+(GO7))+(GO8))+(GO9))+(GO10))+(GO11))+(GO12))+(GO13))+(GO14))+(GO15))+(GO16))+(GO17))+(GO18))+(GO19))+(GO20))+(GO21))+(GO22))+(GO23))+(GO24))+(GO25))+(GO26))+(GO27))+(GO28))+(GO29)</f>
        <v>1141.19</v>
      </c>
      <c r="GP30" s="11" t="n">
        <f aca="false">(((((((((((((((((((((((((GP4)+(GP5))+(GP6))+(GP7))+(GP8))+(GP9))+(GP10))+(GP11))+(GP12))+(GP13))+(GP14))+(GP15))+(GP16))+(GP17))+(GP18))+(GP19))+(GP20))+(GP21))+(GP22))+(GP23))+(GP24))+(GP25))+(GP26))+(GP27))+(GP28))+(GP29)</f>
        <v>594.01</v>
      </c>
      <c r="GQ30" s="11" t="n">
        <f aca="false">(((((((((((((((((((((((((GQ4)+(GQ5))+(GQ6))+(GQ7))+(GQ8))+(GQ9))+(GQ10))+(GQ11))+(GQ12))+(GQ13))+(GQ14))+(GQ15))+(GQ16))+(GQ17))+(GQ18))+(GQ19))+(GQ20))+(GQ21))+(GQ22))+(GQ23))+(GQ24))+(GQ25))+(GQ26))+(GQ27))+(GQ28))+(GQ29)</f>
        <v>5892.34</v>
      </c>
      <c r="GR30" s="11" t="n">
        <f aca="false">(((((((((((((((((((((((((GR4)+(GR5))+(GR6))+(GR7))+(GR8))+(GR9))+(GR10))+(GR11))+(GR12))+(GR13))+(GR14))+(GR15))+(GR16))+(GR17))+(GR18))+(GR19))+(GR20))+(GR21))+(GR22))+(GR23))+(GR24))+(GR25))+(GR26))+(GR27))+(GR28))+(GR29)</f>
        <v>114.89</v>
      </c>
      <c r="GS30" s="11" t="n">
        <f aca="false">(((((((((((((((((((((((((GS4)+(GS5))+(GS6))+(GS7))+(GS8))+(GS9))+(GS10))+(GS11))+(GS12))+(GS13))+(GS14))+(GS15))+(GS16))+(GS17))+(GS18))+(GS19))+(GS20))+(GS21))+(GS22))+(GS23))+(GS24))+(GS25))+(GS26))+(GS27))+(GS28))+(GS29)</f>
        <v>776.04</v>
      </c>
      <c r="GT30" s="11" t="n">
        <f aca="false">(((((((((((((((((((((((((GT4)+(GT5))+(GT6))+(GT7))+(GT8))+(GT9))+(GT10))+(GT11))+(GT12))+(GT13))+(GT14))+(GT15))+(GT16))+(GT17))+(GT18))+(GT19))+(GT20))+(GT21))+(GT22))+(GT23))+(GT24))+(GT25))+(GT26))+(GT27))+(GT28))+(GT29)</f>
        <v>1873.53</v>
      </c>
      <c r="GU30" s="11" t="n">
        <f aca="false">(((((((((((((((((((((((((GU4)+(GU5))+(GU6))+(GU7))+(GU8))+(GU9))+(GU10))+(GU11))+(GU12))+(GU13))+(GU14))+(GU15))+(GU16))+(GU17))+(GU18))+(GU19))+(GU20))+(GU21))+(GU22))+(GU23))+(GU24))+(GU25))+(GU26))+(GU27))+(GU28))+(GU29)</f>
        <v>467.52</v>
      </c>
      <c r="GV30" s="11" t="n">
        <f aca="false">(((((((((((((((((((((((((GV4)+(GV5))+(GV6))+(GV7))+(GV8))+(GV9))+(GV10))+(GV11))+(GV12))+(GV13))+(GV14))+(GV15))+(GV16))+(GV17))+(GV18))+(GV19))+(GV20))+(GV21))+(GV22))+(GV23))+(GV24))+(GV25))+(GV26))+(GV27))+(GV28))+(GV29)</f>
        <v>0</v>
      </c>
      <c r="GW30" s="11" t="n">
        <f aca="false">(((((((((((((((((((((((((GW4)+(GW5))+(GW6))+(GW7))+(GW8))+(GW9))+(GW10))+(GW11))+(GW12))+(GW13))+(GW14))+(GW15))+(GW16))+(GW17))+(GW18))+(GW19))+(GW20))+(GW21))+(GW22))+(GW23))+(GW24))+(GW25))+(GW26))+(GW27))+(GW28))+(GW29)</f>
        <v>-17916.46</v>
      </c>
      <c r="GX30" s="11" t="n">
        <f aca="false">(((((((((((((((((((((((((GX4)+(GX5))+(GX6))+(GX7))+(GX8))+(GX9))+(GX10))+(GX11))+(GX12))+(GX13))+(GX14))+(GX15))+(GX16))+(GX17))+(GX18))+(GX19))+(GX20))+(GX21))+(GX22))+(GX23))+(GX24))+(GX25))+(GX26))+(GX27))+(GX28))+(GX29)</f>
        <v>6278.5</v>
      </c>
      <c r="GY30" s="11" t="n">
        <f aca="false">(((((((((((((((((((((((((GY4)+(GY5))+(GY6))+(GY7))+(GY8))+(GY9))+(GY10))+(GY11))+(GY12))+(GY13))+(GY14))+(GY15))+(GY16))+(GY17))+(GY18))+(GY19))+(GY20))+(GY21))+(GY22))+(GY23))+(GY24))+(GY25))+(GY26))+(GY27))+(GY28))+(GY29)</f>
        <v>-1329.95</v>
      </c>
      <c r="GZ30" s="11" t="n">
        <f aca="false">(((((((((((((((((((((((((GZ4)+(GZ5))+(GZ6))+(GZ7))+(GZ8))+(GZ9))+(GZ10))+(GZ11))+(GZ12))+(GZ13))+(GZ14))+(GZ15))+(GZ16))+(GZ17))+(GZ18))+(GZ19))+(GZ20))+(GZ21))+(GZ22))+(GZ23))+(GZ24))+(GZ25))+(GZ26))+(GZ27))+(GZ28))+(GZ29)</f>
        <v>-604.34</v>
      </c>
      <c r="HA30" s="11" t="n">
        <f aca="false">(((((((((((((((((((((((((HA4)+(HA5))+(HA6))+(HA7))+(HA8))+(HA9))+(HA10))+(HA11))+(HA12))+(HA13))+(HA14))+(HA15))+(HA16))+(HA17))+(HA18))+(HA19))+(HA20))+(HA21))+(HA22))+(HA23))+(HA24))+(HA25))+(HA26))+(HA27))+(HA28))+(HA29)</f>
        <v>823.52</v>
      </c>
      <c r="HB30" s="11" t="n">
        <f aca="false">(((((((((((((((((((((((((HB4)+(HB5))+(HB6))+(HB7))+(HB8))+(HB9))+(HB10))+(HB11))+(HB12))+(HB13))+(HB14))+(HB15))+(HB16))+(HB17))+(HB18))+(HB19))+(HB20))+(HB21))+(HB22))+(HB23))+(HB24))+(HB25))+(HB26))+(HB27))+(HB28))+(HB29)</f>
        <v>64.82</v>
      </c>
      <c r="HC30" s="11" t="n">
        <f aca="false">(((((((((((((((((((((((((HC4)+(HC5))+(HC6))+(HC7))+(HC8))+(HC9))+(HC10))+(HC11))+(HC12))+(HC13))+(HC14))+(HC15))+(HC16))+(HC17))+(HC18))+(HC19))+(HC20))+(HC21))+(HC22))+(HC23))+(HC24))+(HC25))+(HC26))+(HC27))+(HC28))+(HC29)</f>
        <v>0</v>
      </c>
      <c r="HD30" s="11" t="n">
        <f aca="false">(((((((((((((((((((((((((HD4)+(HD5))+(HD6))+(HD7))+(HD8))+(HD9))+(HD10))+(HD11))+(HD12))+(HD13))+(HD14))+(HD15))+(HD16))+(HD17))+(HD18))+(HD19))+(HD20))+(HD21))+(HD22))+(HD23))+(HD24))+(HD25))+(HD26))+(HD27))+(HD28))+(HD29)</f>
        <v>4338.79</v>
      </c>
      <c r="HE30" s="11" t="n">
        <f aca="false">(((((((((((((((((((((((((HE4)+(HE5))+(HE6))+(HE7))+(HE8))+(HE9))+(HE10))+(HE11))+(HE12))+(HE13))+(HE14))+(HE15))+(HE16))+(HE17))+(HE18))+(HE19))+(HE20))+(HE21))+(HE22))+(HE23))+(HE24))+(HE25))+(HE26))+(HE27))+(HE28))+(HE29)</f>
        <v>6245.24</v>
      </c>
      <c r="HF30" s="11" t="n">
        <f aca="false">(((((((((((((((((((((((((HF4)+(HF5))+(HF6))+(HF7))+(HF8))+(HF9))+(HF10))+(HF11))+(HF12))+(HF13))+(HF14))+(HF15))+(HF16))+(HF17))+(HF18))+(HF19))+(HF20))+(HF21))+(HF22))+(HF23))+(HF24))+(HF25))+(HF26))+(HF27))+(HF28))+(HF29)</f>
        <v>-25000.41</v>
      </c>
      <c r="HG30" s="11" t="n">
        <f aca="false">(((((((((((((((((((((((((HG4)+(HG5))+(HG6))+(HG7))+(HG8))+(HG9))+(HG10))+(HG11))+(HG12))+(HG13))+(HG14))+(HG15))+(HG16))+(HG17))+(HG18))+(HG19))+(HG20))+(HG21))+(HG22))+(HG23))+(HG24))+(HG25))+(HG26))+(HG27))+(HG28))+(HG29)</f>
        <v>3114.28</v>
      </c>
      <c r="HH30" s="11" t="n">
        <f aca="false">(((((((((((((((((((((((((HH4)+(HH5))+(HH6))+(HH7))+(HH8))+(HH9))+(HH10))+(HH11))+(HH12))+(HH13))+(HH14))+(HH15))+(HH16))+(HH17))+(HH18))+(HH19))+(HH20))+(HH21))+(HH22))+(HH23))+(HH24))+(HH25))+(HH26))+(HH27))+(HH28))+(HH29)</f>
        <v>3697.38</v>
      </c>
      <c r="HI30" s="11" t="n">
        <f aca="false">(((((((((((((((((((((((((HI4)+(HI5))+(HI6))+(HI7))+(HI8))+(HI9))+(HI10))+(HI11))+(HI12))+(HI13))+(HI14))+(HI15))+(HI16))+(HI17))+(HI18))+(HI19))+(HI20))+(HI21))+(HI22))+(HI23))+(HI24))+(HI25))+(HI26))+(HI27))+(HI28))+(HI29)</f>
        <v>203.57</v>
      </c>
      <c r="HJ30" s="11" t="n">
        <f aca="false">(((((((((((((((((((((((((HJ4)+(HJ5))+(HJ6))+(HJ7))+(HJ8))+(HJ9))+(HJ10))+(HJ11))+(HJ12))+(HJ13))+(HJ14))+(HJ15))+(HJ16))+(HJ17))+(HJ18))+(HJ19))+(HJ20))+(HJ21))+(HJ22))+(HJ23))+(HJ24))+(HJ25))+(HJ26))+(HJ27))+(HJ28))+(HJ29)</f>
        <v>-2547.58</v>
      </c>
      <c r="HK30" s="11" t="n">
        <f aca="false">(((((((((((((((((((((((((HK4)+(HK5))+(HK6))+(HK7))+(HK8))+(HK9))+(HK10))+(HK11))+(HK12))+(HK13))+(HK14))+(HK15))+(HK16))+(HK17))+(HK18))+(HK19))+(HK20))+(HK21))+(HK22))+(HK23))+(HK24))+(HK25))+(HK26))+(HK27))+(HK28))+(HK29)</f>
        <v>1986.87</v>
      </c>
      <c r="HL30" s="11" t="n">
        <f aca="false">(((((((((((((((((((((((((HL4)+(HL5))+(HL6))+(HL7))+(HL8))+(HL9))+(HL10))+(HL11))+(HL12))+(HL13))+(HL14))+(HL15))+(HL16))+(HL17))+(HL18))+(HL19))+(HL20))+(HL21))+(HL22))+(HL23))+(HL24))+(HL25))+(HL26))+(HL27))+(HL28))+(HL29)</f>
        <v>2511.23</v>
      </c>
      <c r="HM30" s="11" t="n">
        <f aca="false">(((((((((((((((((((((((((HM4)+(HM5))+(HM6))+(HM7))+(HM8))+(HM9))+(HM10))+(HM11))+(HM12))+(HM13))+(HM14))+(HM15))+(HM16))+(HM17))+(HM18))+(HM19))+(HM20))+(HM21))+(HM22))+(HM23))+(HM24))+(HM25))+(HM26))+(HM27))+(HM28))+(HM29)</f>
        <v>-2039.8</v>
      </c>
      <c r="HN30" s="11" t="n">
        <f aca="false">(((((((((((((((((((((((((HN4)+(HN5))+(HN6))+(HN7))+(HN8))+(HN9))+(HN10))+(HN11))+(HN12))+(HN13))+(HN14))+(HN15))+(HN16))+(HN17))+(HN18))+(HN19))+(HN20))+(HN21))+(HN22))+(HN23))+(HN24))+(HN25))+(HN26))+(HN27))+(HN28))+(HN29)</f>
        <v>555.97</v>
      </c>
      <c r="HO30" s="11" t="n">
        <f aca="false">(((((((((((((((((((((((((HO4)+(HO5))+(HO6))+(HO7))+(HO8))+(HO9))+(HO10))+(HO11))+(HO12))+(HO13))+(HO14))+(HO15))+(HO16))+(HO17))+(HO18))+(HO19))+(HO20))+(HO21))+(HO22))+(HO23))+(HO24))+(HO25))+(HO26))+(HO27))+(HO28))+(HO29)</f>
        <v>2127.44</v>
      </c>
      <c r="HP30" s="11" t="n">
        <f aca="false">(((((((((((((((((((((((((HP4)+(HP5))+(HP6))+(HP7))+(HP8))+(HP9))+(HP10))+(HP11))+(HP12))+(HP13))+(HP14))+(HP15))+(HP16))+(HP17))+(HP18))+(HP19))+(HP20))+(HP21))+(HP22))+(HP23))+(HP24))+(HP25))+(HP26))+(HP27))+(HP28))+(HP29)</f>
        <v>0</v>
      </c>
      <c r="HQ30" s="11" t="n">
        <f aca="false">(((((((((((((((((((((((((HQ4)+(HQ5))+(HQ6))+(HQ7))+(HQ8))+(HQ9))+(HQ10))+(HQ11))+(HQ12))+(HQ13))+(HQ14))+(HQ15))+(HQ16))+(HQ17))+(HQ18))+(HQ19))+(HQ20))+(HQ21))+(HQ22))+(HQ23))+(HQ24))+(HQ25))+(HQ26))+(HQ27))+(HQ28))+(HQ29)</f>
        <v>122.01</v>
      </c>
      <c r="HR30" s="11" t="n">
        <f aca="false">(((((((((((((((((((((((((HR4)+(HR5))+(HR6))+(HR7))+(HR8))+(HR9))+(HR10))+(HR11))+(HR12))+(HR13))+(HR14))+(HR15))+(HR16))+(HR17))+(HR18))+(HR19))+(HR20))+(HR21))+(HR22))+(HR23))+(HR24))+(HR25))+(HR26))+(HR27))+(HR28))+(HR29)</f>
        <v>3473.09</v>
      </c>
      <c r="HS30" s="11" t="n">
        <f aca="false">(((((((((((((((((((((((((HS4)+(HS5))+(HS6))+(HS7))+(HS8))+(HS9))+(HS10))+(HS11))+(HS12))+(HS13))+(HS14))+(HS15))+(HS16))+(HS17))+(HS18))+(HS19))+(HS20))+(HS21))+(HS22))+(HS23))+(HS24))+(HS25))+(HS26))+(HS27))+(HS28))+(HS29)</f>
        <v>2223.24</v>
      </c>
      <c r="HT30" s="11" t="n">
        <f aca="false">(((((((((((((((((((((((((HT4)+(HT5))+(HT6))+(HT7))+(HT8))+(HT9))+(HT10))+(HT11))+(HT12))+(HT13))+(HT14))+(HT15))+(HT16))+(HT17))+(HT18))+(HT19))+(HT20))+(HT21))+(HT22))+(HT23))+(HT24))+(HT25))+(HT26))+(HT27))+(HT28))+(HT29)</f>
        <v>2132.53</v>
      </c>
      <c r="HU30" s="11" t="n">
        <f aca="false">(((((((((((((((((((((((((HU4)+(HU5))+(HU6))+(HU7))+(HU8))+(HU9))+(HU10))+(HU11))+(HU12))+(HU13))+(HU14))+(HU15))+(HU16))+(HU17))+(HU18))+(HU19))+(HU20))+(HU21))+(HU22))+(HU23))+(HU24))+(HU25))+(HU26))+(HU27))+(HU28))+(HU29)</f>
        <v>-1583.56</v>
      </c>
      <c r="HV30" s="11" t="n">
        <f aca="false">(((((((((((((((((((((((((HV4)+(HV5))+(HV6))+(HV7))+(HV8))+(HV9))+(HV10))+(HV11))+(HV12))+(HV13))+(HV14))+(HV15))+(HV16))+(HV17))+(HV18))+(HV19))+(HV20))+(HV21))+(HV22))+(HV23))+(HV24))+(HV25))+(HV26))+(HV27))+(HV28))+(HV29)</f>
        <v>1899.48</v>
      </c>
      <c r="HW30" s="11" t="n">
        <f aca="false">(((((((((((((((((((((((((HW4)+(HW5))+(HW6))+(HW7))+(HW8))+(HW9))+(HW10))+(HW11))+(HW12))+(HW13))+(HW14))+(HW15))+(HW16))+(HW17))+(HW18))+(HW19))+(HW20))+(HW21))+(HW22))+(HW23))+(HW24))+(HW25))+(HW26))+(HW27))+(HW28))+(HW29)</f>
        <v>-18.15</v>
      </c>
      <c r="HX30" s="11" t="n">
        <f aca="false">(((((((((((((((((((((((((HX4)+(HX5))+(HX6))+(HX7))+(HX8))+(HX9))+(HX10))+(HX11))+(HX12))+(HX13))+(HX14))+(HX15))+(HX16))+(HX17))+(HX18))+(HX19))+(HX20))+(HX21))+(HX22))+(HX23))+(HX24))+(HX25))+(HX26))+(HX27))+(HX28))+(HX29)</f>
        <v>855.28</v>
      </c>
      <c r="HY30" s="11" t="n">
        <f aca="false">(((((((((((((((((((((((((HY4)+(HY5))+(HY6))+(HY7))+(HY8))+(HY9))+(HY10))+(HY11))+(HY12))+(HY13))+(HY14))+(HY15))+(HY16))+(HY17))+(HY18))+(HY19))+(HY20))+(HY21))+(HY22))+(HY23))+(HY24))+(HY25))+(HY26))+(HY27))+(HY28))+(HY29)</f>
        <v>4595.86</v>
      </c>
      <c r="HZ30" s="11" t="n">
        <f aca="false">(((((((((((((((((((((((((HZ4)+(HZ5))+(HZ6))+(HZ7))+(HZ8))+(HZ9))+(HZ10))+(HZ11))+(HZ12))+(HZ13))+(HZ14))+(HZ15))+(HZ16))+(HZ17))+(HZ18))+(HZ19))+(HZ20))+(HZ21))+(HZ22))+(HZ23))+(HZ24))+(HZ25))+(HZ26))+(HZ27))+(HZ28))+(HZ29)</f>
        <v>-12605.89</v>
      </c>
      <c r="IA30" s="11" t="n">
        <f aca="false">(((((((((((((((((((((((((IA4)+(IA5))+(IA6))+(IA7))+(IA8))+(IA9))+(IA10))+(IA11))+(IA12))+(IA13))+(IA14))+(IA15))+(IA16))+(IA17))+(IA18))+(IA19))+(IA20))+(IA21))+(IA22))+(IA23))+(IA24))+(IA25))+(IA26))+(IA27))+(IA28))+(IA29)</f>
        <v>-621.9</v>
      </c>
      <c r="IB30" s="11" t="n">
        <f aca="false">(((((((((((((((((((((((((IB4)+(IB5))+(IB6))+(IB7))+(IB8))+(IB9))+(IB10))+(IB11))+(IB12))+(IB13))+(IB14))+(IB15))+(IB16))+(IB17))+(IB18))+(IB19))+(IB20))+(IB21))+(IB22))+(IB23))+(IB24))+(IB25))+(IB26))+(IB27))+(IB28))+(IB29)</f>
        <v>-41.9599999999999</v>
      </c>
      <c r="IC30" s="11" t="n">
        <f aca="false">(((((((((((((((((((((((((IC4)+(IC5))+(IC6))+(IC7))+(IC8))+(IC9))+(IC10))+(IC11))+(IC12))+(IC13))+(IC14))+(IC15))+(IC16))+(IC17))+(IC18))+(IC19))+(IC20))+(IC21))+(IC22))+(IC23))+(IC24))+(IC25))+(IC26))+(IC27))+(IC28))+(IC29)</f>
        <v>1089.7</v>
      </c>
      <c r="ID30" s="11" t="n">
        <f aca="false">(((((((((((((((((((((((((ID4)+(ID5))+(ID6))+(ID7))+(ID8))+(ID9))+(ID10))+(ID11))+(ID12))+(ID13))+(ID14))+(ID15))+(ID16))+(ID17))+(ID18))+(ID19))+(ID20))+(ID21))+(ID22))+(ID23))+(ID24))+(ID25))+(ID26))+(ID27))+(ID28))+(ID29)</f>
        <v>11.95</v>
      </c>
      <c r="IE30" s="11" t="n">
        <f aca="false">(((((((((((((((((((((((((IE4)+(IE5))+(IE6))+(IE7))+(IE8))+(IE9))+(IE10))+(IE11))+(IE12))+(IE13))+(IE14))+(IE15))+(IE16))+(IE17))+(IE18))+(IE19))+(IE20))+(IE21))+(IE22))+(IE23))+(IE24))+(IE25))+(IE26))+(IE27))+(IE28))+(IE29)</f>
        <v>730.95</v>
      </c>
      <c r="IF30" s="11" t="n">
        <f aca="false">(((((((((((((((((((((((((IF4)+(IF5))+(IF6))+(IF7))+(IF8))+(IF9))+(IF10))+(IF11))+(IF12))+(IF13))+(IF14))+(IF15))+(IF16))+(IF17))+(IF18))+(IF19))+(IF20))+(IF21))+(IF22))+(IF23))+(IF24))+(IF25))+(IF26))+(IF27))+(IF28))+(IF29)</f>
        <v>1724.81</v>
      </c>
      <c r="IG30" s="11" t="n">
        <f aca="false">(((((((((((((((((((((((((IG4)+(IG5))+(IG6))+(IG7))+(IG8))+(IG9))+(IG10))+(IG11))+(IG12))+(IG13))+(IG14))+(IG15))+(IG16))+(IG17))+(IG18))+(IG19))+(IG20))+(IG21))+(IG22))+(IG23))+(IG24))+(IG25))+(IG26))+(IG27))+(IG28))+(IG29)</f>
        <v>8922.86</v>
      </c>
      <c r="IH30" s="11" t="n">
        <f aca="false">(((((((((((((((((((((((((IH4)+(IH5))+(IH6))+(IH7))+(IH8))+(IH9))+(IH10))+(IH11))+(IH12))+(IH13))+(IH14))+(IH15))+(IH16))+(IH17))+(IH18))+(IH19))+(IH20))+(IH21))+(IH22))+(IH23))+(IH24))+(IH25))+(IH26))+(IH27))+(IH28))+(IH29)</f>
        <v>2312.95</v>
      </c>
      <c r="II30" s="11" t="n">
        <f aca="false">(((((((((((((((((((((((((II4)+(II5))+(II6))+(II7))+(II8))+(II9))+(II10))+(II11))+(II12))+(II13))+(II14))+(II15))+(II16))+(II17))+(II18))+(II19))+(II20))+(II21))+(II22))+(II23))+(II24))+(II25))+(II26))+(II27))+(II28))+(II29)</f>
        <v>4509.15</v>
      </c>
      <c r="IJ30" s="11" t="n">
        <f aca="false">(((((((((((((((((((((((((IJ4)+(IJ5))+(IJ6))+(IJ7))+(IJ8))+(IJ9))+(IJ10))+(IJ11))+(IJ12))+(IJ13))+(IJ14))+(IJ15))+(IJ16))+(IJ17))+(IJ18))+(IJ19))+(IJ20))+(IJ21))+(IJ22))+(IJ23))+(IJ24))+(IJ25))+(IJ26))+(IJ27))+(IJ28))+(IJ29)</f>
        <v>3462.49</v>
      </c>
      <c r="IK30" s="11" t="n">
        <f aca="false">(((((((((((((((((((((((((IK4)+(IK5))+(IK6))+(IK7))+(IK8))+(IK9))+(IK10))+(IK11))+(IK12))+(IK13))+(IK14))+(IK15))+(IK16))+(IK17))+(IK18))+(IK19))+(IK20))+(IK21))+(IK22))+(IK23))+(IK24))+(IK25))+(IK26))+(IK27))+(IK28))+(IK29)</f>
        <v>-34067.43</v>
      </c>
      <c r="IL30" s="11" t="n">
        <f aca="false">(((((((((((((((((((((((((IL4)+(IL5))+(IL6))+(IL7))+(IL8))+(IL9))+(IL10))+(IL11))+(IL12))+(IL13))+(IL14))+(IL15))+(IL16))+(IL17))+(IL18))+(IL19))+(IL20))+(IL21))+(IL22))+(IL23))+(IL24))+(IL25))+(IL26))+(IL27))+(IL28))+(IL29)</f>
        <v>600.78</v>
      </c>
      <c r="IM30" s="11" t="n">
        <f aca="false">(((((((((((((((((((((((((IM4)+(IM5))+(IM6))+(IM7))+(IM8))+(IM9))+(IM10))+(IM11))+(IM12))+(IM13))+(IM14))+(IM15))+(IM16))+(IM17))+(IM18))+(IM19))+(IM20))+(IM21))+(IM22))+(IM23))+(IM24))+(IM25))+(IM26))+(IM27))+(IM28))+(IM29)</f>
        <v>121.25</v>
      </c>
      <c r="IN30" s="11" t="n">
        <f aca="false">(((((((((((((((((((((((((IN4)+(IN5))+(IN6))+(IN7))+(IN8))+(IN9))+(IN10))+(IN11))+(IN12))+(IN13))+(IN14))+(IN15))+(IN16))+(IN17))+(IN18))+(IN19))+(IN20))+(IN21))+(IN22))+(IN23))+(IN24))+(IN25))+(IN26))+(IN27))+(IN28))+(IN29)</f>
        <v>917.86</v>
      </c>
      <c r="IO30" s="11" t="n">
        <f aca="false">(((((((((((((((((((((((((IO4)+(IO5))+(IO6))+(IO7))+(IO8))+(IO9))+(IO10))+(IO11))+(IO12))+(IO13))+(IO14))+(IO15))+(IO16))+(IO17))+(IO18))+(IO19))+(IO20))+(IO21))+(IO22))+(IO23))+(IO24))+(IO25))+(IO26))+(IO27))+(IO28))+(IO29)</f>
        <v>99.9400000000002</v>
      </c>
      <c r="IP30" s="11" t="n">
        <f aca="false">(((((((((((((((((((((((((IP4)+(IP5))+(IP6))+(IP7))+(IP8))+(IP9))+(IP10))+(IP11))+(IP12))+(IP13))+(IP14))+(IP15))+(IP16))+(IP17))+(IP18))+(IP19))+(IP20))+(IP21))+(IP22))+(IP23))+(IP24))+(IP25))+(IP26))+(IP27))+(IP28))+(IP29)</f>
        <v>312.48</v>
      </c>
      <c r="IQ30" s="11" t="n">
        <f aca="false">(((((((((((((((((((((((((IQ4)+(IQ5))+(IQ6))+(IQ7))+(IQ8))+(IQ9))+(IQ10))+(IQ11))+(IQ12))+(IQ13))+(IQ14))+(IQ15))+(IQ16))+(IQ17))+(IQ18))+(IQ19))+(IQ20))+(IQ21))+(IQ22))+(IQ23))+(IQ24))+(IQ25))+(IQ26))+(IQ27))+(IQ28))+(IQ29)</f>
        <v>738.98</v>
      </c>
      <c r="IR30" s="11" t="n">
        <f aca="false">(((((((((((((((((((((((((IR4)+(IR5))+(IR6))+(IR7))+(IR8))+(IR9))+(IR10))+(IR11))+(IR12))+(IR13))+(IR14))+(IR15))+(IR16))+(IR17))+(IR18))+(IR19))+(IR20))+(IR21))+(IR22))+(IR23))+(IR24))+(IR25))+(IR26))+(IR27))+(IR28))+(IR29)</f>
        <v>-1201.77</v>
      </c>
      <c r="IS30" s="11" t="n">
        <f aca="false">(((((((((((((((((((((((((IS4)+(IS5))+(IS6))+(IS7))+(IS8))+(IS9))+(IS10))+(IS11))+(IS12))+(IS13))+(IS14))+(IS15))+(IS16))+(IS17))+(IS18))+(IS19))+(IS20))+(IS21))+(IS22))+(IS23))+(IS24))+(IS25))+(IS26))+(IS27))+(IS28))+(IS29)</f>
        <v>168.75</v>
      </c>
      <c r="IT30" s="11" t="n">
        <f aca="false">(((((((((((((((((((((((((IT4)+(IT5))+(IT6))+(IT7))+(IT8))+(IT9))+(IT10))+(IT11))+(IT12))+(IT13))+(IT14))+(IT15))+(IT16))+(IT17))+(IT18))+(IT19))+(IT20))+(IT21))+(IT22))+(IT23))+(IT24))+(IT25))+(IT26))+(IT27))+(IT28))+(IT29)</f>
        <v>1208.46</v>
      </c>
      <c r="IU30" s="11" t="n">
        <f aca="false">(((((((((((((((((((((((((IU4)+(IU5))+(IU6))+(IU7))+(IU8))+(IU9))+(IU10))+(IU11))+(IU12))+(IU13))+(IU14))+(IU15))+(IU16))+(IU17))+(IU18))+(IU19))+(IU20))+(IU21))+(IU22))+(IU23))+(IU24))+(IU25))+(IU26))+(IU27))+(IU28))+(IU29)</f>
        <v>5031.27</v>
      </c>
      <c r="IV30" s="11" t="n">
        <f aca="false">(((((((((((((((((((((((((IV4)+(IV5))+(IV6))+(IV7))+(IV8))+(IV9))+(IV10))+(IV11))+(IV12))+(IV13))+(IV14))+(IV15))+(IV16))+(IV17))+(IV18))+(IV19))+(IV20))+(IV21))+(IV22))+(IV23))+(IV24))+(IV25))+(IV26))+(IV27))+(IV28))+(IV29)</f>
        <v>808.67</v>
      </c>
      <c r="IW30" s="11" t="n">
        <f aca="false">(((((((((((((((((((((((((IW4)+(IW5))+(IW6))+(IW7))+(IW8))+(IW9))+(IW10))+(IW11))+(IW12))+(IW13))+(IW14))+(IW15))+(IW16))+(IW17))+(IW18))+(IW19))+(IW20))+(IW21))+(IW22))+(IW23))+(IW24))+(IW25))+(IW26))+(IW27))+(IW28))+(IW29)</f>
        <v>1651.07</v>
      </c>
      <c r="IX30" s="11" t="n">
        <f aca="false">(((((((((((((((((((((((((IX4)+(IX5))+(IX6))+(IX7))+(IX8))+(IX9))+(IX10))+(IX11))+(IX12))+(IX13))+(IX14))+(IX15))+(IX16))+(IX17))+(IX18))+(IX19))+(IX20))+(IX21))+(IX22))+(IX23))+(IX24))+(IX25))+(IX26))+(IX27))+(IX28))+(IX29)</f>
        <v>117.83</v>
      </c>
      <c r="IY30" s="11" t="n">
        <f aca="false">(((((((((((((((((((((((((IY4)+(IY5))+(IY6))+(IY7))+(IY8))+(IY9))+(IY10))+(IY11))+(IY12))+(IY13))+(IY14))+(IY15))+(IY16))+(IY17))+(IY18))+(IY19))+(IY20))+(IY21))+(IY22))+(IY23))+(IY24))+(IY25))+(IY26))+(IY27))+(IY28))+(IY29)</f>
        <v>-2153.2</v>
      </c>
      <c r="IZ30" s="11" t="n">
        <f aca="false">(((((((((((((((((((((((((IZ4)+(IZ5))+(IZ6))+(IZ7))+(IZ8))+(IZ9))+(IZ10))+(IZ11))+(IZ12))+(IZ13))+(IZ14))+(IZ15))+(IZ16))+(IZ17))+(IZ18))+(IZ19))+(IZ20))+(IZ21))+(IZ22))+(IZ23))+(IZ24))+(IZ25))+(IZ26))+(IZ27))+(IZ28))+(IZ29)</f>
        <v>0</v>
      </c>
      <c r="JA30" s="11" t="n">
        <f aca="false">(((((((((((((((((((((((((JA4)+(JA5))+(JA6))+(JA7))+(JA8))+(JA9))+(JA10))+(JA11))+(JA12))+(JA13))+(JA14))+(JA15))+(JA16))+(JA17))+(JA18))+(JA19))+(JA20))+(JA21))+(JA22))+(JA23))+(JA24))+(JA25))+(JA26))+(JA27))+(JA28))+(JA29)</f>
        <v>1811.65</v>
      </c>
      <c r="JB30" s="11" t="n">
        <f aca="false">(((((((((((((((((((((((((JB4)+(JB5))+(JB6))+(JB7))+(JB8))+(JB9))+(JB10))+(JB11))+(JB12))+(JB13))+(JB14))+(JB15))+(JB16))+(JB17))+(JB18))+(JB19))+(JB20))+(JB21))+(JB22))+(JB23))+(JB24))+(JB25))+(JB26))+(JB27))+(JB28))+(JB29)</f>
        <v>4589.07</v>
      </c>
      <c r="JC30" s="11" t="n">
        <f aca="false">(((((((((((((((((((((((((JC4)+(JC5))+(JC6))+(JC7))+(JC8))+(JC9))+(JC10))+(JC11))+(JC12))+(JC13))+(JC14))+(JC15))+(JC16))+(JC17))+(JC18))+(JC19))+(JC20))+(JC21))+(JC22))+(JC23))+(JC24))+(JC25))+(JC26))+(JC27))+(JC28))+(JC29)</f>
        <v>994.15</v>
      </c>
      <c r="JD30" s="11" t="n">
        <f aca="false">(((((((((((((((((((((((((JD4)+(JD5))+(JD6))+(JD7))+(JD8))+(JD9))+(JD10))+(JD11))+(JD12))+(JD13))+(JD14))+(JD15))+(JD16))+(JD17))+(JD18))+(JD19))+(JD20))+(JD21))+(JD22))+(JD23))+(JD24))+(JD25))+(JD26))+(JD27))+(JD28))+(JD29)</f>
        <v>491.15</v>
      </c>
      <c r="JE30" s="11" t="n">
        <f aca="false">(((((((((((((((((((((((((JE4)+(JE5))+(JE6))+(JE7))+(JE8))+(JE9))+(JE10))+(JE11))+(JE12))+(JE13))+(JE14))+(JE15))+(JE16))+(JE17))+(JE18))+(JE19))+(JE20))+(JE21))+(JE22))+(JE23))+(JE24))+(JE25))+(JE26))+(JE27))+(JE28))+(JE29)</f>
        <v>1512.77</v>
      </c>
      <c r="JF30" s="11" t="n">
        <f aca="false">(((((((((((((((((((((((((JF4)+(JF5))+(JF6))+(JF7))+(JF8))+(JF9))+(JF10))+(JF11))+(JF12))+(JF13))+(JF14))+(JF15))+(JF16))+(JF17))+(JF18))+(JF19))+(JF20))+(JF21))+(JF22))+(JF23))+(JF24))+(JF25))+(JF26))+(JF27))+(JF28))+(JF29)</f>
        <v>-535.12</v>
      </c>
      <c r="JG30" s="11" t="n">
        <f aca="false">(((((((((((((((((((((((((JG4)+(JG5))+(JG6))+(JG7))+(JG8))+(JG9))+(JG10))+(JG11))+(JG12))+(JG13))+(JG14))+(JG15))+(JG16))+(JG17))+(JG18))+(JG19))+(JG20))+(JG21))+(JG22))+(JG23))+(JG24))+(JG25))+(JG26))+(JG27))+(JG28))+(JG29)</f>
        <v>1847.12</v>
      </c>
      <c r="JH30" s="11" t="n">
        <f aca="false">(((((((((((((((((((((((((JH4)+(JH5))+(JH6))+(JH7))+(JH8))+(JH9))+(JH10))+(JH11))+(JH12))+(JH13))+(JH14))+(JH15))+(JH16))+(JH17))+(JH18))+(JH19))+(JH20))+(JH21))+(JH22))+(JH23))+(JH24))+(JH25))+(JH26))+(JH27))+(JH28))+(JH29)</f>
        <v>1229.33</v>
      </c>
      <c r="JI30" s="11" t="n">
        <f aca="false">(((((((((((((((((((((((((JI4)+(JI5))+(JI6))+(JI7))+(JI8))+(JI9))+(JI10))+(JI11))+(JI12))+(JI13))+(JI14))+(JI15))+(JI16))+(JI17))+(JI18))+(JI19))+(JI20))+(JI21))+(JI22))+(JI23))+(JI24))+(JI25))+(JI26))+(JI27))+(JI28))+(JI29)</f>
        <v>2856.56</v>
      </c>
      <c r="JJ30" s="11" t="n">
        <f aca="false">(((((((((((((((((((((((((JJ4)+(JJ5))+(JJ6))+(JJ7))+(JJ8))+(JJ9))+(JJ10))+(JJ11))+(JJ12))+(JJ13))+(JJ14))+(JJ15))+(JJ16))+(JJ17))+(JJ18))+(JJ19))+(JJ20))+(JJ21))+(JJ22))+(JJ23))+(JJ24))+(JJ25))+(JJ26))+(JJ27))+(JJ28))+(JJ29)</f>
        <v>-17644.77</v>
      </c>
      <c r="JK30" s="11" t="n">
        <f aca="false">(((((((((((((((((((((((((JK4)+(JK5))+(JK6))+(JK7))+(JK8))+(JK9))+(JK10))+(JK11))+(JK12))+(JK13))+(JK14))+(JK15))+(JK16))+(JK17))+(JK18))+(JK19))+(JK20))+(JK21))+(JK22))+(JK23))+(JK24))+(JK25))+(JK26))+(JK27))+(JK28))+(JK29)</f>
        <v>5955.83</v>
      </c>
      <c r="JL30" s="11" t="n">
        <f aca="false">(((((((((((((((((((((((((JL4)+(JL5))+(JL6))+(JL7))+(JL8))+(JL9))+(JL10))+(JL11))+(JL12))+(JL13))+(JL14))+(JL15))+(JL16))+(JL17))+(JL18))+(JL19))+(JL20))+(JL21))+(JL22))+(JL23))+(JL24))+(JL25))+(JL26))+(JL27))+(JL28))+(JL29)</f>
        <v>4490.06</v>
      </c>
      <c r="JM30" s="11" t="n">
        <f aca="false">(((((((((((((((((((((((((JM4)+(JM5))+(JM6))+(JM7))+(JM8))+(JM9))+(JM10))+(JM11))+(JM12))+(JM13))+(JM14))+(JM15))+(JM16))+(JM17))+(JM18))+(JM19))+(JM20))+(JM21))+(JM22))+(JM23))+(JM24))+(JM25))+(JM26))+(JM27))+(JM28))+(JM29)</f>
        <v>0</v>
      </c>
      <c r="JN30" s="11" t="n">
        <f aca="false">(((((((((((((((((((((((((JN4)+(JN5))+(JN6))+(JN7))+(JN8))+(JN9))+(JN10))+(JN11))+(JN12))+(JN13))+(JN14))+(JN15))+(JN16))+(JN17))+(JN18))+(JN19))+(JN20))+(JN21))+(JN22))+(JN23))+(JN24))+(JN25))+(JN26))+(JN27))+(JN28))+(JN29)</f>
        <v>94.61</v>
      </c>
      <c r="JO30" s="11" t="n">
        <f aca="false">(((((((((((((((((((((((((JO4)+(JO5))+(JO6))+(JO7))+(JO8))+(JO9))+(JO10))+(JO11))+(JO12))+(JO13))+(JO14))+(JO15))+(JO16))+(JO17))+(JO18))+(JO19))+(JO20))+(JO21))+(JO22))+(JO23))+(JO24))+(JO25))+(JO26))+(JO27))+(JO28))+(JO29)</f>
        <v>-21762.83</v>
      </c>
      <c r="JP30" s="11" t="n">
        <f aca="false">(((((((((((((((((((((((((JP4)+(JP5))+(JP6))+(JP7))+(JP8))+(JP9))+(JP10))+(JP11))+(JP12))+(JP13))+(JP14))+(JP15))+(JP16))+(JP17))+(JP18))+(JP19))+(JP20))+(JP21))+(JP22))+(JP23))+(JP24))+(JP25))+(JP26))+(JP27))+(JP28))+(JP29)</f>
        <v>9480.57</v>
      </c>
      <c r="JQ30" s="11" t="n">
        <f aca="false">(((((((((((((((((((((((((JQ4)+(JQ5))+(JQ6))+(JQ7))+(JQ8))+(JQ9))+(JQ10))+(JQ11))+(JQ12))+(JQ13))+(JQ14))+(JQ15))+(JQ16))+(JQ17))+(JQ18))+(JQ19))+(JQ20))+(JQ21))+(JQ22))+(JQ23))+(JQ24))+(JQ25))+(JQ26))+(JQ27))+(JQ28))+(JQ29)</f>
        <v>5310.22</v>
      </c>
      <c r="JR30" s="11" t="n">
        <f aca="false">(((((((((((((((((((((((((JR4)+(JR5))+(JR6))+(JR7))+(JR8))+(JR9))+(JR10))+(JR11))+(JR12))+(JR13))+(JR14))+(JR15))+(JR16))+(JR17))+(JR18))+(JR19))+(JR20))+(JR21))+(JR22))+(JR23))+(JR24))+(JR25))+(JR26))+(JR27))+(JR28))+(JR29)</f>
        <v>2222.65</v>
      </c>
      <c r="JS30" s="11" t="n">
        <f aca="false">(((((((((((((((((((((((((JS4)+(JS5))+(JS6))+(JS7))+(JS8))+(JS9))+(JS10))+(JS11))+(JS12))+(JS13))+(JS14))+(JS15))+(JS16))+(JS17))+(JS18))+(JS19))+(JS20))+(JS21))+(JS22))+(JS23))+(JS24))+(JS25))+(JS26))+(JS27))+(JS28))+(JS29)</f>
        <v>1367.8</v>
      </c>
      <c r="JT30" s="11" t="n">
        <f aca="false">(((((((((((((((((((((((((JT4)+(JT5))+(JT6))+(JT7))+(JT8))+(JT9))+(JT10))+(JT11))+(JT12))+(JT13))+(JT14))+(JT15))+(JT16))+(JT17))+(JT18))+(JT19))+(JT20))+(JT21))+(JT22))+(JT23))+(JT24))+(JT25))+(JT26))+(JT27))+(JT28))+(JT29)</f>
        <v>84.45</v>
      </c>
      <c r="JU30" s="11" t="n">
        <f aca="false">(((((((((((((((((((((((((JU4)+(JU5))+(JU6))+(JU7))+(JU8))+(JU9))+(JU10))+(JU11))+(JU12))+(JU13))+(JU14))+(JU15))+(JU16))+(JU17))+(JU18))+(JU19))+(JU20))+(JU21))+(JU22))+(JU23))+(JU24))+(JU25))+(JU26))+(JU27))+(JU28))+(JU29)</f>
        <v>0</v>
      </c>
      <c r="JV30" s="11" t="n">
        <f aca="false">(((((((((((((((((((((((((JV4)+(JV5))+(JV6))+(JV7))+(JV8))+(JV9))+(JV10))+(JV11))+(JV12))+(JV13))+(JV14))+(JV15))+(JV16))+(JV17))+(JV18))+(JV19))+(JV20))+(JV21))+(JV22))+(JV23))+(JV24))+(JV25))+(JV26))+(JV27))+(JV28))+(JV29)</f>
        <v>-2203.47</v>
      </c>
      <c r="JW30" s="11" t="n">
        <f aca="false">(((((((((((((((((((((((((JW4)+(JW5))+(JW6))+(JW7))+(JW8))+(JW9))+(JW10))+(JW11))+(JW12))+(JW13))+(JW14))+(JW15))+(JW16))+(JW17))+(JW18))+(JW19))+(JW20))+(JW21))+(JW22))+(JW23))+(JW24))+(JW25))+(JW26))+(JW27))+(JW28))+(JW29)</f>
        <v>7270.05</v>
      </c>
      <c r="JX30" s="11" t="n">
        <f aca="false">(((((((((((((((((((((((((JX4)+(JX5))+(JX6))+(JX7))+(JX8))+(JX9))+(JX10))+(JX11))+(JX12))+(JX13))+(JX14))+(JX15))+(JX16))+(JX17))+(JX18))+(JX19))+(JX20))+(JX21))+(JX22))+(JX23))+(JX24))+(JX25))+(JX26))+(JX27))+(JX28))+(JX29)</f>
        <v>3578.79</v>
      </c>
      <c r="JY30" s="11" t="n">
        <f aca="false">(((((((((((((((((((((((((JY4)+(JY5))+(JY6))+(JY7))+(JY8))+(JY9))+(JY10))+(JY11))+(JY12))+(JY13))+(JY14))+(JY15))+(JY16))+(JY17))+(JY18))+(JY19))+(JY20))+(JY21))+(JY22))+(JY23))+(JY24))+(JY25))+(JY26))+(JY27))+(JY28))+(JY29)</f>
        <v>812.85</v>
      </c>
      <c r="JZ30" s="11" t="n">
        <f aca="false">(((((((((((((((((((((((((JZ4)+(JZ5))+(JZ6))+(JZ7))+(JZ8))+(JZ9))+(JZ10))+(JZ11))+(JZ12))+(JZ13))+(JZ14))+(JZ15))+(JZ16))+(JZ17))+(JZ18))+(JZ19))+(JZ20))+(JZ21))+(JZ22))+(JZ23))+(JZ24))+(JZ25))+(JZ26))+(JZ27))+(JZ28))+(JZ29)</f>
        <v>920.41</v>
      </c>
      <c r="KA30" s="11" t="n">
        <f aca="false">(((((((((((((((((((((((((KA4)+(KA5))+(KA6))+(KA7))+(KA8))+(KA9))+(KA10))+(KA11))+(KA12))+(KA13))+(KA14))+(KA15))+(KA16))+(KA17))+(KA18))+(KA19))+(KA20))+(KA21))+(KA22))+(KA23))+(KA24))+(KA25))+(KA26))+(KA27))+(KA28))+(KA29)</f>
        <v>1080.57</v>
      </c>
      <c r="KB30" s="11" t="n">
        <f aca="false">(((((((((((((((((((((((((KB4)+(KB5))+(KB6))+(KB7))+(KB8))+(KB9))+(KB10))+(KB11))+(KB12))+(KB13))+(KB14))+(KB15))+(KB16))+(KB17))+(KB18))+(KB19))+(KB20))+(KB21))+(KB22))+(KB23))+(KB24))+(KB25))+(KB26))+(KB27))+(KB28))+(KB29)</f>
        <v>81.46</v>
      </c>
      <c r="KC30" s="11" t="n">
        <f aca="false">(((((((((((((((((((((((((KC4)+(KC5))+(KC6))+(KC7))+(KC8))+(KC9))+(KC10))+(KC11))+(KC12))+(KC13))+(KC14))+(KC15))+(KC16))+(KC17))+(KC18))+(KC19))+(KC20))+(KC21))+(KC22))+(KC23))+(KC24))+(KC25))+(KC26))+(KC27))+(KC28))+(KC29)</f>
        <v>1761.73</v>
      </c>
      <c r="KD30" s="11" t="n">
        <f aca="false">(((((((((((((((((((((((((KD4)+(KD5))+(KD6))+(KD7))+(KD8))+(KD9))+(KD10))+(KD11))+(KD12))+(KD13))+(KD14))+(KD15))+(KD16))+(KD17))+(KD18))+(KD19))+(KD20))+(KD21))+(KD22))+(KD23))+(KD24))+(KD25))+(KD26))+(KD27))+(KD28))+(KD29)</f>
        <v>7381.6</v>
      </c>
      <c r="KE30" s="11" t="n">
        <f aca="false">(((((((((((((((((((((((((KE4)+(KE5))+(KE6))+(KE7))+(KE8))+(KE9))+(KE10))+(KE11))+(KE12))+(KE13))+(KE14))+(KE15))+(KE16))+(KE17))+(KE18))+(KE19))+(KE20))+(KE21))+(KE22))+(KE23))+(KE24))+(KE25))+(KE26))+(KE27))+(KE28))+(KE29)</f>
        <v>9421.65</v>
      </c>
      <c r="KF30" s="11" t="n">
        <f aca="false">(((((((((((((((((((((((((KF4)+(KF5))+(KF6))+(KF7))+(KF8))+(KF9))+(KF10))+(KF11))+(KF12))+(KF13))+(KF14))+(KF15))+(KF16))+(KF17))+(KF18))+(KF19))+(KF20))+(KF21))+(KF22))+(KF23))+(KF24))+(KF25))+(KF26))+(KF27))+(KF28))+(KF29)</f>
        <v>3006.47</v>
      </c>
      <c r="KG30" s="11" t="n">
        <f aca="false">(((((((((((((((((((((((((KG4)+(KG5))+(KG6))+(KG7))+(KG8))+(KG9))+(KG10))+(KG11))+(KG12))+(KG13))+(KG14))+(KG15))+(KG16))+(KG17))+(KG18))+(KG19))+(KG20))+(KG21))+(KG22))+(KG23))+(KG24))+(KG25))+(KG26))+(KG27))+(KG28))+(KG29)</f>
        <v>-66.9299999999998</v>
      </c>
      <c r="KH30" s="11" t="n">
        <f aca="false">(((((((((((((((((((((((((KH4)+(KH5))+(KH6))+(KH7))+(KH8))+(KH9))+(KH10))+(KH11))+(KH12))+(KH13))+(KH14))+(KH15))+(KH16))+(KH17))+(KH18))+(KH19))+(KH20))+(KH21))+(KH22))+(KH23))+(KH24))+(KH25))+(KH26))+(KH27))+(KH28))+(KH29)</f>
        <v>966.5</v>
      </c>
      <c r="KI30" s="11" t="n">
        <f aca="false">(((((((((((((((((((((((((KI4)+(KI5))+(KI6))+(KI7))+(KI8))+(KI9))+(KI10))+(KI11))+(KI12))+(KI13))+(KI14))+(KI15))+(KI16))+(KI17))+(KI18))+(KI19))+(KI20))+(KI21))+(KI22))+(KI23))+(KI24))+(KI25))+(KI26))+(KI27))+(KI28))+(KI29)</f>
        <v>0</v>
      </c>
      <c r="KJ30" s="11" t="n">
        <f aca="false">(((((((((((((((((((((((((KJ4)+(KJ5))+(KJ6))+(KJ7))+(KJ8))+(KJ9))+(KJ10))+(KJ11))+(KJ12))+(KJ13))+(KJ14))+(KJ15))+(KJ16))+(KJ17))+(KJ18))+(KJ19))+(KJ20))+(KJ21))+(KJ22))+(KJ23))+(KJ24))+(KJ25))+(KJ26))+(KJ27))+(KJ28))+(KJ29)</f>
        <v>-15347.95</v>
      </c>
      <c r="KK30" s="11" t="n">
        <f aca="false">(((((((((((((((((((((((((KK4)+(KK5))+(KK6))+(KK7))+(KK8))+(KK9))+(KK10))+(KK11))+(KK12))+(KK13))+(KK14))+(KK15))+(KK16))+(KK17))+(KK18))+(KK19))+(KK20))+(KK21))+(KK22))+(KK23))+(KK24))+(KK25))+(KK26))+(KK27))+(KK28))+(KK29)</f>
        <v>4252.33</v>
      </c>
      <c r="KL30" s="11" t="n">
        <f aca="false">(((((((((((((((((((((((((KL4)+(KL5))+(KL6))+(KL7))+(KL8))+(KL9))+(KL10))+(KL11))+(KL12))+(KL13))+(KL14))+(KL15))+(KL16))+(KL17))+(KL18))+(KL19))+(KL20))+(KL21))+(KL22))+(KL23))+(KL24))+(KL25))+(KL26))+(KL27))+(KL28))+(KL29)</f>
        <v>-2150.85</v>
      </c>
      <c r="KM30" s="11" t="n">
        <f aca="false">(((((((((((((((((((((((((KM4)+(KM5))+(KM6))+(KM7))+(KM8))+(KM9))+(KM10))+(KM11))+(KM12))+(KM13))+(KM14))+(KM15))+(KM16))+(KM17))+(KM18))+(KM19))+(KM20))+(KM21))+(KM22))+(KM23))+(KM24))+(KM25))+(KM26))+(KM27))+(KM28))+(KM29)</f>
        <v>370.7</v>
      </c>
      <c r="KN30" s="11" t="n">
        <f aca="false">(((((((((((((((((((((((((KN4)+(KN5))+(KN6))+(KN7))+(KN8))+(KN9))+(KN10))+(KN11))+(KN12))+(KN13))+(KN14))+(KN15))+(KN16))+(KN17))+(KN18))+(KN19))+(KN20))+(KN21))+(KN22))+(KN23))+(KN24))+(KN25))+(KN26))+(KN27))+(KN28))+(KN29)</f>
        <v>875.02</v>
      </c>
      <c r="KO30" s="11" t="n">
        <f aca="false">(((((((((((((((((((((((((KO4)+(KO5))+(KO6))+(KO7))+(KO8))+(KO9))+(KO10))+(KO11))+(KO12))+(KO13))+(KO14))+(KO15))+(KO16))+(KO17))+(KO18))+(KO19))+(KO20))+(KO21))+(KO22))+(KO23))+(KO24))+(KO25))+(KO26))+(KO27))+(KO28))+(KO29)</f>
        <v>0</v>
      </c>
      <c r="KP30" s="11" t="n">
        <f aca="false">(((((((((((((((((((((((((KP4)+(KP5))+(KP6))+(KP7))+(KP8))+(KP9))+(KP10))+(KP11))+(KP12))+(KP13))+(KP14))+(KP15))+(KP16))+(KP17))+(KP18))+(KP19))+(KP20))+(KP21))+(KP22))+(KP23))+(KP24))+(KP25))+(KP26))+(KP27))+(KP28))+(KP29)</f>
        <v>19.99</v>
      </c>
      <c r="KQ30" s="11" t="n">
        <f aca="false">(((((((((((((((((((((((((KQ4)+(KQ5))+(KQ6))+(KQ7))+(KQ8))+(KQ9))+(KQ10))+(KQ11))+(KQ12))+(KQ13))+(KQ14))+(KQ15))+(KQ16))+(KQ17))+(KQ18))+(KQ19))+(KQ20))+(KQ21))+(KQ22))+(KQ23))+(KQ24))+(KQ25))+(KQ26))+(KQ27))+(KQ28))+(KQ29)</f>
        <v>4698.35</v>
      </c>
      <c r="KR30" s="11" t="n">
        <f aca="false">(((((((((((((((((((((((((KR4)+(KR5))+(KR6))+(KR7))+(KR8))+(KR9))+(KR10))+(KR11))+(KR12))+(KR13))+(KR14))+(KR15))+(KR16))+(KR17))+(KR18))+(KR19))+(KR20))+(KR21))+(KR22))+(KR23))+(KR24))+(KR25))+(KR26))+(KR27))+(KR28))+(KR29)</f>
        <v>2047.26</v>
      </c>
      <c r="KS30" s="11" t="n">
        <f aca="false">(((((((((((((((((((((((((KS4)+(KS5))+(KS6))+(KS7))+(KS8))+(KS9))+(KS10))+(KS11))+(KS12))+(KS13))+(KS14))+(KS15))+(KS16))+(KS17))+(KS18))+(KS19))+(KS20))+(KS21))+(KS22))+(KS23))+(KS24))+(KS25))+(KS26))+(KS27))+(KS28))+(KS29)</f>
        <v>2989.24</v>
      </c>
      <c r="KT30" s="11" t="n">
        <f aca="false">(((((((((((((((((((((((((KT4)+(KT5))+(KT6))+(KT7))+(KT8))+(KT9))+(KT10))+(KT11))+(KT12))+(KT13))+(KT14))+(KT15))+(KT16))+(KT17))+(KT18))+(KT19))+(KT20))+(KT21))+(KT22))+(KT23))+(KT24))+(KT25))+(KT26))+(KT27))+(KT28))+(KT29)</f>
        <v>-52996.03</v>
      </c>
      <c r="KU30" s="11" t="n">
        <f aca="false">(((((((((((((((((((((((((KU4)+(KU5))+(KU6))+(KU7))+(KU8))+(KU9))+(KU10))+(KU11))+(KU12))+(KU13))+(KU14))+(KU15))+(KU16))+(KU17))+(KU18))+(KU19))+(KU20))+(KU21))+(KU22))+(KU23))+(KU24))+(KU25))+(KU26))+(KU27))+(KU28))+(KU29)</f>
        <v>6881.64</v>
      </c>
      <c r="KV30" s="11" t="n">
        <f aca="false">(((((((((((((((((((((((((KV4)+(KV5))+(KV6))+(KV7))+(KV8))+(KV9))+(KV10))+(KV11))+(KV12))+(KV13))+(KV14))+(KV15))+(KV16))+(KV17))+(KV18))+(KV19))+(KV20))+(KV21))+(KV22))+(KV23))+(KV24))+(KV25))+(KV26))+(KV27))+(KV28))+(KV29)</f>
        <v>472.17</v>
      </c>
      <c r="KW30" s="11" t="n">
        <f aca="false">(((((((((((((((((((((((((KW4)+(KW5))+(KW6))+(KW7))+(KW8))+(KW9))+(KW10))+(KW11))+(KW12))+(KW13))+(KW14))+(KW15))+(KW16))+(KW17))+(KW18))+(KW19))+(KW20))+(KW21))+(KW22))+(KW23))+(KW24))+(KW25))+(KW26))+(KW27))+(KW28))+(KW29)</f>
        <v>44.34</v>
      </c>
      <c r="KX30" s="11" t="n">
        <f aca="false">(((((((((((((((((((((((((KX4)+(KX5))+(KX6))+(KX7))+(KX8))+(KX9))+(KX10))+(KX11))+(KX12))+(KX13))+(KX14))+(KX15))+(KX16))+(KX17))+(KX18))+(KX19))+(KX20))+(KX21))+(KX22))+(KX23))+(KX24))+(KX25))+(KX26))+(KX27))+(KX28))+(KX29)</f>
        <v>4733.55</v>
      </c>
      <c r="KY30" s="11" t="n">
        <f aca="false">(((((((((((((((((((((((((KY4)+(KY5))+(KY6))+(KY7))+(KY8))+(KY9))+(KY10))+(KY11))+(KY12))+(KY13))+(KY14))+(KY15))+(KY16))+(KY17))+(KY18))+(KY19))+(KY20))+(KY21))+(KY22))+(KY23))+(KY24))+(KY25))+(KY26))+(KY27))+(KY28))+(KY29)</f>
        <v>6308.9</v>
      </c>
      <c r="KZ30" s="11" t="n">
        <f aca="false">(((((((((((((((((((((((((KZ4)+(KZ5))+(KZ6))+(KZ7))+(KZ8))+(KZ9))+(KZ10))+(KZ11))+(KZ12))+(KZ13))+(KZ14))+(KZ15))+(KZ16))+(KZ17))+(KZ18))+(KZ19))+(KZ20))+(KZ21))+(KZ22))+(KZ23))+(KZ24))+(KZ25))+(KZ26))+(KZ27))+(KZ28))+(KZ29)</f>
        <v>645.64</v>
      </c>
      <c r="LA30" s="11" t="n">
        <f aca="false">(((((((((((((((((((((((((LA4)+(LA5))+(LA6))+(LA7))+(LA8))+(LA9))+(LA10))+(LA11))+(LA12))+(LA13))+(LA14))+(LA15))+(LA16))+(LA17))+(LA18))+(LA19))+(LA20))+(LA21))+(LA22))+(LA23))+(LA24))+(LA25))+(LA26))+(LA27))+(LA28))+(LA29)</f>
        <v>-2583.28</v>
      </c>
      <c r="LB30" s="11" t="n">
        <f aca="false">(((((((((((((((((((((((((LB4)+(LB5))+(LB6))+(LB7))+(LB8))+(LB9))+(LB10))+(LB11))+(LB12))+(LB13))+(LB14))+(LB15))+(LB16))+(LB17))+(LB18))+(LB19))+(LB20))+(LB21))+(LB22))+(LB23))+(LB24))+(LB25))+(LB26))+(LB27))+(LB28))+(LB29)</f>
        <v>1178.06</v>
      </c>
      <c r="LC30" s="11" t="n">
        <f aca="false">(((((((((((((((((((((((((LC4)+(LC5))+(LC6))+(LC7))+(LC8))+(LC9))+(LC10))+(LC11))+(LC12))+(LC13))+(LC14))+(LC15))+(LC16))+(LC17))+(LC18))+(LC19))+(LC20))+(LC21))+(LC22))+(LC23))+(LC24))+(LC25))+(LC26))+(LC27))+(LC28))+(LC29)</f>
        <v>230.58</v>
      </c>
      <c r="LD30" s="11" t="n">
        <f aca="false">(((((((((((((((((((((((((LD4)+(LD5))+(LD6))+(LD7))+(LD8))+(LD9))+(LD10))+(LD11))+(LD12))+(LD13))+(LD14))+(LD15))+(LD16))+(LD17))+(LD18))+(LD19))+(LD20))+(LD21))+(LD22))+(LD23))+(LD24))+(LD25))+(LD26))+(LD27))+(LD28))+(LD29)</f>
        <v>0</v>
      </c>
      <c r="LE30" s="11" t="n">
        <f aca="false">(((((((((((((((((((((((((LE4)+(LE5))+(LE6))+(LE7))+(LE8))+(LE9))+(LE10))+(LE11))+(LE12))+(LE13))+(LE14))+(LE15))+(LE16))+(LE17))+(LE18))+(LE19))+(LE20))+(LE21))+(LE22))+(LE23))+(LE24))+(LE25))+(LE26))+(LE27))+(LE28))+(LE29)</f>
        <v>1403.52</v>
      </c>
      <c r="LF30" s="11" t="n">
        <f aca="false">(((((((((((((((((((((((((LF4)+(LF5))+(LF6))+(LF7))+(LF8))+(LF9))+(LF10))+(LF11))+(LF12))+(LF13))+(LF14))+(LF15))+(LF16))+(LF17))+(LF18))+(LF19))+(LF20))+(LF21))+(LF22))+(LF23))+(LF24))+(LF25))+(LF26))+(LF27))+(LF28))+(LF29)</f>
        <v>1202.2</v>
      </c>
      <c r="LG30" s="11" t="n">
        <f aca="false">(((((((((((((((((((((((((LG4)+(LG5))+(LG6))+(LG7))+(LG8))+(LG9))+(LG10))+(LG11))+(LG12))+(LG13))+(LG14))+(LG15))+(LG16))+(LG17))+(LG18))+(LG19))+(LG20))+(LG21))+(LG22))+(LG23))+(LG24))+(LG25))+(LG26))+(LG27))+(LG28))+(LG29)</f>
        <v>2400.95</v>
      </c>
      <c r="LH30" s="11" t="n">
        <f aca="false">(((((((((((((((((((((((((LH4)+(LH5))+(LH6))+(LH7))+(LH8))+(LH9))+(LH10))+(LH11))+(LH12))+(LH13))+(LH14))+(LH15))+(LH16))+(LH17))+(LH18))+(LH19))+(LH20))+(LH21))+(LH22))+(LH23))+(LH24))+(LH25))+(LH26))+(LH27))+(LH28))+(LH29)</f>
        <v>1711.95</v>
      </c>
      <c r="LI30" s="11" t="n">
        <f aca="false">(((((((((((((((((((((((((LI4)+(LI5))+(LI6))+(LI7))+(LI8))+(LI9))+(LI10))+(LI11))+(LI12))+(LI13))+(LI14))+(LI15))+(LI16))+(LI17))+(LI18))+(LI19))+(LI20))+(LI21))+(LI22))+(LI23))+(LI24))+(LI25))+(LI26))+(LI27))+(LI28))+(LI29)</f>
        <v>1588.18</v>
      </c>
      <c r="LJ30" s="11" t="n">
        <f aca="false">(((((((((((((((((((((((((LJ4)+(LJ5))+(LJ6))+(LJ7))+(LJ8))+(LJ9))+(LJ10))+(LJ11))+(LJ12))+(LJ13))+(LJ14))+(LJ15))+(LJ16))+(LJ17))+(LJ18))+(LJ19))+(LJ20))+(LJ21))+(LJ22))+(LJ23))+(LJ24))+(LJ25))+(LJ26))+(LJ27))+(LJ28))+(LJ29)</f>
        <v>53.99</v>
      </c>
      <c r="LK30" s="11" t="n">
        <f aca="false">(((((((((((((((((((((((((LK4)+(LK5))+(LK6))+(LK7))+(LK8))+(LK9))+(LK10))+(LK11))+(LK12))+(LK13))+(LK14))+(LK15))+(LK16))+(LK17))+(LK18))+(LK19))+(LK20))+(LK21))+(LK22))+(LK23))+(LK24))+(LK25))+(LK26))+(LK27))+(LK28))+(LK29)</f>
        <v>414.53</v>
      </c>
      <c r="LL30" s="11" t="n">
        <f aca="false">(((((((((((((((((((((((((LL4)+(LL5))+(LL6))+(LL7))+(LL8))+(LL9))+(LL10))+(LL11))+(LL12))+(LL13))+(LL14))+(LL15))+(LL16))+(LL17))+(LL18))+(LL19))+(LL20))+(LL21))+(LL22))+(LL23))+(LL24))+(LL25))+(LL26))+(LL27))+(LL28))+(LL29)</f>
        <v>3612.75</v>
      </c>
      <c r="LM30" s="11" t="n">
        <f aca="false">(((((((((((((((((((((((((LM4)+(LM5))+(LM6))+(LM7))+(LM8))+(LM9))+(LM10))+(LM11))+(LM12))+(LM13))+(LM14))+(LM15))+(LM16))+(LM17))+(LM18))+(LM19))+(LM20))+(LM21))+(LM22))+(LM23))+(LM24))+(LM25))+(LM26))+(LM27))+(LM28))+(LM29)</f>
        <v>53352.37</v>
      </c>
      <c r="LN30" s="11" t="n">
        <f aca="false">(((((((((((((((((((((((((LN4)+(LN5))+(LN6))+(LN7))+(LN8))+(LN9))+(LN10))+(LN11))+(LN12))+(LN13))+(LN14))+(LN15))+(LN16))+(LN17))+(LN18))+(LN19))+(LN20))+(LN21))+(LN22))+(LN23))+(LN24))+(LN25))+(LN26))+(LN27))+(LN28))+(LN29)</f>
        <v>-31253.46</v>
      </c>
      <c r="LO30" s="11" t="n">
        <f aca="false">(((((((((((((((((((((((((LO4)+(LO5))+(LO6))+(LO7))+(LO8))+(LO9))+(LO10))+(LO11))+(LO12))+(LO13))+(LO14))+(LO15))+(LO16))+(LO17))+(LO18))+(LO19))+(LO20))+(LO21))+(LO22))+(LO23))+(LO24))+(LO25))+(LO26))+(LO27))+(LO28))+(LO29)</f>
        <v>-1140.41</v>
      </c>
      <c r="LP30" s="11" t="n">
        <f aca="false">(((((((((((((((((((((((((LP4)+(LP5))+(LP6))+(LP7))+(LP8))+(LP9))+(LP10))+(LP11))+(LP12))+(LP13))+(LP14))+(LP15))+(LP16))+(LP17))+(LP18))+(LP19))+(LP20))+(LP21))+(LP22))+(LP23))+(LP24))+(LP25))+(LP26))+(LP27))+(LP28))+(LP29)</f>
        <v>774.17</v>
      </c>
      <c r="LQ30" s="11" t="n">
        <f aca="false">(((((((((((((((((((((((((LQ4)+(LQ5))+(LQ6))+(LQ7))+(LQ8))+(LQ9))+(LQ10))+(LQ11))+(LQ12))+(LQ13))+(LQ14))+(LQ15))+(LQ16))+(LQ17))+(LQ18))+(LQ19))+(LQ20))+(LQ21))+(LQ22))+(LQ23))+(LQ24))+(LQ25))+(LQ26))+(LQ27))+(LQ28))+(LQ29)</f>
        <v>436.34</v>
      </c>
      <c r="LR30" s="11" t="n">
        <f aca="false">(((((((((((((((((((((((((LR4)+(LR5))+(LR6))+(LR7))+(LR8))+(LR9))+(LR10))+(LR11))+(LR12))+(LR13))+(LR14))+(LR15))+(LR16))+(LR17))+(LR18))+(LR19))+(LR20))+(LR21))+(LR22))+(LR23))+(LR24))+(LR25))+(LR26))+(LR27))+(LR28))+(LR29)</f>
        <v>2.09</v>
      </c>
      <c r="LS30" s="11" t="n">
        <f aca="false">(((((((((((((((((((((((((LS4)+(LS5))+(LS6))+(LS7))+(LS8))+(LS9))+(LS10))+(LS11))+(LS12))+(LS13))+(LS14))+(LS15))+(LS16))+(LS17))+(LS18))+(LS19))+(LS20))+(LS21))+(LS22))+(LS23))+(LS24))+(LS25))+(LS26))+(LS27))+(LS28))+(LS29)</f>
        <v>852.53</v>
      </c>
      <c r="LT30" s="11" t="n">
        <f aca="false">(((((((((((((((((((((((((LT4)+(LT5))+(LT6))+(LT7))+(LT8))+(LT9))+(LT10))+(LT11))+(LT12))+(LT13))+(LT14))+(LT15))+(LT16))+(LT17))+(LT18))+(LT19))+(LT20))+(LT21))+(LT22))+(LT23))+(LT24))+(LT25))+(LT26))+(LT27))+(LT28))+(LT29)</f>
        <v>5518.86</v>
      </c>
      <c r="LU30" s="11" t="n">
        <f aca="false">(((((((((((((((((((((((((LU4)+(LU5))+(LU6))+(LU7))+(LU8))+(LU9))+(LU10))+(LU11))+(LU12))+(LU13))+(LU14))+(LU15))+(LU16))+(LU17))+(LU18))+(LU19))+(LU20))+(LU21))+(LU22))+(LU23))+(LU24))+(LU25))+(LU26))+(LU27))+(LU28))+(LU29)</f>
        <v>3297.87</v>
      </c>
      <c r="LV30" s="11" t="n">
        <f aca="false">(((((((((((((((((((((((((LV4)+(LV5))+(LV6))+(LV7))+(LV8))+(LV9))+(LV10))+(LV11))+(LV12))+(LV13))+(LV14))+(LV15))+(LV16))+(LV17))+(LV18))+(LV19))+(LV20))+(LV21))+(LV22))+(LV23))+(LV24))+(LV25))+(LV26))+(LV27))+(LV28))+(LV29)</f>
        <v>214.63</v>
      </c>
      <c r="LW30" s="11" t="n">
        <f aca="false">(((((((((((((((((((((((((LW4)+(LW5))+(LW6))+(LW7))+(LW8))+(LW9))+(LW10))+(LW11))+(LW12))+(LW13))+(LW14))+(LW15))+(LW16))+(LW17))+(LW18))+(LW19))+(LW20))+(LW21))+(LW22))+(LW23))+(LW24))+(LW25))+(LW26))+(LW27))+(LW28))+(LW29)</f>
        <v>2047.51</v>
      </c>
      <c r="LX30" s="11" t="n">
        <f aca="false">(((((((((((((((((((((((((LX4)+(LX5))+(LX6))+(LX7))+(LX8))+(LX9))+(LX10))+(LX11))+(LX12))+(LX13))+(LX14))+(LX15))+(LX16))+(LX17))+(LX18))+(LX19))+(LX20))+(LX21))+(LX22))+(LX23))+(LX24))+(LX25))+(LX26))+(LX27))+(LX28))+(LX29)</f>
        <v>-36511.98</v>
      </c>
      <c r="LY30" s="11" t="n">
        <f aca="false">(((((((((((((((((((((((((LY4)+(LY5))+(LY6))+(LY7))+(LY8))+(LY9))+(LY10))+(LY11))+(LY12))+(LY13))+(LY14))+(LY15))+(LY16))+(LY17))+(LY18))+(LY19))+(LY20))+(LY21))+(LY22))+(LY23))+(LY24))+(LY25))+(LY26))+(LY27))+(LY28))+(LY29)</f>
        <v>-59.6300000000001</v>
      </c>
      <c r="LZ30" s="11" t="n">
        <f aca="false">(((((((((((((((((((((((((LZ4)+(LZ5))+(LZ6))+(LZ7))+(LZ8))+(LZ9))+(LZ10))+(LZ11))+(LZ12))+(LZ13))+(LZ14))+(LZ15))+(LZ16))+(LZ17))+(LZ18))+(LZ19))+(LZ20))+(LZ21))+(LZ22))+(LZ23))+(LZ24))+(LZ25))+(LZ26))+(LZ27))+(LZ28))+(LZ29)</f>
        <v>1865.79</v>
      </c>
      <c r="MA30" s="11" t="n">
        <f aca="false">(((((((((((((((((((((((((MA4)+(MA5))+(MA6))+(MA7))+(MA8))+(MA9))+(MA10))+(MA11))+(MA12))+(MA13))+(MA14))+(MA15))+(MA16))+(MA17))+(MA18))+(MA19))+(MA20))+(MA21))+(MA22))+(MA23))+(MA24))+(MA25))+(MA26))+(MA27))+(MA28))+(MA29)</f>
        <v>4959.89</v>
      </c>
      <c r="MB30" s="11" t="n">
        <f aca="false">(((((((((((((((((((((((((MB4)+(MB5))+(MB6))+(MB7))+(MB8))+(MB9))+(MB10))+(MB11))+(MB12))+(MB13))+(MB14))+(MB15))+(MB16))+(MB17))+(MB18))+(MB19))+(MB20))+(MB21))+(MB22))+(MB23))+(MB24))+(MB25))+(MB26))+(MB27))+(MB28))+(MB29)</f>
        <v>2597.84</v>
      </c>
      <c r="MC30" s="11" t="n">
        <f aca="false">(((((((((((((((((((((((((MC4)+(MC5))+(MC6))+(MC7))+(MC8))+(MC9))+(MC10))+(MC11))+(MC12))+(MC13))+(MC14))+(MC15))+(MC16))+(MC17))+(MC18))+(MC19))+(MC20))+(MC21))+(MC22))+(MC23))+(MC24))+(MC25))+(MC26))+(MC27))+(MC28))+(MC29)</f>
        <v>2810.5</v>
      </c>
      <c r="MD30" s="11" t="n">
        <f aca="false">(((((((((((((((((((((((((MD4)+(MD5))+(MD6))+(MD7))+(MD8))+(MD9))+(MD10))+(MD11))+(MD12))+(MD13))+(MD14))+(MD15))+(MD16))+(MD17))+(MD18))+(MD19))+(MD20))+(MD21))+(MD22))+(MD23))+(MD24))+(MD25))+(MD26))+(MD27))+(MD28))+(MD29)</f>
        <v>3450.94</v>
      </c>
      <c r="ME30" s="11" t="n">
        <f aca="false">(((((((((((((((((((((((((ME4)+(ME5))+(ME6))+(ME7))+(ME8))+(ME9))+(ME10))+(ME11))+(ME12))+(ME13))+(ME14))+(ME15))+(ME16))+(ME17))+(ME18))+(ME19))+(ME20))+(ME21))+(ME22))+(ME23))+(ME24))+(ME25))+(ME26))+(ME27))+(ME28))+(ME29)</f>
        <v>-2104.68</v>
      </c>
      <c r="MF30" s="11" t="n">
        <f aca="false">(((((((((((((((((((((((((MF4)+(MF5))+(MF6))+(MF7))+(MF8))+(MF9))+(MF10))+(MF11))+(MF12))+(MF13))+(MF14))+(MF15))+(MF16))+(MF17))+(MF18))+(MF19))+(MF20))+(MF21))+(MF22))+(MF23))+(MF24))+(MF25))+(MF26))+(MF27))+(MF28))+(MF29)</f>
        <v>248.52</v>
      </c>
      <c r="MG30" s="11" t="n">
        <f aca="false">(((((((((((((((((((((((((MG4)+(MG5))+(MG6))+(MG7))+(MG8))+(MG9))+(MG10))+(MG11))+(MG12))+(MG13))+(MG14))+(MG15))+(MG16))+(MG17))+(MG18))+(MG19))+(MG20))+(MG21))+(MG22))+(MG23))+(MG24))+(MG25))+(MG26))+(MG27))+(MG28))+(MG29)</f>
        <v>1306.38</v>
      </c>
      <c r="MH30" s="11" t="n">
        <f aca="false">(((((((((((((((((((((((((MH4)+(MH5))+(MH6))+(MH7))+(MH8))+(MH9))+(MH10))+(MH11))+(MH12))+(MH13))+(MH14))+(MH15))+(MH16))+(MH17))+(MH18))+(MH19))+(MH20))+(MH21))+(MH22))+(MH23))+(MH24))+(MH25))+(MH26))+(MH27))+(MH28))+(MH29)</f>
        <v>4430.34</v>
      </c>
      <c r="MI30" s="11" t="n">
        <f aca="false">(((((((((((((((((((((((((MI4)+(MI5))+(MI6))+(MI7))+(MI8))+(MI9))+(MI10))+(MI11))+(MI12))+(MI13))+(MI14))+(MI15))+(MI16))+(MI17))+(MI18))+(MI19))+(MI20))+(MI21))+(MI22))+(MI23))+(MI24))+(MI25))+(MI26))+(MI27))+(MI28))+(MI29)</f>
        <v>1219.88</v>
      </c>
      <c r="MJ30" s="11" t="n">
        <f aca="false">(((((((((((((((((((((((((MJ4)+(MJ5))+(MJ6))+(MJ7))+(MJ8))+(MJ9))+(MJ10))+(MJ11))+(MJ12))+(MJ13))+(MJ14))+(MJ15))+(MJ16))+(MJ17))+(MJ18))+(MJ19))+(MJ20))+(MJ21))+(MJ22))+(MJ23))+(MJ24))+(MJ25))+(MJ26))+(MJ27))+(MJ28))+(MJ29)</f>
        <v>2250.93</v>
      </c>
      <c r="MK30" s="11" t="n">
        <f aca="false">(((((((((((((((((((((((((MK4)+(MK5))+(MK6))+(MK7))+(MK8))+(MK9))+(MK10))+(MK11))+(MK12))+(MK13))+(MK14))+(MK15))+(MK16))+(MK17))+(MK18))+(MK19))+(MK20))+(MK21))+(MK22))+(MK23))+(MK24))+(MK25))+(MK26))+(MK27))+(MK28))+(MK29)</f>
        <v>3156.61</v>
      </c>
      <c r="ML30" s="11" t="n">
        <f aca="false">(((((((((((((((((((((((((ML4)+(ML5))+(ML6))+(ML7))+(ML8))+(ML9))+(ML10))+(ML11))+(ML12))+(ML13))+(ML14))+(ML15))+(ML16))+(ML17))+(ML18))+(ML19))+(ML20))+(ML21))+(ML22))+(ML23))+(ML24))+(ML25))+(ML26))+(ML27))+(ML28))+(ML29)</f>
        <v>-750.51</v>
      </c>
      <c r="MM30" s="11" t="n">
        <f aca="false">(((((((((((((((((((((((((MM4)+(MM5))+(MM6))+(MM7))+(MM8))+(MM9))+(MM10))+(MM11))+(MM12))+(MM13))+(MM14))+(MM15))+(MM16))+(MM17))+(MM18))+(MM19))+(MM20))+(MM21))+(MM22))+(MM23))+(MM24))+(MM25))+(MM26))+(MM27))+(MM28))+(MM29)</f>
        <v>191.36</v>
      </c>
      <c r="MN30" s="11" t="n">
        <f aca="false">(((((((((((((((((((((((((MN4)+(MN5))+(MN6))+(MN7))+(MN8))+(MN9))+(MN10))+(MN11))+(MN12))+(MN13))+(MN14))+(MN15))+(MN16))+(MN17))+(MN18))+(MN19))+(MN20))+(MN21))+(MN22))+(MN23))+(MN24))+(MN25))+(MN26))+(MN27))+(MN28))+(MN29)</f>
        <v>627.21</v>
      </c>
      <c r="MO30" s="11" t="n">
        <f aca="false">(((((((((((((((((((((((((MO4)+(MO5))+(MO6))+(MO7))+(MO8))+(MO9))+(MO10))+(MO11))+(MO12))+(MO13))+(MO14))+(MO15))+(MO16))+(MO17))+(MO18))+(MO19))+(MO20))+(MO21))+(MO22))+(MO23))+(MO24))+(MO25))+(MO26))+(MO27))+(MO28))+(MO29)</f>
        <v>8367.84</v>
      </c>
      <c r="MP30" s="11" t="n">
        <f aca="false">(((((((((((((((((((((((((MP4)+(MP5))+(MP6))+(MP7))+(MP8))+(MP9))+(MP10))+(MP11))+(MP12))+(MP13))+(MP14))+(MP15))+(MP16))+(MP17))+(MP18))+(MP19))+(MP20))+(MP21))+(MP22))+(MP23))+(MP24))+(MP25))+(MP26))+(MP27))+(MP28))+(MP29)</f>
        <v>679.88</v>
      </c>
      <c r="MQ30" s="11" t="n">
        <f aca="false">(((((((((((((((((((((((((MQ4)+(MQ5))+(MQ6))+(MQ7))+(MQ8))+(MQ9))+(MQ10))+(MQ11))+(MQ12))+(MQ13))+(MQ14))+(MQ15))+(MQ16))+(MQ17))+(MQ18))+(MQ19))+(MQ20))+(MQ21))+(MQ22))+(MQ23))+(MQ24))+(MQ25))+(MQ26))+(MQ27))+(MQ28))+(MQ29)</f>
        <v>2334.24</v>
      </c>
      <c r="MR30" s="11" t="n">
        <f aca="false">(((((((((((((((((((((((((MR4)+(MR5))+(MR6))+(MR7))+(MR8))+(MR9))+(MR10))+(MR11))+(MR12))+(MR13))+(MR14))+(MR15))+(MR16))+(MR17))+(MR18))+(MR19))+(MR20))+(MR21))+(MR22))+(MR23))+(MR24))+(MR25))+(MR26))+(MR27))+(MR28))+(MR29)</f>
        <v>-24473.66</v>
      </c>
      <c r="MS30" s="11" t="n">
        <f aca="false">(((((((((((((((((((((((((MS4)+(MS5))+(MS6))+(MS7))+(MS8))+(MS9))+(MS10))+(MS11))+(MS12))+(MS13))+(MS14))+(MS15))+(MS16))+(MS17))+(MS18))+(MS19))+(MS20))+(MS21))+(MS22))+(MS23))+(MS24))+(MS25))+(MS26))+(MS27))+(MS28))+(MS29)</f>
        <v>-1205.03</v>
      </c>
      <c r="MT30" s="11" t="n">
        <f aca="false">(((((((((((((((((((((((((MT4)+(MT5))+(MT6))+(MT7))+(MT8))+(MT9))+(MT10))+(MT11))+(MT12))+(MT13))+(MT14))+(MT15))+(MT16))+(MT17))+(MT18))+(MT19))+(MT20))+(MT21))+(MT22))+(MT23))+(MT24))+(MT25))+(MT26))+(MT27))+(MT28))+(MT29)</f>
        <v>47.07</v>
      </c>
      <c r="MU30" s="11" t="n">
        <f aca="false">(((((((((((((((((((((((((MU4)+(MU5))+(MU6))+(MU7))+(MU8))+(MU9))+(MU10))+(MU11))+(MU12))+(MU13))+(MU14))+(MU15))+(MU16))+(MU17))+(MU18))+(MU19))+(MU20))+(MU21))+(MU22))+(MU23))+(MU24))+(MU25))+(MU26))+(MU27))+(MU28))+(MU29)</f>
        <v>2250.06</v>
      </c>
      <c r="MV30" s="11" t="n">
        <f aca="false">(((((((((((((((((((((((((MV4)+(MV5))+(MV6))+(MV7))+(MV8))+(MV9))+(MV10))+(MV11))+(MV12))+(MV13))+(MV14))+(MV15))+(MV16))+(MV17))+(MV18))+(MV19))+(MV20))+(MV21))+(MV22))+(MV23))+(MV24))+(MV25))+(MV26))+(MV27))+(MV28))+(MV29)</f>
        <v>6366.79</v>
      </c>
      <c r="MW30" s="11" t="n">
        <f aca="false">(((((((((((((((((((((((((MW4)+(MW5))+(MW6))+(MW7))+(MW8))+(MW9))+(MW10))+(MW11))+(MW12))+(MW13))+(MW14))+(MW15))+(MW16))+(MW17))+(MW18))+(MW19))+(MW20))+(MW21))+(MW22))+(MW23))+(MW24))+(MW25))+(MW26))+(MW27))+(MW28))+(MW29)</f>
        <v>0</v>
      </c>
      <c r="MX30" s="11" t="n">
        <f aca="false">(((((((((((((((((((((((((MX4)+(MX5))+(MX6))+(MX7))+(MX8))+(MX9))+(MX10))+(MX11))+(MX12))+(MX13))+(MX14))+(MX15))+(MX16))+(MX17))+(MX18))+(MX19))+(MX20))+(MX21))+(MX22))+(MX23))+(MX24))+(MX25))+(MX26))+(MX27))+(MX28))+(MX29)</f>
        <v>2960.34</v>
      </c>
      <c r="MY30" s="11" t="n">
        <f aca="false">(((((((((((((((((((((((((MY4)+(MY5))+(MY6))+(MY7))+(MY8))+(MY9))+(MY10))+(MY11))+(MY12))+(MY13))+(MY14))+(MY15))+(MY16))+(MY17))+(MY18))+(MY19))+(MY20))+(MY21))+(MY22))+(MY23))+(MY24))+(MY25))+(MY26))+(MY27))+(MY28))+(MY29)</f>
        <v>4915.17</v>
      </c>
      <c r="MZ30" s="11" t="n">
        <f aca="false">(((((((((((((((((((((((((MZ4)+(MZ5))+(MZ6))+(MZ7))+(MZ8))+(MZ9))+(MZ10))+(MZ11))+(MZ12))+(MZ13))+(MZ14))+(MZ15))+(MZ16))+(MZ17))+(MZ18))+(MZ19))+(MZ20))+(MZ21))+(MZ22))+(MZ23))+(MZ24))+(MZ25))+(MZ26))+(MZ27))+(MZ28))+(MZ29)</f>
        <v>267.06</v>
      </c>
      <c r="NA30" s="11" t="n">
        <f aca="false">(((((((((((((((((((((((((NA4)+(NA5))+(NA6))+(NA7))+(NA8))+(NA9))+(NA10))+(NA11))+(NA12))+(NA13))+(NA14))+(NA15))+(NA16))+(NA17))+(NA18))+(NA19))+(NA20))+(NA21))+(NA22))+(NA23))+(NA24))+(NA25))+(NA26))+(NA27))+(NA28))+(NA29)</f>
        <v>94.61</v>
      </c>
      <c r="NB30" s="11" t="n">
        <f aca="false">(((((((((((((((((((((((((NB4)+(NB5))+(NB6))+(NB7))+(NB8))+(NB9))+(NB10))+(NB11))+(NB12))+(NB13))+(NB14))+(NB15))+(NB16))+(NB17))+(NB18))+(NB19))+(NB20))+(NB21))+(NB22))+(NB23))+(NB24))+(NB25))+(NB26))+(NB27))+(NB28))+(NB29)</f>
        <v>4390.23</v>
      </c>
      <c r="NC30" s="11" t="n">
        <f aca="false">(((((((((((((((((((((((((NC4)+(NC5))+(NC6))+(NC7))+(NC8))+(NC9))+(NC10))+(NC11))+(NC12))+(NC13))+(NC14))+(NC15))+(NC16))+(NC17))+(NC18))+(NC19))+(NC20))+(NC21))+(NC22))+(NC23))+(NC24))+(NC25))+(NC26))+(NC27))+(NC28))+(NC29)</f>
        <v>-46570.81</v>
      </c>
      <c r="ND30" s="9" t="n">
        <f aca="false">SUM(A30:NC30)</f>
        <v>40797.46</v>
      </c>
    </row>
    <row r="31" customFormat="false" ht="12.8" hidden="false" customHeight="false" outlineLevel="0" collapsed="false">
      <c r="A31" s="8" t="s">
        <v>397</v>
      </c>
      <c r="B31" s="11" t="n">
        <f aca="false">(B3)+(B30)</f>
        <v>-39</v>
      </c>
      <c r="C31" s="11" t="n">
        <f aca="false">(C3)+(C30)</f>
        <v>-962.13</v>
      </c>
      <c r="D31" s="11" t="n">
        <f aca="false">(D3)+(D30)</f>
        <v>3922.18</v>
      </c>
      <c r="E31" s="11" t="n">
        <f aca="false">(E3)+(E30)</f>
        <v>-7777.08</v>
      </c>
      <c r="F31" s="11" t="n">
        <f aca="false">(F3)+(F30)</f>
        <v>-4937.29</v>
      </c>
      <c r="G31" s="11" t="n">
        <f aca="false">(G3)+(G30)</f>
        <v>940</v>
      </c>
      <c r="H31" s="11" t="n">
        <f aca="false">(H3)+(H30)</f>
        <v>0</v>
      </c>
      <c r="I31" s="11" t="n">
        <f aca="false">(I3)+(I30)</f>
        <v>2266.52</v>
      </c>
      <c r="J31" s="11" t="n">
        <f aca="false">(J3)+(J30)</f>
        <v>2147.06</v>
      </c>
      <c r="K31" s="11" t="n">
        <f aca="false">(K3)+(K30)</f>
        <v>1498.4</v>
      </c>
      <c r="L31" s="11" t="n">
        <f aca="false">(L3)+(L30)</f>
        <v>66.9200000000001</v>
      </c>
      <c r="M31" s="11" t="n">
        <f aca="false">(M3)+(M30)</f>
        <v>-1102.16</v>
      </c>
      <c r="N31" s="11" t="n">
        <f aca="false">(N3)+(N30)</f>
        <v>-7419.95</v>
      </c>
      <c r="O31" s="11" t="n">
        <f aca="false">(O3)+(O30)</f>
        <v>0</v>
      </c>
      <c r="P31" s="11" t="n">
        <f aca="false">(P3)+(P30)</f>
        <v>0</v>
      </c>
      <c r="Q31" s="11" t="n">
        <f aca="false">(Q3)+(Q30)</f>
        <v>-1825.11</v>
      </c>
      <c r="R31" s="11" t="n">
        <f aca="false">(R3)+(R30)</f>
        <v>4481.09</v>
      </c>
      <c r="S31" s="11" t="n">
        <f aca="false">(S3)+(S30)</f>
        <v>46.6000000000001</v>
      </c>
      <c r="T31" s="11" t="n">
        <f aca="false">(T3)+(T30)</f>
        <v>-1159.98</v>
      </c>
      <c r="U31" s="11" t="n">
        <f aca="false">(U3)+(U30)</f>
        <v>-1741.42</v>
      </c>
      <c r="V31" s="11" t="n">
        <f aca="false">(V3)+(V30)</f>
        <v>0</v>
      </c>
      <c r="W31" s="11" t="n">
        <f aca="false">(W3)+(W30)</f>
        <v>-8224.67</v>
      </c>
      <c r="X31" s="11" t="n">
        <f aca="false">(X3)+(X30)</f>
        <v>-520.11</v>
      </c>
      <c r="Y31" s="11" t="n">
        <f aca="false">(Y3)+(Y30)</f>
        <v>-674.15</v>
      </c>
      <c r="Z31" s="11" t="n">
        <f aca="false">(Z3)+(Z30)</f>
        <v>405.48</v>
      </c>
      <c r="AA31" s="11" t="n">
        <f aca="false">(AA3)+(AA30)</f>
        <v>624.96</v>
      </c>
      <c r="AB31" s="11" t="n">
        <f aca="false">(AB3)+(AB30)</f>
        <v>-298.32</v>
      </c>
      <c r="AC31" s="11" t="n">
        <f aca="false">(AC3)+(AC30)</f>
        <v>0</v>
      </c>
      <c r="AD31" s="11" t="n">
        <f aca="false">(AD3)+(AD30)</f>
        <v>414.670000000001</v>
      </c>
      <c r="AE31" s="11" t="n">
        <f aca="false">(AE3)+(AE30)</f>
        <v>3287.8</v>
      </c>
      <c r="AF31" s="11" t="n">
        <f aca="false">(AF3)+(AF30)</f>
        <v>217.65</v>
      </c>
      <c r="AG31" s="11" t="n">
        <f aca="false">(AG3)+(AG30)</f>
        <v>-1674.29</v>
      </c>
      <c r="AH31" s="11" t="n">
        <f aca="false">(AH3)+(AH30)</f>
        <v>1140.38</v>
      </c>
      <c r="AI31" s="11" t="n">
        <f aca="false">(AI3)+(AI30)</f>
        <v>0</v>
      </c>
      <c r="AJ31" s="11" t="n">
        <f aca="false">(AJ3)+(AJ30)</f>
        <v>0</v>
      </c>
      <c r="AK31" s="11" t="n">
        <f aca="false">(AK3)+(AK30)</f>
        <v>-3604.35</v>
      </c>
      <c r="AL31" s="11" t="n">
        <f aca="false">(AL3)+(AL30)</f>
        <v>1989.03</v>
      </c>
      <c r="AM31" s="11" t="n">
        <f aca="false">(AM3)+(AM30)</f>
        <v>-4131.64</v>
      </c>
      <c r="AN31" s="11" t="n">
        <f aca="false">(AN3)+(AN30)</f>
        <v>981.37</v>
      </c>
      <c r="AO31" s="11" t="n">
        <f aca="false">(AO3)+(AO30)</f>
        <v>419.23</v>
      </c>
      <c r="AP31" s="11" t="n">
        <f aca="false">(AP3)+(AP30)</f>
        <v>-207.54</v>
      </c>
      <c r="AQ31" s="11" t="n">
        <f aca="false">(AQ3)+(AQ30)</f>
        <v>0</v>
      </c>
      <c r="AR31" s="11" t="n">
        <f aca="false">(AR3)+(AR30)</f>
        <v>5235.57</v>
      </c>
      <c r="AS31" s="11" t="n">
        <f aca="false">(AS3)+(AS30)</f>
        <v>4670.4</v>
      </c>
      <c r="AT31" s="11" t="n">
        <f aca="false">(AT3)+(AT30)</f>
        <v>407.31</v>
      </c>
      <c r="AU31" s="11" t="n">
        <f aca="false">(AU3)+(AU30)</f>
        <v>-1591.56</v>
      </c>
      <c r="AV31" s="11" t="n">
        <f aca="false">(AV3)+(AV30)</f>
        <v>-2234.05</v>
      </c>
      <c r="AW31" s="11" t="n">
        <f aca="false">(AW3)+(AW30)</f>
        <v>-653</v>
      </c>
      <c r="AX31" s="11" t="n">
        <f aca="false">(AX3)+(AX30)</f>
        <v>242.52</v>
      </c>
      <c r="AY31" s="11" t="n">
        <f aca="false">(AY3)+(AY30)</f>
        <v>29.88</v>
      </c>
      <c r="AZ31" s="11" t="n">
        <f aca="false">(AZ3)+(AZ30)</f>
        <v>780.56</v>
      </c>
      <c r="BA31" s="11" t="n">
        <f aca="false">(BA3)+(BA30)</f>
        <v>-5877.09</v>
      </c>
      <c r="BB31" s="11" t="n">
        <f aca="false">(BB3)+(BB30)</f>
        <v>-713.56</v>
      </c>
      <c r="BC31" s="11" t="n">
        <f aca="false">(BC3)+(BC30)</f>
        <v>490.9</v>
      </c>
      <c r="BD31" s="11" t="n">
        <f aca="false">(BD3)+(BD30)</f>
        <v>0</v>
      </c>
      <c r="BE31" s="11" t="n">
        <f aca="false">(BE3)+(BE30)</f>
        <v>0</v>
      </c>
      <c r="BF31" s="11" t="n">
        <f aca="false">(BF3)+(BF30)</f>
        <v>2699.39</v>
      </c>
      <c r="BG31" s="11" t="n">
        <f aca="false">(BG3)+(BG30)</f>
        <v>-1233.85</v>
      </c>
      <c r="BH31" s="11" t="n">
        <f aca="false">(BH3)+(BH30)</f>
        <v>1488.66</v>
      </c>
      <c r="BI31" s="11" t="n">
        <f aca="false">(BI3)+(BI30)</f>
        <v>333.169999999998</v>
      </c>
      <c r="BJ31" s="11" t="n">
        <f aca="false">(BJ3)+(BJ30)</f>
        <v>-2001.98</v>
      </c>
      <c r="BK31" s="11" t="n">
        <f aca="false">(BK3)+(BK30)</f>
        <v>0</v>
      </c>
      <c r="BL31" s="11" t="n">
        <f aca="false">(BL3)+(BL30)</f>
        <v>0</v>
      </c>
      <c r="BM31" s="11" t="n">
        <f aca="false">(BM3)+(BM30)</f>
        <v>-5892.75</v>
      </c>
      <c r="BN31" s="11" t="n">
        <f aca="false">(BN3)+(BN30)</f>
        <v>7981.34</v>
      </c>
      <c r="BO31" s="11" t="n">
        <f aca="false">(BO3)+(BO30)</f>
        <v>1614.77</v>
      </c>
      <c r="BP31" s="11" t="n">
        <f aca="false">(BP3)+(BP30)</f>
        <v>-2326.4</v>
      </c>
      <c r="BQ31" s="11" t="n">
        <f aca="false">(BQ3)+(BQ30)</f>
        <v>2868.38</v>
      </c>
      <c r="BR31" s="11" t="n">
        <f aca="false">(BR3)+(BR30)</f>
        <v>0</v>
      </c>
      <c r="BS31" s="11" t="n">
        <f aca="false">(BS3)+(BS30)</f>
        <v>0</v>
      </c>
      <c r="BT31" s="11" t="n">
        <f aca="false">(BT3)+(BT30)</f>
        <v>-237.02</v>
      </c>
      <c r="BU31" s="11" t="n">
        <f aca="false">(BU3)+(BU30)</f>
        <v>3645.01</v>
      </c>
      <c r="BV31" s="11" t="n">
        <f aca="false">(BV3)+(BV30)</f>
        <v>353.86</v>
      </c>
      <c r="BW31" s="11" t="n">
        <f aca="false">(BW3)+(BW30)</f>
        <v>560.25</v>
      </c>
      <c r="BX31" s="11" t="n">
        <f aca="false">(BX3)+(BX30)</f>
        <v>-3000.12</v>
      </c>
      <c r="BY31" s="11" t="n">
        <f aca="false">(BY3)+(BY30)</f>
        <v>0</v>
      </c>
      <c r="BZ31" s="11" t="n">
        <f aca="false">(BZ3)+(BZ30)</f>
        <v>0</v>
      </c>
      <c r="CA31" s="11" t="n">
        <f aca="false">(CA3)+(CA30)</f>
        <v>830.05</v>
      </c>
      <c r="CB31" s="11" t="n">
        <f aca="false">(CB3)+(CB30)</f>
        <v>3437.19</v>
      </c>
      <c r="CC31" s="11" t="n">
        <f aca="false">(CC3)+(CC30)</f>
        <v>-546.87</v>
      </c>
      <c r="CD31" s="11" t="n">
        <f aca="false">(CD3)+(CD30)</f>
        <v>-1139.24</v>
      </c>
      <c r="CE31" s="11" t="n">
        <f aca="false">(CE3)+(CE30)</f>
        <v>1419.29</v>
      </c>
      <c r="CF31" s="11" t="n">
        <f aca="false">(CF3)+(CF30)</f>
        <v>-664.22</v>
      </c>
      <c r="CG31" s="11" t="n">
        <f aca="false">(CG3)+(CG30)</f>
        <v>0</v>
      </c>
      <c r="CH31" s="11" t="n">
        <f aca="false">(CH3)+(CH30)</f>
        <v>-12294.2</v>
      </c>
      <c r="CI31" s="11" t="n">
        <f aca="false">(CI3)+(CI30)</f>
        <v>2028.67</v>
      </c>
      <c r="CJ31" s="11" t="n">
        <f aca="false">(CJ3)+(CJ30)</f>
        <v>-302.759999999999</v>
      </c>
      <c r="CK31" s="11" t="n">
        <f aca="false">(CK3)+(CK30)</f>
        <v>362.87</v>
      </c>
      <c r="CL31" s="11" t="n">
        <f aca="false">(CL3)+(CL30)</f>
        <v>707.28</v>
      </c>
      <c r="CM31" s="11" t="n">
        <f aca="false">(CM3)+(CM30)</f>
        <v>0</v>
      </c>
      <c r="CN31" s="11" t="n">
        <f aca="false">(CN3)+(CN30)</f>
        <v>0</v>
      </c>
      <c r="CO31" s="11" t="n">
        <f aca="false">(CO3)+(CO30)</f>
        <v>-960.329999999999</v>
      </c>
      <c r="CP31" s="11" t="n">
        <f aca="false">(CP3)+(CP30)</f>
        <v>397.67</v>
      </c>
      <c r="CQ31" s="11" t="n">
        <f aca="false">(CQ3)+(CQ30)</f>
        <v>2126.67</v>
      </c>
      <c r="CR31" s="11" t="n">
        <f aca="false">(CR3)+(CR30)</f>
        <v>-842.55</v>
      </c>
      <c r="CS31" s="11" t="n">
        <f aca="false">(CS3)+(CS30)</f>
        <v>800.43</v>
      </c>
      <c r="CT31" s="11" t="n">
        <f aca="false">(CT3)+(CT30)</f>
        <v>-15.27</v>
      </c>
      <c r="CU31" s="11" t="n">
        <f aca="false">(CU3)+(CU30)</f>
        <v>-2270.45</v>
      </c>
      <c r="CV31" s="11" t="n">
        <f aca="false">(CV3)+(CV30)</f>
        <v>2467.82</v>
      </c>
      <c r="CW31" s="11" t="n">
        <f aca="false">(CW3)+(CW30)</f>
        <v>2613</v>
      </c>
      <c r="CX31" s="11" t="n">
        <f aca="false">(CX3)+(CX30)</f>
        <v>-4789.42</v>
      </c>
      <c r="CY31" s="11" t="n">
        <f aca="false">(CY3)+(CY30)</f>
        <v>1265.69</v>
      </c>
      <c r="CZ31" s="11" t="n">
        <f aca="false">(CZ3)+(CZ30)</f>
        <v>913.7</v>
      </c>
      <c r="DA31" s="11" t="n">
        <f aca="false">(DA3)+(DA30)</f>
        <v>-1859.18</v>
      </c>
      <c r="DB31" s="11" t="n">
        <f aca="false">(DB3)+(DB30)</f>
        <v>0</v>
      </c>
      <c r="DC31" s="11" t="n">
        <f aca="false">(DC3)+(DC30)</f>
        <v>1729.89</v>
      </c>
      <c r="DD31" s="11" t="n">
        <f aca="false">(DD3)+(DD30)</f>
        <v>4168.61</v>
      </c>
      <c r="DE31" s="11" t="n">
        <f aca="false">(DE3)+(DE30)</f>
        <v>608.72</v>
      </c>
      <c r="DF31" s="11" t="n">
        <f aca="false">(DF3)+(DF30)</f>
        <v>1326.59</v>
      </c>
      <c r="DG31" s="11" t="n">
        <f aca="false">(DG3)+(DG30)</f>
        <v>393.87</v>
      </c>
      <c r="DH31" s="11" t="n">
        <f aca="false">(DH3)+(DH30)</f>
        <v>431.7</v>
      </c>
      <c r="DI31" s="11" t="n">
        <f aca="false">(DI3)+(DI30)</f>
        <v>-7.48000000000002</v>
      </c>
      <c r="DJ31" s="11" t="n">
        <f aca="false">(DJ3)+(DJ30)</f>
        <v>1234.29</v>
      </c>
      <c r="DK31" s="11" t="n">
        <f aca="false">(DK3)+(DK30)</f>
        <v>3349.6</v>
      </c>
      <c r="DL31" s="11" t="n">
        <f aca="false">(DL3)+(DL30)</f>
        <v>-1035.85</v>
      </c>
      <c r="DM31" s="11" t="n">
        <f aca="false">(DM3)+(DM30)</f>
        <v>447.13</v>
      </c>
      <c r="DN31" s="11" t="n">
        <f aca="false">(DN3)+(DN30)</f>
        <v>971.89</v>
      </c>
      <c r="DO31" s="11" t="n">
        <f aca="false">(DO3)+(DO30)</f>
        <v>35573.21</v>
      </c>
      <c r="DP31" s="11" t="n">
        <f aca="false">(DP3)+(DP30)</f>
        <v>0</v>
      </c>
      <c r="DQ31" s="11" t="n">
        <f aca="false">(DQ3)+(DQ30)</f>
        <v>-20153.82</v>
      </c>
      <c r="DR31" s="11" t="n">
        <f aca="false">(DR3)+(DR30)</f>
        <v>2667.35</v>
      </c>
      <c r="DS31" s="11" t="n">
        <f aca="false">(DS3)+(DS30)</f>
        <v>-3444.13</v>
      </c>
      <c r="DT31" s="11" t="n">
        <f aca="false">(DT3)+(DT30)</f>
        <v>582.35</v>
      </c>
      <c r="DU31" s="11" t="n">
        <f aca="false">(DU3)+(DU30)</f>
        <v>2745.68</v>
      </c>
      <c r="DV31" s="11" t="n">
        <f aca="false">(DV3)+(DV30)</f>
        <v>-15.59</v>
      </c>
      <c r="DW31" s="11" t="n">
        <f aca="false">(DW3)+(DW30)</f>
        <v>-1657.35</v>
      </c>
      <c r="DX31" s="11" t="n">
        <f aca="false">(DX3)+(DX30)</f>
        <v>-3663.38</v>
      </c>
      <c r="DY31" s="11" t="n">
        <f aca="false">(DY3)+(DY30)</f>
        <v>2750.19</v>
      </c>
      <c r="DZ31" s="11" t="n">
        <f aca="false">(DZ3)+(DZ30)</f>
        <v>-2134.48</v>
      </c>
      <c r="EA31" s="11" t="n">
        <f aca="false">(EA3)+(EA30)</f>
        <v>854.62</v>
      </c>
      <c r="EB31" s="11" t="n">
        <f aca="false">(EB3)+(EB30)</f>
        <v>1979.11</v>
      </c>
      <c r="EC31" s="11" t="n">
        <f aca="false">(EC3)+(EC30)</f>
        <v>0</v>
      </c>
      <c r="ED31" s="11" t="n">
        <f aca="false">(ED3)+(ED30)</f>
        <v>0</v>
      </c>
      <c r="EE31" s="11" t="n">
        <f aca="false">(EE3)+(EE30)</f>
        <v>-576.14</v>
      </c>
      <c r="EF31" s="11" t="n">
        <f aca="false">(EF3)+(EF30)</f>
        <v>6851.03</v>
      </c>
      <c r="EG31" s="11" t="n">
        <f aca="false">(EG3)+(EG30)</f>
        <v>-3002.11</v>
      </c>
      <c r="EH31" s="11" t="n">
        <f aca="false">(EH3)+(EH30)</f>
        <v>-817.37</v>
      </c>
      <c r="EI31" s="11" t="n">
        <f aca="false">(EI3)+(EI30)</f>
        <v>430.21</v>
      </c>
      <c r="EJ31" s="11" t="n">
        <f aca="false">(EJ3)+(EJ30)</f>
        <v>-1145.41</v>
      </c>
      <c r="EK31" s="11" t="n">
        <f aca="false">(EK3)+(EK30)</f>
        <v>-30</v>
      </c>
      <c r="EL31" s="11" t="n">
        <f aca="false">(EL3)+(EL30)</f>
        <v>-14201.56</v>
      </c>
      <c r="EM31" s="11" t="n">
        <f aca="false">(EM3)+(EM30)</f>
        <v>4057.62</v>
      </c>
      <c r="EN31" s="11" t="n">
        <f aca="false">(EN3)+(EN30)</f>
        <v>-1378.79</v>
      </c>
      <c r="EO31" s="11" t="n">
        <f aca="false">(EO3)+(EO30)</f>
        <v>708.57</v>
      </c>
      <c r="EP31" s="11" t="n">
        <f aca="false">(EP3)+(EP30)</f>
        <v>476.06</v>
      </c>
      <c r="EQ31" s="11" t="n">
        <f aca="false">(EQ3)+(EQ30)</f>
        <v>-5584.64</v>
      </c>
      <c r="ER31" s="11" t="n">
        <f aca="false">(ER3)+(ER30)</f>
        <v>169.2</v>
      </c>
      <c r="ES31" s="11" t="n">
        <f aca="false">(ES3)+(ES30)</f>
        <v>0</v>
      </c>
      <c r="ET31" s="11" t="n">
        <f aca="false">(ET3)+(ET30)</f>
        <v>2835.01</v>
      </c>
      <c r="EU31" s="11" t="n">
        <f aca="false">(EU3)+(EU30)</f>
        <v>4420.7</v>
      </c>
      <c r="EV31" s="11" t="n">
        <f aca="false">(EV3)+(EV30)</f>
        <v>767.15</v>
      </c>
      <c r="EW31" s="11" t="n">
        <f aca="false">(EW3)+(EW30)</f>
        <v>-974.070000000007</v>
      </c>
      <c r="EX31" s="11" t="n">
        <f aca="false">(EX3)+(EX30)</f>
        <v>613</v>
      </c>
      <c r="EY31" s="11" t="n">
        <f aca="false">(EY3)+(EY30)</f>
        <v>0</v>
      </c>
      <c r="EZ31" s="11" t="n">
        <f aca="false">(EZ3)+(EZ30)</f>
        <v>-823.4</v>
      </c>
      <c r="FA31" s="11" t="n">
        <f aca="false">(FA3)+(FA30)</f>
        <v>2378.04</v>
      </c>
      <c r="FB31" s="11" t="n">
        <f aca="false">(FB3)+(FB30)</f>
        <v>7003.2</v>
      </c>
      <c r="FC31" s="11" t="n">
        <f aca="false">(FC3)+(FC30)</f>
        <v>2792.85</v>
      </c>
      <c r="FD31" s="11" t="n">
        <f aca="false">(FD3)+(FD30)</f>
        <v>-3502.13</v>
      </c>
      <c r="FE31" s="11" t="n">
        <f aca="false">(FE3)+(FE30)</f>
        <v>0</v>
      </c>
      <c r="FF31" s="11" t="n">
        <f aca="false">(FF3)+(FF30)</f>
        <v>0</v>
      </c>
      <c r="FG31" s="11" t="n">
        <f aca="false">(FG3)+(FG30)</f>
        <v>3191.38</v>
      </c>
      <c r="FH31" s="11" t="n">
        <f aca="false">(FH3)+(FH30)</f>
        <v>3790.77</v>
      </c>
      <c r="FI31" s="11" t="n">
        <f aca="false">(FI3)+(FI30)</f>
        <v>-2394.23</v>
      </c>
      <c r="FJ31" s="11" t="n">
        <f aca="false">(FJ3)+(FJ30)</f>
        <v>-148.93</v>
      </c>
      <c r="FK31" s="11" t="n">
        <f aca="false">(FK3)+(FK30)</f>
        <v>-3927.79</v>
      </c>
      <c r="FL31" s="11" t="n">
        <f aca="false">(FL3)+(FL30)</f>
        <v>-1426.69</v>
      </c>
      <c r="FM31" s="11" t="n">
        <f aca="false">(FM3)+(FM30)</f>
        <v>0</v>
      </c>
      <c r="FN31" s="11" t="n">
        <f aca="false">(FN3)+(FN30)</f>
        <v>3050.07</v>
      </c>
      <c r="FO31" s="11" t="n">
        <f aca="false">(FO3)+(FO30)</f>
        <v>4056.38</v>
      </c>
      <c r="FP31" s="11" t="n">
        <f aca="false">(FP3)+(FP30)</f>
        <v>-804.64</v>
      </c>
      <c r="FQ31" s="11" t="n">
        <f aca="false">(FQ3)+(FQ30)</f>
        <v>-18167.25</v>
      </c>
      <c r="FR31" s="11" t="n">
        <f aca="false">(FR3)+(FR30)</f>
        <v>236.12</v>
      </c>
      <c r="FS31" s="11" t="n">
        <f aca="false">(FS3)+(FS30)</f>
        <v>-1530.68</v>
      </c>
      <c r="FT31" s="11" t="n">
        <f aca="false">(FT3)+(FT30)</f>
        <v>0</v>
      </c>
      <c r="FU31" s="11" t="n">
        <f aca="false">(FU3)+(FU30)</f>
        <v>2158.35</v>
      </c>
      <c r="FV31" s="11" t="n">
        <f aca="false">(FV3)+(FV30)</f>
        <v>5193.81</v>
      </c>
      <c r="FW31" s="11" t="n">
        <f aca="false">(FW3)+(FW30)</f>
        <v>994.22</v>
      </c>
      <c r="FX31" s="11" t="n">
        <f aca="false">(FX3)+(FX30)</f>
        <v>1400.2</v>
      </c>
      <c r="FY31" s="11" t="n">
        <f aca="false">(FY3)+(FY30)</f>
        <v>818.83</v>
      </c>
      <c r="FZ31" s="11" t="n">
        <f aca="false">(FZ3)+(FZ30)</f>
        <v>0</v>
      </c>
      <c r="GA31" s="11" t="n">
        <f aca="false">(GA3)+(GA30)</f>
        <v>0</v>
      </c>
      <c r="GB31" s="11" t="n">
        <f aca="false">(GB3)+(GB30)</f>
        <v>-4040.69</v>
      </c>
      <c r="GC31" s="11" t="n">
        <f aca="false">(GC3)+(GC30)</f>
        <v>-1015.23</v>
      </c>
      <c r="GD31" s="11" t="n">
        <f aca="false">(GD3)+(GD30)</f>
        <v>1753.01</v>
      </c>
      <c r="GE31" s="11" t="n">
        <f aca="false">(GE3)+(GE30)</f>
        <v>-1094.72</v>
      </c>
      <c r="GF31" s="11" t="n">
        <f aca="false">(GF3)+(GF30)</f>
        <v>472.74</v>
      </c>
      <c r="GG31" s="11" t="n">
        <f aca="false">(GG3)+(GG30)</f>
        <v>-108.5</v>
      </c>
      <c r="GH31" s="11" t="n">
        <f aca="false">(GH3)+(GH30)</f>
        <v>-1815.21</v>
      </c>
      <c r="GI31" s="11" t="n">
        <f aca="false">(GI3)+(GI30)</f>
        <v>6676.15</v>
      </c>
      <c r="GJ31" s="11" t="n">
        <f aca="false">(GJ3)+(GJ30)</f>
        <v>5771.96</v>
      </c>
      <c r="GK31" s="11" t="n">
        <f aca="false">(GK3)+(GK30)</f>
        <v>614.98</v>
      </c>
      <c r="GL31" s="11" t="n">
        <f aca="false">(GL3)+(GL30)</f>
        <v>768.37</v>
      </c>
      <c r="GM31" s="11" t="n">
        <f aca="false">(GM3)+(GM30)</f>
        <v>231.21</v>
      </c>
      <c r="GN31" s="11" t="n">
        <f aca="false">(GN3)+(GN30)</f>
        <v>-2120.79</v>
      </c>
      <c r="GO31" s="11" t="n">
        <f aca="false">(GO3)+(GO30)</f>
        <v>0</v>
      </c>
      <c r="GP31" s="11" t="n">
        <f aca="false">(GP3)+(GP30)</f>
        <v>-1252.32</v>
      </c>
      <c r="GQ31" s="11" t="n">
        <f aca="false">(GQ3)+(GQ30)</f>
        <v>980.52</v>
      </c>
      <c r="GR31" s="11" t="n">
        <f aca="false">(GR3)+(GR30)</f>
        <v>-22.3</v>
      </c>
      <c r="GS31" s="11" t="n">
        <f aca="false">(GS3)+(GS30)</f>
        <v>-639.85</v>
      </c>
      <c r="GT31" s="11" t="n">
        <f aca="false">(GT3)+(GT30)</f>
        <v>1482.33</v>
      </c>
      <c r="GU31" s="11" t="n">
        <f aca="false">(GU3)+(GU30)</f>
        <v>-401.12</v>
      </c>
      <c r="GV31" s="11" t="n">
        <f aca="false">(GV3)+(GV30)</f>
        <v>0</v>
      </c>
      <c r="GW31" s="11" t="n">
        <f aca="false">(GW3)+(GW30)</f>
        <v>-16867.85</v>
      </c>
      <c r="GX31" s="11" t="n">
        <f aca="false">(GX3)+(GX30)</f>
        <v>4747.51</v>
      </c>
      <c r="GY31" s="11" t="n">
        <f aca="false">(GY3)+(GY30)</f>
        <v>-1554.25</v>
      </c>
      <c r="GZ31" s="11" t="n">
        <f aca="false">(GZ3)+(GZ30)</f>
        <v>-631.02</v>
      </c>
      <c r="HA31" s="11" t="n">
        <f aca="false">(HA3)+(HA30)</f>
        <v>482.02</v>
      </c>
      <c r="HB31" s="11" t="n">
        <f aca="false">(HB3)+(HB30)</f>
        <v>-436.12</v>
      </c>
      <c r="HC31" s="11" t="n">
        <f aca="false">(HC3)+(HC30)</f>
        <v>0</v>
      </c>
      <c r="HD31" s="11" t="n">
        <f aca="false">(HD3)+(HD30)</f>
        <v>1602.23</v>
      </c>
      <c r="HE31" s="11" t="n">
        <f aca="false">(HE3)+(HE30)</f>
        <v>4134.45</v>
      </c>
      <c r="HF31" s="11" t="n">
        <f aca="false">(HF3)+(HF30)</f>
        <v>206.369999999999</v>
      </c>
      <c r="HG31" s="11" t="n">
        <f aca="false">(HG3)+(HG30)</f>
        <v>-4560.9</v>
      </c>
      <c r="HH31" s="11" t="n">
        <f aca="false">(HH3)+(HH30)</f>
        <v>2081.86</v>
      </c>
      <c r="HI31" s="11" t="n">
        <f aca="false">(HI3)+(HI30)</f>
        <v>0</v>
      </c>
      <c r="HJ31" s="11" t="n">
        <f aca="false">(HJ3)+(HJ30)</f>
        <v>-2879.08</v>
      </c>
      <c r="HK31" s="11" t="n">
        <f aca="false">(HK3)+(HK30)</f>
        <v>3364.95</v>
      </c>
      <c r="HL31" s="11" t="n">
        <f aca="false">(HL3)+(HL30)</f>
        <v>2244.49</v>
      </c>
      <c r="HM31" s="11" t="n">
        <f aca="false">(HM3)+(HM30)</f>
        <v>-2982.11</v>
      </c>
      <c r="HN31" s="11" t="n">
        <f aca="false">(HN3)+(HN30)</f>
        <v>363.18</v>
      </c>
      <c r="HO31" s="11" t="n">
        <f aca="false">(HO3)+(HO30)</f>
        <v>337.43</v>
      </c>
      <c r="HP31" s="11" t="n">
        <f aca="false">(HP3)+(HP30)</f>
        <v>-265.75</v>
      </c>
      <c r="HQ31" s="11" t="n">
        <f aca="false">(HQ3)+(HQ30)</f>
        <v>0</v>
      </c>
      <c r="HR31" s="11" t="n">
        <f aca="false">(HR3)+(HR30)</f>
        <v>2275.84</v>
      </c>
      <c r="HS31" s="11" t="n">
        <f aca="false">(HS3)+(HS30)</f>
        <v>1775.11</v>
      </c>
      <c r="HT31" s="11" t="n">
        <f aca="false">(HT3)+(HT30)</f>
        <v>177.2</v>
      </c>
      <c r="HU31" s="11" t="n">
        <f aca="false">(HU3)+(HU30)</f>
        <v>-2383.87</v>
      </c>
      <c r="HV31" s="11" t="n">
        <f aca="false">(HV3)+(HV30)</f>
        <v>-2928.97</v>
      </c>
      <c r="HW31" s="11" t="n">
        <f aca="false">(HW3)+(HW30)</f>
        <v>286.76</v>
      </c>
      <c r="HX31" s="11" t="n">
        <f aca="false">(HX3)+(HX30)</f>
        <v>37.9599999999999</v>
      </c>
      <c r="HY31" s="11" t="n">
        <f aca="false">(HY3)+(HY30)</f>
        <v>6574.54</v>
      </c>
      <c r="HZ31" s="11" t="n">
        <f aca="false">(HZ3)+(HZ30)</f>
        <v>-10896.39</v>
      </c>
      <c r="IA31" s="11" t="n">
        <f aca="false">(IA3)+(IA30)</f>
        <v>673.74</v>
      </c>
      <c r="IB31" s="11" t="n">
        <f aca="false">(IB3)+(IB30)</f>
        <v>1693.48</v>
      </c>
      <c r="IC31" s="11" t="n">
        <f aca="false">(IC3)+(IC30)</f>
        <v>4392.84</v>
      </c>
      <c r="ID31" s="11" t="n">
        <f aca="false">(ID3)+(ID30)</f>
        <v>2299.48</v>
      </c>
      <c r="IE31" s="11" t="n">
        <f aca="false">(IE3)+(IE30)</f>
        <v>895.04</v>
      </c>
      <c r="IF31" s="11" t="n">
        <f aca="false">(IF3)+(IF30)</f>
        <v>3840.18</v>
      </c>
      <c r="IG31" s="11" t="n">
        <f aca="false">(IG3)+(IG30)</f>
        <v>8534.04</v>
      </c>
      <c r="IH31" s="11" t="n">
        <f aca="false">(IH3)+(IH30)</f>
        <v>-1901.61</v>
      </c>
      <c r="II31" s="11" t="n">
        <f aca="false">(II3)+(II30)</f>
        <v>1138.02</v>
      </c>
      <c r="IJ31" s="11" t="n">
        <f aca="false">(IJ3)+(IJ30)</f>
        <v>-2863.32</v>
      </c>
      <c r="IK31" s="11" t="n">
        <f aca="false">(IK3)+(IK30)</f>
        <v>2486.25</v>
      </c>
      <c r="IL31" s="11" t="n">
        <f aca="false">(IL3)+(IL30)</f>
        <v>1096.87</v>
      </c>
      <c r="IM31" s="11" t="n">
        <f aca="false">(IM3)+(IM30)</f>
        <v>220.85</v>
      </c>
      <c r="IN31" s="11" t="n">
        <f aca="false">(IN3)+(IN30)</f>
        <v>2597.46</v>
      </c>
      <c r="IO31" s="11" t="n">
        <f aca="false">(IO3)+(IO30)</f>
        <v>4713.07</v>
      </c>
      <c r="IP31" s="11" t="n">
        <f aca="false">(IP3)+(IP30)</f>
        <v>3674.4</v>
      </c>
      <c r="IQ31" s="11" t="n">
        <f aca="false">(IQ3)+(IQ30)</f>
        <v>1888.15</v>
      </c>
      <c r="IR31" s="11" t="n">
        <f aca="false">(IR3)+(IR30)</f>
        <v>-215.7</v>
      </c>
      <c r="IS31" s="11" t="n">
        <f aca="false">(IS3)+(IS30)</f>
        <v>805.24</v>
      </c>
      <c r="IT31" s="11" t="n">
        <f aca="false">(IT3)+(IT30)</f>
        <v>6524.1</v>
      </c>
      <c r="IU31" s="11" t="n">
        <f aca="false">(IU3)+(IU30)</f>
        <v>7284.58</v>
      </c>
      <c r="IV31" s="11" t="n">
        <f aca="false">(IV3)+(IV30)</f>
        <v>3884.74</v>
      </c>
      <c r="IW31" s="11" t="n">
        <f aca="false">(IW3)+(IW30)</f>
        <v>4043.24</v>
      </c>
      <c r="IX31" s="11" t="n">
        <f aca="false">(IX3)+(IX30)</f>
        <v>1056.73</v>
      </c>
      <c r="IY31" s="11" t="n">
        <f aca="false">(IY3)+(IY30)</f>
        <v>-646.98</v>
      </c>
      <c r="IZ31" s="11" t="n">
        <f aca="false">(IZ3)+(IZ30)</f>
        <v>1467.92</v>
      </c>
      <c r="JA31" s="11" t="n">
        <f aca="false">(JA3)+(JA30)</f>
        <v>184.57</v>
      </c>
      <c r="JB31" s="11" t="n">
        <f aca="false">(JB3)+(JB30)</f>
        <v>7636.76</v>
      </c>
      <c r="JC31" s="11" t="n">
        <f aca="false">(JC3)+(JC30)</f>
        <v>2166.08</v>
      </c>
      <c r="JD31" s="11" t="n">
        <f aca="false">(JD3)+(JD30)</f>
        <v>2707.24</v>
      </c>
      <c r="JE31" s="11" t="n">
        <f aca="false">(JE3)+(JE30)</f>
        <v>3530.87</v>
      </c>
      <c r="JF31" s="11" t="n">
        <f aca="false">(JF3)+(JF30)</f>
        <v>-1447.17</v>
      </c>
      <c r="JG31" s="11" t="n">
        <f aca="false">(JG3)+(JG30)</f>
        <v>907.36</v>
      </c>
      <c r="JH31" s="11" t="n">
        <f aca="false">(JH3)+(JH30)</f>
        <v>3002.12</v>
      </c>
      <c r="JI31" s="11" t="n">
        <f aca="false">(JI3)+(JI30)</f>
        <v>7043.32</v>
      </c>
      <c r="JJ31" s="11" t="n">
        <f aca="false">(JJ3)+(JJ30)</f>
        <v>-15374.25</v>
      </c>
      <c r="JK31" s="11" t="n">
        <f aca="false">(JK3)+(JK30)</f>
        <v>2761.28</v>
      </c>
      <c r="JL31" s="11" t="n">
        <f aca="false">(JL3)+(JL30)</f>
        <v>4936.24</v>
      </c>
      <c r="JM31" s="11" t="n">
        <f aca="false">(JM3)+(JM30)</f>
        <v>1821.96</v>
      </c>
      <c r="JN31" s="11" t="n">
        <f aca="false">(JN3)+(JN30)</f>
        <v>489.94</v>
      </c>
      <c r="JO31" s="11" t="n">
        <f aca="false">(JO3)+(JO30)</f>
        <v>4128.12</v>
      </c>
      <c r="JP31" s="11" t="n">
        <f aca="false">(JP3)+(JP30)</f>
        <v>4701.12</v>
      </c>
      <c r="JQ31" s="11" t="n">
        <f aca="false">(JQ3)+(JQ30)</f>
        <v>5860.53</v>
      </c>
      <c r="JR31" s="11" t="n">
        <f aca="false">(JR3)+(JR30)</f>
        <v>6839.14</v>
      </c>
      <c r="JS31" s="11" t="n">
        <f aca="false">(JS3)+(JS30)</f>
        <v>6248.31</v>
      </c>
      <c r="JT31" s="11" t="n">
        <f aca="false">(JT3)+(JT30)</f>
        <v>2644.99</v>
      </c>
      <c r="JU31" s="11" t="n">
        <f aca="false">(JU3)+(JU30)</f>
        <v>817.5</v>
      </c>
      <c r="JV31" s="11" t="n">
        <f aca="false">(JV3)+(JV30)</f>
        <v>-1246.1</v>
      </c>
      <c r="JW31" s="11" t="n">
        <f aca="false">(JW3)+(JW30)</f>
        <v>11825.23</v>
      </c>
      <c r="JX31" s="11" t="n">
        <f aca="false">(JX3)+(JX30)</f>
        <v>1691.15</v>
      </c>
      <c r="JY31" s="11" t="n">
        <f aca="false">(JY3)+(JY30)</f>
        <v>3515.05</v>
      </c>
      <c r="JZ31" s="11" t="n">
        <f aca="false">(JZ3)+(JZ30)</f>
        <v>-177.47</v>
      </c>
      <c r="KA31" s="11" t="n">
        <f aca="false">(KA3)+(KA30)</f>
        <v>3031.87</v>
      </c>
      <c r="KB31" s="11" t="n">
        <f aca="false">(KB3)+(KB30)</f>
        <v>2448.01</v>
      </c>
      <c r="KC31" s="11" t="n">
        <f aca="false">(KC3)+(KC30)</f>
        <v>1528.37</v>
      </c>
      <c r="KD31" s="11" t="n">
        <f aca="false">(KD3)+(KD30)</f>
        <v>2661.37</v>
      </c>
      <c r="KE31" s="11" t="n">
        <f aca="false">(KE3)+(KE30)</f>
        <v>19814.57</v>
      </c>
      <c r="KF31" s="11" t="n">
        <f aca="false">(KF3)+(KF30)</f>
        <v>4387.09</v>
      </c>
      <c r="KG31" s="11" t="n">
        <f aca="false">(KG3)+(KG30)</f>
        <v>2270.32</v>
      </c>
      <c r="KH31" s="11" t="n">
        <f aca="false">(KH3)+(KH30)</f>
        <v>1349.8</v>
      </c>
      <c r="KI31" s="11" t="n">
        <f aca="false">(KI3)+(KI30)</f>
        <v>687.39</v>
      </c>
      <c r="KJ31" s="11" t="n">
        <f aca="false">(KJ3)+(KJ30)</f>
        <v>-13371.18</v>
      </c>
      <c r="KK31" s="11" t="n">
        <f aca="false">(KK3)+(KK30)</f>
        <v>8105.88</v>
      </c>
      <c r="KL31" s="11" t="n">
        <f aca="false">(KL3)+(KL30)</f>
        <v>-1115.35</v>
      </c>
      <c r="KM31" s="11" t="n">
        <f aca="false">(KM3)+(KM30)</f>
        <v>2154.31</v>
      </c>
      <c r="KN31" s="11" t="n">
        <f aca="false">(KN3)+(KN30)</f>
        <v>2438.98</v>
      </c>
      <c r="KO31" s="11" t="n">
        <f aca="false">(KO3)+(KO30)</f>
        <v>574.68</v>
      </c>
      <c r="KP31" s="11" t="n">
        <f aca="false">(KP3)+(KP30)</f>
        <v>609.11</v>
      </c>
      <c r="KQ31" s="11" t="n">
        <f aca="false">(KQ3)+(KQ30)</f>
        <v>3281.97</v>
      </c>
      <c r="KR31" s="11" t="n">
        <f aca="false">(KR3)+(KR30)</f>
        <v>4566.74</v>
      </c>
      <c r="KS31" s="11" t="n">
        <f aca="false">(KS3)+(KS30)</f>
        <v>3093.18</v>
      </c>
      <c r="KT31" s="11" t="n">
        <f aca="false">(KT3)+(KT30)</f>
        <v>4144.06</v>
      </c>
      <c r="KU31" s="11" t="n">
        <f aca="false">(KU3)+(KU30)</f>
        <v>-7159.59</v>
      </c>
      <c r="KV31" s="11" t="n">
        <f aca="false">(KV3)+(KV30)</f>
        <v>2741.98</v>
      </c>
      <c r="KW31" s="11" t="n">
        <f aca="false">(KW3)+(KW30)</f>
        <v>178.05</v>
      </c>
      <c r="KX31" s="11" t="n">
        <f aca="false">(KX3)+(KX30)</f>
        <v>10471.39</v>
      </c>
      <c r="KY31" s="11" t="n">
        <f aca="false">(KY3)+(KY30)</f>
        <v>13171.4</v>
      </c>
      <c r="KZ31" s="11" t="n">
        <f aca="false">(KZ3)+(KZ30)</f>
        <v>336.72</v>
      </c>
      <c r="LA31" s="11" t="n">
        <f aca="false">(LA3)+(LA30)</f>
        <v>-3938.44</v>
      </c>
      <c r="LB31" s="11" t="n">
        <f aca="false">(LB3)+(LB30)</f>
        <v>2392.46</v>
      </c>
      <c r="LC31" s="11" t="n">
        <f aca="false">(LC3)+(LC30)</f>
        <v>790.13</v>
      </c>
      <c r="LD31" s="11" t="n">
        <f aca="false">(LD3)+(LD30)</f>
        <v>1289.17</v>
      </c>
      <c r="LE31" s="11" t="n">
        <f aca="false">(LE3)+(LE30)</f>
        <v>708.45</v>
      </c>
      <c r="LF31" s="11" t="n">
        <f aca="false">(LF3)+(LF30)</f>
        <v>3781.07</v>
      </c>
      <c r="LG31" s="11" t="n">
        <f aca="false">(LG3)+(LG30)</f>
        <v>10822.82</v>
      </c>
      <c r="LH31" s="11" t="n">
        <f aca="false">(LH3)+(LH30)</f>
        <v>3184.28</v>
      </c>
      <c r="LI31" s="11" t="n">
        <f aca="false">(LI3)+(LI30)</f>
        <v>-3526.37</v>
      </c>
      <c r="LJ31" s="11" t="n">
        <f aca="false">(LJ3)+(LJ30)</f>
        <v>891.94</v>
      </c>
      <c r="LK31" s="11" t="n">
        <f aca="false">(LK3)+(LK30)</f>
        <v>3091.65</v>
      </c>
      <c r="LL31" s="11" t="n">
        <f aca="false">(LL3)+(LL30)</f>
        <v>5549.43</v>
      </c>
      <c r="LM31" s="11" t="n">
        <f aca="false">(LM3)+(LM30)</f>
        <v>53033.95</v>
      </c>
      <c r="LN31" s="11" t="n">
        <f aca="false">(LN3)+(LN30)</f>
        <v>-27131.04</v>
      </c>
      <c r="LO31" s="11" t="n">
        <f aca="false">(LO3)+(LO30)</f>
        <v>453.99</v>
      </c>
      <c r="LP31" s="11" t="n">
        <f aca="false">(LP3)+(LP30)</f>
        <v>3378.56</v>
      </c>
      <c r="LQ31" s="11" t="n">
        <f aca="false">(LQ3)+(LQ30)</f>
        <v>1667.51</v>
      </c>
      <c r="LR31" s="11" t="n">
        <f aca="false">(LR3)+(LR30)</f>
        <v>639.26</v>
      </c>
      <c r="LS31" s="11" t="n">
        <f aca="false">(LS3)+(LS30)</f>
        <v>3773.24</v>
      </c>
      <c r="LT31" s="11" t="n">
        <f aca="false">(LT3)+(LT30)</f>
        <v>7176.36</v>
      </c>
      <c r="LU31" s="11" t="n">
        <f aca="false">(LU3)+(LU30)</f>
        <v>-3477.02</v>
      </c>
      <c r="LV31" s="11" t="n">
        <f aca="false">(LV3)+(LV30)</f>
        <v>0</v>
      </c>
      <c r="LW31" s="11" t="n">
        <f aca="false">(LW3)+(LW30)</f>
        <v>-1881.48</v>
      </c>
      <c r="LX31" s="11" t="n">
        <f aca="false">(LX3)+(LX30)</f>
        <v>1788.43000000001</v>
      </c>
      <c r="LY31" s="11" t="n">
        <f aca="false">(LY3)+(LY30)</f>
        <v>1561.95</v>
      </c>
      <c r="LZ31" s="11" t="n">
        <f aca="false">(LZ3)+(LZ30)</f>
        <v>9989.35</v>
      </c>
      <c r="MA31" s="11" t="n">
        <f aca="false">(MA3)+(MA30)</f>
        <v>11270.1</v>
      </c>
      <c r="MB31" s="11" t="n">
        <f aca="false">(MB3)+(MB30)</f>
        <v>4573.79</v>
      </c>
      <c r="MC31" s="11" t="n">
        <f aca="false">(MC3)+(MC30)</f>
        <v>4051.72</v>
      </c>
      <c r="MD31" s="11" t="n">
        <f aca="false">(MD3)+(MD30)</f>
        <v>3822.6</v>
      </c>
      <c r="ME31" s="11" t="n">
        <f aca="false">(ME3)+(ME30)</f>
        <v>-1916.63</v>
      </c>
      <c r="MF31" s="11" t="n">
        <f aca="false">(MF3)+(MF30)</f>
        <v>1071.42</v>
      </c>
      <c r="MG31" s="11" t="n">
        <f aca="false">(MG3)+(MG30)</f>
        <v>-3157.32</v>
      </c>
      <c r="MH31" s="11" t="n">
        <f aca="false">(MH3)+(MH30)</f>
        <v>14193.15</v>
      </c>
      <c r="MI31" s="11" t="n">
        <f aca="false">(MI3)+(MI30)</f>
        <v>5513.39</v>
      </c>
      <c r="MJ31" s="11" t="n">
        <f aca="false">(MJ3)+(MJ30)</f>
        <v>5914.51</v>
      </c>
      <c r="MK31" s="11" t="n">
        <f aca="false">(MK3)+(MK30)</f>
        <v>4838.71</v>
      </c>
      <c r="ML31" s="11" t="n">
        <f aca="false">(ML3)+(ML30)</f>
        <v>1314.01</v>
      </c>
      <c r="MM31" s="11" t="n">
        <f aca="false">(MM3)+(MM30)</f>
        <v>3273.76</v>
      </c>
      <c r="MN31" s="11" t="n">
        <f aca="false">(MN3)+(MN30)</f>
        <v>6125.38</v>
      </c>
      <c r="MO31" s="11" t="n">
        <f aca="false">(MO3)+(MO30)</f>
        <v>19506.31</v>
      </c>
      <c r="MP31" s="11" t="n">
        <f aca="false">(MP3)+(MP30)</f>
        <v>2777.65</v>
      </c>
      <c r="MQ31" s="11" t="n">
        <f aca="false">(MQ3)+(MQ30)</f>
        <v>4210.93</v>
      </c>
      <c r="MR31" s="11" t="n">
        <f aca="false">(MR3)+(MR30)</f>
        <v>-17061.26</v>
      </c>
      <c r="MS31" s="11" t="n">
        <f aca="false">(MS3)+(MS30)</f>
        <v>132.84</v>
      </c>
      <c r="MT31" s="11" t="n">
        <f aca="false">(MT3)+(MT30)</f>
        <v>2581.51</v>
      </c>
      <c r="MU31" s="11" t="n">
        <f aca="false">(MU3)+(MU30)</f>
        <v>7466.96</v>
      </c>
      <c r="MV31" s="11" t="n">
        <f aca="false">(MV3)+(MV30)</f>
        <v>15027.53</v>
      </c>
      <c r="MW31" s="11" t="n">
        <f aca="false">(MW3)+(MW30)</f>
        <v>98.14</v>
      </c>
      <c r="MX31" s="11" t="n">
        <f aca="false">(MX3)+(MX30)</f>
        <v>6314.86</v>
      </c>
      <c r="MY31" s="11" t="n">
        <f aca="false">(MY3)+(MY30)</f>
        <v>4250.9</v>
      </c>
      <c r="MZ31" s="11" t="n">
        <f aca="false">(MZ3)+(MZ30)</f>
        <v>1675.16</v>
      </c>
      <c r="NA31" s="11" t="n">
        <f aca="false">(NA3)+(NA30)</f>
        <v>1319.64</v>
      </c>
      <c r="NB31" s="11" t="n">
        <f aca="false">(NB3)+(NB30)</f>
        <v>3358.87</v>
      </c>
      <c r="NC31" s="11" t="n">
        <f aca="false">(NC3)+(NC30)</f>
        <v>5838.51</v>
      </c>
      <c r="ND31" s="9" t="n">
        <f aca="false">SUM(A31:NC31)</f>
        <v>391676.98</v>
      </c>
    </row>
    <row r="32" s="7" customFormat="true" ht="12.8" hidden="false" customHeight="false" outlineLevel="0" collapsed="false">
      <c r="A32" s="4" t="s">
        <v>398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6" t="n">
        <f aca="false">SUM(A32:NC32)</f>
        <v>0</v>
      </c>
    </row>
    <row r="33" customFormat="false" ht="12.8" hidden="false" customHeight="false" outlineLevel="0" collapsed="false">
      <c r="A33" s="8" t="s">
        <v>399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9" t="n">
        <f aca="false">979.19</f>
        <v>979.19</v>
      </c>
      <c r="ND33" s="9" t="n">
        <f aca="false">SUM(A33:NC33)</f>
        <v>979.19</v>
      </c>
    </row>
    <row r="34" customFormat="false" ht="12.8" hidden="false" customHeight="false" outlineLevel="0" collapsed="false">
      <c r="A34" s="8" t="s">
        <v>400</v>
      </c>
      <c r="B34" s="11" t="n">
        <f aca="false">B33</f>
        <v>0</v>
      </c>
      <c r="C34" s="11" t="n">
        <f aca="false">C33</f>
        <v>0</v>
      </c>
      <c r="D34" s="11" t="n">
        <f aca="false">D33</f>
        <v>0</v>
      </c>
      <c r="E34" s="11" t="n">
        <f aca="false">E33</f>
        <v>0</v>
      </c>
      <c r="F34" s="11" t="n">
        <f aca="false">F33</f>
        <v>0</v>
      </c>
      <c r="G34" s="11" t="n">
        <f aca="false">G33</f>
        <v>0</v>
      </c>
      <c r="H34" s="11" t="n">
        <f aca="false">H33</f>
        <v>0</v>
      </c>
      <c r="I34" s="11" t="n">
        <f aca="false">I33</f>
        <v>0</v>
      </c>
      <c r="J34" s="11" t="n">
        <f aca="false">J33</f>
        <v>0</v>
      </c>
      <c r="K34" s="11" t="n">
        <f aca="false">K33</f>
        <v>0</v>
      </c>
      <c r="L34" s="11" t="n">
        <f aca="false">L33</f>
        <v>0</v>
      </c>
      <c r="M34" s="11" t="n">
        <f aca="false">M33</f>
        <v>0</v>
      </c>
      <c r="N34" s="11" t="n">
        <f aca="false">N33</f>
        <v>0</v>
      </c>
      <c r="O34" s="11" t="n">
        <f aca="false">O33</f>
        <v>0</v>
      </c>
      <c r="P34" s="11" t="n">
        <f aca="false">P33</f>
        <v>0</v>
      </c>
      <c r="Q34" s="11" t="n">
        <f aca="false">Q33</f>
        <v>0</v>
      </c>
      <c r="R34" s="11" t="n">
        <f aca="false">R33</f>
        <v>0</v>
      </c>
      <c r="S34" s="11" t="n">
        <f aca="false">S33</f>
        <v>0</v>
      </c>
      <c r="T34" s="11" t="n">
        <f aca="false">T33</f>
        <v>0</v>
      </c>
      <c r="U34" s="11" t="n">
        <f aca="false">U33</f>
        <v>0</v>
      </c>
      <c r="V34" s="11" t="n">
        <f aca="false">V33</f>
        <v>0</v>
      </c>
      <c r="W34" s="11" t="n">
        <f aca="false">W33</f>
        <v>0</v>
      </c>
      <c r="X34" s="11" t="n">
        <f aca="false">X33</f>
        <v>0</v>
      </c>
      <c r="Y34" s="11" t="n">
        <f aca="false">Y33</f>
        <v>0</v>
      </c>
      <c r="Z34" s="11" t="n">
        <f aca="false">Z33</f>
        <v>0</v>
      </c>
      <c r="AA34" s="11" t="n">
        <f aca="false">AA33</f>
        <v>0</v>
      </c>
      <c r="AB34" s="11" t="n">
        <f aca="false">AB33</f>
        <v>0</v>
      </c>
      <c r="AC34" s="11" t="n">
        <f aca="false">AC33</f>
        <v>0</v>
      </c>
      <c r="AD34" s="11" t="n">
        <f aca="false">AD33</f>
        <v>0</v>
      </c>
      <c r="AE34" s="11" t="n">
        <f aca="false">AE33</f>
        <v>0</v>
      </c>
      <c r="AF34" s="11" t="n">
        <f aca="false">AF33</f>
        <v>0</v>
      </c>
      <c r="AG34" s="11" t="n">
        <f aca="false">AG33</f>
        <v>0</v>
      </c>
      <c r="AH34" s="11" t="n">
        <f aca="false">AH33</f>
        <v>0</v>
      </c>
      <c r="AI34" s="11" t="n">
        <f aca="false">AI33</f>
        <v>0</v>
      </c>
      <c r="AJ34" s="11" t="n">
        <f aca="false">AJ33</f>
        <v>0</v>
      </c>
      <c r="AK34" s="11" t="n">
        <f aca="false">AK33</f>
        <v>0</v>
      </c>
      <c r="AL34" s="11" t="n">
        <f aca="false">AL33</f>
        <v>0</v>
      </c>
      <c r="AM34" s="11" t="n">
        <f aca="false">AM33</f>
        <v>0</v>
      </c>
      <c r="AN34" s="11" t="n">
        <f aca="false">AN33</f>
        <v>0</v>
      </c>
      <c r="AO34" s="11" t="n">
        <f aca="false">AO33</f>
        <v>0</v>
      </c>
      <c r="AP34" s="11" t="n">
        <f aca="false">AP33</f>
        <v>0</v>
      </c>
      <c r="AQ34" s="11" t="n">
        <f aca="false">AQ33</f>
        <v>0</v>
      </c>
      <c r="AR34" s="11" t="n">
        <f aca="false">AR33</f>
        <v>0</v>
      </c>
      <c r="AS34" s="11" t="n">
        <f aca="false">AS33</f>
        <v>0</v>
      </c>
      <c r="AT34" s="11" t="n">
        <f aca="false">AT33</f>
        <v>0</v>
      </c>
      <c r="AU34" s="11" t="n">
        <f aca="false">AU33</f>
        <v>0</v>
      </c>
      <c r="AV34" s="11" t="n">
        <f aca="false">AV33</f>
        <v>0</v>
      </c>
      <c r="AW34" s="11" t="n">
        <f aca="false">AW33</f>
        <v>0</v>
      </c>
      <c r="AX34" s="11" t="n">
        <f aca="false">AX33</f>
        <v>0</v>
      </c>
      <c r="AY34" s="11" t="n">
        <f aca="false">AY33</f>
        <v>0</v>
      </c>
      <c r="AZ34" s="11" t="n">
        <f aca="false">AZ33</f>
        <v>0</v>
      </c>
      <c r="BA34" s="11" t="n">
        <f aca="false">BA33</f>
        <v>0</v>
      </c>
      <c r="BB34" s="11" t="n">
        <f aca="false">BB33</f>
        <v>0</v>
      </c>
      <c r="BC34" s="11" t="n">
        <f aca="false">BC33</f>
        <v>0</v>
      </c>
      <c r="BD34" s="11" t="n">
        <f aca="false">BD33</f>
        <v>0</v>
      </c>
      <c r="BE34" s="11" t="n">
        <f aca="false">BE33</f>
        <v>0</v>
      </c>
      <c r="BF34" s="11" t="n">
        <f aca="false">BF33</f>
        <v>0</v>
      </c>
      <c r="BG34" s="11" t="n">
        <f aca="false">BG33</f>
        <v>0</v>
      </c>
      <c r="BH34" s="11" t="n">
        <f aca="false">BH33</f>
        <v>0</v>
      </c>
      <c r="BI34" s="11" t="n">
        <f aca="false">BI33</f>
        <v>0</v>
      </c>
      <c r="BJ34" s="11" t="n">
        <f aca="false">BJ33</f>
        <v>0</v>
      </c>
      <c r="BK34" s="11" t="n">
        <f aca="false">BK33</f>
        <v>0</v>
      </c>
      <c r="BL34" s="11" t="n">
        <f aca="false">BL33</f>
        <v>0</v>
      </c>
      <c r="BM34" s="11" t="n">
        <f aca="false">BM33</f>
        <v>0</v>
      </c>
      <c r="BN34" s="11" t="n">
        <f aca="false">BN33</f>
        <v>0</v>
      </c>
      <c r="BO34" s="11" t="n">
        <f aca="false">BO33</f>
        <v>0</v>
      </c>
      <c r="BP34" s="11" t="n">
        <f aca="false">BP33</f>
        <v>0</v>
      </c>
      <c r="BQ34" s="11" t="n">
        <f aca="false">BQ33</f>
        <v>0</v>
      </c>
      <c r="BR34" s="11" t="n">
        <f aca="false">BR33</f>
        <v>0</v>
      </c>
      <c r="BS34" s="11" t="n">
        <f aca="false">BS33</f>
        <v>0</v>
      </c>
      <c r="BT34" s="11" t="n">
        <f aca="false">BT33</f>
        <v>0</v>
      </c>
      <c r="BU34" s="11" t="n">
        <f aca="false">BU33</f>
        <v>0</v>
      </c>
      <c r="BV34" s="11" t="n">
        <f aca="false">BV33</f>
        <v>0</v>
      </c>
      <c r="BW34" s="11" t="n">
        <f aca="false">BW33</f>
        <v>0</v>
      </c>
      <c r="BX34" s="11" t="n">
        <f aca="false">BX33</f>
        <v>0</v>
      </c>
      <c r="BY34" s="11" t="n">
        <f aca="false">BY33</f>
        <v>0</v>
      </c>
      <c r="BZ34" s="11" t="n">
        <f aca="false">BZ33</f>
        <v>0</v>
      </c>
      <c r="CA34" s="11" t="n">
        <f aca="false">CA33</f>
        <v>0</v>
      </c>
      <c r="CB34" s="11" t="n">
        <f aca="false">CB33</f>
        <v>0</v>
      </c>
      <c r="CC34" s="11" t="n">
        <f aca="false">CC33</f>
        <v>0</v>
      </c>
      <c r="CD34" s="11" t="n">
        <f aca="false">CD33</f>
        <v>0</v>
      </c>
      <c r="CE34" s="11" t="n">
        <f aca="false">CE33</f>
        <v>0</v>
      </c>
      <c r="CF34" s="11" t="n">
        <f aca="false">CF33</f>
        <v>0</v>
      </c>
      <c r="CG34" s="11" t="n">
        <f aca="false">CG33</f>
        <v>0</v>
      </c>
      <c r="CH34" s="11" t="n">
        <f aca="false">CH33</f>
        <v>0</v>
      </c>
      <c r="CI34" s="11" t="n">
        <f aca="false">CI33</f>
        <v>0</v>
      </c>
      <c r="CJ34" s="11" t="n">
        <f aca="false">CJ33</f>
        <v>0</v>
      </c>
      <c r="CK34" s="11" t="n">
        <f aca="false">CK33</f>
        <v>0</v>
      </c>
      <c r="CL34" s="11" t="n">
        <f aca="false">CL33</f>
        <v>0</v>
      </c>
      <c r="CM34" s="11" t="n">
        <f aca="false">CM33</f>
        <v>0</v>
      </c>
      <c r="CN34" s="11" t="n">
        <f aca="false">CN33</f>
        <v>0</v>
      </c>
      <c r="CO34" s="11" t="n">
        <f aca="false">CO33</f>
        <v>0</v>
      </c>
      <c r="CP34" s="11" t="n">
        <f aca="false">CP33</f>
        <v>0</v>
      </c>
      <c r="CQ34" s="11" t="n">
        <f aca="false">CQ33</f>
        <v>0</v>
      </c>
      <c r="CR34" s="11" t="n">
        <f aca="false">CR33</f>
        <v>0</v>
      </c>
      <c r="CS34" s="11" t="n">
        <f aca="false">CS33</f>
        <v>0</v>
      </c>
      <c r="CT34" s="11" t="n">
        <f aca="false">CT33</f>
        <v>0</v>
      </c>
      <c r="CU34" s="11" t="n">
        <f aca="false">CU33</f>
        <v>0</v>
      </c>
      <c r="CV34" s="11" t="n">
        <f aca="false">CV33</f>
        <v>0</v>
      </c>
      <c r="CW34" s="11" t="n">
        <f aca="false">CW33</f>
        <v>0</v>
      </c>
      <c r="CX34" s="11" t="n">
        <f aca="false">CX33</f>
        <v>0</v>
      </c>
      <c r="CY34" s="11" t="n">
        <f aca="false">CY33</f>
        <v>0</v>
      </c>
      <c r="CZ34" s="11" t="n">
        <f aca="false">CZ33</f>
        <v>0</v>
      </c>
      <c r="DA34" s="11" t="n">
        <f aca="false">DA33</f>
        <v>0</v>
      </c>
      <c r="DB34" s="11" t="n">
        <f aca="false">DB33</f>
        <v>0</v>
      </c>
      <c r="DC34" s="11" t="n">
        <f aca="false">DC33</f>
        <v>0</v>
      </c>
      <c r="DD34" s="11" t="n">
        <f aca="false">DD33</f>
        <v>0</v>
      </c>
      <c r="DE34" s="11" t="n">
        <f aca="false">DE33</f>
        <v>0</v>
      </c>
      <c r="DF34" s="11" t="n">
        <f aca="false">DF33</f>
        <v>0</v>
      </c>
      <c r="DG34" s="11" t="n">
        <f aca="false">DG33</f>
        <v>0</v>
      </c>
      <c r="DH34" s="11" t="n">
        <f aca="false">DH33</f>
        <v>0</v>
      </c>
      <c r="DI34" s="11" t="n">
        <f aca="false">DI33</f>
        <v>0</v>
      </c>
      <c r="DJ34" s="11" t="n">
        <f aca="false">DJ33</f>
        <v>0</v>
      </c>
      <c r="DK34" s="11" t="n">
        <f aca="false">DK33</f>
        <v>0</v>
      </c>
      <c r="DL34" s="11" t="n">
        <f aca="false">DL33</f>
        <v>0</v>
      </c>
      <c r="DM34" s="11" t="n">
        <f aca="false">DM33</f>
        <v>0</v>
      </c>
      <c r="DN34" s="11" t="n">
        <f aca="false">DN33</f>
        <v>0</v>
      </c>
      <c r="DO34" s="11" t="n">
        <f aca="false">DO33</f>
        <v>0</v>
      </c>
      <c r="DP34" s="11" t="n">
        <f aca="false">DP33</f>
        <v>0</v>
      </c>
      <c r="DQ34" s="11" t="n">
        <f aca="false">DQ33</f>
        <v>0</v>
      </c>
      <c r="DR34" s="11" t="n">
        <f aca="false">DR33</f>
        <v>0</v>
      </c>
      <c r="DS34" s="11" t="n">
        <f aca="false">DS33</f>
        <v>0</v>
      </c>
      <c r="DT34" s="11" t="n">
        <f aca="false">DT33</f>
        <v>0</v>
      </c>
      <c r="DU34" s="11" t="n">
        <f aca="false">DU33</f>
        <v>0</v>
      </c>
      <c r="DV34" s="11" t="n">
        <f aca="false">DV33</f>
        <v>0</v>
      </c>
      <c r="DW34" s="11" t="n">
        <f aca="false">DW33</f>
        <v>0</v>
      </c>
      <c r="DX34" s="11" t="n">
        <f aca="false">DX33</f>
        <v>0</v>
      </c>
      <c r="DY34" s="11" t="n">
        <f aca="false">DY33</f>
        <v>0</v>
      </c>
      <c r="DZ34" s="11" t="n">
        <f aca="false">DZ33</f>
        <v>0</v>
      </c>
      <c r="EA34" s="11" t="n">
        <f aca="false">EA33</f>
        <v>0</v>
      </c>
      <c r="EB34" s="11" t="n">
        <f aca="false">EB33</f>
        <v>0</v>
      </c>
      <c r="EC34" s="11" t="n">
        <f aca="false">EC33</f>
        <v>0</v>
      </c>
      <c r="ED34" s="11" t="n">
        <f aca="false">ED33</f>
        <v>0</v>
      </c>
      <c r="EE34" s="11" t="n">
        <f aca="false">EE33</f>
        <v>0</v>
      </c>
      <c r="EF34" s="11" t="n">
        <f aca="false">EF33</f>
        <v>0</v>
      </c>
      <c r="EG34" s="11" t="n">
        <f aca="false">EG33</f>
        <v>0</v>
      </c>
      <c r="EH34" s="11" t="n">
        <f aca="false">EH33</f>
        <v>0</v>
      </c>
      <c r="EI34" s="11" t="n">
        <f aca="false">EI33</f>
        <v>0</v>
      </c>
      <c r="EJ34" s="11" t="n">
        <f aca="false">EJ33</f>
        <v>0</v>
      </c>
      <c r="EK34" s="11" t="n">
        <f aca="false">EK33</f>
        <v>0</v>
      </c>
      <c r="EL34" s="11" t="n">
        <f aca="false">EL33</f>
        <v>0</v>
      </c>
      <c r="EM34" s="11" t="n">
        <f aca="false">EM33</f>
        <v>0</v>
      </c>
      <c r="EN34" s="11" t="n">
        <f aca="false">EN33</f>
        <v>0</v>
      </c>
      <c r="EO34" s="11" t="n">
        <f aca="false">EO33</f>
        <v>0</v>
      </c>
      <c r="EP34" s="11" t="n">
        <f aca="false">EP33</f>
        <v>0</v>
      </c>
      <c r="EQ34" s="11" t="n">
        <f aca="false">EQ33</f>
        <v>0</v>
      </c>
      <c r="ER34" s="11" t="n">
        <f aca="false">ER33</f>
        <v>0</v>
      </c>
      <c r="ES34" s="11" t="n">
        <f aca="false">ES33</f>
        <v>0</v>
      </c>
      <c r="ET34" s="11" t="n">
        <f aca="false">ET33</f>
        <v>0</v>
      </c>
      <c r="EU34" s="11" t="n">
        <f aca="false">EU33</f>
        <v>0</v>
      </c>
      <c r="EV34" s="11" t="n">
        <f aca="false">EV33</f>
        <v>0</v>
      </c>
      <c r="EW34" s="11" t="n">
        <f aca="false">EW33</f>
        <v>0</v>
      </c>
      <c r="EX34" s="11" t="n">
        <f aca="false">EX33</f>
        <v>0</v>
      </c>
      <c r="EY34" s="11" t="n">
        <f aca="false">EY33</f>
        <v>0</v>
      </c>
      <c r="EZ34" s="11" t="n">
        <f aca="false">EZ33</f>
        <v>0</v>
      </c>
      <c r="FA34" s="11" t="n">
        <f aca="false">FA33</f>
        <v>0</v>
      </c>
      <c r="FB34" s="11" t="n">
        <f aca="false">FB33</f>
        <v>0</v>
      </c>
      <c r="FC34" s="11" t="n">
        <f aca="false">FC33</f>
        <v>0</v>
      </c>
      <c r="FD34" s="11" t="n">
        <f aca="false">FD33</f>
        <v>0</v>
      </c>
      <c r="FE34" s="11" t="n">
        <f aca="false">FE33</f>
        <v>0</v>
      </c>
      <c r="FF34" s="11" t="n">
        <f aca="false">FF33</f>
        <v>0</v>
      </c>
      <c r="FG34" s="11" t="n">
        <f aca="false">FG33</f>
        <v>0</v>
      </c>
      <c r="FH34" s="11" t="n">
        <f aca="false">FH33</f>
        <v>0</v>
      </c>
      <c r="FI34" s="11" t="n">
        <f aca="false">FI33</f>
        <v>0</v>
      </c>
      <c r="FJ34" s="11" t="n">
        <f aca="false">FJ33</f>
        <v>0</v>
      </c>
      <c r="FK34" s="11" t="n">
        <f aca="false">FK33</f>
        <v>0</v>
      </c>
      <c r="FL34" s="11" t="n">
        <f aca="false">FL33</f>
        <v>0</v>
      </c>
      <c r="FM34" s="11" t="n">
        <f aca="false">FM33</f>
        <v>0</v>
      </c>
      <c r="FN34" s="11" t="n">
        <f aca="false">FN33</f>
        <v>0</v>
      </c>
      <c r="FO34" s="11" t="n">
        <f aca="false">FO33</f>
        <v>0</v>
      </c>
      <c r="FP34" s="11" t="n">
        <f aca="false">FP33</f>
        <v>0</v>
      </c>
      <c r="FQ34" s="11" t="n">
        <f aca="false">FQ33</f>
        <v>0</v>
      </c>
      <c r="FR34" s="11" t="n">
        <f aca="false">FR33</f>
        <v>0</v>
      </c>
      <c r="FS34" s="11" t="n">
        <f aca="false">FS33</f>
        <v>0</v>
      </c>
      <c r="FT34" s="11" t="n">
        <f aca="false">FT33</f>
        <v>0</v>
      </c>
      <c r="FU34" s="11" t="n">
        <f aca="false">FU33</f>
        <v>0</v>
      </c>
      <c r="FV34" s="11" t="n">
        <f aca="false">FV33</f>
        <v>0</v>
      </c>
      <c r="FW34" s="11" t="n">
        <f aca="false">FW33</f>
        <v>0</v>
      </c>
      <c r="FX34" s="11" t="n">
        <f aca="false">FX33</f>
        <v>0</v>
      </c>
      <c r="FY34" s="11" t="n">
        <f aca="false">FY33</f>
        <v>0</v>
      </c>
      <c r="FZ34" s="11" t="n">
        <f aca="false">FZ33</f>
        <v>0</v>
      </c>
      <c r="GA34" s="11" t="n">
        <f aca="false">GA33</f>
        <v>0</v>
      </c>
      <c r="GB34" s="11" t="n">
        <f aca="false">GB33</f>
        <v>0</v>
      </c>
      <c r="GC34" s="11" t="n">
        <f aca="false">GC33</f>
        <v>0</v>
      </c>
      <c r="GD34" s="11" t="n">
        <f aca="false">GD33</f>
        <v>0</v>
      </c>
      <c r="GE34" s="11" t="n">
        <f aca="false">GE33</f>
        <v>0</v>
      </c>
      <c r="GF34" s="11" t="n">
        <f aca="false">GF33</f>
        <v>0</v>
      </c>
      <c r="GG34" s="11" t="n">
        <f aca="false">GG33</f>
        <v>0</v>
      </c>
      <c r="GH34" s="11" t="n">
        <f aca="false">GH33</f>
        <v>0</v>
      </c>
      <c r="GI34" s="11" t="n">
        <f aca="false">GI33</f>
        <v>0</v>
      </c>
      <c r="GJ34" s="11" t="n">
        <f aca="false">GJ33</f>
        <v>0</v>
      </c>
      <c r="GK34" s="11" t="n">
        <f aca="false">GK33</f>
        <v>0</v>
      </c>
      <c r="GL34" s="11" t="n">
        <f aca="false">GL33</f>
        <v>0</v>
      </c>
      <c r="GM34" s="11" t="n">
        <f aca="false">GM33</f>
        <v>0</v>
      </c>
      <c r="GN34" s="11" t="n">
        <f aca="false">GN33</f>
        <v>0</v>
      </c>
      <c r="GO34" s="11" t="n">
        <f aca="false">GO33</f>
        <v>0</v>
      </c>
      <c r="GP34" s="11" t="n">
        <f aca="false">GP33</f>
        <v>0</v>
      </c>
      <c r="GQ34" s="11" t="n">
        <f aca="false">GQ33</f>
        <v>0</v>
      </c>
      <c r="GR34" s="11" t="n">
        <f aca="false">GR33</f>
        <v>0</v>
      </c>
      <c r="GS34" s="11" t="n">
        <f aca="false">GS33</f>
        <v>0</v>
      </c>
      <c r="GT34" s="11" t="n">
        <f aca="false">GT33</f>
        <v>0</v>
      </c>
      <c r="GU34" s="11" t="n">
        <f aca="false">GU33</f>
        <v>0</v>
      </c>
      <c r="GV34" s="11" t="n">
        <f aca="false">GV33</f>
        <v>0</v>
      </c>
      <c r="GW34" s="11" t="n">
        <f aca="false">GW33</f>
        <v>0</v>
      </c>
      <c r="GX34" s="11" t="n">
        <f aca="false">GX33</f>
        <v>0</v>
      </c>
      <c r="GY34" s="11" t="n">
        <f aca="false">GY33</f>
        <v>0</v>
      </c>
      <c r="GZ34" s="11" t="n">
        <f aca="false">GZ33</f>
        <v>0</v>
      </c>
      <c r="HA34" s="11" t="n">
        <f aca="false">HA33</f>
        <v>0</v>
      </c>
      <c r="HB34" s="11" t="n">
        <f aca="false">HB33</f>
        <v>0</v>
      </c>
      <c r="HC34" s="11" t="n">
        <f aca="false">HC33</f>
        <v>0</v>
      </c>
      <c r="HD34" s="11" t="n">
        <f aca="false">HD33</f>
        <v>0</v>
      </c>
      <c r="HE34" s="11" t="n">
        <f aca="false">HE33</f>
        <v>0</v>
      </c>
      <c r="HF34" s="11" t="n">
        <f aca="false">HF33</f>
        <v>0</v>
      </c>
      <c r="HG34" s="11" t="n">
        <f aca="false">HG33</f>
        <v>0</v>
      </c>
      <c r="HH34" s="11" t="n">
        <f aca="false">HH33</f>
        <v>0</v>
      </c>
      <c r="HI34" s="11" t="n">
        <f aca="false">HI33</f>
        <v>0</v>
      </c>
      <c r="HJ34" s="11" t="n">
        <f aca="false">HJ33</f>
        <v>0</v>
      </c>
      <c r="HK34" s="11" t="n">
        <f aca="false">HK33</f>
        <v>0</v>
      </c>
      <c r="HL34" s="11" t="n">
        <f aca="false">HL33</f>
        <v>0</v>
      </c>
      <c r="HM34" s="11" t="n">
        <f aca="false">HM33</f>
        <v>0</v>
      </c>
      <c r="HN34" s="11" t="n">
        <f aca="false">HN33</f>
        <v>0</v>
      </c>
      <c r="HO34" s="11" t="n">
        <f aca="false">HO33</f>
        <v>0</v>
      </c>
      <c r="HP34" s="11" t="n">
        <f aca="false">HP33</f>
        <v>0</v>
      </c>
      <c r="HQ34" s="11" t="n">
        <f aca="false">HQ33</f>
        <v>0</v>
      </c>
      <c r="HR34" s="11" t="n">
        <f aca="false">HR33</f>
        <v>0</v>
      </c>
      <c r="HS34" s="11" t="n">
        <f aca="false">HS33</f>
        <v>0</v>
      </c>
      <c r="HT34" s="11" t="n">
        <f aca="false">HT33</f>
        <v>0</v>
      </c>
      <c r="HU34" s="11" t="n">
        <f aca="false">HU33</f>
        <v>0</v>
      </c>
      <c r="HV34" s="11" t="n">
        <f aca="false">HV33</f>
        <v>0</v>
      </c>
      <c r="HW34" s="11" t="n">
        <f aca="false">HW33</f>
        <v>0</v>
      </c>
      <c r="HX34" s="11" t="n">
        <f aca="false">HX33</f>
        <v>0</v>
      </c>
      <c r="HY34" s="11" t="n">
        <f aca="false">HY33</f>
        <v>0</v>
      </c>
      <c r="HZ34" s="11" t="n">
        <f aca="false">HZ33</f>
        <v>0</v>
      </c>
      <c r="IA34" s="11" t="n">
        <f aca="false">IA33</f>
        <v>0</v>
      </c>
      <c r="IB34" s="11" t="n">
        <f aca="false">IB33</f>
        <v>0</v>
      </c>
      <c r="IC34" s="11" t="n">
        <f aca="false">IC33</f>
        <v>0</v>
      </c>
      <c r="ID34" s="11" t="n">
        <f aca="false">ID33</f>
        <v>0</v>
      </c>
      <c r="IE34" s="11" t="n">
        <f aca="false">IE33</f>
        <v>0</v>
      </c>
      <c r="IF34" s="11" t="n">
        <f aca="false">IF33</f>
        <v>0</v>
      </c>
      <c r="IG34" s="11" t="n">
        <f aca="false">IG33</f>
        <v>0</v>
      </c>
      <c r="IH34" s="11" t="n">
        <f aca="false">IH33</f>
        <v>0</v>
      </c>
      <c r="II34" s="11" t="n">
        <f aca="false">II33</f>
        <v>0</v>
      </c>
      <c r="IJ34" s="11" t="n">
        <f aca="false">IJ33</f>
        <v>0</v>
      </c>
      <c r="IK34" s="11" t="n">
        <f aca="false">IK33</f>
        <v>0</v>
      </c>
      <c r="IL34" s="11" t="n">
        <f aca="false">IL33</f>
        <v>0</v>
      </c>
      <c r="IM34" s="11" t="n">
        <f aca="false">IM33</f>
        <v>0</v>
      </c>
      <c r="IN34" s="11" t="n">
        <f aca="false">IN33</f>
        <v>0</v>
      </c>
      <c r="IO34" s="11" t="n">
        <f aca="false">IO33</f>
        <v>0</v>
      </c>
      <c r="IP34" s="11" t="n">
        <f aca="false">IP33</f>
        <v>0</v>
      </c>
      <c r="IQ34" s="11" t="n">
        <f aca="false">IQ33</f>
        <v>0</v>
      </c>
      <c r="IR34" s="11" t="n">
        <f aca="false">IR33</f>
        <v>0</v>
      </c>
      <c r="IS34" s="11" t="n">
        <f aca="false">IS33</f>
        <v>0</v>
      </c>
      <c r="IT34" s="11" t="n">
        <f aca="false">IT33</f>
        <v>0</v>
      </c>
      <c r="IU34" s="11" t="n">
        <f aca="false">IU33</f>
        <v>0</v>
      </c>
      <c r="IV34" s="11" t="n">
        <f aca="false">IV33</f>
        <v>0</v>
      </c>
      <c r="IW34" s="11" t="n">
        <f aca="false">IW33</f>
        <v>0</v>
      </c>
      <c r="IX34" s="11" t="n">
        <f aca="false">IX33</f>
        <v>0</v>
      </c>
      <c r="IY34" s="11" t="n">
        <f aca="false">IY33</f>
        <v>0</v>
      </c>
      <c r="IZ34" s="11" t="n">
        <f aca="false">IZ33</f>
        <v>0</v>
      </c>
      <c r="JA34" s="11" t="n">
        <f aca="false">JA33</f>
        <v>0</v>
      </c>
      <c r="JB34" s="11" t="n">
        <f aca="false">JB33</f>
        <v>0</v>
      </c>
      <c r="JC34" s="11" t="n">
        <f aca="false">JC33</f>
        <v>0</v>
      </c>
      <c r="JD34" s="11" t="n">
        <f aca="false">JD33</f>
        <v>0</v>
      </c>
      <c r="JE34" s="11" t="n">
        <f aca="false">JE33</f>
        <v>0</v>
      </c>
      <c r="JF34" s="11" t="n">
        <f aca="false">JF33</f>
        <v>0</v>
      </c>
      <c r="JG34" s="11" t="n">
        <f aca="false">JG33</f>
        <v>0</v>
      </c>
      <c r="JH34" s="11" t="n">
        <f aca="false">JH33</f>
        <v>0</v>
      </c>
      <c r="JI34" s="11" t="n">
        <f aca="false">JI33</f>
        <v>0</v>
      </c>
      <c r="JJ34" s="11" t="n">
        <f aca="false">JJ33</f>
        <v>0</v>
      </c>
      <c r="JK34" s="11" t="n">
        <f aca="false">JK33</f>
        <v>0</v>
      </c>
      <c r="JL34" s="11" t="n">
        <f aca="false">JL33</f>
        <v>0</v>
      </c>
      <c r="JM34" s="11" t="n">
        <f aca="false">JM33</f>
        <v>0</v>
      </c>
      <c r="JN34" s="11" t="n">
        <f aca="false">JN33</f>
        <v>0</v>
      </c>
      <c r="JO34" s="11" t="n">
        <f aca="false">JO33</f>
        <v>0</v>
      </c>
      <c r="JP34" s="11" t="n">
        <f aca="false">JP33</f>
        <v>0</v>
      </c>
      <c r="JQ34" s="11" t="n">
        <f aca="false">JQ33</f>
        <v>0</v>
      </c>
      <c r="JR34" s="11" t="n">
        <f aca="false">JR33</f>
        <v>0</v>
      </c>
      <c r="JS34" s="11" t="n">
        <f aca="false">JS33</f>
        <v>0</v>
      </c>
      <c r="JT34" s="11" t="n">
        <f aca="false">JT33</f>
        <v>0</v>
      </c>
      <c r="JU34" s="11" t="n">
        <f aca="false">JU33</f>
        <v>0</v>
      </c>
      <c r="JV34" s="11" t="n">
        <f aca="false">JV33</f>
        <v>0</v>
      </c>
      <c r="JW34" s="11" t="n">
        <f aca="false">JW33</f>
        <v>0</v>
      </c>
      <c r="JX34" s="11" t="n">
        <f aca="false">JX33</f>
        <v>0</v>
      </c>
      <c r="JY34" s="11" t="n">
        <f aca="false">JY33</f>
        <v>0</v>
      </c>
      <c r="JZ34" s="11" t="n">
        <f aca="false">JZ33</f>
        <v>0</v>
      </c>
      <c r="KA34" s="11" t="n">
        <f aca="false">KA33</f>
        <v>0</v>
      </c>
      <c r="KB34" s="11" t="n">
        <f aca="false">KB33</f>
        <v>0</v>
      </c>
      <c r="KC34" s="11" t="n">
        <f aca="false">KC33</f>
        <v>0</v>
      </c>
      <c r="KD34" s="11" t="n">
        <f aca="false">KD33</f>
        <v>0</v>
      </c>
      <c r="KE34" s="11" t="n">
        <f aca="false">KE33</f>
        <v>0</v>
      </c>
      <c r="KF34" s="11" t="n">
        <f aca="false">KF33</f>
        <v>0</v>
      </c>
      <c r="KG34" s="11" t="n">
        <f aca="false">KG33</f>
        <v>0</v>
      </c>
      <c r="KH34" s="11" t="n">
        <f aca="false">KH33</f>
        <v>0</v>
      </c>
      <c r="KI34" s="11" t="n">
        <f aca="false">KI33</f>
        <v>0</v>
      </c>
      <c r="KJ34" s="11" t="n">
        <f aca="false">KJ33</f>
        <v>0</v>
      </c>
      <c r="KK34" s="11" t="n">
        <f aca="false">KK33</f>
        <v>0</v>
      </c>
      <c r="KL34" s="11" t="n">
        <f aca="false">KL33</f>
        <v>0</v>
      </c>
      <c r="KM34" s="11" t="n">
        <f aca="false">KM33</f>
        <v>0</v>
      </c>
      <c r="KN34" s="11" t="n">
        <f aca="false">KN33</f>
        <v>0</v>
      </c>
      <c r="KO34" s="11" t="n">
        <f aca="false">KO33</f>
        <v>0</v>
      </c>
      <c r="KP34" s="11" t="n">
        <f aca="false">KP33</f>
        <v>0</v>
      </c>
      <c r="KQ34" s="11" t="n">
        <f aca="false">KQ33</f>
        <v>0</v>
      </c>
      <c r="KR34" s="11" t="n">
        <f aca="false">KR33</f>
        <v>0</v>
      </c>
      <c r="KS34" s="11" t="n">
        <f aca="false">KS33</f>
        <v>0</v>
      </c>
      <c r="KT34" s="11" t="n">
        <f aca="false">KT33</f>
        <v>0</v>
      </c>
      <c r="KU34" s="11" t="n">
        <f aca="false">KU33</f>
        <v>0</v>
      </c>
      <c r="KV34" s="11" t="n">
        <f aca="false">KV33</f>
        <v>0</v>
      </c>
      <c r="KW34" s="11" t="n">
        <f aca="false">KW33</f>
        <v>0</v>
      </c>
      <c r="KX34" s="11" t="n">
        <f aca="false">KX33</f>
        <v>0</v>
      </c>
      <c r="KY34" s="11" t="n">
        <f aca="false">KY33</f>
        <v>0</v>
      </c>
      <c r="KZ34" s="11" t="n">
        <f aca="false">KZ33</f>
        <v>0</v>
      </c>
      <c r="LA34" s="11" t="n">
        <f aca="false">LA33</f>
        <v>0</v>
      </c>
      <c r="LB34" s="11" t="n">
        <f aca="false">LB33</f>
        <v>0</v>
      </c>
      <c r="LC34" s="11" t="n">
        <f aca="false">LC33</f>
        <v>0</v>
      </c>
      <c r="LD34" s="11" t="n">
        <f aca="false">LD33</f>
        <v>0</v>
      </c>
      <c r="LE34" s="11" t="n">
        <f aca="false">LE33</f>
        <v>0</v>
      </c>
      <c r="LF34" s="11" t="n">
        <f aca="false">LF33</f>
        <v>0</v>
      </c>
      <c r="LG34" s="11" t="n">
        <f aca="false">LG33</f>
        <v>0</v>
      </c>
      <c r="LH34" s="11" t="n">
        <f aca="false">LH33</f>
        <v>0</v>
      </c>
      <c r="LI34" s="11" t="n">
        <f aca="false">LI33</f>
        <v>0</v>
      </c>
      <c r="LJ34" s="11" t="n">
        <f aca="false">LJ33</f>
        <v>0</v>
      </c>
      <c r="LK34" s="11" t="n">
        <f aca="false">LK33</f>
        <v>0</v>
      </c>
      <c r="LL34" s="11" t="n">
        <f aca="false">LL33</f>
        <v>0</v>
      </c>
      <c r="LM34" s="11" t="n">
        <f aca="false">LM33</f>
        <v>0</v>
      </c>
      <c r="LN34" s="11" t="n">
        <f aca="false">LN33</f>
        <v>0</v>
      </c>
      <c r="LO34" s="11" t="n">
        <f aca="false">LO33</f>
        <v>0</v>
      </c>
      <c r="LP34" s="11" t="n">
        <f aca="false">LP33</f>
        <v>0</v>
      </c>
      <c r="LQ34" s="11" t="n">
        <f aca="false">LQ33</f>
        <v>0</v>
      </c>
      <c r="LR34" s="11" t="n">
        <f aca="false">LR33</f>
        <v>0</v>
      </c>
      <c r="LS34" s="11" t="n">
        <f aca="false">LS33</f>
        <v>0</v>
      </c>
      <c r="LT34" s="11" t="n">
        <f aca="false">LT33</f>
        <v>0</v>
      </c>
      <c r="LU34" s="11" t="n">
        <f aca="false">LU33</f>
        <v>0</v>
      </c>
      <c r="LV34" s="11" t="n">
        <f aca="false">LV33</f>
        <v>0</v>
      </c>
      <c r="LW34" s="11" t="n">
        <f aca="false">LW33</f>
        <v>0</v>
      </c>
      <c r="LX34" s="11" t="n">
        <f aca="false">LX33</f>
        <v>0</v>
      </c>
      <c r="LY34" s="11" t="n">
        <f aca="false">LY33</f>
        <v>0</v>
      </c>
      <c r="LZ34" s="11" t="n">
        <f aca="false">LZ33</f>
        <v>0</v>
      </c>
      <c r="MA34" s="11" t="n">
        <f aca="false">MA33</f>
        <v>0</v>
      </c>
      <c r="MB34" s="11" t="n">
        <f aca="false">MB33</f>
        <v>0</v>
      </c>
      <c r="MC34" s="11" t="n">
        <f aca="false">MC33</f>
        <v>0</v>
      </c>
      <c r="MD34" s="11" t="n">
        <f aca="false">MD33</f>
        <v>0</v>
      </c>
      <c r="ME34" s="11" t="n">
        <f aca="false">ME33</f>
        <v>0</v>
      </c>
      <c r="MF34" s="11" t="n">
        <f aca="false">MF33</f>
        <v>0</v>
      </c>
      <c r="MG34" s="11" t="n">
        <f aca="false">MG33</f>
        <v>0</v>
      </c>
      <c r="MH34" s="11" t="n">
        <f aca="false">MH33</f>
        <v>0</v>
      </c>
      <c r="MI34" s="11" t="n">
        <f aca="false">MI33</f>
        <v>0</v>
      </c>
      <c r="MJ34" s="11" t="n">
        <f aca="false">MJ33</f>
        <v>0</v>
      </c>
      <c r="MK34" s="11" t="n">
        <f aca="false">MK33</f>
        <v>0</v>
      </c>
      <c r="ML34" s="11" t="n">
        <f aca="false">ML33</f>
        <v>0</v>
      </c>
      <c r="MM34" s="11" t="n">
        <f aca="false">MM33</f>
        <v>0</v>
      </c>
      <c r="MN34" s="11" t="n">
        <f aca="false">MN33</f>
        <v>0</v>
      </c>
      <c r="MO34" s="11" t="n">
        <f aca="false">MO33</f>
        <v>0</v>
      </c>
      <c r="MP34" s="11" t="n">
        <f aca="false">MP33</f>
        <v>0</v>
      </c>
      <c r="MQ34" s="11" t="n">
        <f aca="false">MQ33</f>
        <v>0</v>
      </c>
      <c r="MR34" s="11" t="n">
        <f aca="false">MR33</f>
        <v>0</v>
      </c>
      <c r="MS34" s="11" t="n">
        <f aca="false">MS33</f>
        <v>0</v>
      </c>
      <c r="MT34" s="11" t="n">
        <f aca="false">MT33</f>
        <v>0</v>
      </c>
      <c r="MU34" s="11" t="n">
        <f aca="false">MU33</f>
        <v>0</v>
      </c>
      <c r="MV34" s="11" t="n">
        <f aca="false">MV33</f>
        <v>0</v>
      </c>
      <c r="MW34" s="11" t="n">
        <f aca="false">MW33</f>
        <v>0</v>
      </c>
      <c r="MX34" s="11" t="n">
        <f aca="false">MX33</f>
        <v>0</v>
      </c>
      <c r="MY34" s="11" t="n">
        <f aca="false">MY33</f>
        <v>0</v>
      </c>
      <c r="MZ34" s="11" t="n">
        <f aca="false">MZ33</f>
        <v>0</v>
      </c>
      <c r="NA34" s="11" t="n">
        <f aca="false">NA33</f>
        <v>0</v>
      </c>
      <c r="NB34" s="11" t="n">
        <f aca="false">NB33</f>
        <v>0</v>
      </c>
      <c r="NC34" s="11" t="n">
        <f aca="false">NC33</f>
        <v>979.19</v>
      </c>
      <c r="ND34" s="9" t="n">
        <f aca="false">SUM(A34:NC34)</f>
        <v>979.19</v>
      </c>
    </row>
    <row r="35" s="7" customFormat="true" ht="12.8" hidden="false" customHeight="false" outlineLevel="0" collapsed="false">
      <c r="A35" s="4" t="s">
        <v>401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6" t="n">
        <f aca="false">SUM(A35:NC35)</f>
        <v>0</v>
      </c>
    </row>
    <row r="36" s="7" customFormat="true" ht="12.8" hidden="false" customHeight="false" outlineLevel="0" collapsed="false">
      <c r="A36" s="4" t="s">
        <v>402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6" t="n">
        <f aca="false">0</f>
        <v>0</v>
      </c>
      <c r="ND36" s="6" t="n">
        <f aca="false">SUM(A36:NC36)</f>
        <v>0</v>
      </c>
    </row>
    <row r="37" customFormat="false" ht="12.8" hidden="false" customHeight="false" outlineLevel="0" collapsed="false">
      <c r="A37" s="8" t="s">
        <v>403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9" t="n">
        <f aca="false">-500</f>
        <v>-500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9" t="n">
        <f aca="false">-500</f>
        <v>-500</v>
      </c>
      <c r="AV37" s="10"/>
      <c r="AW37" s="9" t="n">
        <f aca="false">-302.41</f>
        <v>-302.41</v>
      </c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9" t="n">
        <f aca="false">SUM(A37:NC37)</f>
        <v>-1302.41</v>
      </c>
    </row>
    <row r="38" customFormat="false" ht="12.8" hidden="false" customHeight="false" outlineLevel="0" collapsed="false">
      <c r="A38" s="8" t="s">
        <v>404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9" t="n">
        <f aca="false">-493.67</f>
        <v>-493.67</v>
      </c>
      <c r="ND38" s="9" t="n">
        <f aca="false">SUM(A38:NC38)</f>
        <v>-493.67</v>
      </c>
    </row>
    <row r="39" customFormat="false" ht="12.8" hidden="false" customHeight="false" outlineLevel="0" collapsed="false">
      <c r="A39" s="8" t="s">
        <v>405</v>
      </c>
      <c r="B39" s="10"/>
      <c r="C39" s="10"/>
      <c r="D39" s="10"/>
      <c r="E39" s="9" t="n">
        <f aca="false">-1000</f>
        <v>-1000</v>
      </c>
      <c r="F39" s="10"/>
      <c r="G39" s="10"/>
      <c r="H39" s="10"/>
      <c r="I39" s="10"/>
      <c r="J39" s="10"/>
      <c r="K39" s="9" t="n">
        <f aca="false">-54.96</f>
        <v>-54.96</v>
      </c>
      <c r="L39" s="9" t="n">
        <f aca="false">-41.36</f>
        <v>-41.36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9" t="n">
        <f aca="false">-1500</f>
        <v>-1500</v>
      </c>
      <c r="AL39" s="10"/>
      <c r="AM39" s="10"/>
      <c r="AN39" s="10"/>
      <c r="AO39" s="9" t="n">
        <f aca="false">-1000</f>
        <v>-1000</v>
      </c>
      <c r="AP39" s="9" t="n">
        <f aca="false">-54.96</f>
        <v>-54.96</v>
      </c>
      <c r="AQ39" s="10"/>
      <c r="AR39" s="9" t="n">
        <f aca="false">-41.36</f>
        <v>-41.36</v>
      </c>
      <c r="AS39" s="10"/>
      <c r="AT39" s="10"/>
      <c r="AU39" s="10"/>
      <c r="AV39" s="10"/>
      <c r="AW39" s="10"/>
      <c r="AX39" s="10"/>
      <c r="AY39" s="9" t="n">
        <f aca="false">-59.88</f>
        <v>-59.88</v>
      </c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9" t="n">
        <f aca="false">-55.25</f>
        <v>-55.25</v>
      </c>
      <c r="BK39" s="10"/>
      <c r="BL39" s="10"/>
      <c r="BM39" s="10"/>
      <c r="BN39" s="10"/>
      <c r="BO39" s="10"/>
      <c r="BP39" s="10"/>
      <c r="BQ39" s="10"/>
      <c r="BR39" s="10"/>
      <c r="BS39" s="10"/>
      <c r="BT39" s="9" t="n">
        <f aca="false">-96.32</f>
        <v>-96.32</v>
      </c>
      <c r="BU39" s="10"/>
      <c r="BV39" s="9" t="n">
        <f aca="false">-285</f>
        <v>-285</v>
      </c>
      <c r="BW39" s="10"/>
      <c r="BX39" s="10"/>
      <c r="BY39" s="10"/>
      <c r="BZ39" s="10"/>
      <c r="CA39" s="10"/>
      <c r="CB39" s="9" t="n">
        <f aca="false">-243</f>
        <v>-243</v>
      </c>
      <c r="CC39" s="10"/>
      <c r="CD39" s="10"/>
      <c r="CE39" s="9" t="n">
        <f aca="false">-68.28</f>
        <v>-68.28</v>
      </c>
      <c r="CF39" s="10"/>
      <c r="CG39" s="10"/>
      <c r="CH39" s="9" t="n">
        <f aca="false">-50</f>
        <v>-50</v>
      </c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9" t="n">
        <f aca="false">-260.24</f>
        <v>-260.24</v>
      </c>
      <c r="CY39" s="9" t="n">
        <f aca="false">-41.36</f>
        <v>-41.36</v>
      </c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9" t="n">
        <f aca="false">-33</f>
        <v>-33</v>
      </c>
      <c r="DN39" s="9" t="n">
        <f aca="false">-54</f>
        <v>-54</v>
      </c>
      <c r="DO39" s="9" t="n">
        <f aca="false">-11.84</f>
        <v>-11.84</v>
      </c>
      <c r="DP39" s="10"/>
      <c r="DQ39" s="10"/>
      <c r="DR39" s="10"/>
      <c r="DS39" s="10"/>
      <c r="DT39" s="10"/>
      <c r="DU39" s="10"/>
      <c r="DV39" s="9" t="n">
        <f aca="false">-137.14</f>
        <v>-137.14</v>
      </c>
      <c r="DW39" s="10"/>
      <c r="DX39" s="10"/>
      <c r="DY39" s="10"/>
      <c r="DZ39" s="10"/>
      <c r="EA39" s="10"/>
      <c r="EB39" s="9" t="n">
        <f aca="false">-60.34</f>
        <v>-60.34</v>
      </c>
      <c r="EC39" s="9" t="n">
        <f aca="false">-41.36</f>
        <v>-41.36</v>
      </c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9" t="n">
        <f aca="false">-100</f>
        <v>-100</v>
      </c>
      <c r="EQ39" s="10"/>
      <c r="ER39" s="9" t="n">
        <f aca="false">-169.2</f>
        <v>-169.2</v>
      </c>
      <c r="ES39" s="10"/>
      <c r="ET39" s="10"/>
      <c r="EU39" s="9" t="n">
        <f aca="false">-272.48</f>
        <v>-272.48</v>
      </c>
      <c r="EV39" s="10"/>
      <c r="EW39" s="10"/>
      <c r="EX39" s="10"/>
      <c r="EY39" s="10"/>
      <c r="EZ39" s="10"/>
      <c r="FA39" s="10"/>
      <c r="FB39" s="10"/>
      <c r="FC39" s="9" t="n">
        <f aca="false">-1500</f>
        <v>-1500</v>
      </c>
      <c r="FD39" s="10"/>
      <c r="FE39" s="10"/>
      <c r="FF39" s="10"/>
      <c r="FG39" s="9" t="n">
        <f aca="false">-60.34</f>
        <v>-60.34</v>
      </c>
      <c r="FH39" s="9" t="n">
        <f aca="false">-41.36</f>
        <v>-41.36</v>
      </c>
      <c r="FI39" s="10"/>
      <c r="FJ39" s="9" t="n">
        <f aca="false">-138</f>
        <v>-138</v>
      </c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9" t="n">
        <f aca="false">-60.34</f>
        <v>-60.34</v>
      </c>
      <c r="GL39" s="9" t="n">
        <f aca="false">-41.36</f>
        <v>-41.36</v>
      </c>
      <c r="GM39" s="10"/>
      <c r="GN39" s="9" t="n">
        <f aca="false">76</f>
        <v>76</v>
      </c>
      <c r="GO39" s="10"/>
      <c r="GP39" s="10"/>
      <c r="GQ39" s="10"/>
      <c r="GR39" s="10"/>
      <c r="GS39" s="10"/>
      <c r="GT39" s="10"/>
      <c r="GU39" s="9" t="n">
        <f aca="false">-121</f>
        <v>-121</v>
      </c>
      <c r="GV39" s="10"/>
      <c r="GW39" s="9" t="n">
        <f aca="false">-192.49</f>
        <v>-192.49</v>
      </c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9" t="n">
        <f aca="false">-60.34</f>
        <v>-60.34</v>
      </c>
      <c r="HQ39" s="10"/>
      <c r="HR39" s="9" t="n">
        <f aca="false">-41.36</f>
        <v>-41.36</v>
      </c>
      <c r="HS39" s="10"/>
      <c r="HT39" s="10"/>
      <c r="HU39" s="10"/>
      <c r="HV39" s="10"/>
      <c r="HW39" s="10"/>
      <c r="HX39" s="10"/>
      <c r="HY39" s="9" t="n">
        <f aca="false">-350.73</f>
        <v>-350.73</v>
      </c>
      <c r="HZ39" s="9" t="n">
        <f aca="false">-97</f>
        <v>-97</v>
      </c>
      <c r="IA39" s="10"/>
      <c r="IB39" s="10"/>
      <c r="IC39" s="10"/>
      <c r="ID39" s="10"/>
      <c r="IE39" s="10"/>
      <c r="IF39" s="10"/>
      <c r="IG39" s="10"/>
      <c r="IH39" s="10"/>
      <c r="II39" s="9" t="n">
        <f aca="false">-136.8</f>
        <v>-136.8</v>
      </c>
      <c r="IJ39" s="10"/>
      <c r="IK39" s="10"/>
      <c r="IL39" s="10"/>
      <c r="IM39" s="10"/>
      <c r="IN39" s="10"/>
      <c r="IO39" s="9" t="n">
        <f aca="false">-1050</f>
        <v>-1050</v>
      </c>
      <c r="IP39" s="10"/>
      <c r="IQ39" s="10"/>
      <c r="IR39" s="9" t="n">
        <f aca="false">-1000</f>
        <v>-1000</v>
      </c>
      <c r="IS39" s="10"/>
      <c r="IT39" s="9" t="n">
        <f aca="false">-344.1</f>
        <v>-344.1</v>
      </c>
      <c r="IU39" s="9" t="n">
        <f aca="false">-60.34</f>
        <v>-60.34</v>
      </c>
      <c r="IV39" s="9" t="n">
        <f aca="false">-41.36</f>
        <v>-41.36</v>
      </c>
      <c r="IW39" s="10"/>
      <c r="IX39" s="9" t="n">
        <f aca="false">-337.25</f>
        <v>-337.25</v>
      </c>
      <c r="IY39" s="9" t="n">
        <f aca="false">-2000</f>
        <v>-2000</v>
      </c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9" t="n">
        <f aca="false">-750</f>
        <v>-750</v>
      </c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9" t="n">
        <f aca="false">-60.34</f>
        <v>-60.34</v>
      </c>
      <c r="JZ39" s="9" t="n">
        <f aca="false">-129.36</f>
        <v>-129.36</v>
      </c>
      <c r="KA39" s="9" t="n">
        <f aca="false">-265</f>
        <v>-265</v>
      </c>
      <c r="KB39" s="10"/>
      <c r="KC39" s="10"/>
      <c r="KD39" s="9" t="n">
        <f aca="false">-80</f>
        <v>-80</v>
      </c>
      <c r="KE39" s="10"/>
      <c r="KF39" s="9" t="n">
        <f aca="false">-1139.2</f>
        <v>-1139.2</v>
      </c>
      <c r="KG39" s="10"/>
      <c r="KH39" s="10"/>
      <c r="KI39" s="10"/>
      <c r="KJ39" s="10"/>
      <c r="KK39" s="10"/>
      <c r="KL39" s="10"/>
      <c r="KM39" s="10"/>
      <c r="KN39" s="9" t="n">
        <f aca="false">-174.58</f>
        <v>-174.58</v>
      </c>
      <c r="KO39" s="10"/>
      <c r="KP39" s="9" t="n">
        <f aca="false">-50</f>
        <v>-50</v>
      </c>
      <c r="KQ39" s="9" t="n">
        <f aca="false">-298.4</f>
        <v>-298.4</v>
      </c>
      <c r="KR39" s="10"/>
      <c r="KS39" s="10"/>
      <c r="KT39" s="10"/>
      <c r="KU39" s="9" t="n">
        <f aca="false">80</f>
        <v>80</v>
      </c>
      <c r="KV39" s="10"/>
      <c r="KW39" s="10"/>
      <c r="KX39" s="9" t="n">
        <f aca="false">-1582.18</f>
        <v>-1582.18</v>
      </c>
      <c r="KY39" s="10"/>
      <c r="KZ39" s="10"/>
      <c r="LA39" s="9" t="n">
        <f aca="false">-274.75</f>
        <v>-274.75</v>
      </c>
      <c r="LB39" s="10"/>
      <c r="LC39" s="10"/>
      <c r="LD39" s="10"/>
      <c r="LE39" s="10"/>
      <c r="LF39" s="9" t="n">
        <f aca="false">-101.7</f>
        <v>-101.7</v>
      </c>
      <c r="LG39" s="9" t="n">
        <f aca="false">-60</f>
        <v>-60</v>
      </c>
      <c r="LH39" s="9" t="n">
        <f aca="false">-143.75</f>
        <v>-143.75</v>
      </c>
      <c r="LI39" s="9" t="n">
        <f aca="false">-932</f>
        <v>-932</v>
      </c>
      <c r="LJ39" s="10"/>
      <c r="LK39" s="10"/>
      <c r="LL39" s="10"/>
      <c r="LM39" s="10"/>
      <c r="LN39" s="9" t="n">
        <f aca="false">-405.95</f>
        <v>-405.95</v>
      </c>
      <c r="LO39" s="10"/>
      <c r="LP39" s="9" t="n">
        <f aca="false">-59.28</f>
        <v>-59.28</v>
      </c>
      <c r="LQ39" s="10"/>
      <c r="LR39" s="10"/>
      <c r="LS39" s="10"/>
      <c r="LT39" s="10"/>
      <c r="LU39" s="10"/>
      <c r="LV39" s="10"/>
      <c r="LW39" s="9" t="n">
        <f aca="false">-344.3</f>
        <v>-344.3</v>
      </c>
      <c r="LX39" s="9" t="n">
        <f aca="false">-16.6</f>
        <v>-16.6</v>
      </c>
      <c r="LY39" s="10"/>
      <c r="LZ39" s="10"/>
      <c r="MA39" s="10"/>
      <c r="MB39" s="10"/>
      <c r="MC39" s="10"/>
      <c r="MD39" s="9" t="n">
        <f aca="false">-63</f>
        <v>-63</v>
      </c>
      <c r="ME39" s="10"/>
      <c r="MF39" s="10"/>
      <c r="MG39" s="9" t="n">
        <f aca="false">-363.59</f>
        <v>-363.59</v>
      </c>
      <c r="MH39" s="9" t="n">
        <f aca="false">-60.34</f>
        <v>-60.34</v>
      </c>
      <c r="MI39" s="9" t="n">
        <f aca="false">-41.36</f>
        <v>-41.36</v>
      </c>
      <c r="MJ39" s="9" t="n">
        <f aca="false">-468</f>
        <v>-468</v>
      </c>
      <c r="MK39" s="10"/>
      <c r="ML39" s="9" t="n">
        <f aca="false">-156.25</f>
        <v>-156.25</v>
      </c>
      <c r="MM39" s="10"/>
      <c r="MN39" s="10"/>
      <c r="MO39" s="9" t="n">
        <f aca="false">-27.36</f>
        <v>-27.36</v>
      </c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9" t="n">
        <f aca="false">SUM(A39:NC39)</f>
        <v>-21296.79</v>
      </c>
    </row>
    <row r="40" customFormat="false" ht="12.8" hidden="false" customHeight="false" outlineLevel="0" collapsed="false">
      <c r="A40" s="8" t="s">
        <v>406</v>
      </c>
      <c r="B40" s="9" t="n">
        <f aca="false">13535.04</f>
        <v>13535.04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/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9" t="n">
        <f aca="false">SUM(A40:NC40)</f>
        <v>13535.04</v>
      </c>
    </row>
    <row r="41" customFormat="false" ht="12.8" hidden="false" customHeight="false" outlineLevel="0" collapsed="false">
      <c r="A41" s="8" t="s">
        <v>407</v>
      </c>
      <c r="B41" s="11" t="n">
        <f aca="false">((((B36)+(B37))+(B38))+(B39))+(B40)</f>
        <v>13535.04</v>
      </c>
      <c r="C41" s="11" t="n">
        <f aca="false">((((C36)+(C37))+(C38))+(C39))+(C40)</f>
        <v>0</v>
      </c>
      <c r="D41" s="11" t="n">
        <f aca="false">((((D36)+(D37))+(D38))+(D39))+(D40)</f>
        <v>0</v>
      </c>
      <c r="E41" s="11" t="n">
        <f aca="false">((((E36)+(E37))+(E38))+(E39))+(E40)</f>
        <v>-1000</v>
      </c>
      <c r="F41" s="11" t="n">
        <f aca="false">((((F36)+(F37))+(F38))+(F39))+(F40)</f>
        <v>0</v>
      </c>
      <c r="G41" s="11" t="n">
        <f aca="false">((((G36)+(G37))+(G38))+(G39))+(G40)</f>
        <v>0</v>
      </c>
      <c r="H41" s="11" t="n">
        <f aca="false">((((H36)+(H37))+(H38))+(H39))+(H40)</f>
        <v>0</v>
      </c>
      <c r="I41" s="11" t="n">
        <f aca="false">((((I36)+(I37))+(I38))+(I39))+(I40)</f>
        <v>0</v>
      </c>
      <c r="J41" s="11" t="n">
        <f aca="false">((((J36)+(J37))+(J38))+(J39))+(J40)</f>
        <v>0</v>
      </c>
      <c r="K41" s="11" t="n">
        <f aca="false">((((K36)+(K37))+(K38))+(K39))+(K40)</f>
        <v>-54.96</v>
      </c>
      <c r="L41" s="11" t="n">
        <f aca="false">((((L36)+(L37))+(L38))+(L39))+(L40)</f>
        <v>-41.36</v>
      </c>
      <c r="M41" s="11" t="n">
        <f aca="false">((((M36)+(M37))+(M38))+(M39))+(M40)</f>
        <v>0</v>
      </c>
      <c r="N41" s="11" t="n">
        <f aca="false">((((N36)+(N37))+(N38))+(N39))+(N40)</f>
        <v>0</v>
      </c>
      <c r="O41" s="11" t="n">
        <f aca="false">((((O36)+(O37))+(O38))+(O39))+(O40)</f>
        <v>0</v>
      </c>
      <c r="P41" s="11" t="n">
        <f aca="false">((((P36)+(P37))+(P38))+(P39))+(P40)</f>
        <v>0</v>
      </c>
      <c r="Q41" s="11" t="n">
        <f aca="false">((((Q36)+(Q37))+(Q38))+(Q39))+(Q40)</f>
        <v>0</v>
      </c>
      <c r="R41" s="11" t="n">
        <f aca="false">((((R36)+(R37))+(R38))+(R39))+(R40)</f>
        <v>0</v>
      </c>
      <c r="S41" s="11" t="n">
        <f aca="false">((((S36)+(S37))+(S38))+(S39))+(S40)</f>
        <v>-500</v>
      </c>
      <c r="T41" s="11" t="n">
        <f aca="false">((((T36)+(T37))+(T38))+(T39))+(T40)</f>
        <v>0</v>
      </c>
      <c r="U41" s="11" t="n">
        <f aca="false">((((U36)+(U37))+(U38))+(U39))+(U40)</f>
        <v>0</v>
      </c>
      <c r="V41" s="11" t="n">
        <f aca="false">((((V36)+(V37))+(V38))+(V39))+(V40)</f>
        <v>0</v>
      </c>
      <c r="W41" s="11" t="n">
        <f aca="false">((((W36)+(W37))+(W38))+(W39))+(W40)</f>
        <v>0</v>
      </c>
      <c r="X41" s="11" t="n">
        <f aca="false">((((X36)+(X37))+(X38))+(X39))+(X40)</f>
        <v>0</v>
      </c>
      <c r="Y41" s="11" t="n">
        <f aca="false">((((Y36)+(Y37))+(Y38))+(Y39))+(Y40)</f>
        <v>0</v>
      </c>
      <c r="Z41" s="11" t="n">
        <f aca="false">((((Z36)+(Z37))+(Z38))+(Z39))+(Z40)</f>
        <v>0</v>
      </c>
      <c r="AA41" s="11" t="n">
        <f aca="false">((((AA36)+(AA37))+(AA38))+(AA39))+(AA40)</f>
        <v>0</v>
      </c>
      <c r="AB41" s="11" t="n">
        <f aca="false">((((AB36)+(AB37))+(AB38))+(AB39))+(AB40)</f>
        <v>0</v>
      </c>
      <c r="AC41" s="11" t="n">
        <f aca="false">((((AC36)+(AC37))+(AC38))+(AC39))+(AC40)</f>
        <v>0</v>
      </c>
      <c r="AD41" s="11" t="n">
        <f aca="false">((((AD36)+(AD37))+(AD38))+(AD39))+(AD40)</f>
        <v>0</v>
      </c>
      <c r="AE41" s="11" t="n">
        <f aca="false">((((AE36)+(AE37))+(AE38))+(AE39))+(AE40)</f>
        <v>0</v>
      </c>
      <c r="AF41" s="11" t="n">
        <f aca="false">((((AF36)+(AF37))+(AF38))+(AF39))+(AF40)</f>
        <v>0</v>
      </c>
      <c r="AG41" s="11" t="n">
        <f aca="false">((((AG36)+(AG37))+(AG38))+(AG39))+(AG40)</f>
        <v>0</v>
      </c>
      <c r="AH41" s="11" t="n">
        <f aca="false">((((AH36)+(AH37))+(AH38))+(AH39))+(AH40)</f>
        <v>0</v>
      </c>
      <c r="AI41" s="11" t="n">
        <f aca="false">((((AI36)+(AI37))+(AI38))+(AI39))+(AI40)</f>
        <v>0</v>
      </c>
      <c r="AJ41" s="11" t="n">
        <f aca="false">((((AJ36)+(AJ37))+(AJ38))+(AJ39))+(AJ40)</f>
        <v>0</v>
      </c>
      <c r="AK41" s="11" t="n">
        <f aca="false">((((AK36)+(AK37))+(AK38))+(AK39))+(AK40)</f>
        <v>-1500</v>
      </c>
      <c r="AL41" s="11" t="n">
        <f aca="false">((((AL36)+(AL37))+(AL38))+(AL39))+(AL40)</f>
        <v>0</v>
      </c>
      <c r="AM41" s="11" t="n">
        <f aca="false">((((AM36)+(AM37))+(AM38))+(AM39))+(AM40)</f>
        <v>0</v>
      </c>
      <c r="AN41" s="11" t="n">
        <f aca="false">((((AN36)+(AN37))+(AN38))+(AN39))+(AN40)</f>
        <v>0</v>
      </c>
      <c r="AO41" s="11" t="n">
        <f aca="false">((((AO36)+(AO37))+(AO38))+(AO39))+(AO40)</f>
        <v>-1000</v>
      </c>
      <c r="AP41" s="11" t="n">
        <f aca="false">((((AP36)+(AP37))+(AP38))+(AP39))+(AP40)</f>
        <v>-54.96</v>
      </c>
      <c r="AQ41" s="11" t="n">
        <f aca="false">((((AQ36)+(AQ37))+(AQ38))+(AQ39))+(AQ40)</f>
        <v>0</v>
      </c>
      <c r="AR41" s="11" t="n">
        <f aca="false">((((AR36)+(AR37))+(AR38))+(AR39))+(AR40)</f>
        <v>-41.36</v>
      </c>
      <c r="AS41" s="11" t="n">
        <f aca="false">((((AS36)+(AS37))+(AS38))+(AS39))+(AS40)</f>
        <v>0</v>
      </c>
      <c r="AT41" s="11" t="n">
        <f aca="false">((((AT36)+(AT37))+(AT38))+(AT39))+(AT40)</f>
        <v>0</v>
      </c>
      <c r="AU41" s="11" t="n">
        <f aca="false">((((AU36)+(AU37))+(AU38))+(AU39))+(AU40)</f>
        <v>-500</v>
      </c>
      <c r="AV41" s="11" t="n">
        <f aca="false">((((AV36)+(AV37))+(AV38))+(AV39))+(AV40)</f>
        <v>0</v>
      </c>
      <c r="AW41" s="11" t="n">
        <f aca="false">((((AW36)+(AW37))+(AW38))+(AW39))+(AW40)</f>
        <v>-302.41</v>
      </c>
      <c r="AX41" s="11" t="n">
        <f aca="false">((((AX36)+(AX37))+(AX38))+(AX39))+(AX40)</f>
        <v>0</v>
      </c>
      <c r="AY41" s="11" t="n">
        <f aca="false">((((AY36)+(AY37))+(AY38))+(AY39))+(AY40)</f>
        <v>-59.88</v>
      </c>
      <c r="AZ41" s="11" t="n">
        <f aca="false">((((AZ36)+(AZ37))+(AZ38))+(AZ39))+(AZ40)</f>
        <v>0</v>
      </c>
      <c r="BA41" s="11" t="n">
        <f aca="false">((((BA36)+(BA37))+(BA38))+(BA39))+(BA40)</f>
        <v>0</v>
      </c>
      <c r="BB41" s="11" t="n">
        <f aca="false">((((BB36)+(BB37))+(BB38))+(BB39))+(BB40)</f>
        <v>0</v>
      </c>
      <c r="BC41" s="11" t="n">
        <f aca="false">((((BC36)+(BC37))+(BC38))+(BC39))+(BC40)</f>
        <v>0</v>
      </c>
      <c r="BD41" s="11" t="n">
        <f aca="false">((((BD36)+(BD37))+(BD38))+(BD39))+(BD40)</f>
        <v>0</v>
      </c>
      <c r="BE41" s="11" t="n">
        <f aca="false">((((BE36)+(BE37))+(BE38))+(BE39))+(BE40)</f>
        <v>0</v>
      </c>
      <c r="BF41" s="11" t="n">
        <f aca="false">((((BF36)+(BF37))+(BF38))+(BF39))+(BF40)</f>
        <v>0</v>
      </c>
      <c r="BG41" s="11" t="n">
        <f aca="false">((((BG36)+(BG37))+(BG38))+(BG39))+(BG40)</f>
        <v>0</v>
      </c>
      <c r="BH41" s="11" t="n">
        <f aca="false">((((BH36)+(BH37))+(BH38))+(BH39))+(BH40)</f>
        <v>0</v>
      </c>
      <c r="BI41" s="11" t="n">
        <f aca="false">((((BI36)+(BI37))+(BI38))+(BI39))+(BI40)</f>
        <v>0</v>
      </c>
      <c r="BJ41" s="11" t="n">
        <f aca="false">((((BJ36)+(BJ37))+(BJ38))+(BJ39))+(BJ40)</f>
        <v>-55.25</v>
      </c>
      <c r="BK41" s="11" t="n">
        <f aca="false">((((BK36)+(BK37))+(BK38))+(BK39))+(BK40)</f>
        <v>0</v>
      </c>
      <c r="BL41" s="11" t="n">
        <f aca="false">((((BL36)+(BL37))+(BL38))+(BL39))+(BL40)</f>
        <v>0</v>
      </c>
      <c r="BM41" s="11" t="n">
        <f aca="false">((((BM36)+(BM37))+(BM38))+(BM39))+(BM40)</f>
        <v>0</v>
      </c>
      <c r="BN41" s="11" t="n">
        <f aca="false">((((BN36)+(BN37))+(BN38))+(BN39))+(BN40)</f>
        <v>0</v>
      </c>
      <c r="BO41" s="11" t="n">
        <f aca="false">((((BO36)+(BO37))+(BO38))+(BO39))+(BO40)</f>
        <v>0</v>
      </c>
      <c r="BP41" s="11" t="n">
        <f aca="false">((((BP36)+(BP37))+(BP38))+(BP39))+(BP40)</f>
        <v>0</v>
      </c>
      <c r="BQ41" s="11" t="n">
        <f aca="false">((((BQ36)+(BQ37))+(BQ38))+(BQ39))+(BQ40)</f>
        <v>0</v>
      </c>
      <c r="BR41" s="11" t="n">
        <f aca="false">((((BR36)+(BR37))+(BR38))+(BR39))+(BR40)</f>
        <v>0</v>
      </c>
      <c r="BS41" s="11" t="n">
        <f aca="false">((((BS36)+(BS37))+(BS38))+(BS39))+(BS40)</f>
        <v>0</v>
      </c>
      <c r="BT41" s="11" t="n">
        <f aca="false">((((BT36)+(BT37))+(BT38))+(BT39))+(BT40)</f>
        <v>-96.32</v>
      </c>
      <c r="BU41" s="11" t="n">
        <f aca="false">((((BU36)+(BU37))+(BU38))+(BU39))+(BU40)</f>
        <v>0</v>
      </c>
      <c r="BV41" s="11" t="n">
        <f aca="false">((((BV36)+(BV37))+(BV38))+(BV39))+(BV40)</f>
        <v>-285</v>
      </c>
      <c r="BW41" s="11" t="n">
        <f aca="false">((((BW36)+(BW37))+(BW38))+(BW39))+(BW40)</f>
        <v>0</v>
      </c>
      <c r="BX41" s="11" t="n">
        <f aca="false">((((BX36)+(BX37))+(BX38))+(BX39))+(BX40)</f>
        <v>0</v>
      </c>
      <c r="BY41" s="11" t="n">
        <f aca="false">((((BY36)+(BY37))+(BY38))+(BY39))+(BY40)</f>
        <v>0</v>
      </c>
      <c r="BZ41" s="11" t="n">
        <f aca="false">((((BZ36)+(BZ37))+(BZ38))+(BZ39))+(BZ40)</f>
        <v>0</v>
      </c>
      <c r="CA41" s="11" t="n">
        <f aca="false">((((CA36)+(CA37))+(CA38))+(CA39))+(CA40)</f>
        <v>0</v>
      </c>
      <c r="CB41" s="11" t="n">
        <f aca="false">((((CB36)+(CB37))+(CB38))+(CB39))+(CB40)</f>
        <v>-243</v>
      </c>
      <c r="CC41" s="11" t="n">
        <f aca="false">((((CC36)+(CC37))+(CC38))+(CC39))+(CC40)</f>
        <v>0</v>
      </c>
      <c r="CD41" s="11" t="n">
        <f aca="false">((((CD36)+(CD37))+(CD38))+(CD39))+(CD40)</f>
        <v>0</v>
      </c>
      <c r="CE41" s="11" t="n">
        <f aca="false">((((CE36)+(CE37))+(CE38))+(CE39))+(CE40)</f>
        <v>-68.28</v>
      </c>
      <c r="CF41" s="11" t="n">
        <f aca="false">((((CF36)+(CF37))+(CF38))+(CF39))+(CF40)</f>
        <v>0</v>
      </c>
      <c r="CG41" s="11" t="n">
        <f aca="false">((((CG36)+(CG37))+(CG38))+(CG39))+(CG40)</f>
        <v>0</v>
      </c>
      <c r="CH41" s="11" t="n">
        <f aca="false">((((CH36)+(CH37))+(CH38))+(CH39))+(CH40)</f>
        <v>-50</v>
      </c>
      <c r="CI41" s="11" t="n">
        <f aca="false">((((CI36)+(CI37))+(CI38))+(CI39))+(CI40)</f>
        <v>0</v>
      </c>
      <c r="CJ41" s="11" t="n">
        <f aca="false">((((CJ36)+(CJ37))+(CJ38))+(CJ39))+(CJ40)</f>
        <v>0</v>
      </c>
      <c r="CK41" s="11" t="n">
        <f aca="false">((((CK36)+(CK37))+(CK38))+(CK39))+(CK40)</f>
        <v>0</v>
      </c>
      <c r="CL41" s="11" t="n">
        <f aca="false">((((CL36)+(CL37))+(CL38))+(CL39))+(CL40)</f>
        <v>0</v>
      </c>
      <c r="CM41" s="11" t="n">
        <f aca="false">((((CM36)+(CM37))+(CM38))+(CM39))+(CM40)</f>
        <v>0</v>
      </c>
      <c r="CN41" s="11" t="n">
        <f aca="false">((((CN36)+(CN37))+(CN38))+(CN39))+(CN40)</f>
        <v>0</v>
      </c>
      <c r="CO41" s="11" t="n">
        <f aca="false">((((CO36)+(CO37))+(CO38))+(CO39))+(CO40)</f>
        <v>0</v>
      </c>
      <c r="CP41" s="11" t="n">
        <f aca="false">((((CP36)+(CP37))+(CP38))+(CP39))+(CP40)</f>
        <v>0</v>
      </c>
      <c r="CQ41" s="11" t="n">
        <f aca="false">((((CQ36)+(CQ37))+(CQ38))+(CQ39))+(CQ40)</f>
        <v>0</v>
      </c>
      <c r="CR41" s="11" t="n">
        <f aca="false">((((CR36)+(CR37))+(CR38))+(CR39))+(CR40)</f>
        <v>0</v>
      </c>
      <c r="CS41" s="11" t="n">
        <f aca="false">((((CS36)+(CS37))+(CS38))+(CS39))+(CS40)</f>
        <v>0</v>
      </c>
      <c r="CT41" s="11" t="n">
        <f aca="false">((((CT36)+(CT37))+(CT38))+(CT39))+(CT40)</f>
        <v>0</v>
      </c>
      <c r="CU41" s="11" t="n">
        <f aca="false">((((CU36)+(CU37))+(CU38))+(CU39))+(CU40)</f>
        <v>0</v>
      </c>
      <c r="CV41" s="11" t="n">
        <f aca="false">((((CV36)+(CV37))+(CV38))+(CV39))+(CV40)</f>
        <v>0</v>
      </c>
      <c r="CW41" s="11" t="n">
        <f aca="false">((((CW36)+(CW37))+(CW38))+(CW39))+(CW40)</f>
        <v>0</v>
      </c>
      <c r="CX41" s="11" t="n">
        <f aca="false">((((CX36)+(CX37))+(CX38))+(CX39))+(CX40)</f>
        <v>-260.24</v>
      </c>
      <c r="CY41" s="11" t="n">
        <f aca="false">((((CY36)+(CY37))+(CY38))+(CY39))+(CY40)</f>
        <v>-41.36</v>
      </c>
      <c r="CZ41" s="11" t="n">
        <f aca="false">((((CZ36)+(CZ37))+(CZ38))+(CZ39))+(CZ40)</f>
        <v>0</v>
      </c>
      <c r="DA41" s="11" t="n">
        <f aca="false">((((DA36)+(DA37))+(DA38))+(DA39))+(DA40)</f>
        <v>0</v>
      </c>
      <c r="DB41" s="11" t="n">
        <f aca="false">((((DB36)+(DB37))+(DB38))+(DB39))+(DB40)</f>
        <v>0</v>
      </c>
      <c r="DC41" s="11" t="n">
        <f aca="false">((((DC36)+(DC37))+(DC38))+(DC39))+(DC40)</f>
        <v>0</v>
      </c>
      <c r="DD41" s="11" t="n">
        <f aca="false">((((DD36)+(DD37))+(DD38))+(DD39))+(DD40)</f>
        <v>0</v>
      </c>
      <c r="DE41" s="11" t="n">
        <f aca="false">((((DE36)+(DE37))+(DE38))+(DE39))+(DE40)</f>
        <v>0</v>
      </c>
      <c r="DF41" s="11" t="n">
        <f aca="false">((((DF36)+(DF37))+(DF38))+(DF39))+(DF40)</f>
        <v>0</v>
      </c>
      <c r="DG41" s="11" t="n">
        <f aca="false">((((DG36)+(DG37))+(DG38))+(DG39))+(DG40)</f>
        <v>0</v>
      </c>
      <c r="DH41" s="11" t="n">
        <f aca="false">((((DH36)+(DH37))+(DH38))+(DH39))+(DH40)</f>
        <v>0</v>
      </c>
      <c r="DI41" s="11" t="n">
        <f aca="false">((((DI36)+(DI37))+(DI38))+(DI39))+(DI40)</f>
        <v>0</v>
      </c>
      <c r="DJ41" s="11" t="n">
        <f aca="false">((((DJ36)+(DJ37))+(DJ38))+(DJ39))+(DJ40)</f>
        <v>0</v>
      </c>
      <c r="DK41" s="11" t="n">
        <f aca="false">((((DK36)+(DK37))+(DK38))+(DK39))+(DK40)</f>
        <v>0</v>
      </c>
      <c r="DL41" s="11" t="n">
        <f aca="false">((((DL36)+(DL37))+(DL38))+(DL39))+(DL40)</f>
        <v>0</v>
      </c>
      <c r="DM41" s="11" t="n">
        <f aca="false">((((DM36)+(DM37))+(DM38))+(DM39))+(DM40)</f>
        <v>-33</v>
      </c>
      <c r="DN41" s="11" t="n">
        <f aca="false">((((DN36)+(DN37))+(DN38))+(DN39))+(DN40)</f>
        <v>-54</v>
      </c>
      <c r="DO41" s="11" t="n">
        <f aca="false">((((DO36)+(DO37))+(DO38))+(DO39))+(DO40)</f>
        <v>-11.84</v>
      </c>
      <c r="DP41" s="11" t="n">
        <f aca="false">((((DP36)+(DP37))+(DP38))+(DP39))+(DP40)</f>
        <v>0</v>
      </c>
      <c r="DQ41" s="11" t="n">
        <f aca="false">((((DQ36)+(DQ37))+(DQ38))+(DQ39))+(DQ40)</f>
        <v>0</v>
      </c>
      <c r="DR41" s="11" t="n">
        <f aca="false">((((DR36)+(DR37))+(DR38))+(DR39))+(DR40)</f>
        <v>0</v>
      </c>
      <c r="DS41" s="11" t="n">
        <f aca="false">((((DS36)+(DS37))+(DS38))+(DS39))+(DS40)</f>
        <v>0</v>
      </c>
      <c r="DT41" s="11" t="n">
        <f aca="false">((((DT36)+(DT37))+(DT38))+(DT39))+(DT40)</f>
        <v>0</v>
      </c>
      <c r="DU41" s="11" t="n">
        <f aca="false">((((DU36)+(DU37))+(DU38))+(DU39))+(DU40)</f>
        <v>0</v>
      </c>
      <c r="DV41" s="11" t="n">
        <f aca="false">((((DV36)+(DV37))+(DV38))+(DV39))+(DV40)</f>
        <v>-137.14</v>
      </c>
      <c r="DW41" s="11" t="n">
        <f aca="false">((((DW36)+(DW37))+(DW38))+(DW39))+(DW40)</f>
        <v>0</v>
      </c>
      <c r="DX41" s="11" t="n">
        <f aca="false">((((DX36)+(DX37))+(DX38))+(DX39))+(DX40)</f>
        <v>0</v>
      </c>
      <c r="DY41" s="11" t="n">
        <f aca="false">((((DY36)+(DY37))+(DY38))+(DY39))+(DY40)</f>
        <v>0</v>
      </c>
      <c r="DZ41" s="11" t="n">
        <f aca="false">((((DZ36)+(DZ37))+(DZ38))+(DZ39))+(DZ40)</f>
        <v>0</v>
      </c>
      <c r="EA41" s="11" t="n">
        <f aca="false">((((EA36)+(EA37))+(EA38))+(EA39))+(EA40)</f>
        <v>0</v>
      </c>
      <c r="EB41" s="11" t="n">
        <f aca="false">((((EB36)+(EB37))+(EB38))+(EB39))+(EB40)</f>
        <v>-60.34</v>
      </c>
      <c r="EC41" s="11" t="n">
        <f aca="false">((((EC36)+(EC37))+(EC38))+(EC39))+(EC40)</f>
        <v>-41.36</v>
      </c>
      <c r="ED41" s="11" t="n">
        <f aca="false">((((ED36)+(ED37))+(ED38))+(ED39))+(ED40)</f>
        <v>0</v>
      </c>
      <c r="EE41" s="11" t="n">
        <f aca="false">((((EE36)+(EE37))+(EE38))+(EE39))+(EE40)</f>
        <v>0</v>
      </c>
      <c r="EF41" s="11" t="n">
        <f aca="false">((((EF36)+(EF37))+(EF38))+(EF39))+(EF40)</f>
        <v>0</v>
      </c>
      <c r="EG41" s="11" t="n">
        <f aca="false">((((EG36)+(EG37))+(EG38))+(EG39))+(EG40)</f>
        <v>0</v>
      </c>
      <c r="EH41" s="11" t="n">
        <f aca="false">((((EH36)+(EH37))+(EH38))+(EH39))+(EH40)</f>
        <v>0</v>
      </c>
      <c r="EI41" s="11" t="n">
        <f aca="false">((((EI36)+(EI37))+(EI38))+(EI39))+(EI40)</f>
        <v>0</v>
      </c>
      <c r="EJ41" s="11" t="n">
        <f aca="false">((((EJ36)+(EJ37))+(EJ38))+(EJ39))+(EJ40)</f>
        <v>0</v>
      </c>
      <c r="EK41" s="11" t="n">
        <f aca="false">((((EK36)+(EK37))+(EK38))+(EK39))+(EK40)</f>
        <v>0</v>
      </c>
      <c r="EL41" s="11" t="n">
        <f aca="false">((((EL36)+(EL37))+(EL38))+(EL39))+(EL40)</f>
        <v>0</v>
      </c>
      <c r="EM41" s="11" t="n">
        <f aca="false">((((EM36)+(EM37))+(EM38))+(EM39))+(EM40)</f>
        <v>0</v>
      </c>
      <c r="EN41" s="11" t="n">
        <f aca="false">((((EN36)+(EN37))+(EN38))+(EN39))+(EN40)</f>
        <v>0</v>
      </c>
      <c r="EO41" s="11" t="n">
        <f aca="false">((((EO36)+(EO37))+(EO38))+(EO39))+(EO40)</f>
        <v>0</v>
      </c>
      <c r="EP41" s="11" t="n">
        <f aca="false">((((EP36)+(EP37))+(EP38))+(EP39))+(EP40)</f>
        <v>-100</v>
      </c>
      <c r="EQ41" s="11" t="n">
        <f aca="false">((((EQ36)+(EQ37))+(EQ38))+(EQ39))+(EQ40)</f>
        <v>0</v>
      </c>
      <c r="ER41" s="11" t="n">
        <f aca="false">((((ER36)+(ER37))+(ER38))+(ER39))+(ER40)</f>
        <v>-169.2</v>
      </c>
      <c r="ES41" s="11" t="n">
        <f aca="false">((((ES36)+(ES37))+(ES38))+(ES39))+(ES40)</f>
        <v>0</v>
      </c>
      <c r="ET41" s="11" t="n">
        <f aca="false">((((ET36)+(ET37))+(ET38))+(ET39))+(ET40)</f>
        <v>0</v>
      </c>
      <c r="EU41" s="11" t="n">
        <f aca="false">((((EU36)+(EU37))+(EU38))+(EU39))+(EU40)</f>
        <v>-272.48</v>
      </c>
      <c r="EV41" s="11" t="n">
        <f aca="false">((((EV36)+(EV37))+(EV38))+(EV39))+(EV40)</f>
        <v>0</v>
      </c>
      <c r="EW41" s="11" t="n">
        <f aca="false">((((EW36)+(EW37))+(EW38))+(EW39))+(EW40)</f>
        <v>0</v>
      </c>
      <c r="EX41" s="11" t="n">
        <f aca="false">((((EX36)+(EX37))+(EX38))+(EX39))+(EX40)</f>
        <v>0</v>
      </c>
      <c r="EY41" s="11" t="n">
        <f aca="false">((((EY36)+(EY37))+(EY38))+(EY39))+(EY40)</f>
        <v>0</v>
      </c>
      <c r="EZ41" s="11" t="n">
        <f aca="false">((((EZ36)+(EZ37))+(EZ38))+(EZ39))+(EZ40)</f>
        <v>0</v>
      </c>
      <c r="FA41" s="11" t="n">
        <f aca="false">((((FA36)+(FA37))+(FA38))+(FA39))+(FA40)</f>
        <v>0</v>
      </c>
      <c r="FB41" s="11" t="n">
        <f aca="false">((((FB36)+(FB37))+(FB38))+(FB39))+(FB40)</f>
        <v>0</v>
      </c>
      <c r="FC41" s="11" t="n">
        <f aca="false">((((FC36)+(FC37))+(FC38))+(FC39))+(FC40)</f>
        <v>-1500</v>
      </c>
      <c r="FD41" s="11" t="n">
        <f aca="false">((((FD36)+(FD37))+(FD38))+(FD39))+(FD40)</f>
        <v>0</v>
      </c>
      <c r="FE41" s="11" t="n">
        <f aca="false">((((FE36)+(FE37))+(FE38))+(FE39))+(FE40)</f>
        <v>0</v>
      </c>
      <c r="FF41" s="11" t="n">
        <f aca="false">((((FF36)+(FF37))+(FF38))+(FF39))+(FF40)</f>
        <v>0</v>
      </c>
      <c r="FG41" s="11" t="n">
        <f aca="false">((((FG36)+(FG37))+(FG38))+(FG39))+(FG40)</f>
        <v>-60.34</v>
      </c>
      <c r="FH41" s="11" t="n">
        <f aca="false">((((FH36)+(FH37))+(FH38))+(FH39))+(FH40)</f>
        <v>-41.36</v>
      </c>
      <c r="FI41" s="11" t="n">
        <f aca="false">((((FI36)+(FI37))+(FI38))+(FI39))+(FI40)</f>
        <v>0</v>
      </c>
      <c r="FJ41" s="11" t="n">
        <f aca="false">((((FJ36)+(FJ37))+(FJ38))+(FJ39))+(FJ40)</f>
        <v>-138</v>
      </c>
      <c r="FK41" s="11" t="n">
        <f aca="false">((((FK36)+(FK37))+(FK38))+(FK39))+(FK40)</f>
        <v>0</v>
      </c>
      <c r="FL41" s="11" t="n">
        <f aca="false">((((FL36)+(FL37))+(FL38))+(FL39))+(FL40)</f>
        <v>0</v>
      </c>
      <c r="FM41" s="11" t="n">
        <f aca="false">((((FM36)+(FM37))+(FM38))+(FM39))+(FM40)</f>
        <v>0</v>
      </c>
      <c r="FN41" s="11" t="n">
        <f aca="false">((((FN36)+(FN37))+(FN38))+(FN39))+(FN40)</f>
        <v>0</v>
      </c>
      <c r="FO41" s="11" t="n">
        <f aca="false">((((FO36)+(FO37))+(FO38))+(FO39))+(FO40)</f>
        <v>0</v>
      </c>
      <c r="FP41" s="11" t="n">
        <f aca="false">((((FP36)+(FP37))+(FP38))+(FP39))+(FP40)</f>
        <v>0</v>
      </c>
      <c r="FQ41" s="11" t="n">
        <f aca="false">((((FQ36)+(FQ37))+(FQ38))+(FQ39))+(FQ40)</f>
        <v>0</v>
      </c>
      <c r="FR41" s="11" t="n">
        <f aca="false">((((FR36)+(FR37))+(FR38))+(FR39))+(FR40)</f>
        <v>0</v>
      </c>
      <c r="FS41" s="11" t="n">
        <f aca="false">((((FS36)+(FS37))+(FS38))+(FS39))+(FS40)</f>
        <v>0</v>
      </c>
      <c r="FT41" s="11" t="n">
        <f aca="false">((((FT36)+(FT37))+(FT38))+(FT39))+(FT40)</f>
        <v>0</v>
      </c>
      <c r="FU41" s="11" t="n">
        <f aca="false">((((FU36)+(FU37))+(FU38))+(FU39))+(FU40)</f>
        <v>0</v>
      </c>
      <c r="FV41" s="11" t="n">
        <f aca="false">((((FV36)+(FV37))+(FV38))+(FV39))+(FV40)</f>
        <v>0</v>
      </c>
      <c r="FW41" s="11" t="n">
        <f aca="false">((((FW36)+(FW37))+(FW38))+(FW39))+(FW40)</f>
        <v>0</v>
      </c>
      <c r="FX41" s="11" t="n">
        <f aca="false">((((FX36)+(FX37))+(FX38))+(FX39))+(FX40)</f>
        <v>0</v>
      </c>
      <c r="FY41" s="11" t="n">
        <f aca="false">((((FY36)+(FY37))+(FY38))+(FY39))+(FY40)</f>
        <v>0</v>
      </c>
      <c r="FZ41" s="11" t="n">
        <f aca="false">((((FZ36)+(FZ37))+(FZ38))+(FZ39))+(FZ40)</f>
        <v>0</v>
      </c>
      <c r="GA41" s="11" t="n">
        <f aca="false">((((GA36)+(GA37))+(GA38))+(GA39))+(GA40)</f>
        <v>0</v>
      </c>
      <c r="GB41" s="11" t="n">
        <f aca="false">((((GB36)+(GB37))+(GB38))+(GB39))+(GB40)</f>
        <v>0</v>
      </c>
      <c r="GC41" s="11" t="n">
        <f aca="false">((((GC36)+(GC37))+(GC38))+(GC39))+(GC40)</f>
        <v>0</v>
      </c>
      <c r="GD41" s="11" t="n">
        <f aca="false">((((GD36)+(GD37))+(GD38))+(GD39))+(GD40)</f>
        <v>0</v>
      </c>
      <c r="GE41" s="11" t="n">
        <f aca="false">((((GE36)+(GE37))+(GE38))+(GE39))+(GE40)</f>
        <v>0</v>
      </c>
      <c r="GF41" s="11" t="n">
        <f aca="false">((((GF36)+(GF37))+(GF38))+(GF39))+(GF40)</f>
        <v>0</v>
      </c>
      <c r="GG41" s="11" t="n">
        <f aca="false">((((GG36)+(GG37))+(GG38))+(GG39))+(GG40)</f>
        <v>0</v>
      </c>
      <c r="GH41" s="11" t="n">
        <f aca="false">((((GH36)+(GH37))+(GH38))+(GH39))+(GH40)</f>
        <v>0</v>
      </c>
      <c r="GI41" s="11" t="n">
        <f aca="false">((((GI36)+(GI37))+(GI38))+(GI39))+(GI40)</f>
        <v>0</v>
      </c>
      <c r="GJ41" s="11" t="n">
        <f aca="false">((((GJ36)+(GJ37))+(GJ38))+(GJ39))+(GJ40)</f>
        <v>0</v>
      </c>
      <c r="GK41" s="11" t="n">
        <f aca="false">((((GK36)+(GK37))+(GK38))+(GK39))+(GK40)</f>
        <v>-60.34</v>
      </c>
      <c r="GL41" s="11" t="n">
        <f aca="false">((((GL36)+(GL37))+(GL38))+(GL39))+(GL40)</f>
        <v>-41.36</v>
      </c>
      <c r="GM41" s="11" t="n">
        <f aca="false">((((GM36)+(GM37))+(GM38))+(GM39))+(GM40)</f>
        <v>0</v>
      </c>
      <c r="GN41" s="11" t="n">
        <f aca="false">((((GN36)+(GN37))+(GN38))+(GN39))+(GN40)</f>
        <v>76</v>
      </c>
      <c r="GO41" s="11" t="n">
        <f aca="false">((((GO36)+(GO37))+(GO38))+(GO39))+(GO40)</f>
        <v>0</v>
      </c>
      <c r="GP41" s="11" t="n">
        <f aca="false">((((GP36)+(GP37))+(GP38))+(GP39))+(GP40)</f>
        <v>0</v>
      </c>
      <c r="GQ41" s="11" t="n">
        <f aca="false">((((GQ36)+(GQ37))+(GQ38))+(GQ39))+(GQ40)</f>
        <v>0</v>
      </c>
      <c r="GR41" s="11" t="n">
        <f aca="false">((((GR36)+(GR37))+(GR38))+(GR39))+(GR40)</f>
        <v>0</v>
      </c>
      <c r="GS41" s="11" t="n">
        <f aca="false">((((GS36)+(GS37))+(GS38))+(GS39))+(GS40)</f>
        <v>0</v>
      </c>
      <c r="GT41" s="11" t="n">
        <f aca="false">((((GT36)+(GT37))+(GT38))+(GT39))+(GT40)</f>
        <v>0</v>
      </c>
      <c r="GU41" s="11" t="n">
        <f aca="false">((((GU36)+(GU37))+(GU38))+(GU39))+(GU40)</f>
        <v>-121</v>
      </c>
      <c r="GV41" s="11" t="n">
        <f aca="false">((((GV36)+(GV37))+(GV38))+(GV39))+(GV40)</f>
        <v>0</v>
      </c>
      <c r="GW41" s="11" t="n">
        <f aca="false">((((GW36)+(GW37))+(GW38))+(GW39))+(GW40)</f>
        <v>-192.49</v>
      </c>
      <c r="GX41" s="11" t="n">
        <f aca="false">((((GX36)+(GX37))+(GX38))+(GX39))+(GX40)</f>
        <v>0</v>
      </c>
      <c r="GY41" s="11" t="n">
        <f aca="false">((((GY36)+(GY37))+(GY38))+(GY39))+(GY40)</f>
        <v>0</v>
      </c>
      <c r="GZ41" s="11" t="n">
        <f aca="false">((((GZ36)+(GZ37))+(GZ38))+(GZ39))+(GZ40)</f>
        <v>0</v>
      </c>
      <c r="HA41" s="11" t="n">
        <f aca="false">((((HA36)+(HA37))+(HA38))+(HA39))+(HA40)</f>
        <v>0</v>
      </c>
      <c r="HB41" s="11" t="n">
        <f aca="false">((((HB36)+(HB37))+(HB38))+(HB39))+(HB40)</f>
        <v>0</v>
      </c>
      <c r="HC41" s="11" t="n">
        <f aca="false">((((HC36)+(HC37))+(HC38))+(HC39))+(HC40)</f>
        <v>0</v>
      </c>
      <c r="HD41" s="11" t="n">
        <f aca="false">((((HD36)+(HD37))+(HD38))+(HD39))+(HD40)</f>
        <v>0</v>
      </c>
      <c r="HE41" s="11" t="n">
        <f aca="false">((((HE36)+(HE37))+(HE38))+(HE39))+(HE40)</f>
        <v>0</v>
      </c>
      <c r="HF41" s="11" t="n">
        <f aca="false">((((HF36)+(HF37))+(HF38))+(HF39))+(HF40)</f>
        <v>0</v>
      </c>
      <c r="HG41" s="11" t="n">
        <f aca="false">((((HG36)+(HG37))+(HG38))+(HG39))+(HG40)</f>
        <v>0</v>
      </c>
      <c r="HH41" s="11" t="n">
        <f aca="false">((((HH36)+(HH37))+(HH38))+(HH39))+(HH40)</f>
        <v>0</v>
      </c>
      <c r="HI41" s="11" t="n">
        <f aca="false">((((HI36)+(HI37))+(HI38))+(HI39))+(HI40)</f>
        <v>0</v>
      </c>
      <c r="HJ41" s="11" t="n">
        <f aca="false">((((HJ36)+(HJ37))+(HJ38))+(HJ39))+(HJ40)</f>
        <v>0</v>
      </c>
      <c r="HK41" s="11" t="n">
        <f aca="false">((((HK36)+(HK37))+(HK38))+(HK39))+(HK40)</f>
        <v>0</v>
      </c>
      <c r="HL41" s="11" t="n">
        <f aca="false">((((HL36)+(HL37))+(HL38))+(HL39))+(HL40)</f>
        <v>0</v>
      </c>
      <c r="HM41" s="11" t="n">
        <f aca="false">((((HM36)+(HM37))+(HM38))+(HM39))+(HM40)</f>
        <v>0</v>
      </c>
      <c r="HN41" s="11" t="n">
        <f aca="false">((((HN36)+(HN37))+(HN38))+(HN39))+(HN40)</f>
        <v>0</v>
      </c>
      <c r="HO41" s="11" t="n">
        <f aca="false">((((HO36)+(HO37))+(HO38))+(HO39))+(HO40)</f>
        <v>0</v>
      </c>
      <c r="HP41" s="11" t="n">
        <f aca="false">((((HP36)+(HP37))+(HP38))+(HP39))+(HP40)</f>
        <v>-60.34</v>
      </c>
      <c r="HQ41" s="11" t="n">
        <f aca="false">((((HQ36)+(HQ37))+(HQ38))+(HQ39))+(HQ40)</f>
        <v>0</v>
      </c>
      <c r="HR41" s="11" t="n">
        <f aca="false">((((HR36)+(HR37))+(HR38))+(HR39))+(HR40)</f>
        <v>-41.36</v>
      </c>
      <c r="HS41" s="11" t="n">
        <f aca="false">((((HS36)+(HS37))+(HS38))+(HS39))+(HS40)</f>
        <v>0</v>
      </c>
      <c r="HT41" s="11" t="n">
        <f aca="false">((((HT36)+(HT37))+(HT38))+(HT39))+(HT40)</f>
        <v>0</v>
      </c>
      <c r="HU41" s="11" t="n">
        <f aca="false">((((HU36)+(HU37))+(HU38))+(HU39))+(HU40)</f>
        <v>0</v>
      </c>
      <c r="HV41" s="11" t="n">
        <f aca="false">((((HV36)+(HV37))+(HV38))+(HV39))+(HV40)</f>
        <v>0</v>
      </c>
      <c r="HW41" s="11" t="n">
        <f aca="false">((((HW36)+(HW37))+(HW38))+(HW39))+(HW40)</f>
        <v>0</v>
      </c>
      <c r="HX41" s="11" t="n">
        <f aca="false">((((HX36)+(HX37))+(HX38))+(HX39))+(HX40)</f>
        <v>0</v>
      </c>
      <c r="HY41" s="11" t="n">
        <f aca="false">((((HY36)+(HY37))+(HY38))+(HY39))+(HY40)</f>
        <v>-350.73</v>
      </c>
      <c r="HZ41" s="11" t="n">
        <f aca="false">((((HZ36)+(HZ37))+(HZ38))+(HZ39))+(HZ40)</f>
        <v>-97</v>
      </c>
      <c r="IA41" s="11" t="n">
        <f aca="false">((((IA36)+(IA37))+(IA38))+(IA39))+(IA40)</f>
        <v>0</v>
      </c>
      <c r="IB41" s="11" t="n">
        <f aca="false">((((IB36)+(IB37))+(IB38))+(IB39))+(IB40)</f>
        <v>0</v>
      </c>
      <c r="IC41" s="11" t="n">
        <f aca="false">((((IC36)+(IC37))+(IC38))+(IC39))+(IC40)</f>
        <v>0</v>
      </c>
      <c r="ID41" s="11" t="n">
        <f aca="false">((((ID36)+(ID37))+(ID38))+(ID39))+(ID40)</f>
        <v>0</v>
      </c>
      <c r="IE41" s="11" t="n">
        <f aca="false">((((IE36)+(IE37))+(IE38))+(IE39))+(IE40)</f>
        <v>0</v>
      </c>
      <c r="IF41" s="11" t="n">
        <f aca="false">((((IF36)+(IF37))+(IF38))+(IF39))+(IF40)</f>
        <v>0</v>
      </c>
      <c r="IG41" s="11" t="n">
        <f aca="false">((((IG36)+(IG37))+(IG38))+(IG39))+(IG40)</f>
        <v>0</v>
      </c>
      <c r="IH41" s="11" t="n">
        <f aca="false">((((IH36)+(IH37))+(IH38))+(IH39))+(IH40)</f>
        <v>0</v>
      </c>
      <c r="II41" s="11" t="n">
        <f aca="false">((((II36)+(II37))+(II38))+(II39))+(II40)</f>
        <v>-136.8</v>
      </c>
      <c r="IJ41" s="11" t="n">
        <f aca="false">((((IJ36)+(IJ37))+(IJ38))+(IJ39))+(IJ40)</f>
        <v>0</v>
      </c>
      <c r="IK41" s="11" t="n">
        <f aca="false">((((IK36)+(IK37))+(IK38))+(IK39))+(IK40)</f>
        <v>0</v>
      </c>
      <c r="IL41" s="11" t="n">
        <f aca="false">((((IL36)+(IL37))+(IL38))+(IL39))+(IL40)</f>
        <v>0</v>
      </c>
      <c r="IM41" s="11" t="n">
        <f aca="false">((((IM36)+(IM37))+(IM38))+(IM39))+(IM40)</f>
        <v>0</v>
      </c>
      <c r="IN41" s="11" t="n">
        <f aca="false">((((IN36)+(IN37))+(IN38))+(IN39))+(IN40)</f>
        <v>0</v>
      </c>
      <c r="IO41" s="11" t="n">
        <f aca="false">((((IO36)+(IO37))+(IO38))+(IO39))+(IO40)</f>
        <v>-1050</v>
      </c>
      <c r="IP41" s="11" t="n">
        <f aca="false">((((IP36)+(IP37))+(IP38))+(IP39))+(IP40)</f>
        <v>0</v>
      </c>
      <c r="IQ41" s="11" t="n">
        <f aca="false">((((IQ36)+(IQ37))+(IQ38))+(IQ39))+(IQ40)</f>
        <v>0</v>
      </c>
      <c r="IR41" s="11" t="n">
        <f aca="false">((((IR36)+(IR37))+(IR38))+(IR39))+(IR40)</f>
        <v>-1000</v>
      </c>
      <c r="IS41" s="11" t="n">
        <f aca="false">((((IS36)+(IS37))+(IS38))+(IS39))+(IS40)</f>
        <v>0</v>
      </c>
      <c r="IT41" s="11" t="n">
        <f aca="false">((((IT36)+(IT37))+(IT38))+(IT39))+(IT40)</f>
        <v>-344.1</v>
      </c>
      <c r="IU41" s="11" t="n">
        <f aca="false">((((IU36)+(IU37))+(IU38))+(IU39))+(IU40)</f>
        <v>-60.34</v>
      </c>
      <c r="IV41" s="11" t="n">
        <f aca="false">((((IV36)+(IV37))+(IV38))+(IV39))+(IV40)</f>
        <v>-41.36</v>
      </c>
      <c r="IW41" s="11" t="n">
        <f aca="false">((((IW36)+(IW37))+(IW38))+(IW39))+(IW40)</f>
        <v>0</v>
      </c>
      <c r="IX41" s="11" t="n">
        <f aca="false">((((IX36)+(IX37))+(IX38))+(IX39))+(IX40)</f>
        <v>-337.25</v>
      </c>
      <c r="IY41" s="11" t="n">
        <f aca="false">((((IY36)+(IY37))+(IY38))+(IY39))+(IY40)</f>
        <v>-2000</v>
      </c>
      <c r="IZ41" s="11" t="n">
        <f aca="false">((((IZ36)+(IZ37))+(IZ38))+(IZ39))+(IZ40)</f>
        <v>0</v>
      </c>
      <c r="JA41" s="11" t="n">
        <f aca="false">((((JA36)+(JA37))+(JA38))+(JA39))+(JA40)</f>
        <v>0</v>
      </c>
      <c r="JB41" s="11" t="n">
        <f aca="false">((((JB36)+(JB37))+(JB38))+(JB39))+(JB40)</f>
        <v>0</v>
      </c>
      <c r="JC41" s="11" t="n">
        <f aca="false">((((JC36)+(JC37))+(JC38))+(JC39))+(JC40)</f>
        <v>0</v>
      </c>
      <c r="JD41" s="11" t="n">
        <f aca="false">((((JD36)+(JD37))+(JD38))+(JD39))+(JD40)</f>
        <v>0</v>
      </c>
      <c r="JE41" s="11" t="n">
        <f aca="false">((((JE36)+(JE37))+(JE38))+(JE39))+(JE40)</f>
        <v>0</v>
      </c>
      <c r="JF41" s="11" t="n">
        <f aca="false">((((JF36)+(JF37))+(JF38))+(JF39))+(JF40)</f>
        <v>0</v>
      </c>
      <c r="JG41" s="11" t="n">
        <f aca="false">((((JG36)+(JG37))+(JG38))+(JG39))+(JG40)</f>
        <v>0</v>
      </c>
      <c r="JH41" s="11" t="n">
        <f aca="false">((((JH36)+(JH37))+(JH38))+(JH39))+(JH40)</f>
        <v>0</v>
      </c>
      <c r="JI41" s="11" t="n">
        <f aca="false">((((JI36)+(JI37))+(JI38))+(JI39))+(JI40)</f>
        <v>0</v>
      </c>
      <c r="JJ41" s="11" t="n">
        <f aca="false">((((JJ36)+(JJ37))+(JJ38))+(JJ39))+(JJ40)</f>
        <v>0</v>
      </c>
      <c r="JK41" s="11" t="n">
        <f aca="false">((((JK36)+(JK37))+(JK38))+(JK39))+(JK40)</f>
        <v>-750</v>
      </c>
      <c r="JL41" s="11" t="n">
        <f aca="false">((((JL36)+(JL37))+(JL38))+(JL39))+(JL40)</f>
        <v>0</v>
      </c>
      <c r="JM41" s="11" t="n">
        <f aca="false">((((JM36)+(JM37))+(JM38))+(JM39))+(JM40)</f>
        <v>0</v>
      </c>
      <c r="JN41" s="11" t="n">
        <f aca="false">((((JN36)+(JN37))+(JN38))+(JN39))+(JN40)</f>
        <v>0</v>
      </c>
      <c r="JO41" s="11" t="n">
        <f aca="false">((((JO36)+(JO37))+(JO38))+(JO39))+(JO40)</f>
        <v>0</v>
      </c>
      <c r="JP41" s="11" t="n">
        <f aca="false">((((JP36)+(JP37))+(JP38))+(JP39))+(JP40)</f>
        <v>0</v>
      </c>
      <c r="JQ41" s="11" t="n">
        <f aca="false">((((JQ36)+(JQ37))+(JQ38))+(JQ39))+(JQ40)</f>
        <v>0</v>
      </c>
      <c r="JR41" s="11" t="n">
        <f aca="false">((((JR36)+(JR37))+(JR38))+(JR39))+(JR40)</f>
        <v>0</v>
      </c>
      <c r="JS41" s="11" t="n">
        <f aca="false">((((JS36)+(JS37))+(JS38))+(JS39))+(JS40)</f>
        <v>0</v>
      </c>
      <c r="JT41" s="11" t="n">
        <f aca="false">((((JT36)+(JT37))+(JT38))+(JT39))+(JT40)</f>
        <v>0</v>
      </c>
      <c r="JU41" s="11" t="n">
        <f aca="false">((((JU36)+(JU37))+(JU38))+(JU39))+(JU40)</f>
        <v>0</v>
      </c>
      <c r="JV41" s="11" t="n">
        <f aca="false">((((JV36)+(JV37))+(JV38))+(JV39))+(JV40)</f>
        <v>0</v>
      </c>
      <c r="JW41" s="11" t="n">
        <f aca="false">((((JW36)+(JW37))+(JW38))+(JW39))+(JW40)</f>
        <v>0</v>
      </c>
      <c r="JX41" s="11" t="n">
        <f aca="false">((((JX36)+(JX37))+(JX38))+(JX39))+(JX40)</f>
        <v>0</v>
      </c>
      <c r="JY41" s="11" t="n">
        <f aca="false">((((JY36)+(JY37))+(JY38))+(JY39))+(JY40)</f>
        <v>-60.34</v>
      </c>
      <c r="JZ41" s="11" t="n">
        <f aca="false">((((JZ36)+(JZ37))+(JZ38))+(JZ39))+(JZ40)</f>
        <v>-129.36</v>
      </c>
      <c r="KA41" s="11" t="n">
        <f aca="false">((((KA36)+(KA37))+(KA38))+(KA39))+(KA40)</f>
        <v>-265</v>
      </c>
      <c r="KB41" s="11" t="n">
        <f aca="false">((((KB36)+(KB37))+(KB38))+(KB39))+(KB40)</f>
        <v>0</v>
      </c>
      <c r="KC41" s="11" t="n">
        <f aca="false">((((KC36)+(KC37))+(KC38))+(KC39))+(KC40)</f>
        <v>0</v>
      </c>
      <c r="KD41" s="11" t="n">
        <f aca="false">((((KD36)+(KD37))+(KD38))+(KD39))+(KD40)</f>
        <v>-80</v>
      </c>
      <c r="KE41" s="11" t="n">
        <f aca="false">((((KE36)+(KE37))+(KE38))+(KE39))+(KE40)</f>
        <v>0</v>
      </c>
      <c r="KF41" s="11" t="n">
        <f aca="false">((((KF36)+(KF37))+(KF38))+(KF39))+(KF40)</f>
        <v>-1139.2</v>
      </c>
      <c r="KG41" s="11" t="n">
        <f aca="false">((((KG36)+(KG37))+(KG38))+(KG39))+(KG40)</f>
        <v>0</v>
      </c>
      <c r="KH41" s="11" t="n">
        <f aca="false">((((KH36)+(KH37))+(KH38))+(KH39))+(KH40)</f>
        <v>0</v>
      </c>
      <c r="KI41" s="11" t="n">
        <f aca="false">((((KI36)+(KI37))+(KI38))+(KI39))+(KI40)</f>
        <v>0</v>
      </c>
      <c r="KJ41" s="11" t="n">
        <f aca="false">((((KJ36)+(KJ37))+(KJ38))+(KJ39))+(KJ40)</f>
        <v>0</v>
      </c>
      <c r="KK41" s="11" t="n">
        <f aca="false">((((KK36)+(KK37))+(KK38))+(KK39))+(KK40)</f>
        <v>0</v>
      </c>
      <c r="KL41" s="11" t="n">
        <f aca="false">((((KL36)+(KL37))+(KL38))+(KL39))+(KL40)</f>
        <v>0</v>
      </c>
      <c r="KM41" s="11" t="n">
        <f aca="false">((((KM36)+(KM37))+(KM38))+(KM39))+(KM40)</f>
        <v>0</v>
      </c>
      <c r="KN41" s="11" t="n">
        <f aca="false">((((KN36)+(KN37))+(KN38))+(KN39))+(KN40)</f>
        <v>-174.58</v>
      </c>
      <c r="KO41" s="11" t="n">
        <f aca="false">((((KO36)+(KO37))+(KO38))+(KO39))+(KO40)</f>
        <v>0</v>
      </c>
      <c r="KP41" s="11" t="n">
        <f aca="false">((((KP36)+(KP37))+(KP38))+(KP39))+(KP40)</f>
        <v>-50</v>
      </c>
      <c r="KQ41" s="11" t="n">
        <f aca="false">((((KQ36)+(KQ37))+(KQ38))+(KQ39))+(KQ40)</f>
        <v>-298.4</v>
      </c>
      <c r="KR41" s="11" t="n">
        <f aca="false">((((KR36)+(KR37))+(KR38))+(KR39))+(KR40)</f>
        <v>0</v>
      </c>
      <c r="KS41" s="11" t="n">
        <f aca="false">((((KS36)+(KS37))+(KS38))+(KS39))+(KS40)</f>
        <v>0</v>
      </c>
      <c r="KT41" s="11" t="n">
        <f aca="false">((((KT36)+(KT37))+(KT38))+(KT39))+(KT40)</f>
        <v>0</v>
      </c>
      <c r="KU41" s="11" t="n">
        <f aca="false">((((KU36)+(KU37))+(KU38))+(KU39))+(KU40)</f>
        <v>80</v>
      </c>
      <c r="KV41" s="11" t="n">
        <f aca="false">((((KV36)+(KV37))+(KV38))+(KV39))+(KV40)</f>
        <v>0</v>
      </c>
      <c r="KW41" s="11" t="n">
        <f aca="false">((((KW36)+(KW37))+(KW38))+(KW39))+(KW40)</f>
        <v>0</v>
      </c>
      <c r="KX41" s="11" t="n">
        <f aca="false">((((KX36)+(KX37))+(KX38))+(KX39))+(KX40)</f>
        <v>-1582.18</v>
      </c>
      <c r="KY41" s="11" t="n">
        <f aca="false">((((KY36)+(KY37))+(KY38))+(KY39))+(KY40)</f>
        <v>0</v>
      </c>
      <c r="KZ41" s="11" t="n">
        <f aca="false">((((KZ36)+(KZ37))+(KZ38))+(KZ39))+(KZ40)</f>
        <v>0</v>
      </c>
      <c r="LA41" s="11" t="n">
        <f aca="false">((((LA36)+(LA37))+(LA38))+(LA39))+(LA40)</f>
        <v>-274.75</v>
      </c>
      <c r="LB41" s="11" t="n">
        <f aca="false">((((LB36)+(LB37))+(LB38))+(LB39))+(LB40)</f>
        <v>0</v>
      </c>
      <c r="LC41" s="11" t="n">
        <f aca="false">((((LC36)+(LC37))+(LC38))+(LC39))+(LC40)</f>
        <v>0</v>
      </c>
      <c r="LD41" s="11" t="n">
        <f aca="false">((((LD36)+(LD37))+(LD38))+(LD39))+(LD40)</f>
        <v>0</v>
      </c>
      <c r="LE41" s="11" t="n">
        <f aca="false">((((LE36)+(LE37))+(LE38))+(LE39))+(LE40)</f>
        <v>0</v>
      </c>
      <c r="LF41" s="11" t="n">
        <f aca="false">((((LF36)+(LF37))+(LF38))+(LF39))+(LF40)</f>
        <v>-101.7</v>
      </c>
      <c r="LG41" s="11" t="n">
        <f aca="false">((((LG36)+(LG37))+(LG38))+(LG39))+(LG40)</f>
        <v>-60</v>
      </c>
      <c r="LH41" s="11" t="n">
        <f aca="false">((((LH36)+(LH37))+(LH38))+(LH39))+(LH40)</f>
        <v>-143.75</v>
      </c>
      <c r="LI41" s="11" t="n">
        <f aca="false">((((LI36)+(LI37))+(LI38))+(LI39))+(LI40)</f>
        <v>-932</v>
      </c>
      <c r="LJ41" s="11" t="n">
        <f aca="false">((((LJ36)+(LJ37))+(LJ38))+(LJ39))+(LJ40)</f>
        <v>0</v>
      </c>
      <c r="LK41" s="11" t="n">
        <f aca="false">((((LK36)+(LK37))+(LK38))+(LK39))+(LK40)</f>
        <v>0</v>
      </c>
      <c r="LL41" s="11" t="n">
        <f aca="false">((((LL36)+(LL37))+(LL38))+(LL39))+(LL40)</f>
        <v>0</v>
      </c>
      <c r="LM41" s="11" t="n">
        <f aca="false">((((LM36)+(LM37))+(LM38))+(LM39))+(LM40)</f>
        <v>0</v>
      </c>
      <c r="LN41" s="11" t="n">
        <f aca="false">((((LN36)+(LN37))+(LN38))+(LN39))+(LN40)</f>
        <v>-405.95</v>
      </c>
      <c r="LO41" s="11" t="n">
        <f aca="false">((((LO36)+(LO37))+(LO38))+(LO39))+(LO40)</f>
        <v>0</v>
      </c>
      <c r="LP41" s="11" t="n">
        <f aca="false">((((LP36)+(LP37))+(LP38))+(LP39))+(LP40)</f>
        <v>-59.28</v>
      </c>
      <c r="LQ41" s="11" t="n">
        <f aca="false">((((LQ36)+(LQ37))+(LQ38))+(LQ39))+(LQ40)</f>
        <v>0</v>
      </c>
      <c r="LR41" s="11" t="n">
        <f aca="false">((((LR36)+(LR37))+(LR38))+(LR39))+(LR40)</f>
        <v>0</v>
      </c>
      <c r="LS41" s="11" t="n">
        <f aca="false">((((LS36)+(LS37))+(LS38))+(LS39))+(LS40)</f>
        <v>0</v>
      </c>
      <c r="LT41" s="11" t="n">
        <f aca="false">((((LT36)+(LT37))+(LT38))+(LT39))+(LT40)</f>
        <v>0</v>
      </c>
      <c r="LU41" s="11" t="n">
        <f aca="false">((((LU36)+(LU37))+(LU38))+(LU39))+(LU40)</f>
        <v>0</v>
      </c>
      <c r="LV41" s="11" t="n">
        <f aca="false">((((LV36)+(LV37))+(LV38))+(LV39))+(LV40)</f>
        <v>0</v>
      </c>
      <c r="LW41" s="11" t="n">
        <f aca="false">((((LW36)+(LW37))+(LW38))+(LW39))+(LW40)</f>
        <v>-344.3</v>
      </c>
      <c r="LX41" s="11" t="n">
        <f aca="false">((((LX36)+(LX37))+(LX38))+(LX39))+(LX40)</f>
        <v>-16.6</v>
      </c>
      <c r="LY41" s="11" t="n">
        <f aca="false">((((LY36)+(LY37))+(LY38))+(LY39))+(LY40)</f>
        <v>0</v>
      </c>
      <c r="LZ41" s="11" t="n">
        <f aca="false">((((LZ36)+(LZ37))+(LZ38))+(LZ39))+(LZ40)</f>
        <v>0</v>
      </c>
      <c r="MA41" s="11" t="n">
        <f aca="false">((((MA36)+(MA37))+(MA38))+(MA39))+(MA40)</f>
        <v>0</v>
      </c>
      <c r="MB41" s="11" t="n">
        <f aca="false">((((MB36)+(MB37))+(MB38))+(MB39))+(MB40)</f>
        <v>0</v>
      </c>
      <c r="MC41" s="11" t="n">
        <f aca="false">((((MC36)+(MC37))+(MC38))+(MC39))+(MC40)</f>
        <v>0</v>
      </c>
      <c r="MD41" s="11" t="n">
        <f aca="false">((((MD36)+(MD37))+(MD38))+(MD39))+(MD40)</f>
        <v>-63</v>
      </c>
      <c r="ME41" s="11" t="n">
        <f aca="false">((((ME36)+(ME37))+(ME38))+(ME39))+(ME40)</f>
        <v>0</v>
      </c>
      <c r="MF41" s="11" t="n">
        <f aca="false">((((MF36)+(MF37))+(MF38))+(MF39))+(MF40)</f>
        <v>0</v>
      </c>
      <c r="MG41" s="11" t="n">
        <f aca="false">((((MG36)+(MG37))+(MG38))+(MG39))+(MG40)</f>
        <v>-363.59</v>
      </c>
      <c r="MH41" s="11" t="n">
        <f aca="false">((((MH36)+(MH37))+(MH38))+(MH39))+(MH40)</f>
        <v>-60.34</v>
      </c>
      <c r="MI41" s="11" t="n">
        <f aca="false">((((MI36)+(MI37))+(MI38))+(MI39))+(MI40)</f>
        <v>-41.36</v>
      </c>
      <c r="MJ41" s="11" t="n">
        <f aca="false">((((MJ36)+(MJ37))+(MJ38))+(MJ39))+(MJ40)</f>
        <v>-468</v>
      </c>
      <c r="MK41" s="11" t="n">
        <f aca="false">((((MK36)+(MK37))+(MK38))+(MK39))+(MK40)</f>
        <v>0</v>
      </c>
      <c r="ML41" s="11" t="n">
        <f aca="false">((((ML36)+(ML37))+(ML38))+(ML39))+(ML40)</f>
        <v>-156.25</v>
      </c>
      <c r="MM41" s="11" t="n">
        <f aca="false">((((MM36)+(MM37))+(MM38))+(MM39))+(MM40)</f>
        <v>0</v>
      </c>
      <c r="MN41" s="11" t="n">
        <f aca="false">((((MN36)+(MN37))+(MN38))+(MN39))+(MN40)</f>
        <v>0</v>
      </c>
      <c r="MO41" s="11" t="n">
        <f aca="false">((((MO36)+(MO37))+(MO38))+(MO39))+(MO40)</f>
        <v>-27.36</v>
      </c>
      <c r="MP41" s="11" t="n">
        <f aca="false">((((MP36)+(MP37))+(MP38))+(MP39))+(MP40)</f>
        <v>0</v>
      </c>
      <c r="MQ41" s="11" t="n">
        <f aca="false">((((MQ36)+(MQ37))+(MQ38))+(MQ39))+(MQ40)</f>
        <v>0</v>
      </c>
      <c r="MR41" s="11" t="n">
        <f aca="false">((((MR36)+(MR37))+(MR38))+(MR39))+(MR40)</f>
        <v>0</v>
      </c>
      <c r="MS41" s="11" t="n">
        <f aca="false">((((MS36)+(MS37))+(MS38))+(MS39))+(MS40)</f>
        <v>0</v>
      </c>
      <c r="MT41" s="11" t="n">
        <f aca="false">((((MT36)+(MT37))+(MT38))+(MT39))+(MT40)</f>
        <v>0</v>
      </c>
      <c r="MU41" s="11" t="n">
        <f aca="false">((((MU36)+(MU37))+(MU38))+(MU39))+(MU40)</f>
        <v>0</v>
      </c>
      <c r="MV41" s="11" t="n">
        <f aca="false">((((MV36)+(MV37))+(MV38))+(MV39))+(MV40)</f>
        <v>0</v>
      </c>
      <c r="MW41" s="11" t="n">
        <f aca="false">((((MW36)+(MW37))+(MW38))+(MW39))+(MW40)</f>
        <v>0</v>
      </c>
      <c r="MX41" s="11" t="n">
        <f aca="false">((((MX36)+(MX37))+(MX38))+(MX39))+(MX40)</f>
        <v>0</v>
      </c>
      <c r="MY41" s="11" t="n">
        <f aca="false">((((MY36)+(MY37))+(MY38))+(MY39))+(MY40)</f>
        <v>0</v>
      </c>
      <c r="MZ41" s="11" t="n">
        <f aca="false">((((MZ36)+(MZ37))+(MZ38))+(MZ39))+(MZ40)</f>
        <v>0</v>
      </c>
      <c r="NA41" s="11" t="n">
        <f aca="false">((((NA36)+(NA37))+(NA38))+(NA39))+(NA40)</f>
        <v>0</v>
      </c>
      <c r="NB41" s="11" t="n">
        <f aca="false">((((NB36)+(NB37))+(NB38))+(NB39))+(NB40)</f>
        <v>0</v>
      </c>
      <c r="NC41" s="11" t="n">
        <f aca="false">((((NC36)+(NC37))+(NC38))+(NC39))+(NC40)</f>
        <v>-493.67</v>
      </c>
      <c r="ND41" s="9" t="n">
        <f aca="false">SUM(A41:NC41)</f>
        <v>-9557.83</v>
      </c>
    </row>
    <row r="42" customFormat="false" ht="12.8" hidden="false" customHeight="false" outlineLevel="0" collapsed="false">
      <c r="A42" s="8" t="s">
        <v>408</v>
      </c>
      <c r="B42" s="11" t="n">
        <f aca="false">((B31)+(B34))+(B41)</f>
        <v>13496.04</v>
      </c>
      <c r="C42" s="11" t="n">
        <f aca="false">((C31)+(C34))+(C41)</f>
        <v>-962.13</v>
      </c>
      <c r="D42" s="11" t="n">
        <f aca="false">((D31)+(D34))+(D41)</f>
        <v>3922.18</v>
      </c>
      <c r="E42" s="11" t="n">
        <f aca="false">((E31)+(E34))+(E41)</f>
        <v>-8777.08</v>
      </c>
      <c r="F42" s="11" t="n">
        <f aca="false">((F31)+(F34))+(F41)</f>
        <v>-4937.29</v>
      </c>
      <c r="G42" s="11" t="n">
        <f aca="false">((G31)+(G34))+(G41)</f>
        <v>940</v>
      </c>
      <c r="H42" s="11" t="n">
        <f aca="false">((H31)+(H34))+(H41)</f>
        <v>0</v>
      </c>
      <c r="I42" s="11" t="n">
        <f aca="false">((I31)+(I34))+(I41)</f>
        <v>2266.52</v>
      </c>
      <c r="J42" s="11" t="n">
        <f aca="false">((J31)+(J34))+(J41)</f>
        <v>2147.06</v>
      </c>
      <c r="K42" s="11" t="n">
        <f aca="false">((K31)+(K34))+(K41)</f>
        <v>1443.44</v>
      </c>
      <c r="L42" s="11" t="n">
        <f aca="false">((L31)+(L34))+(L41)</f>
        <v>25.5600000000001</v>
      </c>
      <c r="M42" s="11" t="n">
        <f aca="false">((M31)+(M34))+(M41)</f>
        <v>-1102.16</v>
      </c>
      <c r="N42" s="11" t="n">
        <f aca="false">((N31)+(N34))+(N41)</f>
        <v>-7419.95</v>
      </c>
      <c r="O42" s="11" t="n">
        <f aca="false">((O31)+(O34))+(O41)</f>
        <v>0</v>
      </c>
      <c r="P42" s="11" t="n">
        <f aca="false">((P31)+(P34))+(P41)</f>
        <v>0</v>
      </c>
      <c r="Q42" s="11" t="n">
        <f aca="false">((Q31)+(Q34))+(Q41)</f>
        <v>-1825.11</v>
      </c>
      <c r="R42" s="11" t="n">
        <f aca="false">((R31)+(R34))+(R41)</f>
        <v>4481.09</v>
      </c>
      <c r="S42" s="11" t="n">
        <f aca="false">((S31)+(S34))+(S41)</f>
        <v>-453.4</v>
      </c>
      <c r="T42" s="11" t="n">
        <f aca="false">((T31)+(T34))+(T41)</f>
        <v>-1159.98</v>
      </c>
      <c r="U42" s="11" t="n">
        <f aca="false">((U31)+(U34))+(U41)</f>
        <v>-1741.42</v>
      </c>
      <c r="V42" s="11" t="n">
        <f aca="false">((V31)+(V34))+(V41)</f>
        <v>0</v>
      </c>
      <c r="W42" s="11" t="n">
        <f aca="false">((W31)+(W34))+(W41)</f>
        <v>-8224.67</v>
      </c>
      <c r="X42" s="11" t="n">
        <f aca="false">((X31)+(X34))+(X41)</f>
        <v>-520.11</v>
      </c>
      <c r="Y42" s="11" t="n">
        <f aca="false">((Y31)+(Y34))+(Y41)</f>
        <v>-674.15</v>
      </c>
      <c r="Z42" s="11" t="n">
        <f aca="false">((Z31)+(Z34))+(Z41)</f>
        <v>405.48</v>
      </c>
      <c r="AA42" s="11" t="n">
        <f aca="false">((AA31)+(AA34))+(AA41)</f>
        <v>624.96</v>
      </c>
      <c r="AB42" s="11" t="n">
        <f aca="false">((AB31)+(AB34))+(AB41)</f>
        <v>-298.32</v>
      </c>
      <c r="AC42" s="11" t="n">
        <f aca="false">((AC31)+(AC34))+(AC41)</f>
        <v>0</v>
      </c>
      <c r="AD42" s="11" t="n">
        <f aca="false">((AD31)+(AD34))+(AD41)</f>
        <v>414.670000000001</v>
      </c>
      <c r="AE42" s="11" t="n">
        <f aca="false">((AE31)+(AE34))+(AE41)</f>
        <v>3287.8</v>
      </c>
      <c r="AF42" s="11" t="n">
        <f aca="false">((AF31)+(AF34))+(AF41)</f>
        <v>217.65</v>
      </c>
      <c r="AG42" s="11" t="n">
        <f aca="false">((AG31)+(AG34))+(AG41)</f>
        <v>-1674.29</v>
      </c>
      <c r="AH42" s="11" t="n">
        <f aca="false">((AH31)+(AH34))+(AH41)</f>
        <v>1140.38</v>
      </c>
      <c r="AI42" s="11" t="n">
        <f aca="false">((AI31)+(AI34))+(AI41)</f>
        <v>0</v>
      </c>
      <c r="AJ42" s="11" t="n">
        <f aca="false">((AJ31)+(AJ34))+(AJ41)</f>
        <v>0</v>
      </c>
      <c r="AK42" s="11" t="n">
        <f aca="false">((AK31)+(AK34))+(AK41)</f>
        <v>-5104.35</v>
      </c>
      <c r="AL42" s="11" t="n">
        <f aca="false">((AL31)+(AL34))+(AL41)</f>
        <v>1989.03</v>
      </c>
      <c r="AM42" s="11" t="n">
        <f aca="false">((AM31)+(AM34))+(AM41)</f>
        <v>-4131.64</v>
      </c>
      <c r="AN42" s="11" t="n">
        <f aca="false">((AN31)+(AN34))+(AN41)</f>
        <v>981.37</v>
      </c>
      <c r="AO42" s="11" t="n">
        <f aca="false">((AO31)+(AO34))+(AO41)</f>
        <v>-580.77</v>
      </c>
      <c r="AP42" s="11" t="n">
        <f aca="false">((AP31)+(AP34))+(AP41)</f>
        <v>-262.5</v>
      </c>
      <c r="AQ42" s="11" t="n">
        <f aca="false">((AQ31)+(AQ34))+(AQ41)</f>
        <v>0</v>
      </c>
      <c r="AR42" s="11" t="n">
        <f aca="false">((AR31)+(AR34))+(AR41)</f>
        <v>5194.21</v>
      </c>
      <c r="AS42" s="11" t="n">
        <f aca="false">((AS31)+(AS34))+(AS41)</f>
        <v>4670.4</v>
      </c>
      <c r="AT42" s="11" t="n">
        <f aca="false">((AT31)+(AT34))+(AT41)</f>
        <v>407.31</v>
      </c>
      <c r="AU42" s="11" t="n">
        <f aca="false">((AU31)+(AU34))+(AU41)</f>
        <v>-2091.56</v>
      </c>
      <c r="AV42" s="11" t="n">
        <f aca="false">((AV31)+(AV34))+(AV41)</f>
        <v>-2234.05</v>
      </c>
      <c r="AW42" s="11" t="n">
        <f aca="false">((AW31)+(AW34))+(AW41)</f>
        <v>-955.41</v>
      </c>
      <c r="AX42" s="11" t="n">
        <f aca="false">((AX31)+(AX34))+(AX41)</f>
        <v>242.52</v>
      </c>
      <c r="AY42" s="11" t="n">
        <f aca="false">((AY31)+(AY34))+(AY41)</f>
        <v>-30</v>
      </c>
      <c r="AZ42" s="11" t="n">
        <f aca="false">((AZ31)+(AZ34))+(AZ41)</f>
        <v>780.56</v>
      </c>
      <c r="BA42" s="11" t="n">
        <f aca="false">((BA31)+(BA34))+(BA41)</f>
        <v>-5877.09</v>
      </c>
      <c r="BB42" s="11" t="n">
        <f aca="false">((BB31)+(BB34))+(BB41)</f>
        <v>-713.56</v>
      </c>
      <c r="BC42" s="11" t="n">
        <f aca="false">((BC31)+(BC34))+(BC41)</f>
        <v>490.9</v>
      </c>
      <c r="BD42" s="11" t="n">
        <f aca="false">((BD31)+(BD34))+(BD41)</f>
        <v>0</v>
      </c>
      <c r="BE42" s="11" t="n">
        <f aca="false">((BE31)+(BE34))+(BE41)</f>
        <v>0</v>
      </c>
      <c r="BF42" s="11" t="n">
        <f aca="false">((BF31)+(BF34))+(BF41)</f>
        <v>2699.39</v>
      </c>
      <c r="BG42" s="11" t="n">
        <f aca="false">((BG31)+(BG34))+(BG41)</f>
        <v>-1233.85</v>
      </c>
      <c r="BH42" s="11" t="n">
        <f aca="false">((BH31)+(BH34))+(BH41)</f>
        <v>1488.66</v>
      </c>
      <c r="BI42" s="11" t="n">
        <f aca="false">((BI31)+(BI34))+(BI41)</f>
        <v>333.169999999998</v>
      </c>
      <c r="BJ42" s="11" t="n">
        <f aca="false">((BJ31)+(BJ34))+(BJ41)</f>
        <v>-2057.23</v>
      </c>
      <c r="BK42" s="11" t="n">
        <f aca="false">((BK31)+(BK34))+(BK41)</f>
        <v>0</v>
      </c>
      <c r="BL42" s="11" t="n">
        <f aca="false">((BL31)+(BL34))+(BL41)</f>
        <v>0</v>
      </c>
      <c r="BM42" s="11" t="n">
        <f aca="false">((BM31)+(BM34))+(BM41)</f>
        <v>-5892.75</v>
      </c>
      <c r="BN42" s="11" t="n">
        <f aca="false">((BN31)+(BN34))+(BN41)</f>
        <v>7981.34</v>
      </c>
      <c r="BO42" s="11" t="n">
        <f aca="false">((BO31)+(BO34))+(BO41)</f>
        <v>1614.77</v>
      </c>
      <c r="BP42" s="11" t="n">
        <f aca="false">((BP31)+(BP34))+(BP41)</f>
        <v>-2326.4</v>
      </c>
      <c r="BQ42" s="11" t="n">
        <f aca="false">((BQ31)+(BQ34))+(BQ41)</f>
        <v>2868.38</v>
      </c>
      <c r="BR42" s="11" t="n">
        <f aca="false">((BR31)+(BR34))+(BR41)</f>
        <v>0</v>
      </c>
      <c r="BS42" s="11" t="n">
        <f aca="false">((BS31)+(BS34))+(BS41)</f>
        <v>0</v>
      </c>
      <c r="BT42" s="11" t="n">
        <f aca="false">((BT31)+(BT34))+(BT41)</f>
        <v>-333.34</v>
      </c>
      <c r="BU42" s="11" t="n">
        <f aca="false">((BU31)+(BU34))+(BU41)</f>
        <v>3645.01</v>
      </c>
      <c r="BV42" s="11" t="n">
        <f aca="false">((BV31)+(BV34))+(BV41)</f>
        <v>68.86</v>
      </c>
      <c r="BW42" s="11" t="n">
        <f aca="false">((BW31)+(BW34))+(BW41)</f>
        <v>560.25</v>
      </c>
      <c r="BX42" s="11" t="n">
        <f aca="false">((BX31)+(BX34))+(BX41)</f>
        <v>-3000.12</v>
      </c>
      <c r="BY42" s="11" t="n">
        <f aca="false">((BY31)+(BY34))+(BY41)</f>
        <v>0</v>
      </c>
      <c r="BZ42" s="11" t="n">
        <f aca="false">((BZ31)+(BZ34))+(BZ41)</f>
        <v>0</v>
      </c>
      <c r="CA42" s="11" t="n">
        <f aca="false">((CA31)+(CA34))+(CA41)</f>
        <v>830.05</v>
      </c>
      <c r="CB42" s="11" t="n">
        <f aca="false">((CB31)+(CB34))+(CB41)</f>
        <v>3194.19</v>
      </c>
      <c r="CC42" s="11" t="n">
        <f aca="false">((CC31)+(CC34))+(CC41)</f>
        <v>-546.87</v>
      </c>
      <c r="CD42" s="11" t="n">
        <f aca="false">((CD31)+(CD34))+(CD41)</f>
        <v>-1139.24</v>
      </c>
      <c r="CE42" s="11" t="n">
        <f aca="false">((CE31)+(CE34))+(CE41)</f>
        <v>1351.01</v>
      </c>
      <c r="CF42" s="11" t="n">
        <f aca="false">((CF31)+(CF34))+(CF41)</f>
        <v>-664.22</v>
      </c>
      <c r="CG42" s="11" t="n">
        <f aca="false">((CG31)+(CG34))+(CG41)</f>
        <v>0</v>
      </c>
      <c r="CH42" s="11" t="n">
        <f aca="false">((CH31)+(CH34))+(CH41)</f>
        <v>-12344.2</v>
      </c>
      <c r="CI42" s="11" t="n">
        <f aca="false">((CI31)+(CI34))+(CI41)</f>
        <v>2028.67</v>
      </c>
      <c r="CJ42" s="11" t="n">
        <f aca="false">((CJ31)+(CJ34))+(CJ41)</f>
        <v>-302.759999999999</v>
      </c>
      <c r="CK42" s="11" t="n">
        <f aca="false">((CK31)+(CK34))+(CK41)</f>
        <v>362.87</v>
      </c>
      <c r="CL42" s="11" t="n">
        <f aca="false">((CL31)+(CL34))+(CL41)</f>
        <v>707.28</v>
      </c>
      <c r="CM42" s="11" t="n">
        <f aca="false">((CM31)+(CM34))+(CM41)</f>
        <v>0</v>
      </c>
      <c r="CN42" s="11" t="n">
        <f aca="false">((CN31)+(CN34))+(CN41)</f>
        <v>0</v>
      </c>
      <c r="CO42" s="11" t="n">
        <f aca="false">((CO31)+(CO34))+(CO41)</f>
        <v>-960.329999999999</v>
      </c>
      <c r="CP42" s="11" t="n">
        <f aca="false">((CP31)+(CP34))+(CP41)</f>
        <v>397.67</v>
      </c>
      <c r="CQ42" s="11" t="n">
        <f aca="false">((CQ31)+(CQ34))+(CQ41)</f>
        <v>2126.67</v>
      </c>
      <c r="CR42" s="11" t="n">
        <f aca="false">((CR31)+(CR34))+(CR41)</f>
        <v>-842.55</v>
      </c>
      <c r="CS42" s="11" t="n">
        <f aca="false">((CS31)+(CS34))+(CS41)</f>
        <v>800.43</v>
      </c>
      <c r="CT42" s="11" t="n">
        <f aca="false">((CT31)+(CT34))+(CT41)</f>
        <v>-15.27</v>
      </c>
      <c r="CU42" s="11" t="n">
        <f aca="false">((CU31)+(CU34))+(CU41)</f>
        <v>-2270.45</v>
      </c>
      <c r="CV42" s="11" t="n">
        <f aca="false">((CV31)+(CV34))+(CV41)</f>
        <v>2467.82</v>
      </c>
      <c r="CW42" s="11" t="n">
        <f aca="false">((CW31)+(CW34))+(CW41)</f>
        <v>2613</v>
      </c>
      <c r="CX42" s="11" t="n">
        <f aca="false">((CX31)+(CX34))+(CX41)</f>
        <v>-5049.66</v>
      </c>
      <c r="CY42" s="11" t="n">
        <f aca="false">((CY31)+(CY34))+(CY41)</f>
        <v>1224.33</v>
      </c>
      <c r="CZ42" s="11" t="n">
        <f aca="false">((CZ31)+(CZ34))+(CZ41)</f>
        <v>913.7</v>
      </c>
      <c r="DA42" s="11" t="n">
        <f aca="false">((DA31)+(DA34))+(DA41)</f>
        <v>-1859.18</v>
      </c>
      <c r="DB42" s="11" t="n">
        <f aca="false">((DB31)+(DB34))+(DB41)</f>
        <v>0</v>
      </c>
      <c r="DC42" s="11" t="n">
        <f aca="false">((DC31)+(DC34))+(DC41)</f>
        <v>1729.89</v>
      </c>
      <c r="DD42" s="11" t="n">
        <f aca="false">((DD31)+(DD34))+(DD41)</f>
        <v>4168.61</v>
      </c>
      <c r="DE42" s="11" t="n">
        <f aca="false">((DE31)+(DE34))+(DE41)</f>
        <v>608.72</v>
      </c>
      <c r="DF42" s="11" t="n">
        <f aca="false">((DF31)+(DF34))+(DF41)</f>
        <v>1326.59</v>
      </c>
      <c r="DG42" s="11" t="n">
        <f aca="false">((DG31)+(DG34))+(DG41)</f>
        <v>393.87</v>
      </c>
      <c r="DH42" s="11" t="n">
        <f aca="false">((DH31)+(DH34))+(DH41)</f>
        <v>431.7</v>
      </c>
      <c r="DI42" s="11" t="n">
        <f aca="false">((DI31)+(DI34))+(DI41)</f>
        <v>-7.48000000000002</v>
      </c>
      <c r="DJ42" s="11" t="n">
        <f aca="false">((DJ31)+(DJ34))+(DJ41)</f>
        <v>1234.29</v>
      </c>
      <c r="DK42" s="11" t="n">
        <f aca="false">((DK31)+(DK34))+(DK41)</f>
        <v>3349.6</v>
      </c>
      <c r="DL42" s="11" t="n">
        <f aca="false">((DL31)+(DL34))+(DL41)</f>
        <v>-1035.85</v>
      </c>
      <c r="DM42" s="11" t="n">
        <f aca="false">((DM31)+(DM34))+(DM41)</f>
        <v>414.13</v>
      </c>
      <c r="DN42" s="11" t="n">
        <f aca="false">((DN31)+(DN34))+(DN41)</f>
        <v>917.89</v>
      </c>
      <c r="DO42" s="11" t="n">
        <f aca="false">((DO31)+(DO34))+(DO41)</f>
        <v>35561.37</v>
      </c>
      <c r="DP42" s="11" t="n">
        <f aca="false">((DP31)+(DP34))+(DP41)</f>
        <v>0</v>
      </c>
      <c r="DQ42" s="11" t="n">
        <f aca="false">((DQ31)+(DQ34))+(DQ41)</f>
        <v>-20153.82</v>
      </c>
      <c r="DR42" s="11" t="n">
        <f aca="false">((DR31)+(DR34))+(DR41)</f>
        <v>2667.35</v>
      </c>
      <c r="DS42" s="11" t="n">
        <f aca="false">((DS31)+(DS34))+(DS41)</f>
        <v>-3444.13</v>
      </c>
      <c r="DT42" s="11" t="n">
        <f aca="false">((DT31)+(DT34))+(DT41)</f>
        <v>582.35</v>
      </c>
      <c r="DU42" s="11" t="n">
        <f aca="false">((DU31)+(DU34))+(DU41)</f>
        <v>2745.68</v>
      </c>
      <c r="DV42" s="11" t="n">
        <f aca="false">((DV31)+(DV34))+(DV41)</f>
        <v>-152.73</v>
      </c>
      <c r="DW42" s="11" t="n">
        <f aca="false">((DW31)+(DW34))+(DW41)</f>
        <v>-1657.35</v>
      </c>
      <c r="DX42" s="11" t="n">
        <f aca="false">((DX31)+(DX34))+(DX41)</f>
        <v>-3663.38</v>
      </c>
      <c r="DY42" s="11" t="n">
        <f aca="false">((DY31)+(DY34))+(DY41)</f>
        <v>2750.19</v>
      </c>
      <c r="DZ42" s="11" t="n">
        <f aca="false">((DZ31)+(DZ34))+(DZ41)</f>
        <v>-2134.48</v>
      </c>
      <c r="EA42" s="11" t="n">
        <f aca="false">((EA31)+(EA34))+(EA41)</f>
        <v>854.62</v>
      </c>
      <c r="EB42" s="11" t="n">
        <f aca="false">((EB31)+(EB34))+(EB41)</f>
        <v>1918.77</v>
      </c>
      <c r="EC42" s="11" t="n">
        <f aca="false">((EC31)+(EC34))+(EC41)</f>
        <v>-41.36</v>
      </c>
      <c r="ED42" s="11" t="n">
        <f aca="false">((ED31)+(ED34))+(ED41)</f>
        <v>0</v>
      </c>
      <c r="EE42" s="11" t="n">
        <f aca="false">((EE31)+(EE34))+(EE41)</f>
        <v>-576.14</v>
      </c>
      <c r="EF42" s="11" t="n">
        <f aca="false">((EF31)+(EF34))+(EF41)</f>
        <v>6851.03</v>
      </c>
      <c r="EG42" s="11" t="n">
        <f aca="false">((EG31)+(EG34))+(EG41)</f>
        <v>-3002.11</v>
      </c>
      <c r="EH42" s="11" t="n">
        <f aca="false">((EH31)+(EH34))+(EH41)</f>
        <v>-817.37</v>
      </c>
      <c r="EI42" s="11" t="n">
        <f aca="false">((EI31)+(EI34))+(EI41)</f>
        <v>430.21</v>
      </c>
      <c r="EJ42" s="11" t="n">
        <f aca="false">((EJ31)+(EJ34))+(EJ41)</f>
        <v>-1145.41</v>
      </c>
      <c r="EK42" s="11" t="n">
        <f aca="false">((EK31)+(EK34))+(EK41)</f>
        <v>-30</v>
      </c>
      <c r="EL42" s="11" t="n">
        <f aca="false">((EL31)+(EL34))+(EL41)</f>
        <v>-14201.56</v>
      </c>
      <c r="EM42" s="11" t="n">
        <f aca="false">((EM31)+(EM34))+(EM41)</f>
        <v>4057.62</v>
      </c>
      <c r="EN42" s="11" t="n">
        <f aca="false">((EN31)+(EN34))+(EN41)</f>
        <v>-1378.79</v>
      </c>
      <c r="EO42" s="11" t="n">
        <f aca="false">((EO31)+(EO34))+(EO41)</f>
        <v>708.57</v>
      </c>
      <c r="EP42" s="11" t="n">
        <f aca="false">((EP31)+(EP34))+(EP41)</f>
        <v>376.06</v>
      </c>
      <c r="EQ42" s="11" t="n">
        <f aca="false">((EQ31)+(EQ34))+(EQ41)</f>
        <v>-5584.64</v>
      </c>
      <c r="ER42" s="11" t="n">
        <f aca="false">((ER31)+(ER34))+(ER41)</f>
        <v>0</v>
      </c>
      <c r="ES42" s="11" t="n">
        <f aca="false">((ES31)+(ES34))+(ES41)</f>
        <v>0</v>
      </c>
      <c r="ET42" s="11" t="n">
        <f aca="false">((ET31)+(ET34))+(ET41)</f>
        <v>2835.01</v>
      </c>
      <c r="EU42" s="11" t="n">
        <f aca="false">((EU31)+(EU34))+(EU41)</f>
        <v>4148.22</v>
      </c>
      <c r="EV42" s="11" t="n">
        <f aca="false">((EV31)+(EV34))+(EV41)</f>
        <v>767.15</v>
      </c>
      <c r="EW42" s="11" t="n">
        <f aca="false">((EW31)+(EW34))+(EW41)</f>
        <v>-974.070000000007</v>
      </c>
      <c r="EX42" s="11" t="n">
        <f aca="false">((EX31)+(EX34))+(EX41)</f>
        <v>613</v>
      </c>
      <c r="EY42" s="11" t="n">
        <f aca="false">((EY31)+(EY34))+(EY41)</f>
        <v>0</v>
      </c>
      <c r="EZ42" s="11" t="n">
        <f aca="false">((EZ31)+(EZ34))+(EZ41)</f>
        <v>-823.4</v>
      </c>
      <c r="FA42" s="11" t="n">
        <f aca="false">((FA31)+(FA34))+(FA41)</f>
        <v>2378.04</v>
      </c>
      <c r="FB42" s="11" t="n">
        <f aca="false">((FB31)+(FB34))+(FB41)</f>
        <v>7003.2</v>
      </c>
      <c r="FC42" s="11" t="n">
        <f aca="false">((FC31)+(FC34))+(FC41)</f>
        <v>1292.85</v>
      </c>
      <c r="FD42" s="11" t="n">
        <f aca="false">((FD31)+(FD34))+(FD41)</f>
        <v>-3502.13</v>
      </c>
      <c r="FE42" s="11" t="n">
        <f aca="false">((FE31)+(FE34))+(FE41)</f>
        <v>0</v>
      </c>
      <c r="FF42" s="11" t="n">
        <f aca="false">((FF31)+(FF34))+(FF41)</f>
        <v>0</v>
      </c>
      <c r="FG42" s="11" t="n">
        <f aca="false">((FG31)+(FG34))+(FG41)</f>
        <v>3131.04</v>
      </c>
      <c r="FH42" s="11" t="n">
        <f aca="false">((FH31)+(FH34))+(FH41)</f>
        <v>3749.41</v>
      </c>
      <c r="FI42" s="11" t="n">
        <f aca="false">((FI31)+(FI34))+(FI41)</f>
        <v>-2394.23</v>
      </c>
      <c r="FJ42" s="11" t="n">
        <f aca="false">((FJ31)+(FJ34))+(FJ41)</f>
        <v>-286.93</v>
      </c>
      <c r="FK42" s="11" t="n">
        <f aca="false">((FK31)+(FK34))+(FK41)</f>
        <v>-3927.79</v>
      </c>
      <c r="FL42" s="11" t="n">
        <f aca="false">((FL31)+(FL34))+(FL41)</f>
        <v>-1426.69</v>
      </c>
      <c r="FM42" s="11" t="n">
        <f aca="false">((FM31)+(FM34))+(FM41)</f>
        <v>0</v>
      </c>
      <c r="FN42" s="11" t="n">
        <f aca="false">((FN31)+(FN34))+(FN41)</f>
        <v>3050.07</v>
      </c>
      <c r="FO42" s="11" t="n">
        <f aca="false">((FO31)+(FO34))+(FO41)</f>
        <v>4056.38</v>
      </c>
      <c r="FP42" s="11" t="n">
        <f aca="false">((FP31)+(FP34))+(FP41)</f>
        <v>-804.64</v>
      </c>
      <c r="FQ42" s="11" t="n">
        <f aca="false">((FQ31)+(FQ34))+(FQ41)</f>
        <v>-18167.25</v>
      </c>
      <c r="FR42" s="11" t="n">
        <f aca="false">((FR31)+(FR34))+(FR41)</f>
        <v>236.12</v>
      </c>
      <c r="FS42" s="11" t="n">
        <f aca="false">((FS31)+(FS34))+(FS41)</f>
        <v>-1530.68</v>
      </c>
      <c r="FT42" s="11" t="n">
        <f aca="false">((FT31)+(FT34))+(FT41)</f>
        <v>0</v>
      </c>
      <c r="FU42" s="11" t="n">
        <f aca="false">((FU31)+(FU34))+(FU41)</f>
        <v>2158.35</v>
      </c>
      <c r="FV42" s="11" t="n">
        <f aca="false">((FV31)+(FV34))+(FV41)</f>
        <v>5193.81</v>
      </c>
      <c r="FW42" s="11" t="n">
        <f aca="false">((FW31)+(FW34))+(FW41)</f>
        <v>994.22</v>
      </c>
      <c r="FX42" s="11" t="n">
        <f aca="false">((FX31)+(FX34))+(FX41)</f>
        <v>1400.2</v>
      </c>
      <c r="FY42" s="11" t="n">
        <f aca="false">((FY31)+(FY34))+(FY41)</f>
        <v>818.83</v>
      </c>
      <c r="FZ42" s="11" t="n">
        <f aca="false">((FZ31)+(FZ34))+(FZ41)</f>
        <v>0</v>
      </c>
      <c r="GA42" s="11" t="n">
        <f aca="false">((GA31)+(GA34))+(GA41)</f>
        <v>0</v>
      </c>
      <c r="GB42" s="11" t="n">
        <f aca="false">((GB31)+(GB34))+(GB41)</f>
        <v>-4040.69</v>
      </c>
      <c r="GC42" s="11" t="n">
        <f aca="false">((GC31)+(GC34))+(GC41)</f>
        <v>-1015.23</v>
      </c>
      <c r="GD42" s="11" t="n">
        <f aca="false">((GD31)+(GD34))+(GD41)</f>
        <v>1753.01</v>
      </c>
      <c r="GE42" s="11" t="n">
        <f aca="false">((GE31)+(GE34))+(GE41)</f>
        <v>-1094.72</v>
      </c>
      <c r="GF42" s="11" t="n">
        <f aca="false">((GF31)+(GF34))+(GF41)</f>
        <v>472.74</v>
      </c>
      <c r="GG42" s="11" t="n">
        <f aca="false">((GG31)+(GG34))+(GG41)</f>
        <v>-108.5</v>
      </c>
      <c r="GH42" s="11" t="n">
        <f aca="false">((GH31)+(GH34))+(GH41)</f>
        <v>-1815.21</v>
      </c>
      <c r="GI42" s="11" t="n">
        <f aca="false">((GI31)+(GI34))+(GI41)</f>
        <v>6676.15</v>
      </c>
      <c r="GJ42" s="11" t="n">
        <f aca="false">((GJ31)+(GJ34))+(GJ41)</f>
        <v>5771.96</v>
      </c>
      <c r="GK42" s="11" t="n">
        <f aca="false">((GK31)+(GK34))+(GK41)</f>
        <v>554.64</v>
      </c>
      <c r="GL42" s="11" t="n">
        <f aca="false">((GL31)+(GL34))+(GL41)</f>
        <v>727.01</v>
      </c>
      <c r="GM42" s="11" t="n">
        <f aca="false">((GM31)+(GM34))+(GM41)</f>
        <v>231.21</v>
      </c>
      <c r="GN42" s="11" t="n">
        <f aca="false">((GN31)+(GN34))+(GN41)</f>
        <v>-2044.79</v>
      </c>
      <c r="GO42" s="11" t="n">
        <f aca="false">((GO31)+(GO34))+(GO41)</f>
        <v>0</v>
      </c>
      <c r="GP42" s="11" t="n">
        <f aca="false">((GP31)+(GP34))+(GP41)</f>
        <v>-1252.32</v>
      </c>
      <c r="GQ42" s="11" t="n">
        <f aca="false">((GQ31)+(GQ34))+(GQ41)</f>
        <v>980.52</v>
      </c>
      <c r="GR42" s="11" t="n">
        <f aca="false">((GR31)+(GR34))+(GR41)</f>
        <v>-22.3</v>
      </c>
      <c r="GS42" s="11" t="n">
        <f aca="false">((GS31)+(GS34))+(GS41)</f>
        <v>-639.85</v>
      </c>
      <c r="GT42" s="11" t="n">
        <f aca="false">((GT31)+(GT34))+(GT41)</f>
        <v>1482.33</v>
      </c>
      <c r="GU42" s="11" t="n">
        <f aca="false">((GU31)+(GU34))+(GU41)</f>
        <v>-522.12</v>
      </c>
      <c r="GV42" s="11" t="n">
        <f aca="false">((GV31)+(GV34))+(GV41)</f>
        <v>0</v>
      </c>
      <c r="GW42" s="11" t="n">
        <f aca="false">((GW31)+(GW34))+(GW41)</f>
        <v>-17060.34</v>
      </c>
      <c r="GX42" s="11" t="n">
        <f aca="false">((GX31)+(GX34))+(GX41)</f>
        <v>4747.51</v>
      </c>
      <c r="GY42" s="11" t="n">
        <f aca="false">((GY31)+(GY34))+(GY41)</f>
        <v>-1554.25</v>
      </c>
      <c r="GZ42" s="11" t="n">
        <f aca="false">((GZ31)+(GZ34))+(GZ41)</f>
        <v>-631.02</v>
      </c>
      <c r="HA42" s="11" t="n">
        <f aca="false">((HA31)+(HA34))+(HA41)</f>
        <v>482.02</v>
      </c>
      <c r="HB42" s="11" t="n">
        <f aca="false">((HB31)+(HB34))+(HB41)</f>
        <v>-436.12</v>
      </c>
      <c r="HC42" s="11" t="n">
        <f aca="false">((HC31)+(HC34))+(HC41)</f>
        <v>0</v>
      </c>
      <c r="HD42" s="11" t="n">
        <f aca="false">((HD31)+(HD34))+(HD41)</f>
        <v>1602.23</v>
      </c>
      <c r="HE42" s="11" t="n">
        <f aca="false">((HE31)+(HE34))+(HE41)</f>
        <v>4134.45</v>
      </c>
      <c r="HF42" s="11" t="n">
        <f aca="false">((HF31)+(HF34))+(HF41)</f>
        <v>206.369999999999</v>
      </c>
      <c r="HG42" s="11" t="n">
        <f aca="false">((HG31)+(HG34))+(HG41)</f>
        <v>-4560.9</v>
      </c>
      <c r="HH42" s="11" t="n">
        <f aca="false">((HH31)+(HH34))+(HH41)</f>
        <v>2081.86</v>
      </c>
      <c r="HI42" s="11" t="n">
        <f aca="false">((HI31)+(HI34))+(HI41)</f>
        <v>0</v>
      </c>
      <c r="HJ42" s="11" t="n">
        <f aca="false">((HJ31)+(HJ34))+(HJ41)</f>
        <v>-2879.08</v>
      </c>
      <c r="HK42" s="11" t="n">
        <f aca="false">((HK31)+(HK34))+(HK41)</f>
        <v>3364.95</v>
      </c>
      <c r="HL42" s="11" t="n">
        <f aca="false">((HL31)+(HL34))+(HL41)</f>
        <v>2244.49</v>
      </c>
      <c r="HM42" s="11" t="n">
        <f aca="false">((HM31)+(HM34))+(HM41)</f>
        <v>-2982.11</v>
      </c>
      <c r="HN42" s="11" t="n">
        <f aca="false">((HN31)+(HN34))+(HN41)</f>
        <v>363.18</v>
      </c>
      <c r="HO42" s="11" t="n">
        <f aca="false">((HO31)+(HO34))+(HO41)</f>
        <v>337.43</v>
      </c>
      <c r="HP42" s="11" t="n">
        <f aca="false">((HP31)+(HP34))+(HP41)</f>
        <v>-326.09</v>
      </c>
      <c r="HQ42" s="11" t="n">
        <f aca="false">((HQ31)+(HQ34))+(HQ41)</f>
        <v>0</v>
      </c>
      <c r="HR42" s="11" t="n">
        <f aca="false">((HR31)+(HR34))+(HR41)</f>
        <v>2234.48</v>
      </c>
      <c r="HS42" s="11" t="n">
        <f aca="false">((HS31)+(HS34))+(HS41)</f>
        <v>1775.11</v>
      </c>
      <c r="HT42" s="11" t="n">
        <f aca="false">((HT31)+(HT34))+(HT41)</f>
        <v>177.2</v>
      </c>
      <c r="HU42" s="11" t="n">
        <f aca="false">((HU31)+(HU34))+(HU41)</f>
        <v>-2383.87</v>
      </c>
      <c r="HV42" s="11" t="n">
        <f aca="false">((HV31)+(HV34))+(HV41)</f>
        <v>-2928.97</v>
      </c>
      <c r="HW42" s="11" t="n">
        <f aca="false">((HW31)+(HW34))+(HW41)</f>
        <v>286.76</v>
      </c>
      <c r="HX42" s="11" t="n">
        <f aca="false">((HX31)+(HX34))+(HX41)</f>
        <v>37.9599999999999</v>
      </c>
      <c r="HY42" s="11" t="n">
        <f aca="false">((HY31)+(HY34))+(HY41)</f>
        <v>6223.81</v>
      </c>
      <c r="HZ42" s="11" t="n">
        <f aca="false">((HZ31)+(HZ34))+(HZ41)</f>
        <v>-10993.39</v>
      </c>
      <c r="IA42" s="11" t="n">
        <f aca="false">((IA31)+(IA34))+(IA41)</f>
        <v>673.74</v>
      </c>
      <c r="IB42" s="11" t="n">
        <f aca="false">((IB31)+(IB34))+(IB41)</f>
        <v>1693.48</v>
      </c>
      <c r="IC42" s="11" t="n">
        <f aca="false">((IC31)+(IC34))+(IC41)</f>
        <v>4392.84</v>
      </c>
      <c r="ID42" s="11" t="n">
        <f aca="false">((ID31)+(ID34))+(ID41)</f>
        <v>2299.48</v>
      </c>
      <c r="IE42" s="11" t="n">
        <f aca="false">((IE31)+(IE34))+(IE41)</f>
        <v>895.04</v>
      </c>
      <c r="IF42" s="11" t="n">
        <f aca="false">((IF31)+(IF34))+(IF41)</f>
        <v>3840.18</v>
      </c>
      <c r="IG42" s="11" t="n">
        <f aca="false">((IG31)+(IG34))+(IG41)</f>
        <v>8534.04</v>
      </c>
      <c r="IH42" s="11" t="n">
        <f aca="false">((IH31)+(IH34))+(IH41)</f>
        <v>-1901.61</v>
      </c>
      <c r="II42" s="11" t="n">
        <f aca="false">((II31)+(II34))+(II41)</f>
        <v>1001.22</v>
      </c>
      <c r="IJ42" s="11" t="n">
        <f aca="false">((IJ31)+(IJ34))+(IJ41)</f>
        <v>-2863.32</v>
      </c>
      <c r="IK42" s="11" t="n">
        <f aca="false">((IK31)+(IK34))+(IK41)</f>
        <v>2486.25</v>
      </c>
      <c r="IL42" s="11" t="n">
        <f aca="false">((IL31)+(IL34))+(IL41)</f>
        <v>1096.87</v>
      </c>
      <c r="IM42" s="11" t="n">
        <f aca="false">((IM31)+(IM34))+(IM41)</f>
        <v>220.85</v>
      </c>
      <c r="IN42" s="11" t="n">
        <f aca="false">((IN31)+(IN34))+(IN41)</f>
        <v>2597.46</v>
      </c>
      <c r="IO42" s="11" t="n">
        <f aca="false">((IO31)+(IO34))+(IO41)</f>
        <v>3663.07</v>
      </c>
      <c r="IP42" s="11" t="n">
        <f aca="false">((IP31)+(IP34))+(IP41)</f>
        <v>3674.4</v>
      </c>
      <c r="IQ42" s="11" t="n">
        <f aca="false">((IQ31)+(IQ34))+(IQ41)</f>
        <v>1888.15</v>
      </c>
      <c r="IR42" s="11" t="n">
        <f aca="false">((IR31)+(IR34))+(IR41)</f>
        <v>-1215.7</v>
      </c>
      <c r="IS42" s="11" t="n">
        <f aca="false">((IS31)+(IS34))+(IS41)</f>
        <v>805.24</v>
      </c>
      <c r="IT42" s="11" t="n">
        <f aca="false">((IT31)+(IT34))+(IT41)</f>
        <v>6180</v>
      </c>
      <c r="IU42" s="11" t="n">
        <f aca="false">((IU31)+(IU34))+(IU41)</f>
        <v>7224.24</v>
      </c>
      <c r="IV42" s="11" t="n">
        <f aca="false">((IV31)+(IV34))+(IV41)</f>
        <v>3843.38</v>
      </c>
      <c r="IW42" s="11" t="n">
        <f aca="false">((IW31)+(IW34))+(IW41)</f>
        <v>4043.24</v>
      </c>
      <c r="IX42" s="11" t="n">
        <f aca="false">((IX31)+(IX34))+(IX41)</f>
        <v>719.48</v>
      </c>
      <c r="IY42" s="11" t="n">
        <f aca="false">((IY31)+(IY34))+(IY41)</f>
        <v>-2646.98</v>
      </c>
      <c r="IZ42" s="11" t="n">
        <f aca="false">((IZ31)+(IZ34))+(IZ41)</f>
        <v>1467.92</v>
      </c>
      <c r="JA42" s="11" t="n">
        <f aca="false">((JA31)+(JA34))+(JA41)</f>
        <v>184.57</v>
      </c>
      <c r="JB42" s="11" t="n">
        <f aca="false">((JB31)+(JB34))+(JB41)</f>
        <v>7636.76</v>
      </c>
      <c r="JC42" s="11" t="n">
        <f aca="false">((JC31)+(JC34))+(JC41)</f>
        <v>2166.08</v>
      </c>
      <c r="JD42" s="11" t="n">
        <f aca="false">((JD31)+(JD34))+(JD41)</f>
        <v>2707.24</v>
      </c>
      <c r="JE42" s="11" t="n">
        <f aca="false">((JE31)+(JE34))+(JE41)</f>
        <v>3530.87</v>
      </c>
      <c r="JF42" s="11" t="n">
        <f aca="false">((JF31)+(JF34))+(JF41)</f>
        <v>-1447.17</v>
      </c>
      <c r="JG42" s="11" t="n">
        <f aca="false">((JG31)+(JG34))+(JG41)</f>
        <v>907.36</v>
      </c>
      <c r="JH42" s="11" t="n">
        <f aca="false">((JH31)+(JH34))+(JH41)</f>
        <v>3002.12</v>
      </c>
      <c r="JI42" s="11" t="n">
        <f aca="false">((JI31)+(JI34))+(JI41)</f>
        <v>7043.32</v>
      </c>
      <c r="JJ42" s="11" t="n">
        <f aca="false">((JJ31)+(JJ34))+(JJ41)</f>
        <v>-15374.25</v>
      </c>
      <c r="JK42" s="11" t="n">
        <f aca="false">((JK31)+(JK34))+(JK41)</f>
        <v>2011.28</v>
      </c>
      <c r="JL42" s="11" t="n">
        <f aca="false">((JL31)+(JL34))+(JL41)</f>
        <v>4936.24</v>
      </c>
      <c r="JM42" s="11" t="n">
        <f aca="false">((JM31)+(JM34))+(JM41)</f>
        <v>1821.96</v>
      </c>
      <c r="JN42" s="11" t="n">
        <f aca="false">((JN31)+(JN34))+(JN41)</f>
        <v>489.94</v>
      </c>
      <c r="JO42" s="11" t="n">
        <f aca="false">((JO31)+(JO34))+(JO41)</f>
        <v>4128.12</v>
      </c>
      <c r="JP42" s="11" t="n">
        <f aca="false">((JP31)+(JP34))+(JP41)</f>
        <v>4701.12</v>
      </c>
      <c r="JQ42" s="11" t="n">
        <f aca="false">((JQ31)+(JQ34))+(JQ41)</f>
        <v>5860.53</v>
      </c>
      <c r="JR42" s="11" t="n">
        <f aca="false">((JR31)+(JR34))+(JR41)</f>
        <v>6839.14</v>
      </c>
      <c r="JS42" s="11" t="n">
        <f aca="false">((JS31)+(JS34))+(JS41)</f>
        <v>6248.31</v>
      </c>
      <c r="JT42" s="11" t="n">
        <f aca="false">((JT31)+(JT34))+(JT41)</f>
        <v>2644.99</v>
      </c>
      <c r="JU42" s="11" t="n">
        <f aca="false">((JU31)+(JU34))+(JU41)</f>
        <v>817.5</v>
      </c>
      <c r="JV42" s="11" t="n">
        <f aca="false">((JV31)+(JV34))+(JV41)</f>
        <v>-1246.1</v>
      </c>
      <c r="JW42" s="11" t="n">
        <f aca="false">((JW31)+(JW34))+(JW41)</f>
        <v>11825.23</v>
      </c>
      <c r="JX42" s="11" t="n">
        <f aca="false">((JX31)+(JX34))+(JX41)</f>
        <v>1691.15</v>
      </c>
      <c r="JY42" s="11" t="n">
        <f aca="false">((JY31)+(JY34))+(JY41)</f>
        <v>3454.71</v>
      </c>
      <c r="JZ42" s="11" t="n">
        <f aca="false">((JZ31)+(JZ34))+(JZ41)</f>
        <v>-306.83</v>
      </c>
      <c r="KA42" s="11" t="n">
        <f aca="false">((KA31)+(KA34))+(KA41)</f>
        <v>2766.87</v>
      </c>
      <c r="KB42" s="11" t="n">
        <f aca="false">((KB31)+(KB34))+(KB41)</f>
        <v>2448.01</v>
      </c>
      <c r="KC42" s="11" t="n">
        <f aca="false">((KC31)+(KC34))+(KC41)</f>
        <v>1528.37</v>
      </c>
      <c r="KD42" s="11" t="n">
        <f aca="false">((KD31)+(KD34))+(KD41)</f>
        <v>2581.37</v>
      </c>
      <c r="KE42" s="11" t="n">
        <f aca="false">((KE31)+(KE34))+(KE41)</f>
        <v>19814.57</v>
      </c>
      <c r="KF42" s="11" t="n">
        <f aca="false">((KF31)+(KF34))+(KF41)</f>
        <v>3247.89</v>
      </c>
      <c r="KG42" s="11" t="n">
        <f aca="false">((KG31)+(KG34))+(KG41)</f>
        <v>2270.32</v>
      </c>
      <c r="KH42" s="11" t="n">
        <f aca="false">((KH31)+(KH34))+(KH41)</f>
        <v>1349.8</v>
      </c>
      <c r="KI42" s="11" t="n">
        <f aca="false">((KI31)+(KI34))+(KI41)</f>
        <v>687.39</v>
      </c>
      <c r="KJ42" s="11" t="n">
        <f aca="false">((KJ31)+(KJ34))+(KJ41)</f>
        <v>-13371.18</v>
      </c>
      <c r="KK42" s="11" t="n">
        <f aca="false">((KK31)+(KK34))+(KK41)</f>
        <v>8105.88</v>
      </c>
      <c r="KL42" s="11" t="n">
        <f aca="false">((KL31)+(KL34))+(KL41)</f>
        <v>-1115.35</v>
      </c>
      <c r="KM42" s="11" t="n">
        <f aca="false">((KM31)+(KM34))+(KM41)</f>
        <v>2154.31</v>
      </c>
      <c r="KN42" s="11" t="n">
        <f aca="false">((KN31)+(KN34))+(KN41)</f>
        <v>2264.4</v>
      </c>
      <c r="KO42" s="11" t="n">
        <f aca="false">((KO31)+(KO34))+(KO41)</f>
        <v>574.68</v>
      </c>
      <c r="KP42" s="11" t="n">
        <f aca="false">((KP31)+(KP34))+(KP41)</f>
        <v>559.11</v>
      </c>
      <c r="KQ42" s="11" t="n">
        <f aca="false">((KQ31)+(KQ34))+(KQ41)</f>
        <v>2983.57</v>
      </c>
      <c r="KR42" s="11" t="n">
        <f aca="false">((KR31)+(KR34))+(KR41)</f>
        <v>4566.74</v>
      </c>
      <c r="KS42" s="11" t="n">
        <f aca="false">((KS31)+(KS34))+(KS41)</f>
        <v>3093.18</v>
      </c>
      <c r="KT42" s="11" t="n">
        <f aca="false">((KT31)+(KT34))+(KT41)</f>
        <v>4144.06</v>
      </c>
      <c r="KU42" s="11" t="n">
        <f aca="false">((KU31)+(KU34))+(KU41)</f>
        <v>-7079.59</v>
      </c>
      <c r="KV42" s="11" t="n">
        <f aca="false">((KV31)+(KV34))+(KV41)</f>
        <v>2741.98</v>
      </c>
      <c r="KW42" s="11" t="n">
        <f aca="false">((KW31)+(KW34))+(KW41)</f>
        <v>178.05</v>
      </c>
      <c r="KX42" s="11" t="n">
        <f aca="false">((KX31)+(KX34))+(KX41)</f>
        <v>8889.21</v>
      </c>
      <c r="KY42" s="11" t="n">
        <f aca="false">((KY31)+(KY34))+(KY41)</f>
        <v>13171.4</v>
      </c>
      <c r="KZ42" s="11" t="n">
        <f aca="false">((KZ31)+(KZ34))+(KZ41)</f>
        <v>336.72</v>
      </c>
      <c r="LA42" s="11" t="n">
        <f aca="false">((LA31)+(LA34))+(LA41)</f>
        <v>-4213.19</v>
      </c>
      <c r="LB42" s="11" t="n">
        <f aca="false">((LB31)+(LB34))+(LB41)</f>
        <v>2392.46</v>
      </c>
      <c r="LC42" s="11" t="n">
        <f aca="false">((LC31)+(LC34))+(LC41)</f>
        <v>790.13</v>
      </c>
      <c r="LD42" s="11" t="n">
        <f aca="false">((LD31)+(LD34))+(LD41)</f>
        <v>1289.17</v>
      </c>
      <c r="LE42" s="11" t="n">
        <f aca="false">((LE31)+(LE34))+(LE41)</f>
        <v>708.45</v>
      </c>
      <c r="LF42" s="11" t="n">
        <f aca="false">((LF31)+(LF34))+(LF41)</f>
        <v>3679.37</v>
      </c>
      <c r="LG42" s="11" t="n">
        <f aca="false">((LG31)+(LG34))+(LG41)</f>
        <v>10762.82</v>
      </c>
      <c r="LH42" s="11" t="n">
        <f aca="false">((LH31)+(LH34))+(LH41)</f>
        <v>3040.53</v>
      </c>
      <c r="LI42" s="11" t="n">
        <f aca="false">((LI31)+(LI34))+(LI41)</f>
        <v>-4458.37</v>
      </c>
      <c r="LJ42" s="11" t="n">
        <f aca="false">((LJ31)+(LJ34))+(LJ41)</f>
        <v>891.94</v>
      </c>
      <c r="LK42" s="11" t="n">
        <f aca="false">((LK31)+(LK34))+(LK41)</f>
        <v>3091.65</v>
      </c>
      <c r="LL42" s="11" t="n">
        <f aca="false">((LL31)+(LL34))+(LL41)</f>
        <v>5549.43</v>
      </c>
      <c r="LM42" s="11" t="n">
        <f aca="false">((LM31)+(LM34))+(LM41)</f>
        <v>53033.95</v>
      </c>
      <c r="LN42" s="11" t="n">
        <f aca="false">((LN31)+(LN34))+(LN41)</f>
        <v>-27536.99</v>
      </c>
      <c r="LO42" s="11" t="n">
        <f aca="false">((LO31)+(LO34))+(LO41)</f>
        <v>453.99</v>
      </c>
      <c r="LP42" s="11" t="n">
        <f aca="false">((LP31)+(LP34))+(LP41)</f>
        <v>3319.28</v>
      </c>
      <c r="LQ42" s="11" t="n">
        <f aca="false">((LQ31)+(LQ34))+(LQ41)</f>
        <v>1667.51</v>
      </c>
      <c r="LR42" s="11" t="n">
        <f aca="false">((LR31)+(LR34))+(LR41)</f>
        <v>639.26</v>
      </c>
      <c r="LS42" s="11" t="n">
        <f aca="false">((LS31)+(LS34))+(LS41)</f>
        <v>3773.24</v>
      </c>
      <c r="LT42" s="11" t="n">
        <f aca="false">((LT31)+(LT34))+(LT41)</f>
        <v>7176.36</v>
      </c>
      <c r="LU42" s="11" t="n">
        <f aca="false">((LU31)+(LU34))+(LU41)</f>
        <v>-3477.02</v>
      </c>
      <c r="LV42" s="11" t="n">
        <f aca="false">((LV31)+(LV34))+(LV41)</f>
        <v>0</v>
      </c>
      <c r="LW42" s="11" t="n">
        <f aca="false">((LW31)+(LW34))+(LW41)</f>
        <v>-2225.78</v>
      </c>
      <c r="LX42" s="11" t="n">
        <f aca="false">((LX31)+(LX34))+(LX41)</f>
        <v>1771.83000000002</v>
      </c>
      <c r="LY42" s="11" t="n">
        <f aca="false">((LY31)+(LY34))+(LY41)</f>
        <v>1561.95</v>
      </c>
      <c r="LZ42" s="11" t="n">
        <f aca="false">((LZ31)+(LZ34))+(LZ41)</f>
        <v>9989.35</v>
      </c>
      <c r="MA42" s="11" t="n">
        <f aca="false">((MA31)+(MA34))+(MA41)</f>
        <v>11270.1</v>
      </c>
      <c r="MB42" s="11" t="n">
        <f aca="false">((MB31)+(MB34))+(MB41)</f>
        <v>4573.79</v>
      </c>
      <c r="MC42" s="11" t="n">
        <f aca="false">((MC31)+(MC34))+(MC41)</f>
        <v>4051.72</v>
      </c>
      <c r="MD42" s="11" t="n">
        <f aca="false">((MD31)+(MD34))+(MD41)</f>
        <v>3759.6</v>
      </c>
      <c r="ME42" s="11" t="n">
        <f aca="false">((ME31)+(ME34))+(ME41)</f>
        <v>-1916.63</v>
      </c>
      <c r="MF42" s="11" t="n">
        <f aca="false">((MF31)+(MF34))+(MF41)</f>
        <v>1071.42</v>
      </c>
      <c r="MG42" s="11" t="n">
        <f aca="false">((MG31)+(MG34))+(MG41)</f>
        <v>-3520.91</v>
      </c>
      <c r="MH42" s="11" t="n">
        <f aca="false">((MH31)+(MH34))+(MH41)</f>
        <v>14132.81</v>
      </c>
      <c r="MI42" s="11" t="n">
        <f aca="false">((MI31)+(MI34))+(MI41)</f>
        <v>5472.03</v>
      </c>
      <c r="MJ42" s="11" t="n">
        <f aca="false">((MJ31)+(MJ34))+(MJ41)</f>
        <v>5446.51</v>
      </c>
      <c r="MK42" s="11" t="n">
        <f aca="false">((MK31)+(MK34))+(MK41)</f>
        <v>4838.71</v>
      </c>
      <c r="ML42" s="11" t="n">
        <f aca="false">((ML31)+(ML34))+(ML41)</f>
        <v>1157.76</v>
      </c>
      <c r="MM42" s="11" t="n">
        <f aca="false">((MM31)+(MM34))+(MM41)</f>
        <v>3273.76</v>
      </c>
      <c r="MN42" s="11" t="n">
        <f aca="false">((MN31)+(MN34))+(MN41)</f>
        <v>6125.38</v>
      </c>
      <c r="MO42" s="11" t="n">
        <f aca="false">((MO31)+(MO34))+(MO41)</f>
        <v>19478.95</v>
      </c>
      <c r="MP42" s="11" t="n">
        <f aca="false">((MP31)+(MP34))+(MP41)</f>
        <v>2777.65</v>
      </c>
      <c r="MQ42" s="11" t="n">
        <f aca="false">((MQ31)+(MQ34))+(MQ41)</f>
        <v>4210.93</v>
      </c>
      <c r="MR42" s="11" t="n">
        <f aca="false">((MR31)+(MR34))+(MR41)</f>
        <v>-17061.26</v>
      </c>
      <c r="MS42" s="11" t="n">
        <f aca="false">((MS31)+(MS34))+(MS41)</f>
        <v>132.84</v>
      </c>
      <c r="MT42" s="11" t="n">
        <f aca="false">((MT31)+(MT34))+(MT41)</f>
        <v>2581.51</v>
      </c>
      <c r="MU42" s="11" t="n">
        <f aca="false">((MU31)+(MU34))+(MU41)</f>
        <v>7466.96</v>
      </c>
      <c r="MV42" s="11" t="n">
        <f aca="false">((MV31)+(MV34))+(MV41)</f>
        <v>15027.53</v>
      </c>
      <c r="MW42" s="11" t="n">
        <f aca="false">((MW31)+(MW34))+(MW41)</f>
        <v>98.14</v>
      </c>
      <c r="MX42" s="11" t="n">
        <f aca="false">((MX31)+(MX34))+(MX41)</f>
        <v>6314.86</v>
      </c>
      <c r="MY42" s="11" t="n">
        <f aca="false">((MY31)+(MY34))+(MY41)</f>
        <v>4250.9</v>
      </c>
      <c r="MZ42" s="11" t="n">
        <f aca="false">((MZ31)+(MZ34))+(MZ41)</f>
        <v>1675.16</v>
      </c>
      <c r="NA42" s="11" t="n">
        <f aca="false">((NA31)+(NA34))+(NA41)</f>
        <v>1319.64</v>
      </c>
      <c r="NB42" s="11" t="n">
        <f aca="false">((NB31)+(NB34))+(NB41)</f>
        <v>3358.87</v>
      </c>
      <c r="NC42" s="11" t="n">
        <f aca="false">((NC31)+(NC34))+(NC41)</f>
        <v>6324.03</v>
      </c>
      <c r="ND42" s="9" t="n">
        <f aca="false">SUM(A42:NC42)</f>
        <v>383098.34</v>
      </c>
    </row>
  </sheetData>
  <conditionalFormatting sqref="ND1:ND42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2025-02-21T04:51:57Z</dcterms:created>
  <dc:creator>Apache POI</dc:creator>
  <dc:description/>
  <dc:language>en-US</dc:language>
  <cp:lastModifiedBy/>
  <dcterms:modified xsi:type="dcterms:W3CDTF">2025-03-05T20:27:06Z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