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94" i="1" l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E78" i="1" l="1"/>
  <c r="E82" i="1"/>
  <c r="E83" i="1"/>
  <c r="E47" i="1"/>
  <c r="E48" i="1"/>
  <c r="E54" i="1"/>
  <c r="E57" i="1"/>
  <c r="E60" i="1"/>
  <c r="E26" i="1"/>
  <c r="E32" i="1"/>
  <c r="E36" i="1"/>
  <c r="E41" i="1"/>
  <c r="E10" i="1"/>
  <c r="E16" i="1"/>
</calcChain>
</file>

<file path=xl/sharedStrings.xml><?xml version="1.0" encoding="utf-8"?>
<sst xmlns="http://schemas.openxmlformats.org/spreadsheetml/2006/main" count="24" uniqueCount="22">
  <si>
    <t>测点号</t>
    <phoneticPr fontId="1" type="noConversion"/>
  </si>
  <si>
    <t>观测时间</t>
    <phoneticPr fontId="1" type="noConversion"/>
  </si>
  <si>
    <t>A12</t>
    <phoneticPr fontId="1" type="noConversion"/>
  </si>
  <si>
    <t>A23</t>
    <phoneticPr fontId="1" type="noConversion"/>
  </si>
  <si>
    <t>A13</t>
    <phoneticPr fontId="1" type="noConversion"/>
  </si>
  <si>
    <t>备注</t>
    <phoneticPr fontId="1" type="noConversion"/>
  </si>
  <si>
    <t>回测</t>
    <phoneticPr fontId="1" type="noConversion"/>
  </si>
  <si>
    <t>回测</t>
    <phoneticPr fontId="1" type="noConversion"/>
  </si>
  <si>
    <t>洼</t>
    <phoneticPr fontId="1" type="noConversion"/>
  </si>
  <si>
    <t>坡</t>
    <phoneticPr fontId="1" type="noConversion"/>
  </si>
  <si>
    <t>坡顶</t>
    <phoneticPr fontId="1" type="noConversion"/>
  </si>
  <si>
    <t>Ui(mV)</t>
  </si>
  <si>
    <t>Ui'(mV)</t>
    <phoneticPr fontId="1" type="noConversion"/>
  </si>
  <si>
    <t>观测时间</t>
    <phoneticPr fontId="1" type="noConversion"/>
  </si>
  <si>
    <t>E(mV/m)</t>
  </si>
  <si>
    <t>phi(rad)</t>
  </si>
  <si>
    <t>X</t>
    <phoneticPr fontId="1" type="noConversion"/>
  </si>
  <si>
    <t>Y</t>
    <phoneticPr fontId="1" type="noConversion"/>
  </si>
  <si>
    <t>deltaVi(mV)</t>
  </si>
  <si>
    <t>deltaUi(mV)</t>
  </si>
  <si>
    <t>deltaVi×3</t>
    <phoneticPr fontId="1" type="noConversion"/>
  </si>
  <si>
    <t>deltaUi'×3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</si>
</sst>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workbookViewId="0"/>
  </sheetViews>
  <sheetFormatPr defaultRowHeight="13.5" x14ac:dyDescent="0.15"/>
  <cols>
    <col min="1" max="1" width="7.5" bestFit="1" customWidth="1"/>
    <col min="2" max="2" width="8.5" bestFit="1" customWidth="1"/>
    <col min="3" max="3" width="7.125" bestFit="1" customWidth="1"/>
    <col min="5" max="6" width="10.5" bestFit="1" customWidth="1"/>
    <col min="7" max="7" width="11.625" bestFit="1" customWidth="1"/>
    <col min="8" max="8" width="5.25" bestFit="1" customWidth="1"/>
    <col min="10" max="10" width="11.625" bestFit="1" customWidth="1"/>
    <col min="11" max="11" width="10.5" bestFit="1" customWidth="1"/>
    <col min="12" max="13" width="12.75" bestFit="1" customWidth="1"/>
    <col min="14" max="14" width="11.625" bestFit="1" customWidth="1"/>
    <col min="15" max="15" width="12.625" bestFit="1" customWidth="1"/>
    <col min="16" max="16" width="10.5" bestFit="1" customWidth="1"/>
    <col min="17" max="17" width="11.625" bestFit="1" customWidth="1"/>
    <col min="19" max="19" width="5.5" bestFit="1" customWidth="1"/>
    <col min="20" max="20" width="12.75" bestFit="1" customWidth="1"/>
    <col min="21" max="21" width="10.5" bestFit="1" customWidth="1"/>
  </cols>
  <sheetData>
    <row r="1" spans="1:21" x14ac:dyDescent="0.15">
      <c r="A1" t="s">
        <v>16</v>
      </c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13</v>
      </c>
      <c r="J1" t="s">
        <v>14</v>
      </c>
      <c r="K1" t="s">
        <v>15</v>
      </c>
      <c r="L1" t="s">
        <v>18</v>
      </c>
      <c r="M1" t="s">
        <v>19</v>
      </c>
      <c r="N1" t="s">
        <v>20</v>
      </c>
      <c r="O1" t="s">
        <v>21</v>
      </c>
      <c r="P1" t="s">
        <v>11</v>
      </c>
      <c r="Q1" t="s">
        <v>12</v>
      </c>
    </row>
    <row r="2" spans="1:21" x14ac:dyDescent="0.15">
      <c r="A2" s="4">
        <v>315400</v>
      </c>
      <c r="B2" s="4">
        <v>4945999</v>
      </c>
      <c r="C2">
        <v>100</v>
      </c>
      <c r="D2">
        <v>835</v>
      </c>
      <c r="E2" s="1">
        <v>27.313600000000001</v>
      </c>
      <c r="F2" s="1">
        <v>2.59091</v>
      </c>
      <c r="G2" s="1">
        <v>29.804500000000001</v>
      </c>
      <c r="I2" s="3">
        <v>1440</v>
      </c>
      <c r="J2" s="2">
        <v>3.01747E-3</v>
      </c>
      <c r="K2" s="2">
        <v>0.66159599999999996</v>
      </c>
      <c r="L2">
        <v>0</v>
      </c>
      <c r="M2" s="1">
        <v>0</v>
      </c>
      <c r="N2" s="2">
        <v>0</v>
      </c>
      <c r="O2" s="3">
        <v>0</v>
      </c>
      <c r="P2">
        <v>0</v>
      </c>
      <c r="Q2" s="3">
        <v>0</v>
      </c>
      <c r="S2" s="3">
        <v>1440</v>
      </c>
      <c r="T2" s="2">
        <v>3.01747E-3</v>
      </c>
      <c r="U2" s="2">
        <v>0.66159599999999996</v>
      </c>
    </row>
    <row r="3" spans="1:21" x14ac:dyDescent="0.15">
      <c r="A3" s="4">
        <v>315357</v>
      </c>
      <c r="B3" s="4">
        <v>4946090</v>
      </c>
      <c r="C3">
        <v>120</v>
      </c>
      <c r="D3">
        <v>838</v>
      </c>
      <c r="E3" s="1">
        <v>1.92727</v>
      </c>
      <c r="F3" s="1">
        <v>-19.118200000000002</v>
      </c>
      <c r="G3" s="1">
        <v>-17.190899999999999</v>
      </c>
      <c r="I3" s="3">
        <v>1440</v>
      </c>
      <c r="J3" s="2">
        <v>3.01747E-3</v>
      </c>
      <c r="K3" s="2">
        <v>0.66159599999999996</v>
      </c>
      <c r="L3">
        <v>6.6326300000000005E-2</v>
      </c>
      <c r="M3" s="1">
        <v>6.6326300000000005E-2</v>
      </c>
      <c r="N3" s="2">
        <v>0.19897890000000001</v>
      </c>
      <c r="O3" s="3">
        <v>0.19897890000000001</v>
      </c>
      <c r="P3">
        <v>2.25909</v>
      </c>
      <c r="Q3" s="3">
        <v>2.0601110999999999</v>
      </c>
      <c r="S3" s="3">
        <v>1500</v>
      </c>
      <c r="T3" s="2">
        <v>1.52553E-3</v>
      </c>
      <c r="U3" s="2">
        <v>0.53810400000000003</v>
      </c>
    </row>
    <row r="4" spans="1:21" x14ac:dyDescent="0.15">
      <c r="A4" s="4">
        <v>315314</v>
      </c>
      <c r="B4" s="4">
        <v>4946180</v>
      </c>
      <c r="C4">
        <v>140</v>
      </c>
      <c r="D4">
        <v>840</v>
      </c>
      <c r="E4" s="1">
        <v>-19.459099999999999</v>
      </c>
      <c r="F4" s="1">
        <v>22.7727</v>
      </c>
      <c r="G4" s="1">
        <v>3.0136400000000001</v>
      </c>
      <c r="I4" s="3">
        <v>1440</v>
      </c>
      <c r="J4" s="2">
        <v>3.01747E-3</v>
      </c>
      <c r="K4" s="2">
        <v>0.66159599999999996</v>
      </c>
      <c r="L4">
        <v>6.4472399999999999E-2</v>
      </c>
      <c r="M4" s="1">
        <v>0.130799</v>
      </c>
      <c r="N4" s="2">
        <v>0.19341720000000001</v>
      </c>
      <c r="O4" s="3">
        <v>0.392397</v>
      </c>
      <c r="P4">
        <v>-17.029599999999999</v>
      </c>
      <c r="Q4" s="3">
        <v>-17.421996999999998</v>
      </c>
      <c r="S4" s="3">
        <v>1520</v>
      </c>
      <c r="T4" s="2">
        <v>2.4769900000000001E-3</v>
      </c>
      <c r="U4" s="2">
        <v>0.315554</v>
      </c>
    </row>
    <row r="5" spans="1:21" x14ac:dyDescent="0.15">
      <c r="A5" s="4">
        <v>315273</v>
      </c>
      <c r="B5" s="4">
        <v>4946271</v>
      </c>
      <c r="C5">
        <v>160</v>
      </c>
      <c r="D5">
        <v>842</v>
      </c>
      <c r="E5" s="1">
        <v>21.7545</v>
      </c>
      <c r="F5" s="1">
        <v>-18.7364</v>
      </c>
      <c r="G5" s="1">
        <v>2.8181799999999999</v>
      </c>
      <c r="I5" s="3">
        <v>1440</v>
      </c>
      <c r="J5" s="2">
        <v>3.01747E-3</v>
      </c>
      <c r="K5" s="2">
        <v>0.66159599999999996</v>
      </c>
      <c r="L5">
        <v>7.1087899999999996E-2</v>
      </c>
      <c r="M5" s="1">
        <v>0.20188700000000001</v>
      </c>
      <c r="N5" s="2">
        <v>0.2132637</v>
      </c>
      <c r="O5" s="3">
        <v>0.605661</v>
      </c>
      <c r="P5">
        <v>5.2340400000000002</v>
      </c>
      <c r="Q5" s="3">
        <v>4.6283790000000007</v>
      </c>
      <c r="S5" s="3">
        <v>1540</v>
      </c>
      <c r="T5" s="2">
        <v>2.4605999999999999E-3</v>
      </c>
      <c r="U5" s="2">
        <v>0.31216300000000002</v>
      </c>
    </row>
    <row r="6" spans="1:21" x14ac:dyDescent="0.15">
      <c r="A6" s="4">
        <v>315229</v>
      </c>
      <c r="B6" s="4">
        <v>4946361</v>
      </c>
      <c r="C6">
        <v>180</v>
      </c>
      <c r="D6">
        <v>844</v>
      </c>
      <c r="E6" s="1">
        <v>-17.931799999999999</v>
      </c>
      <c r="F6" s="1">
        <v>17.354500000000002</v>
      </c>
      <c r="G6" s="1">
        <v>-0.77727299999999999</v>
      </c>
      <c r="I6" s="3">
        <v>1440</v>
      </c>
      <c r="J6" s="2">
        <v>3.01747E-3</v>
      </c>
      <c r="K6" s="2">
        <v>0.66159599999999996</v>
      </c>
      <c r="L6">
        <v>6.2091599999999997E-2</v>
      </c>
      <c r="M6" s="1">
        <v>0.26397799999999999</v>
      </c>
      <c r="N6" s="2">
        <v>0.18627479999999999</v>
      </c>
      <c r="O6" s="3">
        <v>0.79193399999999992</v>
      </c>
      <c r="P6">
        <v>-13.100099999999999</v>
      </c>
      <c r="Q6" s="3">
        <v>-13.892033999999999</v>
      </c>
      <c r="S6" s="3">
        <v>1600</v>
      </c>
      <c r="T6" s="2">
        <v>2.3499599999999999E-3</v>
      </c>
      <c r="U6" s="2">
        <v>-0.13506099999999999</v>
      </c>
    </row>
    <row r="7" spans="1:21" x14ac:dyDescent="0.15">
      <c r="A7" s="4">
        <v>315187</v>
      </c>
      <c r="B7" s="4">
        <v>4946452</v>
      </c>
      <c r="C7">
        <v>200</v>
      </c>
      <c r="D7">
        <v>846</v>
      </c>
      <c r="E7" s="1">
        <v>17.181799999999999</v>
      </c>
      <c r="F7" s="1">
        <v>-21.154499999999999</v>
      </c>
      <c r="G7" s="1">
        <v>-3.6727300000000001</v>
      </c>
      <c r="I7" s="3">
        <v>1440</v>
      </c>
      <c r="J7" s="2">
        <v>3.01747E-3</v>
      </c>
      <c r="K7" s="2">
        <v>0.66159599999999996</v>
      </c>
      <c r="L7">
        <v>6.8707099999999993E-2</v>
      </c>
      <c r="M7" s="1">
        <v>0.33268500000000001</v>
      </c>
      <c r="N7" s="2">
        <v>0.20612129999999998</v>
      </c>
      <c r="O7" s="3">
        <v>0.99805500000000003</v>
      </c>
      <c r="P7">
        <v>4.1680900000000003</v>
      </c>
      <c r="Q7" s="3">
        <v>3.1700350000000004</v>
      </c>
      <c r="S7" s="3">
        <v>1620</v>
      </c>
      <c r="T7" s="2">
        <v>1.87338E-3</v>
      </c>
      <c r="U7" s="2">
        <v>-0.83476899999999998</v>
      </c>
    </row>
    <row r="8" spans="1:21" x14ac:dyDescent="0.15">
      <c r="A8" s="4">
        <v>315145</v>
      </c>
      <c r="B8" s="4">
        <v>4946543</v>
      </c>
      <c r="C8">
        <v>220</v>
      </c>
      <c r="D8">
        <v>848</v>
      </c>
      <c r="E8" s="1">
        <v>-21.604500000000002</v>
      </c>
      <c r="F8" s="1">
        <v>26.436399999999999</v>
      </c>
      <c r="G8" s="1">
        <v>4.6318200000000003</v>
      </c>
      <c r="I8" s="3">
        <v>1440</v>
      </c>
      <c r="J8" s="2">
        <v>3.01747E-3</v>
      </c>
      <c r="K8" s="2">
        <v>0.66159599999999996</v>
      </c>
      <c r="L8">
        <v>6.8707099999999993E-2</v>
      </c>
      <c r="M8" s="1">
        <v>0.40139200000000003</v>
      </c>
      <c r="N8" s="2">
        <v>0.20612129999999998</v>
      </c>
      <c r="O8" s="3">
        <v>1.2041760000000001</v>
      </c>
      <c r="P8">
        <v>-17.211400000000001</v>
      </c>
      <c r="Q8" s="3">
        <v>-18.415576000000001</v>
      </c>
      <c r="S8" s="3">
        <v>1640</v>
      </c>
      <c r="T8" s="2">
        <v>2.4676400000000001E-3</v>
      </c>
      <c r="U8" s="2">
        <v>-1.49502</v>
      </c>
    </row>
    <row r="9" spans="1:21" x14ac:dyDescent="0.15">
      <c r="A9" s="4">
        <v>315103</v>
      </c>
      <c r="B9" s="4">
        <v>4946634</v>
      </c>
      <c r="C9">
        <v>240</v>
      </c>
      <c r="D9">
        <v>851</v>
      </c>
      <c r="E9" s="1">
        <v>24.709099999999999</v>
      </c>
      <c r="F9" s="1">
        <v>-2.57273</v>
      </c>
      <c r="G9" s="1">
        <v>22.2364</v>
      </c>
      <c r="I9" s="3">
        <v>1500</v>
      </c>
      <c r="J9" s="2">
        <v>1.52553E-3</v>
      </c>
      <c r="K9" s="2">
        <v>0.53810400000000003</v>
      </c>
      <c r="L9">
        <v>1.61304E-2</v>
      </c>
      <c r="M9" s="1">
        <v>0.41752299999999998</v>
      </c>
      <c r="N9" s="2">
        <v>4.8391199999999995E-2</v>
      </c>
      <c r="O9" s="3">
        <v>1.2525689999999998</v>
      </c>
      <c r="P9">
        <v>8.3613400000000002</v>
      </c>
      <c r="Q9" s="3">
        <v>7.1087710000000008</v>
      </c>
      <c r="S9" s="3">
        <v>1700</v>
      </c>
      <c r="T9" s="2">
        <v>2.7632099999999999E-3</v>
      </c>
      <c r="U9" s="2">
        <v>-1.10884</v>
      </c>
    </row>
    <row r="10" spans="1:21" x14ac:dyDescent="0.15">
      <c r="A10" s="4">
        <v>315060</v>
      </c>
      <c r="B10" s="4">
        <v>4946724</v>
      </c>
      <c r="C10">
        <v>260</v>
      </c>
      <c r="D10">
        <v>855</v>
      </c>
      <c r="E10" s="1">
        <f>-2.47727</f>
        <v>-2.4772699999999999</v>
      </c>
      <c r="F10" s="1">
        <v>-7.4818199999999999</v>
      </c>
      <c r="G10" s="1">
        <v>-9.8590900000000001</v>
      </c>
      <c r="I10" s="3">
        <v>1500</v>
      </c>
      <c r="J10" s="2">
        <v>1.52553E-3</v>
      </c>
      <c r="K10" s="2">
        <v>0.53810400000000003</v>
      </c>
      <c r="L10">
        <v>1.4038699999999999E-2</v>
      </c>
      <c r="M10" s="1">
        <v>0.431562</v>
      </c>
      <c r="N10" s="2">
        <v>4.2116099999999997E-2</v>
      </c>
      <c r="O10" s="3">
        <v>1.294686</v>
      </c>
      <c r="P10">
        <v>5.8363399999999999</v>
      </c>
      <c r="Q10" s="3">
        <v>4.5416539999999994</v>
      </c>
      <c r="S10" s="3">
        <v>1720</v>
      </c>
      <c r="T10" s="2">
        <v>2.4917899999999998E-3</v>
      </c>
      <c r="U10" s="2">
        <v>-1.5062599999999999</v>
      </c>
    </row>
    <row r="11" spans="1:21" x14ac:dyDescent="0.15">
      <c r="A11" s="4">
        <v>315018</v>
      </c>
      <c r="B11" s="4">
        <v>4946815</v>
      </c>
      <c r="C11">
        <v>280</v>
      </c>
      <c r="D11">
        <v>858</v>
      </c>
      <c r="E11" s="1">
        <v>-7.7636399999999997</v>
      </c>
      <c r="F11" s="1">
        <v>2.2090900000000002</v>
      </c>
      <c r="G11" s="1">
        <v>-5.4545500000000002</v>
      </c>
      <c r="I11" s="3">
        <v>1500</v>
      </c>
      <c r="J11" s="2">
        <v>1.52553E-3</v>
      </c>
      <c r="K11" s="2">
        <v>0.53810400000000003</v>
      </c>
      <c r="L11">
        <v>1.61304E-2</v>
      </c>
      <c r="M11" s="1">
        <v>0.44769199999999998</v>
      </c>
      <c r="N11" s="2">
        <v>4.8391199999999995E-2</v>
      </c>
      <c r="O11" s="3">
        <v>1.3430759999999999</v>
      </c>
      <c r="P11">
        <v>-1.7863899999999999</v>
      </c>
      <c r="Q11" s="3">
        <v>-3.1294659999999999</v>
      </c>
      <c r="S11" s="3">
        <v>1740</v>
      </c>
      <c r="T11" s="2">
        <v>3.5617800000000001E-3</v>
      </c>
      <c r="U11" s="2">
        <v>-1.52935</v>
      </c>
    </row>
    <row r="12" spans="1:21" x14ac:dyDescent="0.15">
      <c r="A12" s="4">
        <v>314976</v>
      </c>
      <c r="B12" s="4">
        <v>4946905</v>
      </c>
      <c r="C12">
        <v>300</v>
      </c>
      <c r="D12">
        <v>900</v>
      </c>
      <c r="E12" s="1">
        <v>2.15</v>
      </c>
      <c r="F12" s="1">
        <v>3.5</v>
      </c>
      <c r="G12" s="1">
        <v>5.85</v>
      </c>
      <c r="I12" s="3">
        <v>1500</v>
      </c>
      <c r="J12" s="2">
        <v>1.52553E-3</v>
      </c>
      <c r="K12" s="2">
        <v>0.53810400000000003</v>
      </c>
      <c r="L12">
        <v>1.53486E-2</v>
      </c>
      <c r="M12" s="1">
        <v>0.46304099999999998</v>
      </c>
      <c r="N12" s="2">
        <v>4.6045799999999998E-2</v>
      </c>
      <c r="O12" s="3">
        <v>1.3891229999999999</v>
      </c>
      <c r="P12">
        <v>0.39315499999999998</v>
      </c>
      <c r="Q12" s="3">
        <v>-0.99596799999999996</v>
      </c>
      <c r="S12" s="3">
        <v>1800</v>
      </c>
      <c r="T12" s="2">
        <v>2.7813400000000002E-3</v>
      </c>
      <c r="U12" s="2">
        <v>-1.1277200000000001</v>
      </c>
    </row>
    <row r="13" spans="1:21" x14ac:dyDescent="0.15">
      <c r="A13" s="4">
        <v>314932</v>
      </c>
      <c r="B13" s="4">
        <v>4946997</v>
      </c>
      <c r="C13">
        <v>320</v>
      </c>
      <c r="D13">
        <v>903</v>
      </c>
      <c r="E13" s="1">
        <v>4.66364</v>
      </c>
      <c r="F13" s="1">
        <v>0.49090899999999998</v>
      </c>
      <c r="G13" s="1">
        <v>5.5545499999999999</v>
      </c>
      <c r="H13" t="s">
        <v>6</v>
      </c>
      <c r="I13" s="3">
        <v>1500</v>
      </c>
      <c r="J13" s="2">
        <v>1.52553E-3</v>
      </c>
      <c r="K13" s="2">
        <v>0.53810400000000003</v>
      </c>
      <c r="L13">
        <v>1.42924E-2</v>
      </c>
      <c r="M13" s="1">
        <v>0.47733300000000001</v>
      </c>
      <c r="N13" s="2">
        <v>4.2877200000000004E-2</v>
      </c>
      <c r="O13" s="3">
        <v>1.431999</v>
      </c>
      <c r="P13">
        <v>4.4749699999999999</v>
      </c>
      <c r="Q13" s="3">
        <v>3.0429709999999996</v>
      </c>
      <c r="S13" s="3">
        <v>1820</v>
      </c>
      <c r="T13" s="2">
        <v>2.5288099999999998E-3</v>
      </c>
      <c r="U13" s="2">
        <v>-1.52275</v>
      </c>
    </row>
    <row r="14" spans="1:21" x14ac:dyDescent="0.15">
      <c r="A14" s="4">
        <v>314890</v>
      </c>
      <c r="B14" s="4">
        <v>4947087</v>
      </c>
      <c r="C14">
        <v>340</v>
      </c>
      <c r="D14">
        <v>905</v>
      </c>
      <c r="E14" s="1">
        <v>1.0772699999999999</v>
      </c>
      <c r="F14" s="1">
        <v>1.1818200000000001</v>
      </c>
      <c r="G14" s="1">
        <v>2.3590900000000001</v>
      </c>
      <c r="I14" s="3">
        <v>1500</v>
      </c>
      <c r="J14" s="2">
        <v>1.52553E-3</v>
      </c>
      <c r="K14" s="2">
        <v>0.53810400000000003</v>
      </c>
      <c r="L14">
        <v>1.53486E-2</v>
      </c>
      <c r="M14" s="1">
        <v>0.49268200000000001</v>
      </c>
      <c r="N14" s="2">
        <v>4.6045799999999998E-2</v>
      </c>
      <c r="O14" s="3">
        <v>1.478046</v>
      </c>
      <c r="P14">
        <v>5.2590599999999998</v>
      </c>
      <c r="Q14" s="3">
        <v>3.7810139999999999</v>
      </c>
      <c r="S14" s="3">
        <v>1840</v>
      </c>
      <c r="T14" s="2">
        <v>5.6373300000000003E-3</v>
      </c>
      <c r="U14" s="2">
        <v>-0.69219600000000003</v>
      </c>
    </row>
    <row r="15" spans="1:21" x14ac:dyDescent="0.15">
      <c r="A15" s="4">
        <v>314848</v>
      </c>
      <c r="B15" s="4">
        <v>4947178</v>
      </c>
      <c r="C15">
        <v>360</v>
      </c>
      <c r="D15">
        <v>918</v>
      </c>
      <c r="E15" s="1">
        <v>1.09091</v>
      </c>
      <c r="F15" s="1">
        <v>-8.7272700000000007</v>
      </c>
      <c r="G15" s="1">
        <v>-7.2363600000000003</v>
      </c>
      <c r="I15" s="3">
        <v>1520</v>
      </c>
      <c r="J15" s="2">
        <v>2.4769900000000001E-3</v>
      </c>
      <c r="K15" s="2">
        <v>0.315554</v>
      </c>
      <c r="L15">
        <v>-2.89436E-2</v>
      </c>
      <c r="M15" s="1">
        <v>0.46373799999999998</v>
      </c>
      <c r="N15" s="2">
        <v>-8.68308E-2</v>
      </c>
      <c r="O15" s="3">
        <v>1.391214</v>
      </c>
      <c r="P15">
        <v>6.3954300000000002</v>
      </c>
      <c r="Q15" s="3">
        <v>5.0042160000000004</v>
      </c>
      <c r="S15" s="3">
        <v>1900</v>
      </c>
      <c r="T15" s="2">
        <v>3.3766299999999998E-3</v>
      </c>
      <c r="U15" s="2">
        <v>-0.85687199999999997</v>
      </c>
    </row>
    <row r="16" spans="1:21" x14ac:dyDescent="0.15">
      <c r="A16" s="4">
        <v>314805</v>
      </c>
      <c r="B16" s="4">
        <v>4947268</v>
      </c>
      <c r="C16">
        <v>380</v>
      </c>
      <c r="D16">
        <v>920</v>
      </c>
      <c r="E16" s="1">
        <f>-8.29545</f>
        <v>-8.2954500000000007</v>
      </c>
      <c r="F16" s="1">
        <v>-22.836400000000001</v>
      </c>
      <c r="G16" s="1">
        <v>-31.131799999999998</v>
      </c>
      <c r="I16" s="3">
        <v>1520</v>
      </c>
      <c r="J16" s="2">
        <v>2.4769900000000001E-3</v>
      </c>
      <c r="K16" s="2">
        <v>0.315554</v>
      </c>
      <c r="L16">
        <v>-3.2066999999999998E-2</v>
      </c>
      <c r="M16" s="1">
        <v>0.43167100000000003</v>
      </c>
      <c r="N16" s="2">
        <v>-9.6200999999999995E-2</v>
      </c>
      <c r="O16" s="3">
        <v>1.295013</v>
      </c>
      <c r="P16">
        <v>-2.1159300000000001</v>
      </c>
      <c r="Q16" s="3">
        <v>-3.4109430000000001</v>
      </c>
      <c r="S16" s="3">
        <v>1920</v>
      </c>
      <c r="T16" s="2">
        <v>1.2265699999999999E-2</v>
      </c>
      <c r="U16" s="2">
        <v>-1.7373499999999999</v>
      </c>
    </row>
    <row r="17" spans="1:21" x14ac:dyDescent="0.15">
      <c r="A17" s="4">
        <v>314762</v>
      </c>
      <c r="B17" s="4">
        <v>4947359</v>
      </c>
      <c r="C17">
        <v>400</v>
      </c>
      <c r="D17">
        <v>928</v>
      </c>
      <c r="E17" s="1">
        <v>-22.2818</v>
      </c>
      <c r="F17" s="1">
        <v>20.454499999999999</v>
      </c>
      <c r="G17" s="1">
        <v>-2.0272700000000001</v>
      </c>
      <c r="I17" s="3">
        <v>1520</v>
      </c>
      <c r="J17" s="2">
        <v>2.4769900000000001E-3</v>
      </c>
      <c r="K17" s="2">
        <v>0.315554</v>
      </c>
      <c r="L17">
        <v>-3.1298300000000001E-2</v>
      </c>
      <c r="M17" s="1">
        <v>0.40037299999999998</v>
      </c>
      <c r="N17" s="2">
        <v>-9.3894900000000003E-2</v>
      </c>
      <c r="O17" s="3">
        <v>1.2011189999999998</v>
      </c>
      <c r="P17">
        <v>-24.675000000000001</v>
      </c>
      <c r="Q17" s="3">
        <v>-25.876118999999999</v>
      </c>
      <c r="S17" s="3">
        <v>1940</v>
      </c>
      <c r="T17" s="2">
        <v>4.8295300000000003E-3</v>
      </c>
      <c r="U17" s="2">
        <v>-1.3352599999999999</v>
      </c>
    </row>
    <row r="18" spans="1:21" x14ac:dyDescent="0.15">
      <c r="A18" s="4">
        <v>314721</v>
      </c>
      <c r="B18" s="4">
        <v>4947450</v>
      </c>
      <c r="C18">
        <v>420</v>
      </c>
      <c r="D18">
        <v>930</v>
      </c>
      <c r="E18" s="1">
        <v>21.431799999999999</v>
      </c>
      <c r="F18" s="1">
        <v>8.6454500000000003</v>
      </c>
      <c r="G18" s="1">
        <v>30.177299999999999</v>
      </c>
      <c r="I18" s="3">
        <v>1520</v>
      </c>
      <c r="J18" s="2">
        <v>2.4769900000000001E-3</v>
      </c>
      <c r="K18" s="2">
        <v>0.315554</v>
      </c>
      <c r="L18">
        <v>-2.6588899999999999E-2</v>
      </c>
      <c r="M18" s="1">
        <v>0.37378400000000001</v>
      </c>
      <c r="N18" s="2">
        <v>-7.9766699999999996E-2</v>
      </c>
      <c r="O18" s="3">
        <v>1.1213519999999999</v>
      </c>
      <c r="P18">
        <v>-3.7318799999999999</v>
      </c>
      <c r="Q18" s="3">
        <v>-4.8532320000000002</v>
      </c>
      <c r="S18" s="3">
        <v>2000</v>
      </c>
      <c r="T18" s="2">
        <v>2.5918400000000002E-3</v>
      </c>
      <c r="U18" s="2">
        <v>-1.5491200000000001</v>
      </c>
    </row>
    <row r="19" spans="1:21" x14ac:dyDescent="0.15">
      <c r="A19" s="4">
        <v>314678</v>
      </c>
      <c r="B19" s="4">
        <v>4947540</v>
      </c>
      <c r="C19">
        <v>440</v>
      </c>
      <c r="D19">
        <v>932</v>
      </c>
      <c r="E19" s="1">
        <v>7.8454499999999996</v>
      </c>
      <c r="F19" s="1">
        <v>-11.3636</v>
      </c>
      <c r="G19" s="1">
        <v>-4.0181800000000001</v>
      </c>
      <c r="I19" s="3">
        <v>1540</v>
      </c>
      <c r="J19" s="2">
        <v>2.4605999999999999E-3</v>
      </c>
      <c r="K19" s="2">
        <v>0.31216300000000002</v>
      </c>
      <c r="L19">
        <v>-3.2679899999999998E-2</v>
      </c>
      <c r="M19" s="1">
        <v>0.34110400000000002</v>
      </c>
      <c r="N19" s="2">
        <v>-9.8039699999999994E-2</v>
      </c>
      <c r="O19" s="3">
        <v>1.023312</v>
      </c>
      <c r="P19">
        <v>4.5135699999999996</v>
      </c>
      <c r="Q19" s="3">
        <v>3.4902579999999999</v>
      </c>
      <c r="S19" s="3">
        <v>2020</v>
      </c>
      <c r="T19" s="2">
        <v>2.7950900000000001E-3</v>
      </c>
      <c r="U19" s="2">
        <v>-1.94235</v>
      </c>
    </row>
    <row r="20" spans="1:21" x14ac:dyDescent="0.15">
      <c r="A20" s="4">
        <v>314634</v>
      </c>
      <c r="B20" s="4">
        <v>4947631</v>
      </c>
      <c r="C20">
        <v>460</v>
      </c>
      <c r="D20">
        <v>940</v>
      </c>
      <c r="E20" s="1">
        <v>-11.3409</v>
      </c>
      <c r="F20" s="1">
        <v>0.127273</v>
      </c>
      <c r="G20" s="1">
        <v>-11.2136</v>
      </c>
      <c r="I20" s="3">
        <v>1540</v>
      </c>
      <c r="J20" s="2">
        <v>2.4605999999999999E-3</v>
      </c>
      <c r="K20" s="2">
        <v>0.31216300000000002</v>
      </c>
      <c r="L20">
        <v>-3.4265900000000002E-2</v>
      </c>
      <c r="M20" s="1">
        <v>0.306838</v>
      </c>
      <c r="N20" s="2">
        <v>-0.10279770000000001</v>
      </c>
      <c r="O20" s="3">
        <v>0.92051400000000005</v>
      </c>
      <c r="P20">
        <v>-6.8386800000000001</v>
      </c>
      <c r="Q20" s="3">
        <v>-7.7591939999999999</v>
      </c>
      <c r="S20" s="3">
        <v>2040</v>
      </c>
      <c r="T20" s="2">
        <v>2.6175600000000001E-3</v>
      </c>
      <c r="U20" s="2">
        <v>-1.55932</v>
      </c>
    </row>
    <row r="21" spans="1:21" x14ac:dyDescent="0.15">
      <c r="A21" s="4">
        <v>314593</v>
      </c>
      <c r="B21" s="4">
        <v>4947721</v>
      </c>
      <c r="C21">
        <v>480</v>
      </c>
      <c r="D21">
        <v>944</v>
      </c>
      <c r="E21" s="1">
        <v>0.87272700000000003</v>
      </c>
      <c r="F21" s="1">
        <v>17.7182</v>
      </c>
      <c r="G21" s="1">
        <v>18.590900000000001</v>
      </c>
      <c r="I21" s="3">
        <v>1540</v>
      </c>
      <c r="J21" s="2">
        <v>2.4605999999999999E-3</v>
      </c>
      <c r="K21" s="2">
        <v>0.31216300000000002</v>
      </c>
      <c r="L21">
        <v>-2.7996500000000001E-2</v>
      </c>
      <c r="M21" s="1">
        <v>0.27884100000000001</v>
      </c>
      <c r="N21" s="2">
        <v>-8.3989499999999995E-2</v>
      </c>
      <c r="O21" s="3">
        <v>0.83652300000000002</v>
      </c>
      <c r="P21">
        <v>-6.3386800000000001</v>
      </c>
      <c r="Q21" s="3">
        <v>-7.1752029999999998</v>
      </c>
      <c r="S21" s="3">
        <v>2100</v>
      </c>
      <c r="T21" s="2">
        <v>1.9039700000000001E-3</v>
      </c>
      <c r="U21" s="2">
        <v>-0.97090600000000005</v>
      </c>
    </row>
    <row r="22" spans="1:21" x14ac:dyDescent="0.15">
      <c r="A22" s="4">
        <v>314550</v>
      </c>
      <c r="B22" s="4">
        <v>4947811</v>
      </c>
      <c r="C22">
        <v>500</v>
      </c>
      <c r="D22">
        <v>947</v>
      </c>
      <c r="E22" s="1">
        <v>17.4864</v>
      </c>
      <c r="F22" s="1">
        <v>-19.190899999999999</v>
      </c>
      <c r="G22" s="1">
        <v>-1.6045499999999999</v>
      </c>
      <c r="I22" s="3">
        <v>1540</v>
      </c>
      <c r="J22" s="2">
        <v>2.4605999999999999E-3</v>
      </c>
      <c r="K22" s="2">
        <v>0.31216300000000002</v>
      </c>
      <c r="L22">
        <v>-3.2679899999999998E-2</v>
      </c>
      <c r="M22" s="1">
        <v>0.24616199999999999</v>
      </c>
      <c r="N22" s="2">
        <v>-9.8039699999999994E-2</v>
      </c>
      <c r="O22" s="3">
        <v>0.73848599999999998</v>
      </c>
      <c r="P22">
        <v>11.2636</v>
      </c>
      <c r="Q22" s="3">
        <v>10.525114</v>
      </c>
      <c r="S22" s="3">
        <v>2120</v>
      </c>
      <c r="T22" s="2">
        <v>1.90741E-3</v>
      </c>
      <c r="U22" s="2">
        <v>-0.98043800000000003</v>
      </c>
    </row>
    <row r="23" spans="1:21" x14ac:dyDescent="0.15">
      <c r="A23" s="4">
        <v>314507</v>
      </c>
      <c r="B23" s="4">
        <v>4947903</v>
      </c>
      <c r="C23">
        <v>520</v>
      </c>
      <c r="E23" s="1">
        <v>-18.100000000000001</v>
      </c>
      <c r="F23" s="1">
        <v>7.6954500000000001</v>
      </c>
      <c r="G23" s="1">
        <v>-10.0045</v>
      </c>
      <c r="I23" s="3">
        <v>1600</v>
      </c>
      <c r="J23" s="2">
        <v>2.3499599999999999E-3</v>
      </c>
      <c r="K23" s="2">
        <v>-0.13506099999999999</v>
      </c>
      <c r="L23">
        <v>-0.12923899999999999</v>
      </c>
      <c r="M23" s="1">
        <v>0.116922</v>
      </c>
      <c r="N23" s="2">
        <v>-0.38771699999999998</v>
      </c>
      <c r="O23" s="3">
        <v>0.35076600000000002</v>
      </c>
      <c r="P23">
        <v>-7.3818299999999999</v>
      </c>
      <c r="Q23" s="3">
        <v>-7.732596</v>
      </c>
      <c r="T23" s="2"/>
      <c r="U23" s="2"/>
    </row>
    <row r="24" spans="1:21" x14ac:dyDescent="0.15">
      <c r="A24" s="4">
        <v>314464</v>
      </c>
      <c r="B24" s="4">
        <v>4947993</v>
      </c>
      <c r="C24">
        <v>540</v>
      </c>
      <c r="D24">
        <v>1006</v>
      </c>
      <c r="E24" s="1">
        <v>6.5</v>
      </c>
      <c r="F24" s="1">
        <v>-4.5090899999999996</v>
      </c>
      <c r="G24" s="1">
        <v>1.99091</v>
      </c>
      <c r="I24" s="3">
        <v>1600</v>
      </c>
      <c r="J24" s="2">
        <v>2.3499599999999999E-3</v>
      </c>
      <c r="K24" s="2">
        <v>-0.13506099999999999</v>
      </c>
      <c r="L24">
        <f>-0.128606</f>
        <v>-0.128606</v>
      </c>
      <c r="M24" s="1">
        <v>-1.16837E-2</v>
      </c>
      <c r="N24" s="2">
        <f>(-0.128606)*3</f>
        <v>-0.38581799999999999</v>
      </c>
      <c r="O24" s="3">
        <v>-3.5051100000000002E-2</v>
      </c>
      <c r="P24">
        <v>-0.28410600000000003</v>
      </c>
      <c r="Q24" s="3">
        <v>-0.24905490000000002</v>
      </c>
      <c r="S24" s="3">
        <v>2040</v>
      </c>
      <c r="T24" s="2">
        <v>2.6175600000000001E-3</v>
      </c>
      <c r="U24" s="2">
        <v>-1.55932</v>
      </c>
    </row>
    <row r="25" spans="1:21" x14ac:dyDescent="0.15">
      <c r="A25" s="4">
        <v>314422</v>
      </c>
      <c r="B25" s="4">
        <v>4948084</v>
      </c>
      <c r="C25">
        <v>560</v>
      </c>
      <c r="D25">
        <v>1010</v>
      </c>
      <c r="E25" s="1">
        <v>-5.6</v>
      </c>
      <c r="F25" s="1">
        <v>1.38636</v>
      </c>
      <c r="G25" s="1">
        <v>-4.1136400000000002</v>
      </c>
      <c r="H25" t="s">
        <v>7</v>
      </c>
      <c r="I25" s="3">
        <v>1600</v>
      </c>
      <c r="J25" s="2">
        <v>2.3499599999999999E-3</v>
      </c>
      <c r="K25" s="2">
        <v>-0.13506099999999999</v>
      </c>
      <c r="L25">
        <f>-0.126594</f>
        <v>-0.12659400000000001</v>
      </c>
      <c r="M25" s="1">
        <v>-0.13827800000000001</v>
      </c>
      <c r="N25" s="2">
        <f>(-0.126594)*3</f>
        <v>-0.37978200000000006</v>
      </c>
      <c r="O25" s="3">
        <v>-0.41483400000000004</v>
      </c>
      <c r="P25">
        <v>-5.3386500000000003</v>
      </c>
      <c r="Q25" s="3">
        <v>-4.9238160000000004</v>
      </c>
      <c r="S25" s="3">
        <v>2100</v>
      </c>
      <c r="T25" s="2">
        <v>1.9039700000000001E-3</v>
      </c>
      <c r="U25" s="2">
        <v>-0.97090600000000005</v>
      </c>
    </row>
    <row r="26" spans="1:21" x14ac:dyDescent="0.15">
      <c r="A26" s="4">
        <v>314380</v>
      </c>
      <c r="B26" s="4">
        <v>4948174</v>
      </c>
      <c r="C26">
        <v>580</v>
      </c>
      <c r="D26">
        <v>1018</v>
      </c>
      <c r="E26" s="1">
        <f>-7</f>
        <v>-7</v>
      </c>
      <c r="F26" s="1">
        <v>-2.3181799999999999</v>
      </c>
      <c r="G26" s="1">
        <v>-8.9181799999999996</v>
      </c>
      <c r="H26" t="s">
        <v>7</v>
      </c>
      <c r="I26" s="3">
        <v>1620</v>
      </c>
      <c r="J26" s="2">
        <v>1.87338E-3</v>
      </c>
      <c r="K26" s="2">
        <v>-0.83476899999999998</v>
      </c>
      <c r="L26">
        <f>-0.177783</f>
        <v>-0.177783</v>
      </c>
      <c r="M26" s="1">
        <v>-0.31606000000000001</v>
      </c>
      <c r="N26" s="2">
        <f>(-0.177783)*3</f>
        <v>-0.53334899999999996</v>
      </c>
      <c r="O26" s="3">
        <v>-0.94818000000000002</v>
      </c>
      <c r="P26">
        <v>-8.1454699999999995</v>
      </c>
      <c r="Q26" s="3">
        <v>-7.1972899999999997</v>
      </c>
      <c r="S26" s="3">
        <v>2120</v>
      </c>
      <c r="T26" s="2">
        <v>1.90741E-3</v>
      </c>
      <c r="U26" s="2">
        <v>-0.98043800000000003</v>
      </c>
    </row>
    <row r="27" spans="1:21" x14ac:dyDescent="0.15">
      <c r="A27" s="4">
        <v>314338</v>
      </c>
      <c r="B27" s="4">
        <v>4948265</v>
      </c>
      <c r="C27">
        <v>600</v>
      </c>
      <c r="D27">
        <v>1050</v>
      </c>
      <c r="E27" s="1">
        <v>-4.2</v>
      </c>
      <c r="F27" s="1">
        <v>1.0772699999999999</v>
      </c>
      <c r="G27" s="1">
        <v>-3.9227300000000001</v>
      </c>
      <c r="I27" s="3">
        <v>1640</v>
      </c>
      <c r="J27" s="2">
        <v>2.4676400000000001E-3</v>
      </c>
      <c r="K27" s="2">
        <v>-1.49502</v>
      </c>
      <c r="L27">
        <f>-0.231757</f>
        <v>-0.23175699999999999</v>
      </c>
      <c r="M27" s="1">
        <v>-0.547817</v>
      </c>
      <c r="N27" s="2">
        <f>(-0.231757)*3</f>
        <v>-0.69527099999999997</v>
      </c>
      <c r="O27" s="3">
        <v>-1.643451</v>
      </c>
      <c r="P27">
        <v>-11.4046</v>
      </c>
      <c r="Q27" s="3">
        <v>-9.7611489999999996</v>
      </c>
      <c r="S27" s="3">
        <v>2140</v>
      </c>
      <c r="T27" s="2">
        <v>2.8560999999999999E-3</v>
      </c>
      <c r="U27" s="2">
        <v>-1.1948000000000001</v>
      </c>
    </row>
    <row r="28" spans="1:21" x14ac:dyDescent="0.15">
      <c r="A28" s="4">
        <v>314295</v>
      </c>
      <c r="B28" s="4">
        <v>4948356</v>
      </c>
      <c r="C28">
        <v>620</v>
      </c>
      <c r="D28">
        <v>1100</v>
      </c>
      <c r="E28" s="1">
        <v>0.5</v>
      </c>
      <c r="F28" s="1">
        <v>2.57273</v>
      </c>
      <c r="G28" s="1">
        <v>2.9727299999999999</v>
      </c>
      <c r="I28" s="3">
        <v>1700</v>
      </c>
      <c r="J28" s="2">
        <v>2.7632099999999999E-3</v>
      </c>
      <c r="K28" s="2">
        <v>-1.10884</v>
      </c>
      <c r="L28">
        <f>-0.278053</f>
        <v>-0.27805299999999999</v>
      </c>
      <c r="M28" s="1">
        <v>-0.82586999999999999</v>
      </c>
      <c r="N28" s="2">
        <f>(-0.278053)*3</f>
        <v>-0.83415899999999998</v>
      </c>
      <c r="O28" s="3">
        <v>-2.4776099999999999</v>
      </c>
      <c r="P28">
        <v>-10.6159</v>
      </c>
      <c r="Q28" s="3">
        <v>-8.1382899999999996</v>
      </c>
      <c r="S28" s="3">
        <v>2200</v>
      </c>
      <c r="T28" s="2">
        <v>1.91494E-3</v>
      </c>
      <c r="U28" s="2">
        <v>-0.99937799999999999</v>
      </c>
    </row>
    <row r="29" spans="1:21" x14ac:dyDescent="0.15">
      <c r="A29" s="4">
        <v>314252</v>
      </c>
      <c r="B29" s="4">
        <v>4948447</v>
      </c>
      <c r="C29">
        <v>640</v>
      </c>
      <c r="D29">
        <v>1104</v>
      </c>
      <c r="E29" s="1">
        <v>1.3</v>
      </c>
      <c r="F29" s="1">
        <v>-17.431799999999999</v>
      </c>
      <c r="G29" s="1">
        <v>-16.0318</v>
      </c>
      <c r="I29" s="3">
        <v>1700</v>
      </c>
      <c r="J29" s="2">
        <v>2.7632099999999999E-3</v>
      </c>
      <c r="K29" s="2">
        <v>-1.10884</v>
      </c>
      <c r="L29">
        <f>-0.278053</f>
        <v>-0.27805299999999999</v>
      </c>
      <c r="M29" s="1">
        <v>-1.10392</v>
      </c>
      <c r="N29" s="2">
        <f>(-0.278053)*3</f>
        <v>-0.83415899999999998</v>
      </c>
      <c r="O29" s="3">
        <v>-3.31176</v>
      </c>
      <c r="P29">
        <v>-8.6795600000000004</v>
      </c>
      <c r="Q29" s="3">
        <v>-5.3678000000000008</v>
      </c>
      <c r="S29" s="3">
        <v>2220</v>
      </c>
      <c r="T29" s="2">
        <v>1.9189400000000001E-3</v>
      </c>
      <c r="U29" s="2">
        <v>-1.00875</v>
      </c>
    </row>
    <row r="30" spans="1:21" x14ac:dyDescent="0.15">
      <c r="A30" s="4">
        <v>314211</v>
      </c>
      <c r="B30" s="4">
        <v>4948537</v>
      </c>
      <c r="C30">
        <v>660</v>
      </c>
      <c r="D30">
        <v>1106</v>
      </c>
      <c r="E30" s="1">
        <v>-16.3</v>
      </c>
      <c r="F30" s="1">
        <v>8.8636400000000002</v>
      </c>
      <c r="G30" s="1">
        <v>-7.5363600000000002</v>
      </c>
      <c r="I30" s="3">
        <v>1700</v>
      </c>
      <c r="J30" s="2">
        <v>2.7632099999999999E-3</v>
      </c>
      <c r="K30" s="2">
        <v>-1.10884</v>
      </c>
      <c r="L30">
        <f>-0.273116</f>
        <v>-0.27311600000000003</v>
      </c>
      <c r="M30" s="1">
        <v>-1.37704</v>
      </c>
      <c r="N30" s="2">
        <f>(-0.273116)*3</f>
        <v>-0.81934800000000008</v>
      </c>
      <c r="O30" s="3">
        <v>-4.1311200000000001</v>
      </c>
      <c r="P30">
        <v>-25.545500000000001</v>
      </c>
      <c r="Q30" s="3">
        <v>-21.414380000000001</v>
      </c>
      <c r="S30" s="3">
        <v>2240</v>
      </c>
      <c r="T30" s="2">
        <v>1.92314E-3</v>
      </c>
      <c r="U30" s="2">
        <v>-1.01816</v>
      </c>
    </row>
    <row r="31" spans="1:21" x14ac:dyDescent="0.15">
      <c r="A31" s="4">
        <v>314168</v>
      </c>
      <c r="B31" s="4">
        <v>4948627</v>
      </c>
      <c r="C31">
        <v>680</v>
      </c>
      <c r="D31">
        <v>1110</v>
      </c>
      <c r="E31" s="1">
        <v>7.9</v>
      </c>
      <c r="F31" s="1">
        <v>-16.140899999999998</v>
      </c>
      <c r="G31" s="1">
        <v>-8.0409100000000002</v>
      </c>
      <c r="I31" s="3">
        <v>1700</v>
      </c>
      <c r="J31" s="2">
        <v>2.7632099999999999E-3</v>
      </c>
      <c r="K31" s="2">
        <v>-1.10884</v>
      </c>
      <c r="L31">
        <f>-0.275579</f>
        <v>-0.27557900000000002</v>
      </c>
      <c r="M31" s="1">
        <v>-1.65262</v>
      </c>
      <c r="N31" s="2">
        <f>(-0.275579)*3</f>
        <v>-0.82673700000000006</v>
      </c>
      <c r="O31" s="3">
        <v>-4.9578600000000002</v>
      </c>
      <c r="P31">
        <v>-17.163599999999999</v>
      </c>
      <c r="Q31" s="3">
        <v>-12.205739999999999</v>
      </c>
      <c r="S31" s="3">
        <v>2300</v>
      </c>
      <c r="T31" s="2">
        <v>1.9937000000000002E-3</v>
      </c>
      <c r="U31" s="2">
        <v>-2.1668500000000002</v>
      </c>
    </row>
    <row r="32" spans="1:21" x14ac:dyDescent="0.15">
      <c r="A32" s="4">
        <v>314126</v>
      </c>
      <c r="B32" s="4">
        <v>4948719</v>
      </c>
      <c r="C32">
        <v>700</v>
      </c>
      <c r="D32">
        <v>1112</v>
      </c>
      <c r="E32" s="1">
        <f>-18.9</f>
        <v>-18.899999999999999</v>
      </c>
      <c r="F32" s="1">
        <v>-0.74545499999999998</v>
      </c>
      <c r="G32" s="1">
        <v>-19.545500000000001</v>
      </c>
      <c r="I32" s="3">
        <v>1720</v>
      </c>
      <c r="J32" s="2">
        <v>2.4917899999999998E-3</v>
      </c>
      <c r="K32" s="2">
        <v>-1.5062599999999999</v>
      </c>
      <c r="L32">
        <f>-0.235517</f>
        <v>-0.235517</v>
      </c>
      <c r="M32" s="1">
        <v>-1.8881300000000001</v>
      </c>
      <c r="N32" s="2">
        <f>(-0.235517)*3</f>
        <v>-0.70655100000000004</v>
      </c>
      <c r="O32" s="3">
        <v>-5.66439</v>
      </c>
      <c r="P32">
        <v>-34.684100000000001</v>
      </c>
      <c r="Q32" s="3">
        <v>-29.01971</v>
      </c>
      <c r="S32" s="3">
        <v>2320</v>
      </c>
      <c r="T32" s="2">
        <v>1.15409E-3</v>
      </c>
      <c r="U32" s="2">
        <v>-0.55083199999999999</v>
      </c>
    </row>
    <row r="33" spans="1:21" x14ac:dyDescent="0.15">
      <c r="A33" s="4">
        <v>314084</v>
      </c>
      <c r="B33" s="4">
        <v>4948810</v>
      </c>
      <c r="C33">
        <v>720</v>
      </c>
      <c r="D33">
        <v>1115</v>
      </c>
      <c r="E33" s="1">
        <v>-1.2</v>
      </c>
      <c r="F33" s="1">
        <v>11.65</v>
      </c>
      <c r="G33" s="1">
        <v>10.25</v>
      </c>
      <c r="I33" s="3">
        <v>1720</v>
      </c>
      <c r="J33" s="2">
        <v>2.4917899999999998E-3</v>
      </c>
      <c r="K33" s="2">
        <v>-1.5062599999999999</v>
      </c>
      <c r="L33">
        <f>-0.23303</f>
        <v>-0.23302999999999999</v>
      </c>
      <c r="M33" s="1">
        <v>-2.1211600000000002</v>
      </c>
      <c r="N33" s="2">
        <f>(-0.23303)*3</f>
        <v>-0.69908999999999999</v>
      </c>
      <c r="O33" s="3">
        <v>-6.3634800000000009</v>
      </c>
      <c r="P33">
        <v>-35.656799999999997</v>
      </c>
      <c r="Q33" s="3">
        <v>-29.293319999999994</v>
      </c>
      <c r="S33" s="3">
        <v>2340</v>
      </c>
      <c r="T33" s="2">
        <v>1.14996E-3</v>
      </c>
      <c r="U33" s="2">
        <v>-0.56640599999999997</v>
      </c>
    </row>
    <row r="34" spans="1:21" x14ac:dyDescent="0.15">
      <c r="A34" s="4">
        <v>314040</v>
      </c>
      <c r="B34" s="4">
        <v>4948900</v>
      </c>
      <c r="C34">
        <v>740</v>
      </c>
      <c r="D34">
        <v>1120</v>
      </c>
      <c r="E34" s="1">
        <v>10.1</v>
      </c>
      <c r="F34" s="1">
        <v>1.04545</v>
      </c>
      <c r="G34" s="1">
        <v>11.2455</v>
      </c>
      <c r="I34" s="3">
        <v>1720</v>
      </c>
      <c r="J34" s="2">
        <v>2.4917899999999998E-3</v>
      </c>
      <c r="K34" s="2">
        <v>-1.5062599999999999</v>
      </c>
      <c r="L34">
        <f>-0.230865</f>
        <v>-0.23086499999999999</v>
      </c>
      <c r="M34" s="1">
        <v>-2.3520300000000001</v>
      </c>
      <c r="N34" s="2">
        <f>(-0.230865)*3</f>
        <v>-0.69259499999999996</v>
      </c>
      <c r="O34" s="3">
        <v>-7.0560900000000002</v>
      </c>
      <c r="P34">
        <v>-24.7818</v>
      </c>
      <c r="Q34" s="3">
        <v>-17.725709999999999</v>
      </c>
      <c r="S34" s="3">
        <v>0</v>
      </c>
      <c r="T34" s="2">
        <v>1.1460800000000001E-3</v>
      </c>
      <c r="U34" s="2">
        <v>-0.58221699999999998</v>
      </c>
    </row>
    <row r="35" spans="1:21" x14ac:dyDescent="0.15">
      <c r="A35" s="4">
        <v>313998</v>
      </c>
      <c r="B35" s="4">
        <v>4948991</v>
      </c>
      <c r="C35">
        <v>760</v>
      </c>
      <c r="D35">
        <v>1123</v>
      </c>
      <c r="E35" s="1">
        <v>1.6</v>
      </c>
      <c r="F35" s="1">
        <v>-3.15909</v>
      </c>
      <c r="G35" s="1">
        <v>-1.95909</v>
      </c>
      <c r="I35" s="3">
        <v>1720</v>
      </c>
      <c r="J35" s="2">
        <v>2.4917899999999998E-3</v>
      </c>
      <c r="K35" s="2">
        <v>-1.5062599999999999</v>
      </c>
      <c r="L35">
        <f>-0.23303</f>
        <v>-0.23302999999999999</v>
      </c>
      <c r="M35" s="1">
        <v>-2.5850599999999999</v>
      </c>
      <c r="N35" s="2">
        <f>(-0.23303)*3</f>
        <v>-0.69908999999999999</v>
      </c>
      <c r="O35" s="3">
        <v>-7.7551799999999993</v>
      </c>
      <c r="P35">
        <v>-23.459099999999999</v>
      </c>
      <c r="Q35" s="3">
        <v>-15.70392</v>
      </c>
      <c r="S35" s="3">
        <v>20</v>
      </c>
      <c r="T35" s="2">
        <v>6.0676000000000003E-3</v>
      </c>
      <c r="U35" s="2">
        <v>-2.6691400000000001</v>
      </c>
    </row>
    <row r="36" spans="1:21" x14ac:dyDescent="0.15">
      <c r="A36" s="4">
        <v>313955</v>
      </c>
      <c r="B36" s="4">
        <v>4949081</v>
      </c>
      <c r="C36">
        <v>780</v>
      </c>
      <c r="D36">
        <v>1125</v>
      </c>
      <c r="E36" s="1">
        <f>-3.5</f>
        <v>-3.5</v>
      </c>
      <c r="F36" s="1">
        <v>-15.3636</v>
      </c>
      <c r="G36" s="1">
        <v>-19.163599999999999</v>
      </c>
      <c r="I36" s="3">
        <v>1720</v>
      </c>
      <c r="J36" s="2">
        <v>2.4917899999999998E-3</v>
      </c>
      <c r="K36" s="2">
        <v>-1.5062599999999999</v>
      </c>
      <c r="L36">
        <f>-0.230704</f>
        <v>-0.23070399999999999</v>
      </c>
      <c r="M36" s="1">
        <v>-2.81576</v>
      </c>
      <c r="N36" s="2">
        <f>(-0.230704)*3</f>
        <v>-0.69211199999999995</v>
      </c>
      <c r="O36" s="3">
        <v>-8.4472799999999992</v>
      </c>
      <c r="P36">
        <v>-26.788599999999999</v>
      </c>
      <c r="Q36" s="3">
        <v>-18.34132</v>
      </c>
      <c r="S36" s="3">
        <v>40</v>
      </c>
      <c r="T36" s="2">
        <v>1.7200099999999999E-3</v>
      </c>
      <c r="U36" s="2">
        <v>-1.6444799999999999</v>
      </c>
    </row>
    <row r="37" spans="1:21" x14ac:dyDescent="0.15">
      <c r="A37" s="4">
        <v>313912</v>
      </c>
      <c r="B37" s="4">
        <v>4949171</v>
      </c>
      <c r="C37">
        <v>800</v>
      </c>
      <c r="D37">
        <v>1127</v>
      </c>
      <c r="E37" s="1">
        <v>-16.899999999999999</v>
      </c>
      <c r="F37" s="1">
        <v>18.331800000000001</v>
      </c>
      <c r="G37" s="1">
        <v>1.53182</v>
      </c>
      <c r="I37" s="3">
        <v>1720</v>
      </c>
      <c r="J37" s="2">
        <v>2.4917899999999998E-3</v>
      </c>
      <c r="K37" s="2">
        <v>-1.5062599999999999</v>
      </c>
      <c r="L37">
        <f>-0.230704</f>
        <v>-0.23070399999999999</v>
      </c>
      <c r="M37" s="1">
        <v>-3.0464699999999998</v>
      </c>
      <c r="N37" s="2">
        <f>(-0.230704)*3</f>
        <v>-0.69211199999999995</v>
      </c>
      <c r="O37" s="3">
        <v>-9.1394099999999998</v>
      </c>
      <c r="P37">
        <v>-42.920400000000001</v>
      </c>
      <c r="Q37" s="3">
        <v>-33.780990000000003</v>
      </c>
      <c r="S37" s="3">
        <v>100</v>
      </c>
      <c r="T37" s="2">
        <v>6.8381699999999998E-4</v>
      </c>
      <c r="U37" s="2">
        <v>-1.7766</v>
      </c>
    </row>
    <row r="38" spans="1:21" x14ac:dyDescent="0.15">
      <c r="A38" s="4">
        <v>313870</v>
      </c>
      <c r="B38" s="4">
        <v>4949261</v>
      </c>
      <c r="C38">
        <v>820</v>
      </c>
      <c r="D38">
        <v>1130</v>
      </c>
      <c r="E38" s="1">
        <v>19.100000000000001</v>
      </c>
      <c r="F38" s="1">
        <v>-17.2727</v>
      </c>
      <c r="G38" s="1">
        <v>2.1272700000000002</v>
      </c>
      <c r="I38" s="3">
        <v>1720</v>
      </c>
      <c r="J38" s="2">
        <v>2.4917899999999998E-3</v>
      </c>
      <c r="K38" s="2">
        <v>-1.5062599999999999</v>
      </c>
      <c r="L38">
        <f>-0.230544</f>
        <v>-0.230544</v>
      </c>
      <c r="M38" s="1">
        <v>-3.2770100000000002</v>
      </c>
      <c r="N38" s="2">
        <f>(-0.230544)*3</f>
        <v>-0.69163200000000002</v>
      </c>
      <c r="O38" s="3">
        <v>-9.8310300000000002</v>
      </c>
      <c r="P38">
        <v>-24.204499999999999</v>
      </c>
      <c r="Q38" s="3">
        <v>-14.373469999999999</v>
      </c>
      <c r="S38" s="3">
        <v>120</v>
      </c>
      <c r="T38" s="2">
        <v>1.13353E-3</v>
      </c>
      <c r="U38" s="2">
        <v>-0.64602899999999996</v>
      </c>
    </row>
    <row r="39" spans="1:21" x14ac:dyDescent="0.15">
      <c r="A39" s="4">
        <v>313828</v>
      </c>
      <c r="B39" s="4">
        <v>4949352</v>
      </c>
      <c r="C39">
        <v>840</v>
      </c>
      <c r="D39">
        <v>1132</v>
      </c>
      <c r="E39" s="1">
        <v>-19.100000000000001</v>
      </c>
      <c r="F39" s="1">
        <v>10.5227</v>
      </c>
      <c r="G39" s="1">
        <v>-8.8772699999999993</v>
      </c>
      <c r="I39" s="3">
        <v>1740</v>
      </c>
      <c r="J39" s="2">
        <v>3.5617800000000001E-3</v>
      </c>
      <c r="K39" s="2">
        <v>-1.52935</v>
      </c>
      <c r="L39">
        <f>-0.330042</f>
        <v>-0.330042</v>
      </c>
      <c r="M39" s="1">
        <v>-3.6070500000000001</v>
      </c>
      <c r="N39" s="2">
        <f>(-0.330042)*3</f>
        <v>-0.99012600000000006</v>
      </c>
      <c r="O39" s="3">
        <v>-10.821149999999999</v>
      </c>
      <c r="P39">
        <v>-42.390900000000002</v>
      </c>
      <c r="Q39" s="3">
        <v>-31.569750000000003</v>
      </c>
      <c r="S39" s="3">
        <v>140</v>
      </c>
      <c r="T39" s="2">
        <v>1.98343E-3</v>
      </c>
      <c r="U39" s="2">
        <v>0.184281</v>
      </c>
    </row>
    <row r="40" spans="1:21" x14ac:dyDescent="0.15">
      <c r="A40" s="4">
        <v>313785</v>
      </c>
      <c r="B40" s="4">
        <v>4949443</v>
      </c>
      <c r="C40">
        <v>860</v>
      </c>
      <c r="D40">
        <v>1135</v>
      </c>
      <c r="E40" s="1">
        <v>9.9</v>
      </c>
      <c r="F40" s="1">
        <v>-2.58182</v>
      </c>
      <c r="G40" s="1">
        <v>7.1181799999999997</v>
      </c>
      <c r="I40" s="3">
        <v>1740</v>
      </c>
      <c r="J40" s="2">
        <v>3.5617800000000001E-3</v>
      </c>
      <c r="K40" s="2">
        <v>-1.52935</v>
      </c>
      <c r="L40">
        <f>-0.33019</f>
        <v>-0.33018999999999998</v>
      </c>
      <c r="M40" s="1">
        <v>-3.9372400000000001</v>
      </c>
      <c r="N40" s="2">
        <f>(-0.33019)*3</f>
        <v>-0.99056999999999995</v>
      </c>
      <c r="O40" s="3">
        <v>-11.811720000000001</v>
      </c>
      <c r="P40">
        <v>-32.179499999999997</v>
      </c>
      <c r="Q40" s="3">
        <v>-20.367779999999996</v>
      </c>
      <c r="S40" s="3">
        <v>200</v>
      </c>
      <c r="T40" s="2">
        <v>3.9343700000000001E-4</v>
      </c>
      <c r="U40" s="2">
        <v>2.0428000000000002</v>
      </c>
    </row>
    <row r="41" spans="1:21" x14ac:dyDescent="0.15">
      <c r="A41" s="4">
        <v>313742</v>
      </c>
      <c r="B41" s="4">
        <v>4949533</v>
      </c>
      <c r="C41">
        <v>880</v>
      </c>
      <c r="D41">
        <v>1138</v>
      </c>
      <c r="E41" s="1">
        <f>-2</f>
        <v>-2</v>
      </c>
      <c r="F41" s="1">
        <v>-13.8864</v>
      </c>
      <c r="G41" s="1">
        <v>-15.686400000000001</v>
      </c>
      <c r="I41" s="3">
        <v>1740</v>
      </c>
      <c r="J41" s="2">
        <v>3.5617800000000001E-3</v>
      </c>
      <c r="K41" s="2">
        <v>-1.52935</v>
      </c>
      <c r="L41">
        <f>-0.326631</f>
        <v>-0.326631</v>
      </c>
      <c r="M41" s="1">
        <v>-4.2638800000000003</v>
      </c>
      <c r="N41" s="2">
        <f>(-0.326631)*3</f>
        <v>-0.97989300000000001</v>
      </c>
      <c r="O41" s="3">
        <v>-12.791640000000001</v>
      </c>
      <c r="P41">
        <v>-34.470399999999998</v>
      </c>
      <c r="Q41" s="3">
        <v>-21.678759999999997</v>
      </c>
      <c r="S41" s="3">
        <v>220</v>
      </c>
      <c r="T41" s="2">
        <v>9.2923300000000001E-4</v>
      </c>
      <c r="U41" s="2">
        <v>0.37145699999999998</v>
      </c>
    </row>
    <row r="42" spans="1:21" x14ac:dyDescent="0.15">
      <c r="A42" s="4">
        <v>313700</v>
      </c>
      <c r="B42" s="4">
        <v>4949624</v>
      </c>
      <c r="C42">
        <v>900</v>
      </c>
      <c r="D42">
        <v>1143</v>
      </c>
      <c r="E42" s="1">
        <v>-14</v>
      </c>
      <c r="F42" s="1">
        <v>18.5091</v>
      </c>
      <c r="G42" s="1">
        <v>4.1090900000000001</v>
      </c>
      <c r="I42" s="3">
        <v>1740</v>
      </c>
      <c r="J42" s="2">
        <v>3.5617800000000001E-3</v>
      </c>
      <c r="K42" s="2">
        <v>-1.52935</v>
      </c>
      <c r="L42">
        <f>-0.330042</f>
        <v>-0.330042</v>
      </c>
      <c r="M42" s="1">
        <v>-4.5939199999999998</v>
      </c>
      <c r="N42" s="2">
        <f>(-0.330042)*3</f>
        <v>-0.99012600000000006</v>
      </c>
      <c r="O42" s="3">
        <v>-13.781759999999998</v>
      </c>
      <c r="P42">
        <v>-48.413600000000002</v>
      </c>
      <c r="Q42" s="3">
        <v>-34.631840000000004</v>
      </c>
      <c r="S42" s="3">
        <v>240</v>
      </c>
      <c r="T42" s="2">
        <v>9.1241100000000002E-4</v>
      </c>
      <c r="U42" s="2">
        <v>0.36333100000000002</v>
      </c>
    </row>
    <row r="43" spans="1:21" x14ac:dyDescent="0.15">
      <c r="A43" s="4">
        <v>313654</v>
      </c>
      <c r="B43" s="4">
        <v>4949715</v>
      </c>
      <c r="C43">
        <v>920</v>
      </c>
      <c r="D43">
        <v>1146</v>
      </c>
      <c r="E43" s="1">
        <v>17.7</v>
      </c>
      <c r="F43" s="1">
        <v>-25.095500000000001</v>
      </c>
      <c r="G43" s="1">
        <v>-7.9954499999999999</v>
      </c>
      <c r="I43" s="3">
        <v>1740</v>
      </c>
      <c r="J43" s="2">
        <v>3.5617800000000001E-3</v>
      </c>
      <c r="K43" s="2">
        <v>-1.52935</v>
      </c>
      <c r="L43">
        <f>-0.330632</f>
        <v>-0.33063199999999998</v>
      </c>
      <c r="M43" s="1">
        <v>-4.92455</v>
      </c>
      <c r="N43" s="2">
        <f>(-0.330632)*3</f>
        <v>-0.99189599999999989</v>
      </c>
      <c r="O43" s="3">
        <v>-14.77365</v>
      </c>
      <c r="P43">
        <v>-30.309100000000001</v>
      </c>
      <c r="Q43" s="3">
        <v>-15.535450000000001</v>
      </c>
      <c r="S43" s="3">
        <v>300</v>
      </c>
      <c r="T43" s="2">
        <v>8.9551599999999996E-4</v>
      </c>
      <c r="U43" s="2">
        <v>0.35482999999999998</v>
      </c>
    </row>
    <row r="44" spans="1:21" x14ac:dyDescent="0.15">
      <c r="A44" s="4">
        <v>313612</v>
      </c>
      <c r="B44" s="4">
        <v>4949805</v>
      </c>
      <c r="C44">
        <v>940</v>
      </c>
      <c r="D44">
        <v>1155</v>
      </c>
      <c r="E44" s="1">
        <v>-21.1905</v>
      </c>
      <c r="F44" s="1">
        <v>14.495200000000001</v>
      </c>
      <c r="G44" s="1">
        <v>-6.6952400000000001</v>
      </c>
      <c r="I44" s="3">
        <v>1800</v>
      </c>
      <c r="J44" s="2">
        <v>2.7813400000000002E-3</v>
      </c>
      <c r="K44" s="2">
        <v>-1.1277200000000001</v>
      </c>
      <c r="L44">
        <f>-0.27623</f>
        <v>-0.27622999999999998</v>
      </c>
      <c r="M44" s="1">
        <v>-5.20078</v>
      </c>
      <c r="N44" s="2">
        <f>(-0.27623)*3</f>
        <v>-0.82868999999999993</v>
      </c>
      <c r="O44" s="3">
        <v>-15.60234</v>
      </c>
      <c r="P44">
        <v>-53.452100000000002</v>
      </c>
      <c r="Q44" s="3">
        <v>-37.849760000000003</v>
      </c>
      <c r="S44" s="3">
        <v>320</v>
      </c>
      <c r="T44" s="2">
        <v>1.37663E-3</v>
      </c>
      <c r="U44" s="2">
        <v>1.7395</v>
      </c>
    </row>
    <row r="45" spans="1:21" x14ac:dyDescent="0.15">
      <c r="A45" s="4">
        <v>313570</v>
      </c>
      <c r="B45" s="4">
        <v>4949895</v>
      </c>
      <c r="C45">
        <v>960</v>
      </c>
      <c r="D45">
        <v>1205</v>
      </c>
      <c r="E45" s="1">
        <v>14.919</v>
      </c>
      <c r="F45" s="1">
        <v>1.49048</v>
      </c>
      <c r="G45" s="1">
        <v>15.9095</v>
      </c>
      <c r="I45" s="3">
        <v>1800</v>
      </c>
      <c r="J45" s="2">
        <v>2.7813400000000002E-3</v>
      </c>
      <c r="K45" s="2">
        <v>-1.1277200000000001</v>
      </c>
      <c r="L45">
        <f>-0.27623</f>
        <v>-0.27622999999999998</v>
      </c>
      <c r="M45" s="1">
        <v>-5.4770099999999999</v>
      </c>
      <c r="N45" s="2">
        <f>(-0.27623)*3</f>
        <v>-0.82868999999999993</v>
      </c>
      <c r="O45" s="3">
        <v>-16.43103</v>
      </c>
      <c r="P45">
        <v>-38.744999999999997</v>
      </c>
      <c r="Q45" s="3">
        <v>-22.313969999999998</v>
      </c>
    </row>
    <row r="46" spans="1:21" x14ac:dyDescent="0.15">
      <c r="A46" s="4">
        <v>313528</v>
      </c>
      <c r="B46" s="4">
        <v>4949987</v>
      </c>
      <c r="C46">
        <v>980</v>
      </c>
      <c r="D46">
        <v>1208</v>
      </c>
      <c r="E46" s="1">
        <v>2.1285699999999999</v>
      </c>
      <c r="F46" s="1">
        <v>-2.5142899999999999</v>
      </c>
      <c r="G46" s="1">
        <v>-8.5714299999999993E-2</v>
      </c>
      <c r="I46" s="3">
        <v>1800</v>
      </c>
      <c r="J46" s="2">
        <v>2.7813400000000002E-3</v>
      </c>
      <c r="K46" s="2">
        <v>-1.1277200000000001</v>
      </c>
      <c r="L46">
        <f>-0.281256</f>
        <v>-0.28125600000000001</v>
      </c>
      <c r="M46" s="1">
        <v>-5.7582700000000004</v>
      </c>
      <c r="N46" s="2">
        <f>(-0.281256)*3</f>
        <v>-0.84376800000000007</v>
      </c>
      <c r="O46" s="3">
        <v>-17.274810000000002</v>
      </c>
      <c r="P46">
        <v>-36.935499999999998</v>
      </c>
      <c r="Q46" s="3">
        <v>-19.660689999999995</v>
      </c>
    </row>
    <row r="47" spans="1:21" x14ac:dyDescent="0.15">
      <c r="A47" s="4">
        <v>313486</v>
      </c>
      <c r="B47" s="4">
        <v>4950077</v>
      </c>
      <c r="C47">
        <v>1000</v>
      </c>
      <c r="D47">
        <v>1210</v>
      </c>
      <c r="E47" s="1">
        <f>-1.6619</f>
        <v>-1.6618999999999999</v>
      </c>
      <c r="F47" s="1">
        <v>-0.119048</v>
      </c>
      <c r="G47" s="1">
        <v>-1.48095</v>
      </c>
      <c r="I47" s="3">
        <v>1800</v>
      </c>
      <c r="J47" s="2">
        <v>2.7813400000000002E-3</v>
      </c>
      <c r="K47" s="2">
        <v>-1.1277200000000001</v>
      </c>
      <c r="L47">
        <f>-0.27623</f>
        <v>-0.27622999999999998</v>
      </c>
      <c r="M47" s="1">
        <v>-6.0345000000000004</v>
      </c>
      <c r="N47" s="2">
        <f>(-0.27623)*3</f>
        <v>-0.82868999999999993</v>
      </c>
      <c r="O47" s="3">
        <v>-18.1035</v>
      </c>
      <c r="P47">
        <v>-39.023600000000002</v>
      </c>
      <c r="Q47" s="3">
        <v>-20.920100000000001</v>
      </c>
    </row>
    <row r="48" spans="1:21" x14ac:dyDescent="0.15">
      <c r="A48" s="4">
        <v>313444</v>
      </c>
      <c r="B48" s="4">
        <v>4950168</v>
      </c>
      <c r="C48">
        <v>1020</v>
      </c>
      <c r="D48">
        <v>1212</v>
      </c>
      <c r="E48" s="1">
        <f>-0.352381</f>
        <v>-0.352381</v>
      </c>
      <c r="F48" s="1">
        <v>-23.123799999999999</v>
      </c>
      <c r="G48" s="1">
        <v>-23.476199999999999</v>
      </c>
      <c r="I48" s="3">
        <v>1820</v>
      </c>
      <c r="J48" s="2">
        <v>2.5288099999999998E-3</v>
      </c>
      <c r="K48" s="2">
        <v>-1.52275</v>
      </c>
      <c r="L48">
        <f>-0.234957</f>
        <v>-0.234957</v>
      </c>
      <c r="M48" s="1">
        <v>-6.26945</v>
      </c>
      <c r="N48" s="2">
        <f>(-0.234957)*3</f>
        <v>-0.70487100000000003</v>
      </c>
      <c r="O48" s="3">
        <v>-18.808350000000001</v>
      </c>
      <c r="P48">
        <v>-39.259300000000003</v>
      </c>
      <c r="Q48" s="3">
        <v>-20.450950000000002</v>
      </c>
    </row>
    <row r="49" spans="1:17" x14ac:dyDescent="0.15">
      <c r="A49" s="4">
        <v>313401</v>
      </c>
      <c r="B49" s="4">
        <v>4950258</v>
      </c>
      <c r="C49">
        <v>1040</v>
      </c>
      <c r="D49">
        <v>1215</v>
      </c>
      <c r="E49" s="1">
        <v>-24.442900000000002</v>
      </c>
      <c r="F49" s="1">
        <v>6.9714299999999998</v>
      </c>
      <c r="G49" s="1">
        <v>-17.2714</v>
      </c>
      <c r="I49" s="3">
        <v>1820</v>
      </c>
      <c r="J49" s="2">
        <v>2.5288099999999998E-3</v>
      </c>
      <c r="K49" s="2">
        <v>-1.52275</v>
      </c>
      <c r="L49">
        <f>-0.232553</f>
        <v>-0.23255300000000001</v>
      </c>
      <c r="M49" s="1">
        <v>-6.5020100000000003</v>
      </c>
      <c r="N49" s="2">
        <f>(-0.232553)*3</f>
        <v>-0.69765900000000003</v>
      </c>
      <c r="O49" s="3">
        <v>-19.506030000000003</v>
      </c>
      <c r="P49">
        <v>-63.0426</v>
      </c>
      <c r="Q49" s="3">
        <v>-43.536569999999998</v>
      </c>
    </row>
    <row r="50" spans="1:17" x14ac:dyDescent="0.15">
      <c r="A50" s="4">
        <v>313360</v>
      </c>
      <c r="B50" s="4">
        <v>4950349</v>
      </c>
      <c r="C50">
        <v>1060</v>
      </c>
      <c r="D50">
        <v>1218</v>
      </c>
      <c r="E50" s="1">
        <v>6.4666699999999997</v>
      </c>
      <c r="F50" s="1">
        <v>-4.4333299999999998</v>
      </c>
      <c r="G50" s="1">
        <v>2.0333299999999999</v>
      </c>
      <c r="I50" s="3">
        <v>1820</v>
      </c>
      <c r="J50" s="2">
        <v>2.5288099999999998E-3</v>
      </c>
      <c r="K50" s="2">
        <v>-1.52275</v>
      </c>
      <c r="L50">
        <f>-0.234836</f>
        <v>-0.23483599999999999</v>
      </c>
      <c r="M50" s="1">
        <v>-6.7368399999999999</v>
      </c>
      <c r="N50" s="2">
        <f>(-0.234836)*3</f>
        <v>-0.70450799999999991</v>
      </c>
      <c r="O50" s="3">
        <v>-20.210519999999999</v>
      </c>
      <c r="P50">
        <v>-56.323599999999999</v>
      </c>
      <c r="Q50" s="3">
        <v>-36.113079999999997</v>
      </c>
    </row>
    <row r="51" spans="1:17" x14ac:dyDescent="0.15">
      <c r="A51" s="4">
        <v>313317</v>
      </c>
      <c r="B51" s="4">
        <v>4950439</v>
      </c>
      <c r="C51">
        <v>1080</v>
      </c>
      <c r="D51">
        <v>1220</v>
      </c>
      <c r="E51" s="1">
        <v>-4.7238100000000003</v>
      </c>
      <c r="F51" s="1">
        <v>9.9619</v>
      </c>
      <c r="G51" s="1">
        <v>4.8380999999999998</v>
      </c>
      <c r="I51" s="3">
        <v>1820</v>
      </c>
      <c r="J51" s="2">
        <v>2.5288099999999998E-3</v>
      </c>
      <c r="K51" s="2">
        <v>-1.52275</v>
      </c>
      <c r="L51">
        <f>-0.232553</f>
        <v>-0.23255300000000001</v>
      </c>
      <c r="M51" s="1">
        <v>-6.9693899999999998</v>
      </c>
      <c r="N51" s="2">
        <f>(-0.232553)*3</f>
        <v>-0.69765900000000003</v>
      </c>
      <c r="O51" s="3">
        <v>-20.908169999999998</v>
      </c>
      <c r="P51">
        <v>-60.902200000000001</v>
      </c>
      <c r="Q51" s="3">
        <v>-39.994030000000002</v>
      </c>
    </row>
    <row r="52" spans="1:17" x14ac:dyDescent="0.15">
      <c r="A52" s="4">
        <v>313275</v>
      </c>
      <c r="B52" s="4">
        <v>4950530</v>
      </c>
      <c r="C52">
        <v>1100</v>
      </c>
      <c r="D52">
        <v>1228</v>
      </c>
      <c r="E52" s="1">
        <v>10.585699999999999</v>
      </c>
      <c r="F52" s="1">
        <v>0.95714299999999997</v>
      </c>
      <c r="G52" s="1">
        <v>11.042899999999999</v>
      </c>
      <c r="I52" s="3">
        <v>1820</v>
      </c>
      <c r="J52" s="2">
        <v>2.5288099999999998E-3</v>
      </c>
      <c r="K52" s="2">
        <v>-1.52275</v>
      </c>
      <c r="L52">
        <f>-0.234957</f>
        <v>-0.234957</v>
      </c>
      <c r="M52" s="1">
        <v>-7.2043499999999998</v>
      </c>
      <c r="N52" s="2">
        <f>(-0.234957)*3</f>
        <v>-0.70487100000000003</v>
      </c>
      <c r="O52" s="3">
        <v>-21.613050000000001</v>
      </c>
      <c r="P52">
        <v>-50.628399999999999</v>
      </c>
      <c r="Q52" s="3">
        <v>-29.015349999999998</v>
      </c>
    </row>
    <row r="53" spans="1:17" x14ac:dyDescent="0.15">
      <c r="A53" s="4">
        <v>313233</v>
      </c>
      <c r="B53" s="4">
        <v>4950620</v>
      </c>
      <c r="C53">
        <v>1120</v>
      </c>
      <c r="D53">
        <v>1231</v>
      </c>
      <c r="E53" s="1">
        <v>1.39524</v>
      </c>
      <c r="F53" s="1">
        <v>-2.1476199999999999</v>
      </c>
      <c r="G53" s="1">
        <v>-1.15238</v>
      </c>
      <c r="I53" s="3">
        <v>1840</v>
      </c>
      <c r="J53" s="2">
        <v>5.6373300000000003E-3</v>
      </c>
      <c r="K53" s="2">
        <v>-0.69219600000000003</v>
      </c>
      <c r="L53">
        <f>-0.506087</f>
        <v>-0.50608699999999995</v>
      </c>
      <c r="M53" s="1">
        <v>-7.7104400000000002</v>
      </c>
      <c r="N53" s="2">
        <f>(-0.506087)*3</f>
        <v>-1.5182609999999999</v>
      </c>
      <c r="O53" s="3">
        <v>-23.131320000000002</v>
      </c>
      <c r="P53">
        <v>-49.452199999999998</v>
      </c>
      <c r="Q53" s="3">
        <v>-26.320879999999995</v>
      </c>
    </row>
    <row r="54" spans="1:17" x14ac:dyDescent="0.15">
      <c r="A54" s="4">
        <v>313191</v>
      </c>
      <c r="B54" s="4">
        <v>4950712</v>
      </c>
      <c r="C54">
        <v>1140</v>
      </c>
      <c r="D54">
        <v>1234</v>
      </c>
      <c r="E54" s="1">
        <f>-2.99524</f>
        <v>-2.9952399999999999</v>
      </c>
      <c r="F54" s="1">
        <v>-17.252400000000002</v>
      </c>
      <c r="G54" s="1">
        <v>-20.3476</v>
      </c>
      <c r="I54" s="3">
        <v>1840</v>
      </c>
      <c r="J54" s="2">
        <v>5.6373300000000003E-3</v>
      </c>
      <c r="K54" s="2">
        <v>-0.69219600000000003</v>
      </c>
      <c r="L54">
        <f>-0.513283</f>
        <v>-0.51328300000000004</v>
      </c>
      <c r="M54" s="1">
        <v>-8.2237200000000001</v>
      </c>
      <c r="N54" s="2">
        <f>(-0.513283)*3</f>
        <v>-1.5398490000000002</v>
      </c>
      <c r="O54" s="3">
        <v>-24.67116</v>
      </c>
      <c r="P54">
        <v>-52.023600000000002</v>
      </c>
      <c r="Q54" s="3">
        <v>-27.352440000000001</v>
      </c>
    </row>
    <row r="55" spans="1:17" x14ac:dyDescent="0.15">
      <c r="A55" s="4">
        <v>313148</v>
      </c>
      <c r="B55" s="4">
        <v>4950802</v>
      </c>
      <c r="C55">
        <v>1160</v>
      </c>
      <c r="D55">
        <v>1236</v>
      </c>
      <c r="E55" s="1">
        <v>-17.185700000000001</v>
      </c>
      <c r="F55" s="1">
        <v>10.642899999999999</v>
      </c>
      <c r="G55" s="1">
        <v>-6.5428600000000001</v>
      </c>
      <c r="I55" s="3">
        <v>1840</v>
      </c>
      <c r="J55" s="2">
        <v>5.6373300000000003E-3</v>
      </c>
      <c r="K55" s="2">
        <v>-0.69219600000000003</v>
      </c>
      <c r="L55">
        <f>-0.510427</f>
        <v>-0.51042699999999996</v>
      </c>
      <c r="M55" s="1">
        <v>-8.7341499999999996</v>
      </c>
      <c r="N55" s="2">
        <f>(-0.510427)*3</f>
        <v>-1.5312809999999999</v>
      </c>
      <c r="O55" s="3">
        <v>-26.202449999999999</v>
      </c>
      <c r="P55">
        <v>-69.242599999999996</v>
      </c>
      <c r="Q55" s="3">
        <v>-43.040149999999997</v>
      </c>
    </row>
    <row r="56" spans="1:17" x14ac:dyDescent="0.15">
      <c r="A56" s="4">
        <v>313106</v>
      </c>
      <c r="B56" s="4">
        <v>4950892</v>
      </c>
      <c r="C56">
        <v>1180</v>
      </c>
      <c r="D56">
        <v>1240</v>
      </c>
      <c r="E56" s="1">
        <v>10.3238</v>
      </c>
      <c r="F56" s="1">
        <v>-2.0619000000000001</v>
      </c>
      <c r="G56" s="1">
        <v>7.9619</v>
      </c>
      <c r="I56" s="3">
        <v>1840</v>
      </c>
      <c r="J56" s="2">
        <v>5.6373300000000003E-3</v>
      </c>
      <c r="K56" s="2">
        <v>-0.69219600000000003</v>
      </c>
      <c r="L56">
        <f>-0.506087</f>
        <v>-0.50608699999999995</v>
      </c>
      <c r="M56" s="1">
        <v>-9.2402300000000004</v>
      </c>
      <c r="N56" s="2">
        <f>(-0.506087)*3</f>
        <v>-1.5182609999999999</v>
      </c>
      <c r="O56" s="3">
        <v>-27.720690000000001</v>
      </c>
      <c r="P56">
        <v>-58.759300000000003</v>
      </c>
      <c r="Q56" s="3">
        <v>-31.038610000000002</v>
      </c>
    </row>
    <row r="57" spans="1:17" x14ac:dyDescent="0.15">
      <c r="A57" s="4">
        <v>313063</v>
      </c>
      <c r="B57" s="4">
        <v>4950983</v>
      </c>
      <c r="C57">
        <v>1200</v>
      </c>
      <c r="D57">
        <v>1242</v>
      </c>
      <c r="E57" s="1">
        <f>-1.66667</f>
        <v>-1.6666700000000001</v>
      </c>
      <c r="F57" s="1">
        <v>-0.96666700000000005</v>
      </c>
      <c r="G57" s="1">
        <v>-2.73333</v>
      </c>
      <c r="I57" s="3">
        <v>1840</v>
      </c>
      <c r="J57" s="2">
        <v>5.6373300000000003E-3</v>
      </c>
      <c r="K57" s="2">
        <v>-0.69219600000000003</v>
      </c>
      <c r="L57">
        <f>-0.514025</f>
        <v>-0.51402499999999995</v>
      </c>
      <c r="M57" s="1">
        <v>-9.7542600000000004</v>
      </c>
      <c r="N57" s="2">
        <f>(-0.514025)*3</f>
        <v>-1.5420749999999999</v>
      </c>
      <c r="O57" s="3">
        <v>-29.262779999999999</v>
      </c>
      <c r="P57">
        <v>-60.623600000000003</v>
      </c>
      <c r="Q57" s="3">
        <v>-31.360820000000004</v>
      </c>
    </row>
    <row r="58" spans="1:17" x14ac:dyDescent="0.15">
      <c r="A58" s="4">
        <v>313021</v>
      </c>
      <c r="B58" s="4">
        <v>4951074</v>
      </c>
      <c r="C58">
        <v>1220</v>
      </c>
      <c r="D58">
        <v>1244</v>
      </c>
      <c r="E58" s="1">
        <v>-1.4571400000000001</v>
      </c>
      <c r="F58" s="1">
        <v>1.32857</v>
      </c>
      <c r="G58" s="1">
        <v>-0.42857099999999998</v>
      </c>
      <c r="I58" s="3">
        <v>1840</v>
      </c>
      <c r="J58" s="2">
        <v>5.6373300000000003E-3</v>
      </c>
      <c r="K58" s="2">
        <v>-0.69219600000000003</v>
      </c>
      <c r="L58">
        <f>-0.509685</f>
        <v>-0.50968500000000005</v>
      </c>
      <c r="M58" s="1">
        <v>-10.2639</v>
      </c>
      <c r="N58" s="2">
        <f>(-0.509685)*3</f>
        <v>-1.5290550000000001</v>
      </c>
      <c r="O58" s="3">
        <v>-30.791699999999999</v>
      </c>
      <c r="P58">
        <v>-61.835500000000003</v>
      </c>
      <c r="Q58" s="3">
        <v>-31.043800000000005</v>
      </c>
    </row>
    <row r="59" spans="1:17" x14ac:dyDescent="0.15">
      <c r="A59" s="4">
        <v>312978</v>
      </c>
      <c r="B59" s="4">
        <v>4951165</v>
      </c>
      <c r="C59">
        <v>1240</v>
      </c>
      <c r="D59">
        <v>1247</v>
      </c>
      <c r="E59" s="1">
        <v>2.0523799999999999</v>
      </c>
      <c r="F59" s="1">
        <v>-6.5761900000000004</v>
      </c>
      <c r="G59" s="1">
        <v>-5.0238100000000001</v>
      </c>
      <c r="I59" s="3">
        <v>1840</v>
      </c>
      <c r="J59" s="2">
        <v>5.6373300000000003E-3</v>
      </c>
      <c r="K59" s="2">
        <v>-0.69219600000000003</v>
      </c>
      <c r="L59">
        <f>-0.514025</f>
        <v>-0.51402499999999995</v>
      </c>
      <c r="M59" s="1">
        <v>-10.778</v>
      </c>
      <c r="N59" s="2">
        <f>(-0.514025)*3</f>
        <v>-1.5420749999999999</v>
      </c>
      <c r="O59" s="3">
        <v>-32.334000000000003</v>
      </c>
      <c r="P59">
        <v>-60.145000000000003</v>
      </c>
      <c r="Q59" s="3">
        <v>-27.811</v>
      </c>
    </row>
    <row r="60" spans="1:17" x14ac:dyDescent="0.15">
      <c r="A60" s="4">
        <v>312935</v>
      </c>
      <c r="B60" s="4">
        <v>4951254</v>
      </c>
      <c r="C60">
        <v>1260</v>
      </c>
      <c r="D60">
        <v>1250</v>
      </c>
      <c r="E60" s="1">
        <f>-6.3381</f>
        <v>-6.3380999999999998</v>
      </c>
      <c r="F60" s="1">
        <v>-6.48095</v>
      </c>
      <c r="G60" s="1">
        <v>-13.019</v>
      </c>
      <c r="I60" s="3">
        <v>1840</v>
      </c>
      <c r="J60" s="2">
        <v>5.6373300000000003E-3</v>
      </c>
      <c r="K60" s="2">
        <v>-0.69219600000000003</v>
      </c>
      <c r="L60">
        <f>-0.506829</f>
        <v>-0.50682899999999997</v>
      </c>
      <c r="M60" s="1">
        <v>-11.284800000000001</v>
      </c>
      <c r="N60" s="2">
        <f>(-0.506829)*3</f>
        <v>-1.5204869999999999</v>
      </c>
      <c r="O60" s="3">
        <v>-33.854399999999998</v>
      </c>
      <c r="P60">
        <v>-66.602099999999993</v>
      </c>
      <c r="Q60" s="3">
        <v>-32.747699999999995</v>
      </c>
    </row>
    <row r="61" spans="1:17" x14ac:dyDescent="0.15">
      <c r="A61" s="4">
        <v>312894</v>
      </c>
      <c r="B61" s="4">
        <v>4951345</v>
      </c>
      <c r="C61">
        <v>1280</v>
      </c>
      <c r="D61">
        <v>1255</v>
      </c>
      <c r="E61" s="1">
        <v>-7.1285699999999999</v>
      </c>
      <c r="F61" s="1">
        <v>1.2142900000000001</v>
      </c>
      <c r="G61" s="1">
        <v>-6.0142899999999999</v>
      </c>
      <c r="I61" s="3">
        <v>1900</v>
      </c>
      <c r="J61" s="2">
        <v>3.3766299999999998E-3</v>
      </c>
      <c r="K61" s="2">
        <v>-0.85687199999999997</v>
      </c>
      <c r="L61">
        <f>-0.322889</f>
        <v>-0.32288899999999998</v>
      </c>
      <c r="M61" s="1">
        <v>-11.607699999999999</v>
      </c>
      <c r="N61" s="2">
        <f>(-0.322889)*3</f>
        <v>-0.96866699999999994</v>
      </c>
      <c r="O61" s="3">
        <v>-34.823099999999997</v>
      </c>
      <c r="P61">
        <v>-73.406899999999993</v>
      </c>
      <c r="Q61" s="3">
        <v>-38.583799999999997</v>
      </c>
    </row>
    <row r="62" spans="1:17" x14ac:dyDescent="0.15">
      <c r="A62" s="4">
        <v>312851</v>
      </c>
      <c r="B62" s="4">
        <v>4951436</v>
      </c>
      <c r="C62">
        <v>1300</v>
      </c>
      <c r="D62">
        <v>1300</v>
      </c>
      <c r="E62" s="1">
        <v>2.0809500000000001</v>
      </c>
      <c r="F62" s="1">
        <v>1.1095200000000001</v>
      </c>
      <c r="G62" s="1">
        <v>3.2904800000000001</v>
      </c>
      <c r="I62" s="3">
        <v>1900</v>
      </c>
      <c r="J62" s="2">
        <v>3.3766299999999998E-3</v>
      </c>
      <c r="K62" s="2">
        <v>-0.85687199999999997</v>
      </c>
      <c r="L62">
        <f>-0.327311</f>
        <v>-0.32731100000000002</v>
      </c>
      <c r="M62" s="1">
        <v>-11.935</v>
      </c>
      <c r="N62" s="2">
        <f>(-0.327311)*3</f>
        <v>-0.98193300000000006</v>
      </c>
      <c r="O62" s="3">
        <v>-35.805</v>
      </c>
      <c r="P62">
        <v>-71.759299999999996</v>
      </c>
      <c r="Q62" s="3">
        <v>-35.954299999999996</v>
      </c>
    </row>
    <row r="63" spans="1:17" x14ac:dyDescent="0.15">
      <c r="A63" s="4">
        <v>312808</v>
      </c>
      <c r="B63" s="4">
        <v>4951528</v>
      </c>
      <c r="C63">
        <v>1320</v>
      </c>
      <c r="D63">
        <v>1303</v>
      </c>
      <c r="E63" s="1">
        <v>2.0904799999999999</v>
      </c>
      <c r="F63" s="1">
        <v>-2.59524</v>
      </c>
      <c r="G63" s="1">
        <v>-0.704762</v>
      </c>
      <c r="I63" s="3">
        <v>1900</v>
      </c>
      <c r="J63" s="2">
        <v>3.3766299999999998E-3</v>
      </c>
      <c r="K63" s="2">
        <v>-0.85687199999999997</v>
      </c>
      <c r="L63">
        <f>-0.329863</f>
        <v>-0.32986300000000002</v>
      </c>
      <c r="M63" s="1">
        <v>-12.264900000000001</v>
      </c>
      <c r="N63" s="2">
        <f>(-0.329863)*3</f>
        <v>-0.98958900000000005</v>
      </c>
      <c r="O63" s="3">
        <v>-36.794700000000006</v>
      </c>
      <c r="P63">
        <v>-70.159300000000002</v>
      </c>
      <c r="Q63" s="3">
        <v>-33.364599999999996</v>
      </c>
    </row>
    <row r="64" spans="1:17" x14ac:dyDescent="0.15">
      <c r="A64" s="4">
        <v>312768</v>
      </c>
      <c r="B64" s="4">
        <v>4951615</v>
      </c>
      <c r="C64">
        <v>1340</v>
      </c>
      <c r="D64">
        <v>1316</v>
      </c>
      <c r="E64" s="1">
        <v>-2.9</v>
      </c>
      <c r="F64" s="1">
        <v>9.9965499999999992</v>
      </c>
      <c r="G64" s="1">
        <v>7.1965500000000002</v>
      </c>
      <c r="I64" s="3">
        <v>1920</v>
      </c>
      <c r="J64" s="2">
        <v>1.2265699999999999E-2</v>
      </c>
      <c r="K64" s="2">
        <v>-1.7373499999999999</v>
      </c>
      <c r="L64">
        <f>-0.971011</f>
        <v>-0.97101099999999996</v>
      </c>
      <c r="M64" s="1">
        <v>-13.235900000000001</v>
      </c>
      <c r="N64" s="2">
        <f>(-0.971011)*3</f>
        <v>-2.913033</v>
      </c>
      <c r="O64" s="3">
        <v>-39.707700000000003</v>
      </c>
      <c r="P64">
        <v>-72.906899999999993</v>
      </c>
      <c r="Q64" s="3">
        <v>-33.19919999999999</v>
      </c>
    </row>
    <row r="65" spans="1:17" x14ac:dyDescent="0.15">
      <c r="A65" s="4">
        <v>312723</v>
      </c>
      <c r="B65" s="4">
        <v>4951708</v>
      </c>
      <c r="C65">
        <v>1360</v>
      </c>
      <c r="D65">
        <v>1318</v>
      </c>
      <c r="E65" s="1">
        <v>9.3000000000000007</v>
      </c>
      <c r="F65" s="1">
        <v>0.89310299999999998</v>
      </c>
      <c r="G65" s="1">
        <v>9.9931000000000001</v>
      </c>
      <c r="I65" s="3">
        <v>1920</v>
      </c>
      <c r="J65" s="2">
        <v>1.2265699999999999E-2</v>
      </c>
      <c r="K65" s="2">
        <v>-1.7373499999999999</v>
      </c>
      <c r="L65">
        <f>-1.03342</f>
        <v>-1.03342</v>
      </c>
      <c r="M65" s="1">
        <v>-14.269299999999999</v>
      </c>
      <c r="N65" s="2">
        <f>(-1.03342)*3</f>
        <v>-3.10026</v>
      </c>
      <c r="O65" s="3">
        <v>-42.807899999999997</v>
      </c>
      <c r="P65">
        <v>-63.258600000000001</v>
      </c>
      <c r="Q65" s="3">
        <v>-20.450700000000005</v>
      </c>
    </row>
    <row r="66" spans="1:17" x14ac:dyDescent="0.15">
      <c r="A66" s="4">
        <v>312681</v>
      </c>
      <c r="B66" s="4">
        <v>4951798</v>
      </c>
      <c r="C66">
        <v>1380</v>
      </c>
      <c r="D66">
        <v>1321</v>
      </c>
      <c r="E66" s="1">
        <v>0.9</v>
      </c>
      <c r="F66" s="1">
        <v>-14.8103</v>
      </c>
      <c r="G66" s="1">
        <v>-14.610300000000001</v>
      </c>
      <c r="I66" s="3">
        <v>1920</v>
      </c>
      <c r="J66" s="2">
        <v>1.2265699999999999E-2</v>
      </c>
      <c r="K66" s="2">
        <v>-1.7373499999999999</v>
      </c>
      <c r="L66">
        <f>-1.00323</f>
        <v>-1.0032300000000001</v>
      </c>
      <c r="M66" s="1">
        <v>-15.272500000000001</v>
      </c>
      <c r="N66" s="2">
        <f>(-1.00323)*3</f>
        <v>-3.00969</v>
      </c>
      <c r="O66" s="3">
        <v>-45.817500000000003</v>
      </c>
      <c r="P66">
        <v>-62.362099999999998</v>
      </c>
      <c r="Q66" s="3">
        <v>-16.544599999999996</v>
      </c>
    </row>
    <row r="67" spans="1:17" x14ac:dyDescent="0.15">
      <c r="A67" s="4">
        <v>312638</v>
      </c>
      <c r="B67" s="4">
        <v>4951890</v>
      </c>
      <c r="C67">
        <v>1400</v>
      </c>
      <c r="D67">
        <v>1324</v>
      </c>
      <c r="E67" s="1">
        <v>-13.9</v>
      </c>
      <c r="F67" s="1">
        <v>12.186199999999999</v>
      </c>
      <c r="G67" s="1">
        <v>-2.0137900000000002</v>
      </c>
      <c r="I67" s="3">
        <v>1920</v>
      </c>
      <c r="J67" s="2">
        <v>1.2265699999999999E-2</v>
      </c>
      <c r="K67" s="2">
        <v>-1.7373499999999999</v>
      </c>
      <c r="L67">
        <f>-1.02539</f>
        <v>-1.02539</v>
      </c>
      <c r="M67" s="1">
        <v>-16.297899999999998</v>
      </c>
      <c r="N67" s="2">
        <f>(-1.02539)*3</f>
        <v>-3.0761700000000003</v>
      </c>
      <c r="O67" s="3">
        <v>-48.893699999999995</v>
      </c>
      <c r="P67">
        <v>-76.717200000000005</v>
      </c>
      <c r="Q67" s="3">
        <v>-27.82350000000001</v>
      </c>
    </row>
    <row r="68" spans="1:17" x14ac:dyDescent="0.15">
      <c r="A68" s="4">
        <v>312596</v>
      </c>
      <c r="B68" s="4">
        <v>4951980</v>
      </c>
      <c r="C68">
        <v>1420</v>
      </c>
      <c r="D68">
        <v>1326</v>
      </c>
      <c r="E68" s="1">
        <v>12.4</v>
      </c>
      <c r="F68" s="1">
        <v>-14.2172</v>
      </c>
      <c r="G68" s="1">
        <v>-1.5172399999999999</v>
      </c>
      <c r="I68" s="3">
        <v>1920</v>
      </c>
      <c r="J68" s="2">
        <v>1.2265699999999999E-2</v>
      </c>
      <c r="K68" s="2">
        <v>-1.7373499999999999</v>
      </c>
      <c r="L68">
        <f>-1.00323</f>
        <v>-1.0032300000000001</v>
      </c>
      <c r="M68" s="1">
        <v>-17.301100000000002</v>
      </c>
      <c r="N68" s="2">
        <f>(-1.00323)*3</f>
        <v>-3.00969</v>
      </c>
      <c r="O68" s="3">
        <v>-51.903300000000002</v>
      </c>
      <c r="P68">
        <v>-64.424099999999996</v>
      </c>
      <c r="Q68" s="3">
        <v>-12.520799999999994</v>
      </c>
    </row>
    <row r="69" spans="1:17" x14ac:dyDescent="0.15">
      <c r="A69" s="4">
        <v>312554</v>
      </c>
      <c r="B69" s="4">
        <v>4952070</v>
      </c>
      <c r="C69">
        <v>1440</v>
      </c>
      <c r="D69">
        <v>1330</v>
      </c>
      <c r="E69" s="1">
        <v>-14.2</v>
      </c>
      <c r="F69" s="1">
        <v>9.3793100000000003</v>
      </c>
      <c r="G69" s="1">
        <v>-5.1206899999999997</v>
      </c>
      <c r="I69" s="3">
        <v>1920</v>
      </c>
      <c r="J69" s="2">
        <v>1.2265699999999999E-2</v>
      </c>
      <c r="K69" s="2">
        <v>-1.7373499999999999</v>
      </c>
      <c r="L69">
        <f>-1.00323</f>
        <v>-1.0032300000000001</v>
      </c>
      <c r="M69" s="1">
        <v>-18.304400000000001</v>
      </c>
      <c r="N69" s="2">
        <f>(-1.00323)*3</f>
        <v>-3.00969</v>
      </c>
      <c r="O69" s="3">
        <v>-54.913200000000003</v>
      </c>
      <c r="P69">
        <v>-78.6327</v>
      </c>
      <c r="Q69" s="3">
        <v>-23.719499999999996</v>
      </c>
    </row>
    <row r="70" spans="1:17" x14ac:dyDescent="0.15">
      <c r="A70" s="4">
        <v>312512</v>
      </c>
      <c r="B70" s="4">
        <v>4952161</v>
      </c>
      <c r="C70">
        <v>1460</v>
      </c>
      <c r="D70">
        <v>1334</v>
      </c>
      <c r="E70" s="1">
        <v>8.6999999999999993</v>
      </c>
      <c r="F70" s="1">
        <v>3.9758599999999999</v>
      </c>
      <c r="G70" s="1">
        <v>12.2759</v>
      </c>
      <c r="I70" s="3">
        <v>1940</v>
      </c>
      <c r="J70" s="2">
        <v>4.8295300000000003E-3</v>
      </c>
      <c r="K70" s="2">
        <v>-1.3352599999999999</v>
      </c>
      <c r="L70">
        <f>-0.474688</f>
        <v>-0.474688</v>
      </c>
      <c r="M70" s="1">
        <v>-18.7791</v>
      </c>
      <c r="N70" s="2">
        <f>(-0.474688)*3</f>
        <v>-1.424064</v>
      </c>
      <c r="O70" s="3">
        <v>-56.337299999999999</v>
      </c>
      <c r="P70">
        <v>-69.593100000000007</v>
      </c>
      <c r="Q70" s="3">
        <v>-13.255800000000008</v>
      </c>
    </row>
    <row r="71" spans="1:17" x14ac:dyDescent="0.15">
      <c r="A71" s="4">
        <v>312468</v>
      </c>
      <c r="B71" s="4">
        <v>4952251</v>
      </c>
      <c r="C71">
        <v>1480</v>
      </c>
      <c r="D71">
        <v>1336</v>
      </c>
      <c r="E71" s="1">
        <v>5.2</v>
      </c>
      <c r="F71" s="1">
        <v>4.47241</v>
      </c>
      <c r="G71" s="1">
        <v>9.47241</v>
      </c>
      <c r="I71" s="3">
        <v>1940</v>
      </c>
      <c r="J71" s="2">
        <v>4.8295300000000003E-3</v>
      </c>
      <c r="K71" s="2">
        <v>-1.3352599999999999</v>
      </c>
      <c r="L71">
        <f>-0.472246</f>
        <v>-0.472246</v>
      </c>
      <c r="M71" s="1">
        <v>-19.251300000000001</v>
      </c>
      <c r="N71" s="2">
        <f>(-0.472246)*3</f>
        <v>-1.4167380000000001</v>
      </c>
      <c r="O71" s="3">
        <v>-57.753900000000002</v>
      </c>
      <c r="P71">
        <v>-65.005099999999999</v>
      </c>
      <c r="Q71" s="3">
        <v>-7.2511999999999972</v>
      </c>
    </row>
    <row r="72" spans="1:17" x14ac:dyDescent="0.15">
      <c r="A72" s="4">
        <v>312425</v>
      </c>
      <c r="B72" s="4">
        <v>4952342</v>
      </c>
      <c r="C72">
        <v>1500</v>
      </c>
      <c r="D72">
        <v>1340</v>
      </c>
      <c r="E72" s="1">
        <v>3.7</v>
      </c>
      <c r="F72" s="1">
        <v>0.96896599999999999</v>
      </c>
      <c r="G72" s="1">
        <v>4.7689700000000004</v>
      </c>
      <c r="I72" s="3">
        <v>1940</v>
      </c>
      <c r="J72" s="2">
        <v>4.8295300000000003E-3</v>
      </c>
      <c r="K72" s="2">
        <v>-1.3352599999999999</v>
      </c>
      <c r="L72">
        <f>-0.475815</f>
        <v>-0.47581499999999999</v>
      </c>
      <c r="M72" s="1">
        <v>-19.7271</v>
      </c>
      <c r="N72" s="2">
        <f>(-0.475815)*3</f>
        <v>-1.4274450000000001</v>
      </c>
      <c r="O72" s="3">
        <v>-59.1813</v>
      </c>
      <c r="P72">
        <v>-60.918900000000001</v>
      </c>
      <c r="Q72" s="3">
        <v>-1.7376000000000005</v>
      </c>
    </row>
    <row r="73" spans="1:17" x14ac:dyDescent="0.15">
      <c r="A73" s="4">
        <v>312383</v>
      </c>
      <c r="B73" s="4">
        <v>4952433</v>
      </c>
      <c r="C73">
        <v>1520</v>
      </c>
      <c r="D73">
        <v>1346</v>
      </c>
      <c r="E73" s="1">
        <v>0.7</v>
      </c>
      <c r="F73" s="1">
        <v>-8.0344800000000003</v>
      </c>
      <c r="G73" s="1">
        <v>-7.5344800000000003</v>
      </c>
      <c r="I73" s="3">
        <v>1940</v>
      </c>
      <c r="J73" s="2">
        <v>4.8295300000000003E-3</v>
      </c>
      <c r="K73" s="2">
        <v>-1.3352599999999999</v>
      </c>
      <c r="L73">
        <f>-0.474688</f>
        <v>-0.474688</v>
      </c>
      <c r="M73" s="1">
        <v>-20.201799999999999</v>
      </c>
      <c r="N73" s="2">
        <f>(-0.474688)*3</f>
        <v>-1.424064</v>
      </c>
      <c r="O73" s="3">
        <v>-60.605399999999996</v>
      </c>
      <c r="P73">
        <v>-60.084499999999998</v>
      </c>
      <c r="Q73" s="3">
        <v>0.52089999999999748</v>
      </c>
    </row>
    <row r="74" spans="1:17" x14ac:dyDescent="0.15">
      <c r="A74" s="4">
        <v>312340</v>
      </c>
      <c r="B74" s="4">
        <v>4952523</v>
      </c>
      <c r="C74">
        <v>1540</v>
      </c>
      <c r="D74">
        <v>1349</v>
      </c>
      <c r="E74" s="1">
        <v>-8.3000000000000007</v>
      </c>
      <c r="F74" s="1">
        <v>6.3620700000000001</v>
      </c>
      <c r="G74" s="1">
        <v>-2.4379300000000002</v>
      </c>
      <c r="I74" s="3">
        <v>1940</v>
      </c>
      <c r="J74" s="2">
        <v>4.8295300000000003E-3</v>
      </c>
      <c r="K74" s="2">
        <v>-1.3352599999999999</v>
      </c>
      <c r="L74">
        <f>-0.471119</f>
        <v>-0.47111900000000001</v>
      </c>
      <c r="M74" s="1">
        <v>-20.672899999999998</v>
      </c>
      <c r="N74" s="2">
        <f>(-0.471119)*3</f>
        <v>-1.413357</v>
      </c>
      <c r="O74" s="3">
        <v>-62.018699999999995</v>
      </c>
      <c r="P74">
        <v>-68.2517</v>
      </c>
      <c r="Q74" s="3">
        <v>-6.2330000000000041</v>
      </c>
    </row>
    <row r="75" spans="1:17" x14ac:dyDescent="0.15">
      <c r="A75" s="4">
        <v>312297</v>
      </c>
      <c r="B75" s="4">
        <v>4952615</v>
      </c>
      <c r="C75">
        <v>1560</v>
      </c>
      <c r="D75">
        <v>1352</v>
      </c>
      <c r="E75" s="1">
        <v>7.3</v>
      </c>
      <c r="F75" s="1">
        <v>-23.941400000000002</v>
      </c>
      <c r="G75" s="1">
        <v>-16.741399999999999</v>
      </c>
      <c r="H75" t="s">
        <v>10</v>
      </c>
      <c r="I75" s="3">
        <v>2000</v>
      </c>
      <c r="J75" s="2">
        <v>2.5918400000000002E-3</v>
      </c>
      <c r="K75" s="2">
        <v>-1.5491200000000001</v>
      </c>
      <c r="L75">
        <f>-0.240809</f>
        <v>-0.240809</v>
      </c>
      <c r="M75" s="1">
        <v>-20.913699999999999</v>
      </c>
      <c r="N75" s="2">
        <f>(-0.240809)*3</f>
        <v>-0.72242699999999993</v>
      </c>
      <c r="O75" s="3">
        <v>-62.741099999999996</v>
      </c>
      <c r="P75">
        <v>-61.420699999999997</v>
      </c>
      <c r="Q75" s="3">
        <v>1.3203999999999994</v>
      </c>
    </row>
    <row r="76" spans="1:17" x14ac:dyDescent="0.15">
      <c r="A76" s="4">
        <v>312255</v>
      </c>
      <c r="B76" s="4">
        <v>4952705</v>
      </c>
      <c r="C76">
        <v>1580</v>
      </c>
      <c r="D76">
        <v>1355</v>
      </c>
      <c r="E76" s="1">
        <v>-22.9</v>
      </c>
      <c r="F76" s="1">
        <v>28.8552</v>
      </c>
      <c r="G76" s="1">
        <v>5.65517</v>
      </c>
      <c r="H76" t="s">
        <v>9</v>
      </c>
      <c r="I76" s="3">
        <v>2000</v>
      </c>
      <c r="J76" s="2">
        <v>2.5918400000000002E-3</v>
      </c>
      <c r="K76" s="2">
        <v>-1.5491200000000001</v>
      </c>
      <c r="L76">
        <f>-0.23557</f>
        <v>-0.23557</v>
      </c>
      <c r="M76" s="1">
        <v>-21.1493</v>
      </c>
      <c r="N76" s="2">
        <f>(-0.23557)*3</f>
        <v>-0.70670999999999995</v>
      </c>
      <c r="O76" s="3">
        <v>-63.447900000000004</v>
      </c>
      <c r="P76">
        <v>-84.841399999999993</v>
      </c>
      <c r="Q76" s="3">
        <v>-21.393499999999989</v>
      </c>
    </row>
    <row r="77" spans="1:17" x14ac:dyDescent="0.15">
      <c r="A77" s="4">
        <v>312212</v>
      </c>
      <c r="B77" s="4">
        <v>4952795</v>
      </c>
      <c r="C77">
        <v>1600</v>
      </c>
      <c r="D77">
        <v>1358</v>
      </c>
      <c r="E77" s="1">
        <v>30.5</v>
      </c>
      <c r="F77" s="1">
        <v>-1.2482800000000001</v>
      </c>
      <c r="G77" s="1">
        <v>29.451699999999999</v>
      </c>
      <c r="H77" t="s">
        <v>8</v>
      </c>
      <c r="I77" s="3">
        <v>2000</v>
      </c>
      <c r="J77" s="2">
        <v>2.5918400000000002E-3</v>
      </c>
      <c r="K77" s="2">
        <v>-1.5491200000000001</v>
      </c>
      <c r="L77">
        <f>-0.235626</f>
        <v>-0.235626</v>
      </c>
      <c r="M77" s="1">
        <v>-21.384899999999998</v>
      </c>
      <c r="N77" s="2">
        <f>(-0.235626)*3</f>
        <v>-0.70687800000000001</v>
      </c>
      <c r="O77" s="3">
        <v>-64.154699999999991</v>
      </c>
      <c r="P77">
        <v>-55.163800000000002</v>
      </c>
      <c r="Q77" s="3">
        <v>8.9908999999999892</v>
      </c>
    </row>
    <row r="78" spans="1:17" x14ac:dyDescent="0.15">
      <c r="A78" s="4">
        <v>312170</v>
      </c>
      <c r="B78" s="4">
        <v>4952886</v>
      </c>
      <c r="C78">
        <v>1620</v>
      </c>
      <c r="D78">
        <v>1400</v>
      </c>
      <c r="E78" s="1">
        <f>-1.9</f>
        <v>-1.9</v>
      </c>
      <c r="F78" s="1">
        <v>-27.651700000000002</v>
      </c>
      <c r="G78" s="1">
        <v>-30.151700000000002</v>
      </c>
      <c r="I78" s="3">
        <v>2000</v>
      </c>
      <c r="J78" s="2">
        <v>2.5918400000000002E-3</v>
      </c>
      <c r="K78" s="2">
        <v>-1.5491200000000001</v>
      </c>
      <c r="L78">
        <f>-0.238161</f>
        <v>-0.23816100000000001</v>
      </c>
      <c r="M78" s="1">
        <v>-21.623100000000001</v>
      </c>
      <c r="N78" s="2">
        <f>(-0.238161)*3</f>
        <v>-0.71448299999999998</v>
      </c>
      <c r="O78" s="3">
        <v>-64.86930000000001</v>
      </c>
      <c r="P78">
        <v>-56.737900000000003</v>
      </c>
      <c r="Q78" s="3">
        <v>8.1314000000000064</v>
      </c>
    </row>
    <row r="79" spans="1:17" x14ac:dyDescent="0.15">
      <c r="A79" s="4">
        <v>312127</v>
      </c>
      <c r="B79" s="4">
        <v>4952977</v>
      </c>
      <c r="C79">
        <v>1640</v>
      </c>
      <c r="D79">
        <v>1405</v>
      </c>
      <c r="E79" s="1">
        <v>-28.6</v>
      </c>
      <c r="F79" s="1">
        <v>26.044799999999999</v>
      </c>
      <c r="G79" s="1">
        <v>-2.9551699999999999</v>
      </c>
      <c r="I79" s="3">
        <v>2000</v>
      </c>
      <c r="J79" s="2">
        <v>2.5918400000000002E-3</v>
      </c>
      <c r="K79" s="2">
        <v>-1.5491200000000001</v>
      </c>
      <c r="L79">
        <f>-0.238218</f>
        <v>-0.23821800000000001</v>
      </c>
      <c r="M79" s="1">
        <v>-21.8613</v>
      </c>
      <c r="N79" s="2">
        <f>(-0.238218)*3</f>
        <v>-0.71465400000000001</v>
      </c>
      <c r="O79" s="3">
        <v>-65.5839</v>
      </c>
      <c r="P79">
        <v>-84.863799999999998</v>
      </c>
      <c r="Q79" s="3">
        <v>-19.279899999999998</v>
      </c>
    </row>
    <row r="80" spans="1:17" x14ac:dyDescent="0.15">
      <c r="A80" s="4">
        <v>312085</v>
      </c>
      <c r="B80" s="4">
        <v>4953067</v>
      </c>
      <c r="C80">
        <v>1660</v>
      </c>
      <c r="D80">
        <v>1408</v>
      </c>
      <c r="E80" s="1">
        <v>27.2</v>
      </c>
      <c r="F80" s="1">
        <v>2.84138</v>
      </c>
      <c r="G80" s="1">
        <v>30.241399999999999</v>
      </c>
      <c r="I80" s="3">
        <v>2000</v>
      </c>
      <c r="J80" s="2">
        <v>2.5918400000000002E-3</v>
      </c>
      <c r="K80" s="2">
        <v>-1.5491200000000001</v>
      </c>
      <c r="L80">
        <f>-0.23557</f>
        <v>-0.23557</v>
      </c>
      <c r="M80" s="1">
        <v>-22.096900000000002</v>
      </c>
      <c r="N80" s="2">
        <f>(-0.23557)*3</f>
        <v>-0.70670999999999995</v>
      </c>
      <c r="O80" s="3">
        <v>-66.290700000000001</v>
      </c>
      <c r="P80">
        <v>-58.241399999999999</v>
      </c>
      <c r="Q80" s="3">
        <v>8.0493000000000023</v>
      </c>
    </row>
    <row r="81" spans="1:17" x14ac:dyDescent="0.15">
      <c r="A81" s="4">
        <v>312043</v>
      </c>
      <c r="B81" s="4">
        <v>4953157</v>
      </c>
      <c r="C81">
        <v>1680</v>
      </c>
      <c r="D81">
        <v>1412</v>
      </c>
      <c r="E81" s="1">
        <v>2.7</v>
      </c>
      <c r="F81" s="1">
        <v>-10.562099999999999</v>
      </c>
      <c r="G81" s="1">
        <v>-8.3620699999999992</v>
      </c>
      <c r="I81" s="3">
        <v>2020</v>
      </c>
      <c r="J81" s="2">
        <v>2.7950900000000001E-3</v>
      </c>
      <c r="K81" s="2">
        <v>-1.94235</v>
      </c>
      <c r="L81">
        <f>-0.191772</f>
        <v>-0.191772</v>
      </c>
      <c r="M81" s="1">
        <v>-22.288699999999999</v>
      </c>
      <c r="N81" s="2">
        <f>(-0.191772)*3</f>
        <v>-0.57531599999999994</v>
      </c>
      <c r="O81" s="3">
        <v>-66.866099999999989</v>
      </c>
      <c r="P81">
        <v>-55.470700000000001</v>
      </c>
      <c r="Q81" s="3">
        <v>11.395399999999988</v>
      </c>
    </row>
    <row r="82" spans="1:17" x14ac:dyDescent="0.15">
      <c r="A82" s="4">
        <v>311999</v>
      </c>
      <c r="B82" s="4">
        <v>4953249</v>
      </c>
      <c r="C82">
        <v>1700</v>
      </c>
      <c r="D82">
        <v>1415</v>
      </c>
      <c r="E82" s="1">
        <f>-11.4</f>
        <v>-11.4</v>
      </c>
      <c r="F82" s="1">
        <v>-31.865500000000001</v>
      </c>
      <c r="G82" s="1">
        <v>-43.265500000000003</v>
      </c>
      <c r="I82" s="3">
        <v>2020</v>
      </c>
      <c r="J82" s="2">
        <v>2.7950900000000001E-3</v>
      </c>
      <c r="K82" s="2">
        <v>-1.94235</v>
      </c>
      <c r="L82">
        <f>-0.194951</f>
        <v>-0.19495100000000001</v>
      </c>
      <c r="M82" s="1">
        <v>-22.483599999999999</v>
      </c>
      <c r="N82" s="2">
        <f>(-0.194951)*3</f>
        <v>-0.58485300000000007</v>
      </c>
      <c r="O82" s="3">
        <v>-67.450800000000001</v>
      </c>
      <c r="P82">
        <v>-66.451700000000002</v>
      </c>
      <c r="Q82" s="3">
        <v>0.99909999999999854</v>
      </c>
    </row>
    <row r="83" spans="1:17" x14ac:dyDescent="0.15">
      <c r="A83" s="4">
        <v>311956</v>
      </c>
      <c r="B83" s="4">
        <v>4953334</v>
      </c>
      <c r="C83">
        <v>1720</v>
      </c>
      <c r="D83">
        <v>1418</v>
      </c>
      <c r="E83" s="1">
        <f>-29.2</f>
        <v>-29.2</v>
      </c>
      <c r="F83" s="1">
        <v>-5.86897</v>
      </c>
      <c r="G83" s="1">
        <v>-3.7689699999999999</v>
      </c>
      <c r="I83" s="3">
        <v>2020</v>
      </c>
      <c r="J83" s="2">
        <v>2.7950900000000001E-3</v>
      </c>
      <c r="K83" s="2">
        <v>-1.94235</v>
      </c>
      <c r="L83">
        <f>-0.177735</f>
        <v>-0.177735</v>
      </c>
      <c r="M83" s="1">
        <v>-22.661300000000001</v>
      </c>
      <c r="N83" s="2">
        <f>(-0.177735)*3</f>
        <v>-0.53320500000000004</v>
      </c>
      <c r="O83" s="3">
        <v>-67.983900000000006</v>
      </c>
      <c r="P83">
        <v>-96.984499999999997</v>
      </c>
      <c r="Q83" s="3">
        <v>-29.000599999999991</v>
      </c>
    </row>
    <row r="84" spans="1:17" x14ac:dyDescent="0.15">
      <c r="A84" s="4">
        <v>311916</v>
      </c>
      <c r="B84" s="4">
        <v>4953427</v>
      </c>
      <c r="C84">
        <v>1740</v>
      </c>
      <c r="D84">
        <v>1421</v>
      </c>
      <c r="E84" s="1">
        <v>-4.4000000000000004</v>
      </c>
      <c r="F84" s="1">
        <v>0.72758599999999996</v>
      </c>
      <c r="G84" s="1">
        <v>-3.47241</v>
      </c>
      <c r="I84" s="3">
        <v>2020</v>
      </c>
      <c r="J84" s="2">
        <v>2.7950900000000001E-3</v>
      </c>
      <c r="K84" s="2">
        <v>-1.94235</v>
      </c>
      <c r="L84">
        <f>-0.201614</f>
        <v>-0.20161399999999999</v>
      </c>
      <c r="M84" s="1">
        <v>-22.863</v>
      </c>
      <c r="N84" s="2">
        <f>(-0.201614)*3</f>
        <v>-0.60484199999999999</v>
      </c>
      <c r="O84" s="3">
        <v>-68.588999999999999</v>
      </c>
      <c r="P84">
        <v>-102.119</v>
      </c>
      <c r="Q84" s="3">
        <v>-33.53</v>
      </c>
    </row>
    <row r="85" spans="1:17" x14ac:dyDescent="0.15">
      <c r="A85" s="4">
        <v>311871</v>
      </c>
      <c r="B85" s="4">
        <v>4953519</v>
      </c>
      <c r="C85">
        <v>1760</v>
      </c>
      <c r="D85">
        <v>1425</v>
      </c>
      <c r="E85" s="1">
        <v>0.4</v>
      </c>
      <c r="F85" s="1">
        <v>14.524100000000001</v>
      </c>
      <c r="G85" s="1">
        <v>14.7241</v>
      </c>
      <c r="I85" s="3">
        <v>2020</v>
      </c>
      <c r="J85" s="2">
        <v>2.7950900000000001E-3</v>
      </c>
      <c r="K85" s="2">
        <v>-1.94235</v>
      </c>
      <c r="L85">
        <f>-0.193936</f>
        <v>-0.193936</v>
      </c>
      <c r="M85" s="1">
        <v>-23.056899999999999</v>
      </c>
      <c r="N85" s="2">
        <f>(-0.193936)*3</f>
        <v>-0.58180799999999999</v>
      </c>
      <c r="O85" s="3">
        <v>-69.170699999999997</v>
      </c>
      <c r="P85">
        <v>-101.55500000000001</v>
      </c>
      <c r="Q85" s="3">
        <v>-32.38430000000001</v>
      </c>
    </row>
    <row r="86" spans="1:17" x14ac:dyDescent="0.15">
      <c r="A86" s="4">
        <v>311831</v>
      </c>
      <c r="B86" s="4">
        <v>4953610</v>
      </c>
      <c r="C86">
        <v>1780</v>
      </c>
      <c r="D86">
        <v>1428</v>
      </c>
      <c r="E86" s="1">
        <v>15.3</v>
      </c>
      <c r="F86" s="1">
        <v>20.220700000000001</v>
      </c>
      <c r="G86" s="1">
        <v>35.820700000000002</v>
      </c>
      <c r="I86" s="3">
        <v>2020</v>
      </c>
      <c r="J86" s="2">
        <v>2.7950900000000001E-3</v>
      </c>
      <c r="K86" s="2">
        <v>-1.94235</v>
      </c>
      <c r="L86">
        <f>-0.196405</f>
        <v>-0.196405</v>
      </c>
      <c r="M86" s="1">
        <v>-23.253299999999999</v>
      </c>
      <c r="N86" s="2">
        <f>(-0.196405)*3</f>
        <v>-0.58921500000000004</v>
      </c>
      <c r="O86" s="3">
        <v>-69.759900000000002</v>
      </c>
      <c r="P86">
        <v>-86.643100000000004</v>
      </c>
      <c r="Q86" s="3">
        <v>-16.883200000000002</v>
      </c>
    </row>
    <row r="87" spans="1:17" x14ac:dyDescent="0.15">
      <c r="A87" s="4">
        <v>311789</v>
      </c>
      <c r="B87" s="4">
        <v>4953701</v>
      </c>
      <c r="C87">
        <v>1800</v>
      </c>
      <c r="D87">
        <v>1431</v>
      </c>
      <c r="E87" s="1">
        <v>19.2</v>
      </c>
      <c r="F87" s="1">
        <v>-28.1828</v>
      </c>
      <c r="G87" s="1">
        <v>-8.18276</v>
      </c>
      <c r="I87" s="3">
        <v>2040</v>
      </c>
      <c r="J87" s="2">
        <v>2.6175600000000001E-3</v>
      </c>
      <c r="K87" s="2">
        <v>-1.55932</v>
      </c>
      <c r="L87">
        <f>-0.239444</f>
        <v>-0.23944399999999999</v>
      </c>
      <c r="M87" s="1">
        <v>-23.492699999999999</v>
      </c>
      <c r="N87" s="2">
        <f>(-0.239444)*3</f>
        <v>-0.71833199999999997</v>
      </c>
      <c r="O87" s="3">
        <v>-70.478099999999998</v>
      </c>
      <c r="P87">
        <v>-66.9328</v>
      </c>
      <c r="Q87" s="3">
        <v>3.5452999999999975</v>
      </c>
    </row>
    <row r="88" spans="1:17" x14ac:dyDescent="0.15">
      <c r="A88" s="4">
        <v>311745</v>
      </c>
      <c r="B88" s="4">
        <v>4953793</v>
      </c>
      <c r="C88">
        <v>1820</v>
      </c>
      <c r="D88">
        <v>1435</v>
      </c>
      <c r="E88" s="1">
        <v>-30</v>
      </c>
      <c r="F88" s="1">
        <v>16.313800000000001</v>
      </c>
      <c r="G88" s="1">
        <v>-13.886200000000001</v>
      </c>
      <c r="I88" s="3">
        <v>2040</v>
      </c>
      <c r="J88" s="2">
        <v>2.6175600000000001E-3</v>
      </c>
      <c r="K88" s="2">
        <v>-1.55932</v>
      </c>
      <c r="L88">
        <f>-0.242121</f>
        <v>-0.242121</v>
      </c>
      <c r="M88" s="1">
        <v>-23.7349</v>
      </c>
      <c r="N88" s="2">
        <f>(-0.242121)*3</f>
        <v>-0.72636299999999998</v>
      </c>
      <c r="O88" s="3">
        <v>-71.204700000000003</v>
      </c>
      <c r="P88">
        <v>-96.024199999999993</v>
      </c>
      <c r="Q88" s="3">
        <v>-24.819499999999991</v>
      </c>
    </row>
    <row r="89" spans="1:17" x14ac:dyDescent="0.15">
      <c r="A89" s="4">
        <v>311703</v>
      </c>
      <c r="B89" s="4">
        <v>4953883</v>
      </c>
      <c r="C89">
        <v>1840</v>
      </c>
      <c r="D89">
        <v>1440</v>
      </c>
      <c r="E89" s="1">
        <v>15</v>
      </c>
      <c r="F89" s="1">
        <v>-28.389700000000001</v>
      </c>
      <c r="G89" s="1">
        <v>-12.989699999999999</v>
      </c>
      <c r="I89" s="3">
        <v>2040</v>
      </c>
      <c r="J89" s="2">
        <v>2.6175600000000001E-3</v>
      </c>
      <c r="K89" s="2">
        <v>-1.55932</v>
      </c>
      <c r="L89">
        <f>-0.236827</f>
        <v>-0.23682700000000001</v>
      </c>
      <c r="M89" s="1">
        <v>-23.971699999999998</v>
      </c>
      <c r="N89" s="2">
        <f>(-0.236827)*3</f>
        <v>-0.71048100000000003</v>
      </c>
      <c r="O89" s="3">
        <v>-71.915099999999995</v>
      </c>
      <c r="P89">
        <v>-80.3673</v>
      </c>
      <c r="Q89" s="3">
        <v>-8.4522000000000048</v>
      </c>
    </row>
    <row r="90" spans="1:17" x14ac:dyDescent="0.15">
      <c r="A90" s="4">
        <v>311662</v>
      </c>
      <c r="B90" s="4">
        <v>4953973</v>
      </c>
      <c r="C90">
        <v>1860</v>
      </c>
      <c r="D90">
        <v>1448</v>
      </c>
      <c r="E90" s="1">
        <v>-32.700000000000003</v>
      </c>
      <c r="F90" s="1">
        <v>17.6069</v>
      </c>
      <c r="G90" s="1">
        <v>-15.293100000000001</v>
      </c>
      <c r="H90" t="s">
        <v>8</v>
      </c>
      <c r="I90" s="3">
        <v>2040</v>
      </c>
      <c r="J90" s="2">
        <v>2.6175600000000001E-3</v>
      </c>
      <c r="K90" s="2">
        <v>-1.55932</v>
      </c>
      <c r="L90">
        <f>-0.236797</f>
        <v>-0.23679700000000001</v>
      </c>
      <c r="M90" s="1">
        <v>-24.208500000000001</v>
      </c>
      <c r="N90" s="2">
        <f>(-0.236797)*3</f>
        <v>-0.71039099999999999</v>
      </c>
      <c r="O90" s="3">
        <v>-72.625500000000002</v>
      </c>
      <c r="P90">
        <v>-110.91200000000001</v>
      </c>
      <c r="Q90" s="3">
        <v>-38.286500000000004</v>
      </c>
    </row>
    <row r="91" spans="1:17" x14ac:dyDescent="0.15">
      <c r="A91" s="4">
        <v>311618</v>
      </c>
      <c r="B91" s="4">
        <v>4954064</v>
      </c>
      <c r="C91">
        <v>1880</v>
      </c>
      <c r="D91">
        <v>1450</v>
      </c>
      <c r="E91" s="1">
        <v>18.8</v>
      </c>
      <c r="F91" s="1">
        <v>10.2034</v>
      </c>
      <c r="G91" s="1">
        <v>28.8034</v>
      </c>
      <c r="I91" s="3">
        <v>2040</v>
      </c>
      <c r="J91" s="2">
        <v>2.6175600000000001E-3</v>
      </c>
      <c r="K91" s="2">
        <v>-1.55932</v>
      </c>
      <c r="L91">
        <f>-0.239504</f>
        <v>-0.23950399999999999</v>
      </c>
      <c r="M91" s="1">
        <v>-24.448</v>
      </c>
      <c r="N91" s="2">
        <f>(-0.239504)*3</f>
        <v>-0.71851200000000004</v>
      </c>
      <c r="O91" s="3">
        <v>-73.343999999999994</v>
      </c>
      <c r="P91">
        <v>-92.708699999999993</v>
      </c>
      <c r="Q91" s="3">
        <v>-19.364699999999999</v>
      </c>
    </row>
    <row r="92" spans="1:17" x14ac:dyDescent="0.15">
      <c r="A92" s="4">
        <v>311575</v>
      </c>
      <c r="B92" s="4">
        <v>4954152</v>
      </c>
      <c r="C92">
        <v>1900</v>
      </c>
      <c r="D92">
        <v>1510</v>
      </c>
      <c r="E92" s="1">
        <v>12.324999999999999</v>
      </c>
      <c r="F92" s="1">
        <v>-2.8250000000000002</v>
      </c>
      <c r="G92" s="1">
        <v>9.3249999999999993</v>
      </c>
      <c r="I92" s="3">
        <v>2100</v>
      </c>
      <c r="J92" s="2">
        <v>1.9039700000000001E-3</v>
      </c>
      <c r="K92" s="2">
        <v>-0.97090600000000005</v>
      </c>
      <c r="L92">
        <f>-0.184515</f>
        <v>-0.18451500000000001</v>
      </c>
      <c r="M92" s="1">
        <v>-24.6325</v>
      </c>
      <c r="N92" s="2">
        <f>(-0.184515)*3</f>
        <v>-0.55354500000000006</v>
      </c>
      <c r="O92" s="3">
        <v>-73.897500000000008</v>
      </c>
      <c r="P92">
        <v>-81.444500000000005</v>
      </c>
      <c r="Q92" s="3">
        <v>-7.546999999999997</v>
      </c>
    </row>
    <row r="93" spans="1:17" x14ac:dyDescent="0.15">
      <c r="A93" s="4">
        <v>311530</v>
      </c>
      <c r="B93" s="4">
        <v>4954242</v>
      </c>
      <c r="C93">
        <v>1920</v>
      </c>
      <c r="D93">
        <v>1518</v>
      </c>
      <c r="E93" s="1">
        <v>-2.15</v>
      </c>
      <c r="F93" s="1">
        <v>10.15</v>
      </c>
      <c r="G93" s="1">
        <v>7.95</v>
      </c>
      <c r="I93" s="3">
        <v>2120</v>
      </c>
      <c r="J93" s="2">
        <v>1.90741E-3</v>
      </c>
      <c r="K93" s="2">
        <v>-0.98043800000000003</v>
      </c>
      <c r="L93">
        <f>-0.190391</f>
        <v>-0.190391</v>
      </c>
      <c r="M93" s="1">
        <v>-24.822900000000001</v>
      </c>
      <c r="N93" s="2">
        <f>(-0.190391)*3</f>
        <v>-0.57117300000000004</v>
      </c>
      <c r="O93" s="3">
        <v>-74.468699999999998</v>
      </c>
      <c r="P93">
        <v>-83.932000000000002</v>
      </c>
      <c r="Q93" s="3">
        <v>-9.4633000000000038</v>
      </c>
    </row>
    <row r="94" spans="1:17" x14ac:dyDescent="0.15">
      <c r="A94" s="4">
        <v>311487</v>
      </c>
      <c r="B94" s="4">
        <v>4954332</v>
      </c>
      <c r="C94">
        <v>1940</v>
      </c>
      <c r="D94">
        <v>1526</v>
      </c>
      <c r="E94" s="1">
        <v>9.1750000000000007</v>
      </c>
      <c r="F94" s="1">
        <v>-13.475</v>
      </c>
      <c r="G94" s="1">
        <v>-4.3250000000000002</v>
      </c>
      <c r="I94" s="3">
        <v>2120</v>
      </c>
      <c r="J94" s="2">
        <v>1.90741E-3</v>
      </c>
      <c r="K94" s="2">
        <v>-0.98043800000000003</v>
      </c>
      <c r="L94">
        <f>-0.188267</f>
        <v>-0.18826699999999999</v>
      </c>
      <c r="M94" s="1">
        <v>-25.011199999999999</v>
      </c>
      <c r="N94" s="2">
        <f>(-0.188267)*3</f>
        <v>-0.564801</v>
      </c>
      <c r="O94" s="3">
        <v>-75.033599999999993</v>
      </c>
      <c r="P94">
        <v>-74.269499999999994</v>
      </c>
      <c r="Q94" s="3">
        <v>0.76409999999999911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2015-05-26T13:31:20Z</dcterms:modified>
</cp:coreProperties>
</file>