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0" windowWidth="2400" windowHeight="1170"/>
  </bookViews>
  <sheets>
    <sheet name="Sheet1" sheetId="1" r:id="rId1"/>
    <sheet name="Sheet2" sheetId="2" r:id="rId2"/>
    <sheet name="Sheet3" sheetId="3" r:id="rId3"/>
  </sheets>
  <definedNames>
    <definedName name="bigTableOfDoomChances" localSheetId="0">Sheet1!$C$67:$Q$72</definedName>
    <definedName name="dtot">Sheet1!$A$10</definedName>
    <definedName name="ndd">Sheet1!$B$4</definedName>
    <definedName name="npd">Sheet1!$C$4</definedName>
    <definedName name="npp">Sheet1!$D$4</definedName>
    <definedName name="ntot">Sheet1!$A$4</definedName>
    <definedName name="pama">Sheet1!$C$11</definedName>
    <definedName name="pbip">Sheet1!$D$11</definedName>
    <definedName name="pdd">Sheet1!$B$5</definedName>
    <definedName name="pmul">Sheet1!$E$11</definedName>
    <definedName name="ppd">Sheet1!$C$5</definedName>
    <definedName name="ppd_">Sheet1!$C$7</definedName>
    <definedName name="ppp">Sheet1!$D$5</definedName>
    <definedName name="ppp_">Sheet1!$D$7</definedName>
    <definedName name="prph">Sheet1!$B$11</definedName>
    <definedName name="total3">Sheet1!$R$22</definedName>
  </definedNames>
  <calcPr calcId="125725"/>
</workbook>
</file>

<file path=xl/calcChain.xml><?xml version="1.0" encoding="utf-8"?>
<calcChain xmlns="http://schemas.openxmlformats.org/spreadsheetml/2006/main">
  <c r="C80" i="1"/>
  <c r="D80"/>
  <c r="E80"/>
  <c r="F80"/>
  <c r="G80"/>
  <c r="H80"/>
  <c r="I80"/>
  <c r="J80"/>
  <c r="K80"/>
  <c r="L80"/>
  <c r="M80"/>
  <c r="N80"/>
  <c r="O80"/>
  <c r="P80"/>
  <c r="Q80"/>
  <c r="C76"/>
  <c r="D76"/>
  <c r="E76"/>
  <c r="F76"/>
  <c r="G76"/>
  <c r="H76"/>
  <c r="I76"/>
  <c r="J76"/>
  <c r="K76"/>
  <c r="L76"/>
  <c r="M76"/>
  <c r="N76"/>
  <c r="O76"/>
  <c r="P76"/>
  <c r="Q76"/>
  <c r="C77"/>
  <c r="D77"/>
  <c r="E77"/>
  <c r="F77"/>
  <c r="G77"/>
  <c r="H77"/>
  <c r="I77"/>
  <c r="J77"/>
  <c r="K77"/>
  <c r="L77"/>
  <c r="M77"/>
  <c r="N77"/>
  <c r="O77"/>
  <c r="P77"/>
  <c r="Q77"/>
  <c r="C78"/>
  <c r="D78"/>
  <c r="E78"/>
  <c r="F78"/>
  <c r="G78"/>
  <c r="H78"/>
  <c r="I78"/>
  <c r="J78"/>
  <c r="K78"/>
  <c r="L78"/>
  <c r="M78"/>
  <c r="N78"/>
  <c r="O78"/>
  <c r="P78"/>
  <c r="Q78"/>
  <c r="C79"/>
  <c r="D79"/>
  <c r="E79"/>
  <c r="F79"/>
  <c r="G79"/>
  <c r="H79"/>
  <c r="I79"/>
  <c r="J79"/>
  <c r="K79"/>
  <c r="L79"/>
  <c r="M79"/>
  <c r="N79"/>
  <c r="O79"/>
  <c r="P79"/>
  <c r="Q79"/>
  <c r="D75"/>
  <c r="E75"/>
  <c r="F75"/>
  <c r="G75"/>
  <c r="H75"/>
  <c r="I75"/>
  <c r="J75"/>
  <c r="K75"/>
  <c r="L75"/>
  <c r="M75"/>
  <c r="N75"/>
  <c r="O75"/>
  <c r="P75"/>
  <c r="Q75"/>
  <c r="C75"/>
  <c r="Q53"/>
  <c r="P53"/>
  <c r="O53"/>
  <c r="N53"/>
  <c r="M53"/>
  <c r="L53"/>
  <c r="K53"/>
  <c r="J53"/>
  <c r="I53"/>
  <c r="H53"/>
  <c r="G53"/>
  <c r="F53"/>
  <c r="E53"/>
  <c r="D53"/>
  <c r="C53"/>
  <c r="R52"/>
  <c r="R51"/>
  <c r="R50"/>
  <c r="R49"/>
  <c r="R48"/>
  <c r="D6"/>
  <c r="C6"/>
  <c r="B6"/>
  <c r="R17"/>
  <c r="R18"/>
  <c r="R19"/>
  <c r="R20"/>
  <c r="R21"/>
  <c r="Q22"/>
  <c r="P22"/>
  <c r="O22"/>
  <c r="N22"/>
  <c r="M22"/>
  <c r="L22"/>
  <c r="K22"/>
  <c r="J22"/>
  <c r="I22"/>
  <c r="H22"/>
  <c r="G22"/>
  <c r="F22"/>
  <c r="E22"/>
  <c r="D22"/>
  <c r="C22"/>
  <c r="E11"/>
  <c r="D11"/>
  <c r="C11"/>
  <c r="B11"/>
  <c r="D5"/>
  <c r="C28" s="1"/>
  <c r="C5"/>
  <c r="B5"/>
  <c r="Q28" s="1"/>
  <c r="R53" l="1"/>
  <c r="R22"/>
  <c r="G28"/>
  <c r="F28"/>
  <c r="D28"/>
  <c r="D7"/>
  <c r="B29" s="1"/>
  <c r="H28"/>
  <c r="J28"/>
  <c r="L28"/>
  <c r="N28"/>
  <c r="P28"/>
  <c r="C7"/>
  <c r="E28"/>
  <c r="I28"/>
  <c r="K28"/>
  <c r="M28"/>
  <c r="O28"/>
  <c r="F29"/>
  <c r="C57" l="1"/>
  <c r="E57"/>
  <c r="G57"/>
  <c r="I57"/>
  <c r="K57"/>
  <c r="M57"/>
  <c r="O57"/>
  <c r="Q57"/>
  <c r="D58"/>
  <c r="F58"/>
  <c r="H58"/>
  <c r="J58"/>
  <c r="L58"/>
  <c r="N58"/>
  <c r="P58"/>
  <c r="C59"/>
  <c r="E59"/>
  <c r="G59"/>
  <c r="I59"/>
  <c r="K59"/>
  <c r="M59"/>
  <c r="O59"/>
  <c r="Q59"/>
  <c r="D60"/>
  <c r="F60"/>
  <c r="H60"/>
  <c r="J60"/>
  <c r="L60"/>
  <c r="N60"/>
  <c r="P60"/>
  <c r="E56"/>
  <c r="G56"/>
  <c r="I56"/>
  <c r="K56"/>
  <c r="M56"/>
  <c r="O56"/>
  <c r="Q56"/>
  <c r="D57"/>
  <c r="H57"/>
  <c r="J57"/>
  <c r="L57"/>
  <c r="N57"/>
  <c r="C58"/>
  <c r="G58"/>
  <c r="K58"/>
  <c r="O58"/>
  <c r="D59"/>
  <c r="H59"/>
  <c r="L59"/>
  <c r="P59"/>
  <c r="E60"/>
  <c r="I60"/>
  <c r="M60"/>
  <c r="Q60"/>
  <c r="D56"/>
  <c r="H56"/>
  <c r="L56"/>
  <c r="P56"/>
  <c r="F57"/>
  <c r="P57"/>
  <c r="E58"/>
  <c r="I58"/>
  <c r="M58"/>
  <c r="Q58"/>
  <c r="F59"/>
  <c r="J59"/>
  <c r="N59"/>
  <c r="C60"/>
  <c r="G60"/>
  <c r="K60"/>
  <c r="O60"/>
  <c r="F56"/>
  <c r="J56"/>
  <c r="N56"/>
  <c r="C56"/>
  <c r="N61"/>
  <c r="J61"/>
  <c r="F61"/>
  <c r="Q61"/>
  <c r="M61"/>
  <c r="I61"/>
  <c r="E61"/>
  <c r="P61"/>
  <c r="L61"/>
  <c r="H61"/>
  <c r="D61"/>
  <c r="O61"/>
  <c r="K61"/>
  <c r="G61"/>
  <c r="C61"/>
  <c r="R61" s="1"/>
  <c r="D29"/>
  <c r="R28"/>
  <c r="M29"/>
  <c r="I29"/>
  <c r="B33"/>
  <c r="I33" s="1"/>
  <c r="B32"/>
  <c r="P32" s="1"/>
  <c r="B31"/>
  <c r="O31" s="1"/>
  <c r="B30"/>
  <c r="K30" s="1"/>
  <c r="N33"/>
  <c r="N32"/>
  <c r="N31"/>
  <c r="N30"/>
  <c r="N29"/>
  <c r="J29"/>
  <c r="Q29"/>
  <c r="G29"/>
  <c r="F37"/>
  <c r="O29"/>
  <c r="K29"/>
  <c r="E29"/>
  <c r="P29"/>
  <c r="L29"/>
  <c r="H29"/>
  <c r="C29"/>
  <c r="R60" l="1"/>
  <c r="R59"/>
  <c r="R56"/>
  <c r="R58"/>
  <c r="R57"/>
  <c r="H32"/>
  <c r="K32"/>
  <c r="K40" s="1"/>
  <c r="D37"/>
  <c r="P30"/>
  <c r="P38" s="1"/>
  <c r="N34"/>
  <c r="L33"/>
  <c r="E33"/>
  <c r="O33"/>
  <c r="O41" s="1"/>
  <c r="J31"/>
  <c r="J39" s="1"/>
  <c r="H30"/>
  <c r="H38" s="1"/>
  <c r="I31"/>
  <c r="I39" s="1"/>
  <c r="H31"/>
  <c r="H39" s="1"/>
  <c r="H33"/>
  <c r="H41" s="1"/>
  <c r="L31"/>
  <c r="L39" s="1"/>
  <c r="P31"/>
  <c r="P39" s="1"/>
  <c r="P33"/>
  <c r="E31"/>
  <c r="K31"/>
  <c r="K39" s="1"/>
  <c r="K33"/>
  <c r="J33"/>
  <c r="C37"/>
  <c r="L37"/>
  <c r="E37"/>
  <c r="E41"/>
  <c r="K38"/>
  <c r="O37"/>
  <c r="O39"/>
  <c r="Q37"/>
  <c r="J37"/>
  <c r="J41"/>
  <c r="N38"/>
  <c r="N40"/>
  <c r="G30"/>
  <c r="Q30"/>
  <c r="Q34" s="1"/>
  <c r="F30"/>
  <c r="C30"/>
  <c r="D30"/>
  <c r="G32"/>
  <c r="Q32"/>
  <c r="F32"/>
  <c r="C32"/>
  <c r="D32"/>
  <c r="I37"/>
  <c r="I41"/>
  <c r="H37"/>
  <c r="P37"/>
  <c r="K37"/>
  <c r="G37"/>
  <c r="N37"/>
  <c r="N39"/>
  <c r="N41"/>
  <c r="C31"/>
  <c r="F31"/>
  <c r="G31"/>
  <c r="Q31"/>
  <c r="D31"/>
  <c r="F33"/>
  <c r="C33"/>
  <c r="D33"/>
  <c r="G33"/>
  <c r="Q33"/>
  <c r="M37"/>
  <c r="M30"/>
  <c r="M32"/>
  <c r="L30"/>
  <c r="L32"/>
  <c r="E30"/>
  <c r="E32"/>
  <c r="O30"/>
  <c r="O32"/>
  <c r="B34"/>
  <c r="J30"/>
  <c r="J32"/>
  <c r="I30"/>
  <c r="I32"/>
  <c r="M31"/>
  <c r="M33"/>
  <c r="H40"/>
  <c r="P40"/>
  <c r="O34" l="1"/>
  <c r="E34"/>
  <c r="E42" s="1"/>
  <c r="L34"/>
  <c r="O42"/>
  <c r="L42"/>
  <c r="Q42"/>
  <c r="N42"/>
  <c r="P41"/>
  <c r="L41"/>
  <c r="M34"/>
  <c r="C34"/>
  <c r="I34"/>
  <c r="J34"/>
  <c r="D34"/>
  <c r="G34"/>
  <c r="H34"/>
  <c r="F34"/>
  <c r="K34"/>
  <c r="P34"/>
  <c r="K41"/>
  <c r="E39"/>
  <c r="I38"/>
  <c r="J38"/>
  <c r="O38"/>
  <c r="L38"/>
  <c r="M38"/>
  <c r="G41"/>
  <c r="D39"/>
  <c r="C39"/>
  <c r="M41"/>
  <c r="I40"/>
  <c r="J40"/>
  <c r="O40"/>
  <c r="E40"/>
  <c r="L40"/>
  <c r="M40"/>
  <c r="Q41"/>
  <c r="D41"/>
  <c r="F41"/>
  <c r="Q39"/>
  <c r="F39"/>
  <c r="D40"/>
  <c r="F40"/>
  <c r="G40"/>
  <c r="C38"/>
  <c r="Q38"/>
  <c r="R34"/>
  <c r="M39"/>
  <c r="E38"/>
  <c r="C41"/>
  <c r="G39"/>
  <c r="C40"/>
  <c r="Q40"/>
  <c r="D38"/>
  <c r="F38"/>
  <c r="G38"/>
  <c r="P42" l="1"/>
  <c r="F42"/>
  <c r="D42"/>
  <c r="I42"/>
  <c r="M42"/>
  <c r="K42"/>
  <c r="H42"/>
  <c r="G42"/>
  <c r="J42"/>
  <c r="C42"/>
</calcChain>
</file>

<file path=xl/connections.xml><?xml version="1.0" encoding="utf-8"?>
<connections xmlns="http://schemas.openxmlformats.org/spreadsheetml/2006/main">
  <connection id="1" name="bigTableOfDoomChances" type="6" refreshedVersion="3" background="1" saveData="1">
    <textPr prompt="0" codePage="850" sourceFile="Z:\Documents\retina\bigTableOfDoomChance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<sst xmlns="http://schemas.openxmlformats.org/spreadsheetml/2006/main" count="187" uniqueCount="56">
  <si>
    <t>Parameters (from experiment)</t>
  </si>
  <si>
    <t>ntot</t>
  </si>
  <si>
    <t>ndd</t>
  </si>
  <si>
    <t>npd</t>
  </si>
  <si>
    <t>npp</t>
  </si>
  <si>
    <t>probs</t>
  </si>
  <si>
    <t>probs'</t>
  </si>
  <si>
    <t>dtot</t>
  </si>
  <si>
    <t>rph</t>
  </si>
  <si>
    <t>ama</t>
  </si>
  <si>
    <t>bip</t>
  </si>
  <si>
    <t>mul</t>
  </si>
  <si>
    <t>Experimental observations</t>
  </si>
  <si>
    <t>pp</t>
  </si>
  <si>
    <t>pr</t>
  </si>
  <si>
    <t>pa</t>
  </si>
  <si>
    <t>pb</t>
  </si>
  <si>
    <t>pm</t>
  </si>
  <si>
    <t>rr</t>
  </si>
  <si>
    <t>ra</t>
  </si>
  <si>
    <t>rb</t>
  </si>
  <si>
    <t>rm</t>
  </si>
  <si>
    <t>aa</t>
  </si>
  <si>
    <t>ab</t>
  </si>
  <si>
    <t>am</t>
  </si>
  <si>
    <t>bb</t>
  </si>
  <si>
    <t>bm</t>
  </si>
  <si>
    <t>mm</t>
  </si>
  <si>
    <t>p</t>
  </si>
  <si>
    <t>r</t>
  </si>
  <si>
    <t>a</t>
  </si>
  <si>
    <t>b</t>
  </si>
  <si>
    <t>m</t>
  </si>
  <si>
    <t>sum</t>
  </si>
  <si>
    <t>probabilities</t>
  </si>
  <si>
    <t>check</t>
  </si>
  <si>
    <t>frequencies</t>
  </si>
  <si>
    <t>Comparision</t>
  </si>
  <si>
    <t>legend</t>
  </si>
  <si>
    <t>&gt; 1 std</t>
  </si>
  <si>
    <t>&gt; 2 std</t>
  </si>
  <si>
    <t>&gt; 3 std</t>
  </si>
  <si>
    <t>&gt; 4 std</t>
  </si>
  <si>
    <t>n.s.</t>
  </si>
  <si>
    <t>&lt; 31.7%</t>
  </si>
  <si>
    <t>&lt; 4.55%</t>
  </si>
  <si>
    <t>&lt; 0.27%</t>
  </si>
  <si>
    <t>&lt; 0.006%</t>
  </si>
  <si>
    <t>~1/3</t>
  </si>
  <si>
    <t>~1/22</t>
  </si>
  <si>
    <t>~1/370</t>
  </si>
  <si>
    <t>~1/15800</t>
  </si>
  <si>
    <t>errors</t>
  </si>
  <si>
    <t>Theoretical predictions (no scheduling)</t>
  </si>
  <si>
    <t>Theoretical predictions (scheduling)</t>
  </si>
  <si>
    <t>monte carlo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</si>
</sst>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  <xf numFmtId="0" fontId="7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27">
    <xf numFmtId="0" fontId="0" fillId="0" borderId="0" xfId="0"/>
    <xf numFmtId="0" fontId="5" fillId="2" borderId="3" xfId="4"/>
    <xf numFmtId="0" fontId="7" fillId="9" borderId="0" xfId="11"/>
    <xf numFmtId="0" fontId="7" fillId="7" borderId="0" xfId="9"/>
    <xf numFmtId="0" fontId="7" fillId="8" borderId="0" xfId="10"/>
    <xf numFmtId="10" fontId="0" fillId="0" borderId="0" xfId="1" applyNumberFormat="1" applyFont="1"/>
    <xf numFmtId="10" fontId="7" fillId="5" borderId="0" xfId="7" applyNumberFormat="1"/>
    <xf numFmtId="10" fontId="1" fillId="6" borderId="0" xfId="8" applyNumberFormat="1" applyFont="1"/>
    <xf numFmtId="0" fontId="7" fillId="10" borderId="0" xfId="12"/>
    <xf numFmtId="2" fontId="1" fillId="6" borderId="0" xfId="8" applyNumberFormat="1" applyFont="1"/>
    <xf numFmtId="9" fontId="0" fillId="4" borderId="4" xfId="6" applyNumberFormat="1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10" fontId="7" fillId="11" borderId="0" xfId="13" applyNumberFormat="1"/>
    <xf numFmtId="2" fontId="7" fillId="11" borderId="0" xfId="13" applyNumberFormat="1"/>
    <xf numFmtId="0" fontId="7" fillId="1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9" fontId="0" fillId="0" borderId="0" xfId="1" applyFont="1"/>
    <xf numFmtId="164" fontId="6" fillId="3" borderId="3" xfId="5" applyNumberFormat="1"/>
    <xf numFmtId="1" fontId="0" fillId="0" borderId="0" xfId="0" applyNumberFormat="1"/>
    <xf numFmtId="11" fontId="0" fillId="0" borderId="0" xfId="1" applyNumberFormat="1" applyFont="1"/>
    <xf numFmtId="0" fontId="3" fillId="0" borderId="1" xfId="2"/>
    <xf numFmtId="0" fontId="4" fillId="0" borderId="2" xfId="3"/>
    <xf numFmtId="0" fontId="4" fillId="0" borderId="2" xfId="3" applyAlignment="1"/>
    <xf numFmtId="10" fontId="7" fillId="8" borderId="0" xfId="10" applyNumberFormat="1"/>
  </cellXfs>
  <cellStyles count="14">
    <cellStyle name="20% - Accent2" xfId="8" builtinId="34"/>
    <cellStyle name="60% - Accent4" xfId="10" builtinId="44"/>
    <cellStyle name="Accent2" xfId="7" builtinId="33"/>
    <cellStyle name="Accent3" xfId="13" builtinId="37"/>
    <cellStyle name="Accent4" xfId="9" builtinId="41"/>
    <cellStyle name="Accent5" xfId="11" builtinId="45"/>
    <cellStyle name="Accent6" xfId="12" builtinId="49"/>
    <cellStyle name="Calculation" xfId="5" builtinId="22"/>
    <cellStyle name="Heading 2" xfId="2" builtinId="17"/>
    <cellStyle name="Heading 3" xfId="3" builtinId="18"/>
    <cellStyle name="Input" xfId="4" builtinId="20"/>
    <cellStyle name="Normal" xfId="0" builtinId="0" customBuiltin="1"/>
    <cellStyle name="Note" xfId="6" builtinId="10"/>
    <cellStyle name="Percent" xfId="1" builtinId="5"/>
  </cellStyles>
  <dxfs count="6"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gTableOfDoomChances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Gen">
      <a:majorFont>
        <a:latin typeface="Constant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0"/>
  <sheetViews>
    <sheetView tabSelected="1" topLeftCell="A40" zoomScale="75" zoomScaleNormal="75" workbookViewId="0">
      <selection activeCell="B48" sqref="B48:Q52"/>
    </sheetView>
  </sheetViews>
  <sheetFormatPr defaultRowHeight="16.5"/>
  <cols>
    <col min="3" max="17" width="9" customWidth="1"/>
  </cols>
  <sheetData>
    <row r="1" spans="1:18" ht="18" thickBot="1">
      <c r="A1" s="23" t="s">
        <v>0</v>
      </c>
      <c r="B1" s="23"/>
      <c r="C1" s="23"/>
      <c r="D1" s="23"/>
    </row>
    <row r="2" spans="1:18" ht="17.25" thickTop="1"/>
    <row r="3" spans="1:18">
      <c r="A3" s="8" t="s">
        <v>1</v>
      </c>
      <c r="B3" s="8" t="s">
        <v>2</v>
      </c>
      <c r="C3" s="8" t="s">
        <v>3</v>
      </c>
      <c r="D3" s="8" t="s">
        <v>4</v>
      </c>
    </row>
    <row r="4" spans="1:18">
      <c r="A4" s="1">
        <v>544</v>
      </c>
      <c r="B4" s="1">
        <v>358</v>
      </c>
      <c r="C4" s="1">
        <v>165</v>
      </c>
      <c r="D4" s="1">
        <v>21</v>
      </c>
    </row>
    <row r="5" spans="1:18">
      <c r="A5" s="8" t="s">
        <v>5</v>
      </c>
      <c r="B5" s="20">
        <f>ndd/ntot</f>
        <v>0.65808823529411764</v>
      </c>
      <c r="C5" s="20">
        <f>npd/ntot</f>
        <v>0.30330882352941174</v>
      </c>
      <c r="D5" s="20">
        <f>npp/ntot</f>
        <v>3.860294117647059E-2</v>
      </c>
    </row>
    <row r="6" spans="1:18">
      <c r="A6" s="8" t="s">
        <v>52</v>
      </c>
      <c r="B6" s="20">
        <f>SQRT(ndd)/ntot</f>
        <v>3.4781043986074456E-2</v>
      </c>
      <c r="C6" s="20">
        <f>SQRT(npd)/ntot</f>
        <v>2.3612559887252076E-2</v>
      </c>
      <c r="D6" s="20">
        <f>SQRT(npp)/ntot</f>
        <v>8.4238523804335292E-3</v>
      </c>
    </row>
    <row r="7" spans="1:18">
      <c r="A7" s="8" t="s">
        <v>6</v>
      </c>
      <c r="B7" s="10"/>
      <c r="C7" s="20">
        <f>ppd/(1-pdd)</f>
        <v>0.88709677419354827</v>
      </c>
      <c r="D7" s="20">
        <f>ppp/(1-pdd)</f>
        <v>0.11290322580645161</v>
      </c>
    </row>
    <row r="9" spans="1:18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</row>
    <row r="10" spans="1:18">
      <c r="A10" s="1">
        <v>343</v>
      </c>
      <c r="B10" s="1">
        <v>246</v>
      </c>
      <c r="C10" s="1">
        <v>43</v>
      </c>
      <c r="D10" s="1">
        <v>41</v>
      </c>
      <c r="E10" s="1">
        <v>13</v>
      </c>
    </row>
    <row r="11" spans="1:18">
      <c r="A11" s="8" t="s">
        <v>5</v>
      </c>
      <c r="B11" s="20">
        <f>B10/dtot</f>
        <v>0.71720116618075802</v>
      </c>
      <c r="C11" s="20">
        <f>C10/dtot</f>
        <v>0.12536443148688048</v>
      </c>
      <c r="D11" s="20">
        <f>D10/dtot</f>
        <v>0.119533527696793</v>
      </c>
      <c r="E11" s="20">
        <f>E10/dtot</f>
        <v>3.7900874635568516E-2</v>
      </c>
    </row>
    <row r="14" spans="1:18" ht="18" thickBot="1">
      <c r="A14" s="23" t="s">
        <v>12</v>
      </c>
      <c r="B14" s="23"/>
      <c r="C14" s="23"/>
      <c r="D14" s="23"/>
    </row>
    <row r="15" spans="1:18" ht="17.25" thickTop="1"/>
    <row r="16" spans="1:18"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2" t="s">
        <v>22</v>
      </c>
      <c r="M16" s="2" t="s">
        <v>23</v>
      </c>
      <c r="N16" s="2" t="s">
        <v>24</v>
      </c>
      <c r="O16" s="2" t="s">
        <v>25</v>
      </c>
      <c r="P16" s="2" t="s">
        <v>26</v>
      </c>
      <c r="Q16" s="2" t="s">
        <v>27</v>
      </c>
      <c r="R16" s="3" t="s">
        <v>33</v>
      </c>
    </row>
    <row r="17" spans="1:18">
      <c r="B17" s="2" t="s">
        <v>28</v>
      </c>
      <c r="C17" s="1">
        <v>7</v>
      </c>
      <c r="D17" s="1">
        <v>9</v>
      </c>
      <c r="E17" s="1">
        <v>0</v>
      </c>
      <c r="F17" s="1">
        <v>1</v>
      </c>
      <c r="G17" s="1">
        <v>0</v>
      </c>
      <c r="H17" s="1">
        <v>9</v>
      </c>
      <c r="I17" s="1">
        <v>3</v>
      </c>
      <c r="J17" s="1">
        <v>2</v>
      </c>
      <c r="K17" s="1">
        <v>0</v>
      </c>
      <c r="L17" s="1">
        <v>1</v>
      </c>
      <c r="M17" s="1">
        <v>4</v>
      </c>
      <c r="N17" s="1">
        <v>0</v>
      </c>
      <c r="O17" s="1">
        <v>1</v>
      </c>
      <c r="P17" s="1">
        <v>2</v>
      </c>
      <c r="Q17" s="1">
        <v>0</v>
      </c>
      <c r="R17" s="4">
        <f t="shared" ref="R17:R21" si="0">SUM(C17:Q17)</f>
        <v>39</v>
      </c>
    </row>
    <row r="18" spans="1:18">
      <c r="B18" s="2" t="s">
        <v>29</v>
      </c>
      <c r="C18" s="1">
        <v>3</v>
      </c>
      <c r="D18" s="1">
        <v>24</v>
      </c>
      <c r="E18" s="1">
        <v>3</v>
      </c>
      <c r="F18" s="1">
        <v>1</v>
      </c>
      <c r="G18" s="1">
        <v>1</v>
      </c>
      <c r="H18" s="1">
        <v>63</v>
      </c>
      <c r="I18" s="1">
        <v>9</v>
      </c>
      <c r="J18" s="1">
        <v>10</v>
      </c>
      <c r="K18" s="1">
        <v>5</v>
      </c>
      <c r="L18" s="1">
        <v>5</v>
      </c>
      <c r="M18" s="1">
        <v>3</v>
      </c>
      <c r="N18" s="1">
        <v>0</v>
      </c>
      <c r="O18" s="1">
        <v>3</v>
      </c>
      <c r="P18" s="1">
        <v>1</v>
      </c>
      <c r="Q18" s="1">
        <v>0</v>
      </c>
      <c r="R18" s="4">
        <f t="shared" si="0"/>
        <v>131</v>
      </c>
    </row>
    <row r="19" spans="1:18">
      <c r="B19" s="2" t="s">
        <v>30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1">
        <v>4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4">
        <f t="shared" si="0"/>
        <v>8</v>
      </c>
    </row>
    <row r="20" spans="1:18">
      <c r="B20" s="2" t="s">
        <v>31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9</v>
      </c>
      <c r="I20" s="1">
        <v>3</v>
      </c>
      <c r="J20" s="1">
        <v>0</v>
      </c>
      <c r="K20" s="1">
        <v>1</v>
      </c>
      <c r="L20" s="1">
        <v>0</v>
      </c>
      <c r="M20" s="1">
        <v>6</v>
      </c>
      <c r="N20" s="1">
        <v>0</v>
      </c>
      <c r="O20" s="1">
        <v>0</v>
      </c>
      <c r="P20" s="1">
        <v>1</v>
      </c>
      <c r="Q20" s="1">
        <v>0</v>
      </c>
      <c r="R20" s="4">
        <f t="shared" si="0"/>
        <v>21</v>
      </c>
    </row>
    <row r="21" spans="1:18">
      <c r="B21" s="2" t="s">
        <v>32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4">
        <f t="shared" si="0"/>
        <v>2</v>
      </c>
    </row>
    <row r="22" spans="1:18">
      <c r="B22" s="3" t="s">
        <v>33</v>
      </c>
      <c r="C22" s="4">
        <f t="shared" ref="C22:Q22" si="1">SUM(C17:C21)</f>
        <v>11</v>
      </c>
      <c r="D22" s="4">
        <f t="shared" si="1"/>
        <v>35</v>
      </c>
      <c r="E22" s="4">
        <f t="shared" si="1"/>
        <v>3</v>
      </c>
      <c r="F22" s="4">
        <f t="shared" si="1"/>
        <v>3</v>
      </c>
      <c r="G22" s="4">
        <f t="shared" si="1"/>
        <v>2</v>
      </c>
      <c r="H22" s="4">
        <f t="shared" si="1"/>
        <v>86</v>
      </c>
      <c r="I22" s="4">
        <f t="shared" si="1"/>
        <v>15</v>
      </c>
      <c r="J22" s="4">
        <f t="shared" si="1"/>
        <v>12</v>
      </c>
      <c r="K22" s="4">
        <f t="shared" si="1"/>
        <v>7</v>
      </c>
      <c r="L22" s="4">
        <f t="shared" si="1"/>
        <v>6</v>
      </c>
      <c r="M22" s="4">
        <f t="shared" si="1"/>
        <v>13</v>
      </c>
      <c r="N22" s="4">
        <f t="shared" si="1"/>
        <v>0</v>
      </c>
      <c r="O22" s="4">
        <f t="shared" si="1"/>
        <v>4</v>
      </c>
      <c r="P22" s="4">
        <f t="shared" si="1"/>
        <v>4</v>
      </c>
      <c r="Q22" s="4">
        <f t="shared" si="1"/>
        <v>0</v>
      </c>
      <c r="R22" s="3">
        <f>SUM(C22:Q22)</f>
        <v>201</v>
      </c>
    </row>
    <row r="25" spans="1:18" ht="18" thickBot="1">
      <c r="A25" s="23" t="s">
        <v>53</v>
      </c>
      <c r="B25" s="23"/>
      <c r="C25" s="23"/>
      <c r="D25" s="23"/>
      <c r="E25" s="23"/>
    </row>
    <row r="26" spans="1:18" ht="17.25" thickTop="1"/>
    <row r="27" spans="1:18" ht="17.25" thickBot="1">
      <c r="A27" s="24" t="s">
        <v>34</v>
      </c>
      <c r="B27" s="24"/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  <c r="P27" s="2" t="s">
        <v>26</v>
      </c>
      <c r="Q27" s="2" t="s">
        <v>27</v>
      </c>
      <c r="R27" s="3" t="s">
        <v>35</v>
      </c>
    </row>
    <row r="28" spans="1:18">
      <c r="B28" s="5"/>
      <c r="C28" s="6">
        <f>ppp</f>
        <v>3.860294117647059E-2</v>
      </c>
      <c r="D28" s="6">
        <f>ppd*prph</f>
        <v>0.21753344194820784</v>
      </c>
      <c r="E28" s="6">
        <f>ppd*pama</f>
        <v>3.802413822671926E-2</v>
      </c>
      <c r="F28" s="6">
        <f>ppd*pbip</f>
        <v>3.625557365803464E-2</v>
      </c>
      <c r="G28" s="6">
        <f>ppd*pmul</f>
        <v>1.1495669696450009E-2</v>
      </c>
      <c r="H28" s="6">
        <f>pdd*prph*prph</f>
        <v>0.3385057896544707</v>
      </c>
      <c r="I28" s="6">
        <f>pdd*prph*pama*2</f>
        <v>0.11833942239953041</v>
      </c>
      <c r="J28" s="6">
        <f>pdd*prph*pbip*2</f>
        <v>0.11283526321815689</v>
      </c>
      <c r="K28" s="6">
        <f>pdd*prph*pmul*2</f>
        <v>3.5777034678927795E-2</v>
      </c>
      <c r="L28" s="6">
        <f>pdd*pama*pama</f>
        <v>1.034267309589392E-2</v>
      </c>
      <c r="M28" s="6">
        <f>pdd*pama*pbip*2</f>
        <v>1.9723237066588403E-2</v>
      </c>
      <c r="N28" s="6">
        <f>pdd*pama*pmul*2</f>
        <v>6.2537093137963237E-3</v>
      </c>
      <c r="O28" s="6">
        <f>pdd*pbip*pbip</f>
        <v>9.402938601513075E-3</v>
      </c>
      <c r="P28" s="6">
        <f>pdd*pbip*pmul*2</f>
        <v>5.9628391131546334E-3</v>
      </c>
      <c r="Q28" s="6">
        <f>pdd*pmul*pmul</f>
        <v>9.4532815208549063E-4</v>
      </c>
      <c r="R28" s="3">
        <f>SUM(C28:Q28)</f>
        <v>0.99999999999999989</v>
      </c>
    </row>
    <row r="29" spans="1:18">
      <c r="A29" s="2" t="s">
        <v>28</v>
      </c>
      <c r="B29" s="6">
        <f>ppp_</f>
        <v>0.11290322580645161</v>
      </c>
      <c r="C29" s="7">
        <f t="shared" ref="C29:Q33" si="2">C$28*$B29</f>
        <v>4.3583965844402276E-3</v>
      </c>
      <c r="D29" s="7">
        <f t="shared" si="2"/>
        <v>2.4560227316733144E-2</v>
      </c>
      <c r="E29" s="7">
        <f t="shared" si="2"/>
        <v>4.2930478643070135E-3</v>
      </c>
      <c r="F29" s="7">
        <f t="shared" si="2"/>
        <v>4.0933712194555234E-3</v>
      </c>
      <c r="G29" s="7">
        <f t="shared" si="2"/>
        <v>1.2978981915346783E-3</v>
      </c>
      <c r="H29" s="7">
        <f t="shared" si="2"/>
        <v>3.8218395606149917E-2</v>
      </c>
      <c r="I29" s="7">
        <f t="shared" si="2"/>
        <v>1.336090252897924E-2</v>
      </c>
      <c r="J29" s="7">
        <f t="shared" si="2"/>
        <v>1.2739465202049971E-2</v>
      </c>
      <c r="K29" s="7">
        <f t="shared" si="2"/>
        <v>4.0393426250402344E-3</v>
      </c>
      <c r="L29" s="7">
        <f t="shared" si="2"/>
        <v>1.1677211559880231E-3</v>
      </c>
      <c r="M29" s="7">
        <f t="shared" si="2"/>
        <v>2.2268170881632066E-3</v>
      </c>
      <c r="N29" s="7">
        <f t="shared" si="2"/>
        <v>7.060639547834559E-4</v>
      </c>
      <c r="O29" s="7">
        <f t="shared" si="2"/>
        <v>1.061622100170831E-3</v>
      </c>
      <c r="P29" s="7">
        <f t="shared" si="2"/>
        <v>6.7322377084003929E-4</v>
      </c>
      <c r="Q29" s="7">
        <f t="shared" si="2"/>
        <v>1.0673059781610378E-4</v>
      </c>
    </row>
    <row r="30" spans="1:18">
      <c r="A30" s="2" t="s">
        <v>29</v>
      </c>
      <c r="B30" s="6">
        <f>ppd_*prph</f>
        <v>0.63622684096680138</v>
      </c>
      <c r="C30" s="7">
        <f t="shared" si="2"/>
        <v>2.4560227316733144E-2</v>
      </c>
      <c r="D30" s="7">
        <f t="shared" si="2"/>
        <v>0.13840061457534336</v>
      </c>
      <c r="E30" s="7">
        <f t="shared" si="2"/>
        <v>2.4191977344470587E-2</v>
      </c>
      <c r="F30" s="7">
        <f t="shared" si="2"/>
        <v>2.3066769095890557E-2</v>
      </c>
      <c r="G30" s="7">
        <f t="shared" si="2"/>
        <v>7.3138536157701774E-3</v>
      </c>
      <c r="H30" s="7">
        <f t="shared" si="2"/>
        <v>0.21536646920083646</v>
      </c>
      <c r="I30" s="7">
        <f t="shared" si="2"/>
        <v>7.5290716875089161E-2</v>
      </c>
      <c r="J30" s="7">
        <f t="shared" si="2"/>
        <v>7.1788823066945479E-2</v>
      </c>
      <c r="K30" s="7">
        <f t="shared" si="2"/>
        <v>2.2762309752933932E-2</v>
      </c>
      <c r="L30" s="7">
        <f t="shared" si="2"/>
        <v>6.5802862309529159E-3</v>
      </c>
      <c r="M30" s="7">
        <f t="shared" si="2"/>
        <v>1.2548452812514863E-2</v>
      </c>
      <c r="N30" s="7">
        <f t="shared" si="2"/>
        <v>3.978777721041298E-3</v>
      </c>
      <c r="O30" s="7">
        <f t="shared" si="2"/>
        <v>5.9824019222454571E-3</v>
      </c>
      <c r="P30" s="7">
        <f t="shared" si="2"/>
        <v>3.7937182921556557E-3</v>
      </c>
      <c r="Q30" s="7">
        <f t="shared" si="2"/>
        <v>6.0144314387833569E-4</v>
      </c>
    </row>
    <row r="31" spans="1:18">
      <c r="A31" s="2" t="s">
        <v>30</v>
      </c>
      <c r="B31" s="6">
        <f>ppd_*pama</f>
        <v>0.11121038277061976</v>
      </c>
      <c r="C31" s="7">
        <f t="shared" si="2"/>
        <v>4.2930478643070126E-3</v>
      </c>
      <c r="D31" s="7">
        <f t="shared" si="2"/>
        <v>2.4191977344470587E-2</v>
      </c>
      <c r="E31" s="7">
        <f t="shared" si="2"/>
        <v>4.2286789667164036E-3</v>
      </c>
      <c r="F31" s="7">
        <f t="shared" si="2"/>
        <v>4.0319962240784315E-3</v>
      </c>
      <c r="G31" s="7">
        <f t="shared" si="2"/>
        <v>1.2784378271468197E-3</v>
      </c>
      <c r="H31" s="7">
        <f t="shared" si="2"/>
        <v>3.7645358437544588E-2</v>
      </c>
      <c r="I31" s="7">
        <f t="shared" si="2"/>
        <v>1.316057246190583E-2</v>
      </c>
      <c r="J31" s="7">
        <f t="shared" si="2"/>
        <v>1.2548452812514861E-2</v>
      </c>
      <c r="K31" s="7">
        <f t="shared" si="2"/>
        <v>3.9787777210412972E-3</v>
      </c>
      <c r="L31" s="7">
        <f t="shared" si="2"/>
        <v>1.1502126338657538E-3</v>
      </c>
      <c r="M31" s="7">
        <f t="shared" si="2"/>
        <v>2.1934287436509718E-3</v>
      </c>
      <c r="N31" s="7">
        <f t="shared" si="2"/>
        <v>6.9547740652347895E-4</v>
      </c>
      <c r="O31" s="7">
        <f t="shared" si="2"/>
        <v>1.0457044010429052E-3</v>
      </c>
      <c r="P31" s="7">
        <f t="shared" si="2"/>
        <v>6.631296201735496E-4</v>
      </c>
      <c r="Q31" s="7">
        <f t="shared" si="2"/>
        <v>1.0513030563727007E-4</v>
      </c>
    </row>
    <row r="32" spans="1:18">
      <c r="A32" s="2" t="s">
        <v>31</v>
      </c>
      <c r="B32" s="6">
        <f>ppd_*pbip</f>
        <v>0.10603780682780023</v>
      </c>
      <c r="C32" s="7">
        <f t="shared" si="2"/>
        <v>4.0933712194555234E-3</v>
      </c>
      <c r="D32" s="7">
        <f t="shared" si="2"/>
        <v>2.3066769095890557E-2</v>
      </c>
      <c r="E32" s="7">
        <f t="shared" si="2"/>
        <v>4.0319962240784315E-3</v>
      </c>
      <c r="F32" s="7">
        <f t="shared" si="2"/>
        <v>3.8444615159817599E-3</v>
      </c>
      <c r="G32" s="7">
        <f t="shared" si="2"/>
        <v>1.218975602628363E-3</v>
      </c>
      <c r="H32" s="7">
        <f t="shared" si="2"/>
        <v>3.5894411533472739E-2</v>
      </c>
      <c r="I32" s="7">
        <f t="shared" si="2"/>
        <v>1.2548452812514861E-2</v>
      </c>
      <c r="J32" s="7">
        <f t="shared" si="2"/>
        <v>1.1964803844490913E-2</v>
      </c>
      <c r="K32" s="7">
        <f t="shared" si="2"/>
        <v>3.7937182921556553E-3</v>
      </c>
      <c r="L32" s="7">
        <f t="shared" si="2"/>
        <v>1.0967143718254859E-3</v>
      </c>
      <c r="M32" s="7">
        <f t="shared" si="2"/>
        <v>2.0914088020858104E-3</v>
      </c>
      <c r="N32" s="7">
        <f t="shared" si="2"/>
        <v>6.6312962017354971E-4</v>
      </c>
      <c r="O32" s="7">
        <f t="shared" si="2"/>
        <v>9.9706698704090952E-4</v>
      </c>
      <c r="P32" s="7">
        <f t="shared" si="2"/>
        <v>6.322863820259427E-4</v>
      </c>
      <c r="Q32" s="7">
        <f t="shared" si="2"/>
        <v>1.0024052397972261E-4</v>
      </c>
    </row>
    <row r="33" spans="1:18">
      <c r="A33" s="2" t="s">
        <v>32</v>
      </c>
      <c r="B33" s="6">
        <f>ppd_*pmul</f>
        <v>3.3621743628326907E-2</v>
      </c>
      <c r="C33" s="7">
        <f t="shared" si="2"/>
        <v>1.2978981915346785E-3</v>
      </c>
      <c r="D33" s="7">
        <f t="shared" si="2"/>
        <v>7.3138536157701783E-3</v>
      </c>
      <c r="E33" s="7">
        <f t="shared" si="2"/>
        <v>1.2784378271468199E-3</v>
      </c>
      <c r="F33" s="7">
        <f t="shared" si="2"/>
        <v>1.218975602628363E-3</v>
      </c>
      <c r="G33" s="7">
        <f t="shared" si="2"/>
        <v>3.8650445936996879E-4</v>
      </c>
      <c r="H33" s="7">
        <f t="shared" si="2"/>
        <v>1.1381154876466968E-2</v>
      </c>
      <c r="I33" s="7">
        <f t="shared" si="2"/>
        <v>3.978777721041298E-3</v>
      </c>
      <c r="J33" s="7">
        <f t="shared" si="2"/>
        <v>3.7937182921556557E-3</v>
      </c>
      <c r="K33" s="7">
        <f t="shared" si="2"/>
        <v>1.2028862877566714E-3</v>
      </c>
      <c r="L33" s="7">
        <f t="shared" si="2"/>
        <v>3.4773870326173953E-4</v>
      </c>
      <c r="M33" s="7">
        <f t="shared" si="2"/>
        <v>6.6312962017354971E-4</v>
      </c>
      <c r="N33" s="7">
        <f t="shared" si="2"/>
        <v>2.1026061127454019E-4</v>
      </c>
      <c r="O33" s="7">
        <f t="shared" si="2"/>
        <v>3.1614319101297135E-4</v>
      </c>
      <c r="P33" s="7">
        <f t="shared" si="2"/>
        <v>2.0048104795944525E-4</v>
      </c>
      <c r="Q33" s="7">
        <f t="shared" si="2"/>
        <v>3.1783580774058393E-5</v>
      </c>
    </row>
    <row r="34" spans="1:18">
      <c r="A34" s="3" t="s">
        <v>35</v>
      </c>
      <c r="B34" s="3">
        <f>SUM(B29:B33)</f>
        <v>0.99999999999999989</v>
      </c>
      <c r="C34" s="15">
        <f>SUM(C29:C33)</f>
        <v>3.8602941176470583E-2</v>
      </c>
      <c r="D34" s="15">
        <f t="shared" ref="D34:Q34" si="3">SUM(D29:D33)</f>
        <v>0.21753344194820781</v>
      </c>
      <c r="E34" s="15">
        <f t="shared" si="3"/>
        <v>3.8024138226719253E-2</v>
      </c>
      <c r="F34" s="15">
        <f t="shared" si="3"/>
        <v>3.6255573658034633E-2</v>
      </c>
      <c r="G34" s="15">
        <f t="shared" si="3"/>
        <v>1.1495669696450007E-2</v>
      </c>
      <c r="H34" s="15">
        <f t="shared" si="3"/>
        <v>0.33850578965447065</v>
      </c>
      <c r="I34" s="15">
        <f t="shared" si="3"/>
        <v>0.11833942239953039</v>
      </c>
      <c r="J34" s="15">
        <f t="shared" si="3"/>
        <v>0.11283526321815689</v>
      </c>
      <c r="K34" s="15">
        <f t="shared" si="3"/>
        <v>3.5777034678927795E-2</v>
      </c>
      <c r="L34" s="15">
        <f t="shared" si="3"/>
        <v>1.0342673095893918E-2</v>
      </c>
      <c r="M34" s="15">
        <f t="shared" si="3"/>
        <v>1.9723237066588403E-2</v>
      </c>
      <c r="N34" s="15">
        <f t="shared" si="3"/>
        <v>6.2537093137963228E-3</v>
      </c>
      <c r="O34" s="15">
        <f t="shared" si="3"/>
        <v>9.4029386015130716E-3</v>
      </c>
      <c r="P34" s="15">
        <f t="shared" si="3"/>
        <v>5.9628391131546334E-3</v>
      </c>
      <c r="Q34" s="15">
        <f t="shared" si="3"/>
        <v>9.4532815208549052E-4</v>
      </c>
      <c r="R34" s="3">
        <f>SUM(C29:Q33)</f>
        <v>0.99999999999999989</v>
      </c>
    </row>
    <row r="36" spans="1:18" ht="17.25" thickBot="1">
      <c r="A36" s="24" t="s">
        <v>36</v>
      </c>
      <c r="B36" s="24"/>
      <c r="C36" s="2" t="s">
        <v>13</v>
      </c>
      <c r="D36" s="2" t="s">
        <v>14</v>
      </c>
      <c r="E36" s="2" t="s">
        <v>15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2" t="s">
        <v>21</v>
      </c>
      <c r="L36" s="2" t="s">
        <v>22</v>
      </c>
      <c r="M36" s="2" t="s">
        <v>23</v>
      </c>
      <c r="N36" s="2" t="s">
        <v>24</v>
      </c>
      <c r="O36" s="2" t="s">
        <v>25</v>
      </c>
      <c r="P36" s="2" t="s">
        <v>26</v>
      </c>
      <c r="Q36" s="2" t="s">
        <v>27</v>
      </c>
    </row>
    <row r="37" spans="1:18">
      <c r="B37" s="2" t="s">
        <v>28</v>
      </c>
      <c r="C37" s="9">
        <f t="shared" ref="C37:Q37" si="4">C29*total3</f>
        <v>0.87603771347248571</v>
      </c>
      <c r="D37" s="9">
        <f t="shared" si="4"/>
        <v>4.9366056906633622</v>
      </c>
      <c r="E37" s="9">
        <f t="shared" si="4"/>
        <v>0.86290262072570967</v>
      </c>
      <c r="F37" s="9">
        <f t="shared" si="4"/>
        <v>0.82276761511056018</v>
      </c>
      <c r="G37" s="9">
        <f t="shared" si="4"/>
        <v>0.26087753649847034</v>
      </c>
      <c r="H37" s="9">
        <f t="shared" si="4"/>
        <v>7.6818975168361332</v>
      </c>
      <c r="I37" s="9">
        <f t="shared" si="4"/>
        <v>2.685541408324827</v>
      </c>
      <c r="J37" s="9">
        <f t="shared" si="4"/>
        <v>2.5606325056120443</v>
      </c>
      <c r="K37" s="9">
        <f t="shared" si="4"/>
        <v>0.81190786763308709</v>
      </c>
      <c r="L37" s="9">
        <f t="shared" si="4"/>
        <v>0.23471195235359266</v>
      </c>
      <c r="M37" s="9">
        <f t="shared" si="4"/>
        <v>0.44759023472080456</v>
      </c>
      <c r="N37" s="9">
        <f t="shared" si="4"/>
        <v>0.14191885491147463</v>
      </c>
      <c r="O37" s="9">
        <f t="shared" si="4"/>
        <v>0.21338604213433701</v>
      </c>
      <c r="P37" s="9">
        <f t="shared" si="4"/>
        <v>0.13531797793884789</v>
      </c>
      <c r="Q37" s="9">
        <f t="shared" si="4"/>
        <v>2.145285016103686E-2</v>
      </c>
    </row>
    <row r="38" spans="1:18">
      <c r="B38" s="2" t="s">
        <v>29</v>
      </c>
      <c r="C38" s="9">
        <f t="shared" ref="C38:Q38" si="5">C30*total3</f>
        <v>4.9366056906633622</v>
      </c>
      <c r="D38" s="9">
        <f t="shared" si="5"/>
        <v>27.818523529644015</v>
      </c>
      <c r="E38" s="9">
        <f t="shared" si="5"/>
        <v>4.8625874462385879</v>
      </c>
      <c r="F38" s="9">
        <f t="shared" si="5"/>
        <v>4.6364205882740022</v>
      </c>
      <c r="G38" s="9">
        <f t="shared" si="5"/>
        <v>1.4700845767698056</v>
      </c>
      <c r="H38" s="9">
        <f t="shared" si="5"/>
        <v>43.288660309368126</v>
      </c>
      <c r="I38" s="9">
        <f t="shared" si="5"/>
        <v>15.133434091892921</v>
      </c>
      <c r="J38" s="9">
        <f t="shared" si="5"/>
        <v>14.429553436456041</v>
      </c>
      <c r="K38" s="9">
        <f t="shared" si="5"/>
        <v>4.57522426033972</v>
      </c>
      <c r="L38" s="9">
        <f t="shared" si="5"/>
        <v>1.322637532421536</v>
      </c>
      <c r="M38" s="9">
        <f t="shared" si="5"/>
        <v>2.5222390153154874</v>
      </c>
      <c r="N38" s="9">
        <f t="shared" si="5"/>
        <v>0.79973432192930094</v>
      </c>
      <c r="O38" s="9">
        <f t="shared" si="5"/>
        <v>1.2024627863713369</v>
      </c>
      <c r="P38" s="9">
        <f t="shared" si="5"/>
        <v>0.76253737672328681</v>
      </c>
      <c r="Q38" s="9">
        <f t="shared" si="5"/>
        <v>0.12089007191954547</v>
      </c>
    </row>
    <row r="39" spans="1:18">
      <c r="B39" s="2" t="s">
        <v>30</v>
      </c>
      <c r="C39" s="9">
        <f t="shared" ref="C39:Q39" si="6">C31*total3</f>
        <v>0.86290262072570956</v>
      </c>
      <c r="D39" s="9">
        <f t="shared" si="6"/>
        <v>4.8625874462385879</v>
      </c>
      <c r="E39" s="9">
        <f t="shared" si="6"/>
        <v>0.84996447230999717</v>
      </c>
      <c r="F39" s="9">
        <f t="shared" si="6"/>
        <v>0.81043124103976472</v>
      </c>
      <c r="G39" s="9">
        <f t="shared" si="6"/>
        <v>0.25696600325651076</v>
      </c>
      <c r="H39" s="9">
        <f t="shared" si="6"/>
        <v>7.5667170459464623</v>
      </c>
      <c r="I39" s="9">
        <f t="shared" si="6"/>
        <v>2.6452750648430721</v>
      </c>
      <c r="J39" s="9">
        <f t="shared" si="6"/>
        <v>2.522239015315487</v>
      </c>
      <c r="K39" s="9">
        <f t="shared" si="6"/>
        <v>0.79973432192930072</v>
      </c>
      <c r="L39" s="9">
        <f t="shared" si="6"/>
        <v>0.23119273940701651</v>
      </c>
      <c r="M39" s="9">
        <f t="shared" si="6"/>
        <v>0.44087917747384536</v>
      </c>
      <c r="N39" s="9">
        <f t="shared" si="6"/>
        <v>0.13979095871121927</v>
      </c>
      <c r="O39" s="9">
        <f t="shared" si="6"/>
        <v>0.21018658460962394</v>
      </c>
      <c r="P39" s="9">
        <f t="shared" si="6"/>
        <v>0.13328905365488347</v>
      </c>
      <c r="Q39" s="9">
        <f t="shared" si="6"/>
        <v>2.1131191433091282E-2</v>
      </c>
    </row>
    <row r="40" spans="1:18">
      <c r="B40" s="2" t="s">
        <v>31</v>
      </c>
      <c r="C40" s="9">
        <f t="shared" ref="C40:Q40" si="7">C32*total3</f>
        <v>0.82276761511056018</v>
      </c>
      <c r="D40" s="9">
        <f t="shared" si="7"/>
        <v>4.6364205882740022</v>
      </c>
      <c r="E40" s="9">
        <f t="shared" si="7"/>
        <v>0.81043124103976472</v>
      </c>
      <c r="F40" s="9">
        <f t="shared" si="7"/>
        <v>0.77273676471233377</v>
      </c>
      <c r="G40" s="9">
        <f t="shared" si="7"/>
        <v>0.24501409612830097</v>
      </c>
      <c r="H40" s="9">
        <f t="shared" si="7"/>
        <v>7.2147767182280207</v>
      </c>
      <c r="I40" s="9">
        <f t="shared" si="7"/>
        <v>2.522239015315487</v>
      </c>
      <c r="J40" s="9">
        <f t="shared" si="7"/>
        <v>2.4049255727426733</v>
      </c>
      <c r="K40" s="9">
        <f t="shared" si="7"/>
        <v>0.7625373767232867</v>
      </c>
      <c r="L40" s="9">
        <f t="shared" si="7"/>
        <v>0.22043958873692268</v>
      </c>
      <c r="M40" s="9">
        <f t="shared" si="7"/>
        <v>0.42037316921924789</v>
      </c>
      <c r="N40" s="9">
        <f t="shared" si="7"/>
        <v>0.1332890536548835</v>
      </c>
      <c r="O40" s="9">
        <f t="shared" si="7"/>
        <v>0.20041046439522281</v>
      </c>
      <c r="P40" s="9">
        <f t="shared" si="7"/>
        <v>0.12708956278721448</v>
      </c>
      <c r="Q40" s="9">
        <f t="shared" si="7"/>
        <v>2.0148345319924245E-2</v>
      </c>
    </row>
    <row r="41" spans="1:18">
      <c r="B41" s="2" t="s">
        <v>32</v>
      </c>
      <c r="C41" s="9">
        <f t="shared" ref="C41:Q42" si="8">C33*total3</f>
        <v>0.2608775364984704</v>
      </c>
      <c r="D41" s="9">
        <f t="shared" si="8"/>
        <v>1.4700845767698059</v>
      </c>
      <c r="E41" s="9">
        <f t="shared" si="8"/>
        <v>0.25696600325651081</v>
      </c>
      <c r="F41" s="9">
        <f t="shared" si="8"/>
        <v>0.24501409612830097</v>
      </c>
      <c r="G41" s="9">
        <f t="shared" si="8"/>
        <v>7.7687396333363731E-2</v>
      </c>
      <c r="H41" s="9">
        <f t="shared" si="8"/>
        <v>2.2876121301698604</v>
      </c>
      <c r="I41" s="9">
        <f t="shared" si="8"/>
        <v>0.79973432192930094</v>
      </c>
      <c r="J41" s="9">
        <f t="shared" si="8"/>
        <v>0.76253737672328681</v>
      </c>
      <c r="K41" s="9">
        <f t="shared" si="8"/>
        <v>0.24178014383909094</v>
      </c>
      <c r="L41" s="9">
        <f t="shared" si="8"/>
        <v>6.9895479355609649E-2</v>
      </c>
      <c r="M41" s="9">
        <f t="shared" si="8"/>
        <v>0.1332890536548835</v>
      </c>
      <c r="N41" s="9">
        <f t="shared" si="8"/>
        <v>4.2262382866182578E-2</v>
      </c>
      <c r="O41" s="9">
        <f t="shared" si="8"/>
        <v>6.3544781393607239E-2</v>
      </c>
      <c r="P41" s="9">
        <f t="shared" si="8"/>
        <v>4.0296690639848497E-2</v>
      </c>
      <c r="Q41" s="9">
        <f t="shared" si="8"/>
        <v>6.388499735585737E-3</v>
      </c>
    </row>
    <row r="42" spans="1:18">
      <c r="B42" s="3" t="s">
        <v>33</v>
      </c>
      <c r="C42" s="16">
        <f t="shared" si="8"/>
        <v>7.759191176470587</v>
      </c>
      <c r="D42" s="16">
        <f t="shared" si="8"/>
        <v>43.724221831589773</v>
      </c>
      <c r="E42" s="16">
        <f t="shared" si="8"/>
        <v>7.6428517835705696</v>
      </c>
      <c r="F42" s="16">
        <f t="shared" si="8"/>
        <v>7.287370305264961</v>
      </c>
      <c r="G42" s="16">
        <f t="shared" si="8"/>
        <v>2.3106296089864515</v>
      </c>
      <c r="H42" s="16">
        <f t="shared" si="8"/>
        <v>68.039663720548603</v>
      </c>
      <c r="I42" s="16">
        <f t="shared" si="8"/>
        <v>23.786223902305608</v>
      </c>
      <c r="J42" s="16">
        <f t="shared" si="8"/>
        <v>22.679887906849533</v>
      </c>
      <c r="K42" s="16">
        <f t="shared" si="8"/>
        <v>7.1911839704644871</v>
      </c>
      <c r="L42" s="16">
        <f t="shared" si="8"/>
        <v>2.0788772922746777</v>
      </c>
      <c r="M42" s="16">
        <f t="shared" si="8"/>
        <v>3.9643706503842688</v>
      </c>
      <c r="N42" s="16">
        <f t="shared" si="8"/>
        <v>1.2569955720730608</v>
      </c>
      <c r="O42" s="16">
        <f t="shared" si="8"/>
        <v>1.8899906589041273</v>
      </c>
      <c r="P42" s="16">
        <f t="shared" si="8"/>
        <v>1.1985306617440814</v>
      </c>
      <c r="Q42" s="16">
        <f t="shared" si="8"/>
        <v>0.1900109585691836</v>
      </c>
    </row>
    <row r="45" spans="1:18" ht="18" thickBot="1">
      <c r="A45" s="23" t="s">
        <v>54</v>
      </c>
      <c r="B45" s="23"/>
      <c r="C45" s="23"/>
      <c r="D45" s="23"/>
      <c r="E45" s="23"/>
    </row>
    <row r="46" spans="1:18" ht="17.25" thickTop="1"/>
    <row r="47" spans="1:18" ht="17.25" thickBot="1">
      <c r="A47" s="25" t="s">
        <v>55</v>
      </c>
      <c r="B47" s="25"/>
      <c r="C47" s="2" t="s">
        <v>13</v>
      </c>
      <c r="D47" s="2" t="s">
        <v>14</v>
      </c>
      <c r="E47" s="2" t="s">
        <v>15</v>
      </c>
      <c r="F47" s="2" t="s">
        <v>16</v>
      </c>
      <c r="G47" s="2" t="s">
        <v>17</v>
      </c>
      <c r="H47" s="2" t="s">
        <v>18</v>
      </c>
      <c r="I47" s="2" t="s">
        <v>19</v>
      </c>
      <c r="J47" s="2" t="s">
        <v>20</v>
      </c>
      <c r="K47" s="2" t="s">
        <v>21</v>
      </c>
      <c r="L47" s="2" t="s">
        <v>22</v>
      </c>
      <c r="M47" s="2" t="s">
        <v>23</v>
      </c>
      <c r="N47" s="2" t="s">
        <v>24</v>
      </c>
      <c r="O47" s="2" t="s">
        <v>25</v>
      </c>
      <c r="P47" s="2" t="s">
        <v>26</v>
      </c>
      <c r="Q47" s="2" t="s">
        <v>27</v>
      </c>
      <c r="R47" s="3" t="s">
        <v>33</v>
      </c>
    </row>
    <row r="48" spans="1:18">
      <c r="B48" s="2" t="s">
        <v>28</v>
      </c>
      <c r="C48" s="1">
        <v>462</v>
      </c>
      <c r="D48" s="1">
        <v>2639</v>
      </c>
      <c r="E48" s="1">
        <v>328</v>
      </c>
      <c r="F48" s="1">
        <v>360</v>
      </c>
      <c r="G48" s="1">
        <v>36</v>
      </c>
      <c r="H48" s="1">
        <v>4190</v>
      </c>
      <c r="I48" s="1">
        <v>1160</v>
      </c>
      <c r="J48" s="1">
        <v>1122</v>
      </c>
      <c r="K48" s="1">
        <v>69</v>
      </c>
      <c r="L48" s="1">
        <v>102</v>
      </c>
      <c r="M48" s="1">
        <v>191</v>
      </c>
      <c r="N48" s="1">
        <v>8</v>
      </c>
      <c r="O48" s="1">
        <v>127</v>
      </c>
      <c r="P48" s="1">
        <v>12</v>
      </c>
      <c r="Q48" s="1">
        <v>3</v>
      </c>
      <c r="R48" s="4">
        <f t="shared" ref="R48:R52" si="9">SUM(C48:Q48)</f>
        <v>10809</v>
      </c>
    </row>
    <row r="49" spans="1:18">
      <c r="B49" s="2" t="s">
        <v>29</v>
      </c>
      <c r="C49" s="1">
        <v>1458</v>
      </c>
      <c r="D49" s="1">
        <v>9248</v>
      </c>
      <c r="E49" s="1">
        <v>1224</v>
      </c>
      <c r="F49" s="1">
        <v>1136</v>
      </c>
      <c r="G49" s="1">
        <v>71</v>
      </c>
      <c r="H49" s="1">
        <v>16383</v>
      </c>
      <c r="I49" s="1">
        <v>3799</v>
      </c>
      <c r="J49" s="1">
        <v>3684</v>
      </c>
      <c r="K49" s="1">
        <v>199</v>
      </c>
      <c r="L49" s="1">
        <v>268</v>
      </c>
      <c r="M49" s="1">
        <v>556</v>
      </c>
      <c r="N49" s="1">
        <v>37</v>
      </c>
      <c r="O49" s="1">
        <v>326</v>
      </c>
      <c r="P49" s="1">
        <v>43</v>
      </c>
      <c r="Q49" s="1">
        <v>5</v>
      </c>
      <c r="R49" s="4">
        <f t="shared" si="9"/>
        <v>38437</v>
      </c>
    </row>
    <row r="50" spans="1:18">
      <c r="B50" s="2" t="s">
        <v>30</v>
      </c>
      <c r="C50" s="1">
        <v>149</v>
      </c>
      <c r="D50" s="1">
        <v>889</v>
      </c>
      <c r="E50" s="1">
        <v>112</v>
      </c>
      <c r="F50" s="1">
        <v>134</v>
      </c>
      <c r="G50" s="1">
        <v>6</v>
      </c>
      <c r="H50" s="1">
        <v>1590</v>
      </c>
      <c r="I50" s="1">
        <v>382</v>
      </c>
      <c r="J50" s="1">
        <v>332</v>
      </c>
      <c r="K50" s="1">
        <v>15</v>
      </c>
      <c r="L50" s="1">
        <v>23</v>
      </c>
      <c r="M50" s="1">
        <v>47</v>
      </c>
      <c r="N50" s="1">
        <v>2</v>
      </c>
      <c r="O50" s="1">
        <v>28</v>
      </c>
      <c r="P50" s="1">
        <v>4</v>
      </c>
      <c r="Q50" s="1">
        <v>0</v>
      </c>
      <c r="R50" s="4">
        <f t="shared" si="9"/>
        <v>3713</v>
      </c>
    </row>
    <row r="51" spans="1:18">
      <c r="B51" s="2" t="s">
        <v>31</v>
      </c>
      <c r="C51" s="1">
        <v>268</v>
      </c>
      <c r="D51" s="1">
        <v>1537</v>
      </c>
      <c r="E51" s="1">
        <v>198</v>
      </c>
      <c r="F51" s="1">
        <v>201</v>
      </c>
      <c r="G51" s="1">
        <v>13</v>
      </c>
      <c r="H51" s="1">
        <v>2616</v>
      </c>
      <c r="I51" s="1">
        <v>642</v>
      </c>
      <c r="J51" s="1">
        <v>586</v>
      </c>
      <c r="K51" s="1">
        <v>30</v>
      </c>
      <c r="L51" s="1">
        <v>40</v>
      </c>
      <c r="M51" s="1">
        <v>83</v>
      </c>
      <c r="N51" s="1">
        <v>10</v>
      </c>
      <c r="O51" s="1">
        <v>57</v>
      </c>
      <c r="P51" s="1">
        <v>3</v>
      </c>
      <c r="Q51" s="1">
        <v>0</v>
      </c>
      <c r="R51" s="4">
        <f t="shared" si="9"/>
        <v>6284</v>
      </c>
    </row>
    <row r="52" spans="1:18">
      <c r="B52" s="2" t="s">
        <v>32</v>
      </c>
      <c r="C52" s="1">
        <v>6</v>
      </c>
      <c r="D52" s="1">
        <v>35</v>
      </c>
      <c r="E52" s="1">
        <v>4</v>
      </c>
      <c r="F52" s="1">
        <v>7</v>
      </c>
      <c r="G52" s="1">
        <v>0</v>
      </c>
      <c r="H52" s="1">
        <v>51</v>
      </c>
      <c r="I52" s="1">
        <v>9</v>
      </c>
      <c r="J52" s="1">
        <v>14</v>
      </c>
      <c r="K52" s="1">
        <v>0</v>
      </c>
      <c r="L52" s="1">
        <v>3</v>
      </c>
      <c r="M52" s="1">
        <v>2</v>
      </c>
      <c r="N52" s="1">
        <v>0</v>
      </c>
      <c r="O52" s="1">
        <v>1</v>
      </c>
      <c r="P52" s="1">
        <v>0</v>
      </c>
      <c r="Q52" s="1">
        <v>0</v>
      </c>
      <c r="R52" s="4">
        <f t="shared" si="9"/>
        <v>132</v>
      </c>
    </row>
    <row r="53" spans="1:18">
      <c r="B53" s="3" t="s">
        <v>33</v>
      </c>
      <c r="C53" s="4">
        <f t="shared" ref="C53:Q53" si="10">SUM(C48:C52)</f>
        <v>2343</v>
      </c>
      <c r="D53" s="4">
        <f t="shared" si="10"/>
        <v>14348</v>
      </c>
      <c r="E53" s="4">
        <f t="shared" si="10"/>
        <v>1866</v>
      </c>
      <c r="F53" s="4">
        <f t="shared" si="10"/>
        <v>1838</v>
      </c>
      <c r="G53" s="4">
        <f t="shared" si="10"/>
        <v>126</v>
      </c>
      <c r="H53" s="4">
        <f t="shared" si="10"/>
        <v>24830</v>
      </c>
      <c r="I53" s="4">
        <f t="shared" si="10"/>
        <v>5992</v>
      </c>
      <c r="J53" s="4">
        <f t="shared" si="10"/>
        <v>5738</v>
      </c>
      <c r="K53" s="4">
        <f t="shared" si="10"/>
        <v>313</v>
      </c>
      <c r="L53" s="4">
        <f t="shared" si="10"/>
        <v>436</v>
      </c>
      <c r="M53" s="4">
        <f t="shared" si="10"/>
        <v>879</v>
      </c>
      <c r="N53" s="4">
        <f t="shared" si="10"/>
        <v>57</v>
      </c>
      <c r="O53" s="4">
        <f t="shared" si="10"/>
        <v>539</v>
      </c>
      <c r="P53" s="4">
        <f t="shared" si="10"/>
        <v>62</v>
      </c>
      <c r="Q53" s="4">
        <f t="shared" si="10"/>
        <v>8</v>
      </c>
      <c r="R53" s="3">
        <f>SUM(C53:Q53)</f>
        <v>59375</v>
      </c>
    </row>
    <row r="55" spans="1:18" ht="17.25" thickBot="1">
      <c r="A55" s="24" t="s">
        <v>36</v>
      </c>
      <c r="B55" s="24"/>
      <c r="C55" s="2" t="s">
        <v>13</v>
      </c>
      <c r="D55" s="2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2" t="s">
        <v>20</v>
      </c>
      <c r="K55" s="2" t="s">
        <v>21</v>
      </c>
      <c r="L55" s="2" t="s">
        <v>22</v>
      </c>
      <c r="M55" s="2" t="s">
        <v>23</v>
      </c>
      <c r="N55" s="2" t="s">
        <v>24</v>
      </c>
      <c r="O55" s="2" t="s">
        <v>25</v>
      </c>
      <c r="P55" s="2" t="s">
        <v>26</v>
      </c>
      <c r="Q55" s="2" t="s">
        <v>27</v>
      </c>
      <c r="R55" s="3" t="s">
        <v>33</v>
      </c>
    </row>
    <row r="56" spans="1:18">
      <c r="B56" s="2" t="s">
        <v>28</v>
      </c>
      <c r="C56" s="7">
        <f>C48/$R$53</f>
        <v>7.7810526315789472E-3</v>
      </c>
      <c r="D56" s="7">
        <f t="shared" ref="D56:Q56" si="11">D48/$R$53</f>
        <v>4.4446315789473681E-2</v>
      </c>
      <c r="E56" s="7">
        <f t="shared" si="11"/>
        <v>5.5242105263157894E-3</v>
      </c>
      <c r="F56" s="7">
        <f t="shared" si="11"/>
        <v>6.0631578947368424E-3</v>
      </c>
      <c r="G56" s="7">
        <f t="shared" si="11"/>
        <v>6.0631578947368419E-4</v>
      </c>
      <c r="H56" s="7">
        <f t="shared" si="11"/>
        <v>7.0568421052631586E-2</v>
      </c>
      <c r="I56" s="7">
        <f t="shared" si="11"/>
        <v>1.9536842105263158E-2</v>
      </c>
      <c r="J56" s="7">
        <f t="shared" si="11"/>
        <v>1.8896842105263156E-2</v>
      </c>
      <c r="K56" s="7">
        <f t="shared" si="11"/>
        <v>1.1621052631578946E-3</v>
      </c>
      <c r="L56" s="7">
        <f t="shared" si="11"/>
        <v>1.7178947368421053E-3</v>
      </c>
      <c r="M56" s="7">
        <f t="shared" si="11"/>
        <v>3.2168421052631577E-3</v>
      </c>
      <c r="N56" s="7">
        <f t="shared" si="11"/>
        <v>1.3473684210526314E-4</v>
      </c>
      <c r="O56" s="7">
        <f t="shared" si="11"/>
        <v>2.1389473684210528E-3</v>
      </c>
      <c r="P56" s="7">
        <f t="shared" si="11"/>
        <v>2.0210526315789473E-4</v>
      </c>
      <c r="Q56" s="7">
        <f t="shared" si="11"/>
        <v>5.0526315789473683E-5</v>
      </c>
      <c r="R56" s="26">
        <f t="shared" ref="R56:R60" si="12">SUM(C56:Q56)</f>
        <v>0.18204631578947369</v>
      </c>
    </row>
    <row r="57" spans="1:18">
      <c r="B57" s="2" t="s">
        <v>29</v>
      </c>
      <c r="C57" s="7">
        <f t="shared" ref="C57:Q57" si="13">C49/$R$53</f>
        <v>2.4555789473684211E-2</v>
      </c>
      <c r="D57" s="7">
        <f t="shared" si="13"/>
        <v>0.15575578947368421</v>
      </c>
      <c r="E57" s="7">
        <f t="shared" si="13"/>
        <v>2.0614736842105262E-2</v>
      </c>
      <c r="F57" s="7">
        <f t="shared" si="13"/>
        <v>1.913263157894737E-2</v>
      </c>
      <c r="G57" s="7">
        <f t="shared" si="13"/>
        <v>1.1957894736842106E-3</v>
      </c>
      <c r="H57" s="7">
        <f t="shared" si="13"/>
        <v>0.27592421052631577</v>
      </c>
      <c r="I57" s="7">
        <f t="shared" si="13"/>
        <v>6.3983157894736839E-2</v>
      </c>
      <c r="J57" s="7">
        <f t="shared" si="13"/>
        <v>6.2046315789473686E-2</v>
      </c>
      <c r="K57" s="7">
        <f t="shared" si="13"/>
        <v>3.3515789473684211E-3</v>
      </c>
      <c r="L57" s="7">
        <f t="shared" si="13"/>
        <v>4.5136842105263156E-3</v>
      </c>
      <c r="M57" s="7">
        <f t="shared" si="13"/>
        <v>9.3642105263157891E-3</v>
      </c>
      <c r="N57" s="7">
        <f t="shared" si="13"/>
        <v>6.2315789473684207E-4</v>
      </c>
      <c r="O57" s="7">
        <f t="shared" si="13"/>
        <v>5.4905263157894735E-3</v>
      </c>
      <c r="P57" s="7">
        <f t="shared" si="13"/>
        <v>7.2421052631578943E-4</v>
      </c>
      <c r="Q57" s="7">
        <f t="shared" si="13"/>
        <v>8.4210526315789476E-5</v>
      </c>
      <c r="R57" s="26">
        <f t="shared" si="12"/>
        <v>0.64736000000000005</v>
      </c>
    </row>
    <row r="58" spans="1:18">
      <c r="B58" s="2" t="s">
        <v>30</v>
      </c>
      <c r="C58" s="7">
        <f t="shared" ref="C58:Q58" si="14">C50/$R$53</f>
        <v>2.5094736842105263E-3</v>
      </c>
      <c r="D58" s="7">
        <f t="shared" si="14"/>
        <v>1.4972631578947368E-2</v>
      </c>
      <c r="E58" s="7">
        <f t="shared" si="14"/>
        <v>1.8863157894736843E-3</v>
      </c>
      <c r="F58" s="7">
        <f t="shared" si="14"/>
        <v>2.2568421052631578E-3</v>
      </c>
      <c r="G58" s="7">
        <f t="shared" si="14"/>
        <v>1.0105263157894737E-4</v>
      </c>
      <c r="H58" s="7">
        <f t="shared" si="14"/>
        <v>2.6778947368421051E-2</v>
      </c>
      <c r="I58" s="7">
        <f t="shared" si="14"/>
        <v>6.4336842105263154E-3</v>
      </c>
      <c r="J58" s="7">
        <f t="shared" si="14"/>
        <v>5.5915789473684214E-3</v>
      </c>
      <c r="K58" s="7">
        <f t="shared" si="14"/>
        <v>2.5263157894736841E-4</v>
      </c>
      <c r="L58" s="7">
        <f t="shared" si="14"/>
        <v>3.8736842105263158E-4</v>
      </c>
      <c r="M58" s="7">
        <f t="shared" si="14"/>
        <v>7.9157894736842105E-4</v>
      </c>
      <c r="N58" s="7">
        <f t="shared" si="14"/>
        <v>3.3684210526315786E-5</v>
      </c>
      <c r="O58" s="7">
        <f t="shared" si="14"/>
        <v>4.7157894736842107E-4</v>
      </c>
      <c r="P58" s="7">
        <f t="shared" si="14"/>
        <v>6.7368421052631572E-5</v>
      </c>
      <c r="Q58" s="7">
        <f t="shared" si="14"/>
        <v>0</v>
      </c>
      <c r="R58" s="26">
        <f t="shared" si="12"/>
        <v>6.2534736842105254E-2</v>
      </c>
    </row>
    <row r="59" spans="1:18">
      <c r="B59" s="2" t="s">
        <v>31</v>
      </c>
      <c r="C59" s="7">
        <f t="shared" ref="C59:Q59" si="15">C51/$R$53</f>
        <v>4.5136842105263156E-3</v>
      </c>
      <c r="D59" s="7">
        <f t="shared" si="15"/>
        <v>2.5886315789473684E-2</v>
      </c>
      <c r="E59" s="7">
        <f t="shared" si="15"/>
        <v>3.3347368421052632E-3</v>
      </c>
      <c r="F59" s="7">
        <f t="shared" si="15"/>
        <v>3.3852631578947367E-3</v>
      </c>
      <c r="G59" s="7">
        <f t="shared" si="15"/>
        <v>2.1894736842105263E-4</v>
      </c>
      <c r="H59" s="7">
        <f t="shared" si="15"/>
        <v>4.4058947368421052E-2</v>
      </c>
      <c r="I59" s="7">
        <f t="shared" si="15"/>
        <v>1.0812631578947369E-2</v>
      </c>
      <c r="J59" s="7">
        <f t="shared" si="15"/>
        <v>9.8694736842105269E-3</v>
      </c>
      <c r="K59" s="7">
        <f t="shared" si="15"/>
        <v>5.0526315789473683E-4</v>
      </c>
      <c r="L59" s="7">
        <f t="shared" si="15"/>
        <v>6.736842105263158E-4</v>
      </c>
      <c r="M59" s="7">
        <f t="shared" si="15"/>
        <v>1.3978947368421053E-3</v>
      </c>
      <c r="N59" s="7">
        <f t="shared" si="15"/>
        <v>1.6842105263157895E-4</v>
      </c>
      <c r="O59" s="7">
        <f t="shared" si="15"/>
        <v>9.6000000000000002E-4</v>
      </c>
      <c r="P59" s="7">
        <f t="shared" si="15"/>
        <v>5.0526315789473683E-5</v>
      </c>
      <c r="Q59" s="7">
        <f t="shared" si="15"/>
        <v>0</v>
      </c>
      <c r="R59" s="26">
        <f t="shared" si="12"/>
        <v>0.10583578947368422</v>
      </c>
    </row>
    <row r="60" spans="1:18">
      <c r="B60" s="2" t="s">
        <v>32</v>
      </c>
      <c r="C60" s="7">
        <f t="shared" ref="C60:Q60" si="16">C52/$R$53</f>
        <v>1.0105263157894737E-4</v>
      </c>
      <c r="D60" s="7">
        <f t="shared" si="16"/>
        <v>5.8947368421052632E-4</v>
      </c>
      <c r="E60" s="7">
        <f t="shared" si="16"/>
        <v>6.7368421052631572E-5</v>
      </c>
      <c r="F60" s="7">
        <f t="shared" si="16"/>
        <v>1.1789473684210527E-4</v>
      </c>
      <c r="G60" s="7">
        <f t="shared" si="16"/>
        <v>0</v>
      </c>
      <c r="H60" s="7">
        <f t="shared" si="16"/>
        <v>8.5894736842105266E-4</v>
      </c>
      <c r="I60" s="7">
        <f t="shared" si="16"/>
        <v>1.5157894736842105E-4</v>
      </c>
      <c r="J60" s="7">
        <f t="shared" si="16"/>
        <v>2.3578947368421054E-4</v>
      </c>
      <c r="K60" s="7">
        <f t="shared" si="16"/>
        <v>0</v>
      </c>
      <c r="L60" s="7">
        <f t="shared" si="16"/>
        <v>5.0526315789473683E-5</v>
      </c>
      <c r="M60" s="7">
        <f t="shared" si="16"/>
        <v>3.3684210526315786E-5</v>
      </c>
      <c r="N60" s="7">
        <f t="shared" si="16"/>
        <v>0</v>
      </c>
      <c r="O60" s="7">
        <f t="shared" si="16"/>
        <v>1.6842105263157893E-5</v>
      </c>
      <c r="P60" s="7">
        <f t="shared" si="16"/>
        <v>0</v>
      </c>
      <c r="Q60" s="7">
        <f t="shared" si="16"/>
        <v>0</v>
      </c>
      <c r="R60" s="26">
        <f t="shared" si="12"/>
        <v>2.2231578947368423E-3</v>
      </c>
    </row>
    <row r="61" spans="1:18">
      <c r="B61" s="3" t="s">
        <v>33</v>
      </c>
      <c r="C61" s="15">
        <f t="shared" ref="C61:Q61" si="17">C53/$R$53</f>
        <v>3.9461052631578945E-2</v>
      </c>
      <c r="D61" s="15">
        <f t="shared" si="17"/>
        <v>0.24165052631578948</v>
      </c>
      <c r="E61" s="15">
        <f t="shared" si="17"/>
        <v>3.1427368421052634E-2</v>
      </c>
      <c r="F61" s="15">
        <f t="shared" si="17"/>
        <v>3.0955789473684211E-2</v>
      </c>
      <c r="G61" s="15">
        <f t="shared" si="17"/>
        <v>2.1221052631578948E-3</v>
      </c>
      <c r="H61" s="15">
        <f t="shared" si="17"/>
        <v>0.4181894736842105</v>
      </c>
      <c r="I61" s="15">
        <f t="shared" si="17"/>
        <v>0.10091789473684211</v>
      </c>
      <c r="J61" s="15">
        <f t="shared" si="17"/>
        <v>9.6640000000000004E-2</v>
      </c>
      <c r="K61" s="15">
        <f t="shared" si="17"/>
        <v>5.2715789473684214E-3</v>
      </c>
      <c r="L61" s="15">
        <f t="shared" si="17"/>
        <v>7.3431578947368422E-3</v>
      </c>
      <c r="M61" s="15">
        <f t="shared" si="17"/>
        <v>1.480421052631579E-2</v>
      </c>
      <c r="N61" s="15">
        <f t="shared" si="17"/>
        <v>9.6000000000000002E-4</v>
      </c>
      <c r="O61" s="15">
        <f t="shared" si="17"/>
        <v>9.077894736842106E-3</v>
      </c>
      <c r="P61" s="15">
        <f t="shared" si="17"/>
        <v>1.0442105263157894E-3</v>
      </c>
      <c r="Q61" s="15">
        <f t="shared" si="17"/>
        <v>1.3473684210526314E-4</v>
      </c>
      <c r="R61" s="3">
        <f>SUM(C61:Q61)</f>
        <v>0.99999999999999989</v>
      </c>
    </row>
    <row r="64" spans="1:18" ht="18" thickBot="1">
      <c r="A64" s="23" t="s">
        <v>37</v>
      </c>
      <c r="B64" s="23"/>
    </row>
    <row r="65" spans="2:21" ht="17.25" thickTop="1"/>
    <row r="66" spans="2:21">
      <c r="C66" s="8" t="s">
        <v>13</v>
      </c>
      <c r="D66" s="8" t="s">
        <v>14</v>
      </c>
      <c r="E66" s="8" t="s">
        <v>15</v>
      </c>
      <c r="F66" s="8" t="s">
        <v>16</v>
      </c>
      <c r="G66" s="8" t="s">
        <v>17</v>
      </c>
      <c r="H66" s="8" t="s">
        <v>18</v>
      </c>
      <c r="I66" s="8" t="s">
        <v>19</v>
      </c>
      <c r="J66" s="8" t="s">
        <v>20</v>
      </c>
      <c r="K66" s="8" t="s">
        <v>21</v>
      </c>
      <c r="L66" s="8" t="s">
        <v>22</v>
      </c>
      <c r="M66" s="8" t="s">
        <v>23</v>
      </c>
      <c r="N66" s="8" t="s">
        <v>24</v>
      </c>
      <c r="O66" s="8" t="s">
        <v>25</v>
      </c>
      <c r="P66" s="8" t="s">
        <v>26</v>
      </c>
      <c r="Q66" s="8" t="s">
        <v>27</v>
      </c>
      <c r="S66" s="2" t="s">
        <v>38</v>
      </c>
    </row>
    <row r="67" spans="2:21">
      <c r="B67" s="8" t="s">
        <v>28</v>
      </c>
      <c r="C67" s="19">
        <v>1.2317E-4</v>
      </c>
      <c r="D67" s="19">
        <v>1</v>
      </c>
      <c r="E67" s="19">
        <v>0.42236000000000001</v>
      </c>
      <c r="F67" s="19">
        <v>1</v>
      </c>
      <c r="G67" s="19">
        <v>1</v>
      </c>
      <c r="H67" s="19">
        <v>0.21027999999999999</v>
      </c>
      <c r="I67" s="19">
        <v>0.64142999999999994</v>
      </c>
      <c r="J67" s="19">
        <v>0.34044000000000002</v>
      </c>
      <c r="K67" s="19">
        <v>1</v>
      </c>
      <c r="L67" s="19">
        <v>2.6764E-2</v>
      </c>
      <c r="M67" s="19">
        <v>2.4316999999999999E-4</v>
      </c>
      <c r="N67" s="19">
        <v>1</v>
      </c>
      <c r="O67" s="19">
        <v>2.6112E-2</v>
      </c>
      <c r="P67" s="22">
        <v>3.1198000000000002E-6</v>
      </c>
      <c r="Q67" s="19">
        <v>1</v>
      </c>
      <c r="S67" s="11" t="s">
        <v>43</v>
      </c>
    </row>
    <row r="68" spans="2:21">
      <c r="B68" s="8" t="s">
        <v>29</v>
      </c>
      <c r="C68" s="19">
        <v>0.3856</v>
      </c>
      <c r="D68" s="19">
        <v>0.12464</v>
      </c>
      <c r="E68" s="19">
        <v>1</v>
      </c>
      <c r="F68" s="19">
        <v>0.13782</v>
      </c>
      <c r="G68" s="19">
        <v>2.5465999999999999E-2</v>
      </c>
      <c r="H68" s="19">
        <v>0.15301000000000001</v>
      </c>
      <c r="I68" s="19">
        <v>0.20957000000000001</v>
      </c>
      <c r="J68" s="19">
        <v>0.33278000000000002</v>
      </c>
      <c r="K68" s="19">
        <v>1.9358E-4</v>
      </c>
      <c r="L68" s="19">
        <v>3.6526000000000001E-4</v>
      </c>
      <c r="M68" s="19">
        <v>8.4378999999999996E-2</v>
      </c>
      <c r="N68" s="19">
        <v>1</v>
      </c>
      <c r="O68" s="19">
        <v>1.0204E-2</v>
      </c>
      <c r="P68" s="19">
        <v>8.2170999999999998E-3</v>
      </c>
      <c r="Q68" s="19">
        <v>1</v>
      </c>
      <c r="S68" s="12" t="s">
        <v>39</v>
      </c>
      <c r="T68" s="14" t="s">
        <v>44</v>
      </c>
      <c r="U68" s="14" t="s">
        <v>48</v>
      </c>
    </row>
    <row r="69" spans="2:21">
      <c r="B69" s="8" t="s">
        <v>30</v>
      </c>
      <c r="C69" s="19">
        <v>0.13777</v>
      </c>
      <c r="D69" s="19">
        <v>0.14624999999999999</v>
      </c>
      <c r="E69" s="19">
        <v>1</v>
      </c>
      <c r="F69" s="19">
        <v>8.6062E-2</v>
      </c>
      <c r="G69" s="19">
        <v>1</v>
      </c>
      <c r="H69" s="19">
        <v>0.33423000000000003</v>
      </c>
      <c r="I69" s="19">
        <v>0.27295000000000003</v>
      </c>
      <c r="J69" s="19">
        <v>0.27182000000000001</v>
      </c>
      <c r="K69" s="19">
        <v>3.8524000000000002E-3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S69" s="13" t="s">
        <v>40</v>
      </c>
      <c r="T69" s="14" t="s">
        <v>45</v>
      </c>
      <c r="U69" s="14" t="s">
        <v>49</v>
      </c>
    </row>
    <row r="70" spans="2:21">
      <c r="B70" s="8" t="s">
        <v>31</v>
      </c>
      <c r="C70" s="19">
        <v>1</v>
      </c>
      <c r="D70" s="19">
        <v>2.4666E-2</v>
      </c>
      <c r="E70" s="19">
        <v>1</v>
      </c>
      <c r="F70" s="19">
        <v>1</v>
      </c>
      <c r="G70" s="19">
        <v>6.6237999999999996E-4</v>
      </c>
      <c r="H70" s="19">
        <v>0.33431</v>
      </c>
      <c r="I70" s="19">
        <v>8.2947000000000007E-2</v>
      </c>
      <c r="J70" s="19">
        <v>0.27313999999999999</v>
      </c>
      <c r="K70" s="19">
        <v>5.0339E-3</v>
      </c>
      <c r="L70" s="19">
        <v>1</v>
      </c>
      <c r="M70" s="22">
        <v>6.6717999999999996E-10</v>
      </c>
      <c r="N70" s="19">
        <v>1</v>
      </c>
      <c r="O70" s="19">
        <v>1</v>
      </c>
      <c r="P70" s="22">
        <v>2.2337E-5</v>
      </c>
      <c r="Q70" s="19">
        <v>1</v>
      </c>
      <c r="S70" s="17" t="s">
        <v>41</v>
      </c>
      <c r="T70" s="14" t="s">
        <v>46</v>
      </c>
      <c r="U70" s="14" t="s">
        <v>50</v>
      </c>
    </row>
    <row r="71" spans="2:21">
      <c r="B71" s="8" t="s">
        <v>32</v>
      </c>
      <c r="C71" s="19">
        <v>1</v>
      </c>
      <c r="D71" s="19">
        <v>5.0339E-3</v>
      </c>
      <c r="E71" s="19">
        <v>1</v>
      </c>
      <c r="F71" s="19">
        <v>1</v>
      </c>
      <c r="G71" s="19">
        <v>1</v>
      </c>
      <c r="H71" s="19">
        <v>1.661E-2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S71" s="18" t="s">
        <v>42</v>
      </c>
      <c r="T71" s="14" t="s">
        <v>47</v>
      </c>
      <c r="U71" s="14" t="s">
        <v>51</v>
      </c>
    </row>
    <row r="72" spans="2:21">
      <c r="B72" s="8" t="s">
        <v>33</v>
      </c>
      <c r="C72" s="19">
        <v>0.20197999999999999</v>
      </c>
      <c r="D72" s="19">
        <v>1.8086999999999999E-2</v>
      </c>
      <c r="E72" s="19">
        <v>0.22611999999999999</v>
      </c>
      <c r="F72" s="19">
        <v>0.17748</v>
      </c>
      <c r="G72" s="19">
        <v>7.6411999999999999E-3</v>
      </c>
      <c r="H72" s="19">
        <v>0.51849000000000001</v>
      </c>
      <c r="I72" s="19">
        <v>0.14258999999999999</v>
      </c>
      <c r="J72" s="19">
        <v>2.9485000000000001E-2</v>
      </c>
      <c r="K72" s="22">
        <v>6.1221000000000002E-5</v>
      </c>
      <c r="L72" s="19">
        <v>5.6605000000000002E-4</v>
      </c>
      <c r="M72" s="22">
        <v>5.2994000000000005E-7</v>
      </c>
      <c r="N72" s="19">
        <v>1</v>
      </c>
      <c r="O72" s="19">
        <v>1.1351E-2</v>
      </c>
      <c r="P72" s="22">
        <v>1.1163E-6</v>
      </c>
      <c r="Q72" s="19">
        <v>1</v>
      </c>
    </row>
    <row r="74" spans="2:21">
      <c r="C74" s="8" t="s">
        <v>13</v>
      </c>
      <c r="D74" s="8" t="s">
        <v>14</v>
      </c>
      <c r="E74" s="8" t="s">
        <v>15</v>
      </c>
      <c r="F74" s="8" t="s">
        <v>16</v>
      </c>
      <c r="G74" s="8" t="s">
        <v>17</v>
      </c>
      <c r="H74" s="8" t="s">
        <v>18</v>
      </c>
      <c r="I74" s="8" t="s">
        <v>19</v>
      </c>
      <c r="J74" s="8" t="s">
        <v>20</v>
      </c>
      <c r="K74" s="8" t="s">
        <v>21</v>
      </c>
      <c r="L74" s="8" t="s">
        <v>22</v>
      </c>
      <c r="M74" s="8" t="s">
        <v>23</v>
      </c>
      <c r="N74" s="8" t="s">
        <v>24</v>
      </c>
      <c r="O74" s="8" t="s">
        <v>25</v>
      </c>
      <c r="P74" s="8" t="s">
        <v>26</v>
      </c>
      <c r="Q74" s="8" t="s">
        <v>27</v>
      </c>
    </row>
    <row r="75" spans="2:21">
      <c r="B75" s="8" t="s">
        <v>28</v>
      </c>
      <c r="C75" s="21">
        <f>1/C67</f>
        <v>8118.8601120402691</v>
      </c>
      <c r="D75" s="21">
        <f t="shared" ref="D75:Q75" si="18">1/D67</f>
        <v>1</v>
      </c>
      <c r="E75" s="21">
        <f t="shared" si="18"/>
        <v>2.3676484515579128</v>
      </c>
      <c r="F75" s="21">
        <f t="shared" si="18"/>
        <v>1</v>
      </c>
      <c r="G75" s="21">
        <f t="shared" si="18"/>
        <v>1</v>
      </c>
      <c r="H75" s="21">
        <f t="shared" si="18"/>
        <v>4.7555640098915735</v>
      </c>
      <c r="I75" s="21">
        <f t="shared" si="18"/>
        <v>1.5590165723461642</v>
      </c>
      <c r="J75" s="21">
        <f t="shared" si="18"/>
        <v>2.9373751615556336</v>
      </c>
      <c r="K75" s="21">
        <f t="shared" si="18"/>
        <v>1</v>
      </c>
      <c r="L75" s="21">
        <f t="shared" si="18"/>
        <v>37.363622776864446</v>
      </c>
      <c r="M75" s="21">
        <f t="shared" si="18"/>
        <v>4112.3493852037673</v>
      </c>
      <c r="N75" s="21">
        <f t="shared" si="18"/>
        <v>1</v>
      </c>
      <c r="O75" s="21">
        <f t="shared" si="18"/>
        <v>38.296568627450981</v>
      </c>
      <c r="P75" s="21">
        <f t="shared" si="18"/>
        <v>320533.36752355919</v>
      </c>
      <c r="Q75" s="21">
        <f t="shared" si="18"/>
        <v>1</v>
      </c>
    </row>
    <row r="76" spans="2:21">
      <c r="B76" s="8" t="s">
        <v>29</v>
      </c>
      <c r="C76" s="21">
        <f t="shared" ref="C76:Q76" si="19">1/C68</f>
        <v>2.5933609958506225</v>
      </c>
      <c r="D76" s="21">
        <f t="shared" si="19"/>
        <v>8.0231065468549421</v>
      </c>
      <c r="E76" s="21">
        <f t="shared" si="19"/>
        <v>1</v>
      </c>
      <c r="F76" s="21">
        <f t="shared" si="19"/>
        <v>7.2558409519663334</v>
      </c>
      <c r="G76" s="21">
        <f t="shared" si="19"/>
        <v>39.268043666064557</v>
      </c>
      <c r="H76" s="21">
        <f t="shared" si="19"/>
        <v>6.5355205542121428</v>
      </c>
      <c r="I76" s="21">
        <f t="shared" si="19"/>
        <v>4.7716753352101922</v>
      </c>
      <c r="J76" s="21">
        <f t="shared" si="19"/>
        <v>3.0049882805457058</v>
      </c>
      <c r="K76" s="21">
        <f t="shared" si="19"/>
        <v>5165.8229155904537</v>
      </c>
      <c r="L76" s="21">
        <f t="shared" si="19"/>
        <v>2737.7758309149644</v>
      </c>
      <c r="M76" s="21">
        <f t="shared" si="19"/>
        <v>11.851290012917907</v>
      </c>
      <c r="N76" s="21">
        <f t="shared" si="19"/>
        <v>1</v>
      </c>
      <c r="O76" s="21">
        <f t="shared" si="19"/>
        <v>98.000784006272056</v>
      </c>
      <c r="P76" s="21">
        <f t="shared" si="19"/>
        <v>121.69743583502697</v>
      </c>
      <c r="Q76" s="21">
        <f t="shared" si="19"/>
        <v>1</v>
      </c>
    </row>
    <row r="77" spans="2:21">
      <c r="B77" s="8" t="s">
        <v>30</v>
      </c>
      <c r="C77" s="21">
        <f t="shared" ref="C77:Q77" si="20">1/C69</f>
        <v>7.2584742687087171</v>
      </c>
      <c r="D77" s="21">
        <f t="shared" si="20"/>
        <v>6.8376068376068382</v>
      </c>
      <c r="E77" s="21">
        <f t="shared" si="20"/>
        <v>1</v>
      </c>
      <c r="F77" s="21">
        <f t="shared" si="20"/>
        <v>11.619530106202506</v>
      </c>
      <c r="G77" s="21">
        <f t="shared" si="20"/>
        <v>1</v>
      </c>
      <c r="H77" s="21">
        <f t="shared" si="20"/>
        <v>2.9919516500613348</v>
      </c>
      <c r="I77" s="21">
        <f t="shared" si="20"/>
        <v>3.6636746656896864</v>
      </c>
      <c r="J77" s="21">
        <f t="shared" si="20"/>
        <v>3.6789051578250311</v>
      </c>
      <c r="K77" s="21">
        <f t="shared" si="20"/>
        <v>259.57844460595993</v>
      </c>
      <c r="L77" s="21">
        <f t="shared" si="20"/>
        <v>1</v>
      </c>
      <c r="M77" s="21">
        <f t="shared" si="20"/>
        <v>1</v>
      </c>
      <c r="N77" s="21">
        <f t="shared" si="20"/>
        <v>1</v>
      </c>
      <c r="O77" s="21">
        <f t="shared" si="20"/>
        <v>1</v>
      </c>
      <c r="P77" s="21">
        <f t="shared" si="20"/>
        <v>1</v>
      </c>
      <c r="Q77" s="21">
        <f t="shared" si="20"/>
        <v>1</v>
      </c>
    </row>
    <row r="78" spans="2:21">
      <c r="B78" s="8" t="s">
        <v>31</v>
      </c>
      <c r="C78" s="21">
        <f t="shared" ref="C78:Q78" si="21">1/C70</f>
        <v>1</v>
      </c>
      <c r="D78" s="21">
        <f t="shared" si="21"/>
        <v>40.541636260439468</v>
      </c>
      <c r="E78" s="21">
        <f t="shared" si="21"/>
        <v>1</v>
      </c>
      <c r="F78" s="21">
        <f t="shared" si="21"/>
        <v>1</v>
      </c>
      <c r="G78" s="21">
        <f t="shared" si="21"/>
        <v>1509.7074187022556</v>
      </c>
      <c r="H78" s="21">
        <f t="shared" si="21"/>
        <v>2.9912356794591846</v>
      </c>
      <c r="I78" s="21">
        <f t="shared" si="21"/>
        <v>12.055891111191483</v>
      </c>
      <c r="J78" s="21">
        <f t="shared" si="21"/>
        <v>3.6611261624075566</v>
      </c>
      <c r="K78" s="21">
        <f t="shared" si="21"/>
        <v>198.65313176662229</v>
      </c>
      <c r="L78" s="21">
        <f t="shared" si="21"/>
        <v>1</v>
      </c>
      <c r="M78" s="21">
        <f t="shared" si="21"/>
        <v>1498845888.6657274</v>
      </c>
      <c r="N78" s="21">
        <f t="shared" si="21"/>
        <v>1</v>
      </c>
      <c r="O78" s="21">
        <f t="shared" si="21"/>
        <v>1</v>
      </c>
      <c r="P78" s="21">
        <f t="shared" si="21"/>
        <v>44768.769306531765</v>
      </c>
      <c r="Q78" s="21">
        <f t="shared" si="21"/>
        <v>1</v>
      </c>
    </row>
    <row r="79" spans="2:21">
      <c r="B79" s="8" t="s">
        <v>32</v>
      </c>
      <c r="C79" s="21">
        <f t="shared" ref="C79:Q80" si="22">1/C71</f>
        <v>1</v>
      </c>
      <c r="D79" s="21">
        <f t="shared" si="22"/>
        <v>198.65313176662229</v>
      </c>
      <c r="E79" s="21">
        <f t="shared" si="22"/>
        <v>1</v>
      </c>
      <c r="F79" s="21">
        <f t="shared" si="22"/>
        <v>1</v>
      </c>
      <c r="G79" s="21">
        <f t="shared" si="22"/>
        <v>1</v>
      </c>
      <c r="H79" s="21">
        <f t="shared" si="22"/>
        <v>60.204695966285371</v>
      </c>
      <c r="I79" s="21">
        <f t="shared" si="22"/>
        <v>1</v>
      </c>
      <c r="J79" s="21">
        <f t="shared" si="22"/>
        <v>1</v>
      </c>
      <c r="K79" s="21">
        <f t="shared" si="22"/>
        <v>1</v>
      </c>
      <c r="L79" s="21">
        <f t="shared" si="22"/>
        <v>1</v>
      </c>
      <c r="M79" s="21">
        <f t="shared" si="22"/>
        <v>1</v>
      </c>
      <c r="N79" s="21">
        <f t="shared" si="22"/>
        <v>1</v>
      </c>
      <c r="O79" s="21">
        <f t="shared" si="22"/>
        <v>1</v>
      </c>
      <c r="P79" s="21">
        <f t="shared" si="22"/>
        <v>1</v>
      </c>
      <c r="Q79" s="21">
        <f t="shared" si="22"/>
        <v>1</v>
      </c>
    </row>
    <row r="80" spans="2:21">
      <c r="B80" s="8" t="s">
        <v>33</v>
      </c>
      <c r="C80" s="21">
        <f t="shared" si="22"/>
        <v>4.9509852460639667</v>
      </c>
      <c r="D80" s="21">
        <f t="shared" si="22"/>
        <v>55.288328633825401</v>
      </c>
      <c r="E80" s="21">
        <f t="shared" si="22"/>
        <v>4.4224305678400855</v>
      </c>
      <c r="F80" s="21">
        <f t="shared" si="22"/>
        <v>5.6344376831192244</v>
      </c>
      <c r="G80" s="21">
        <f t="shared" si="22"/>
        <v>130.86949693765376</v>
      </c>
      <c r="H80" s="21">
        <f t="shared" si="22"/>
        <v>1.9286775058342494</v>
      </c>
      <c r="I80" s="21">
        <f t="shared" si="22"/>
        <v>7.01311452416018</v>
      </c>
      <c r="J80" s="21">
        <f t="shared" si="22"/>
        <v>33.915550279803291</v>
      </c>
      <c r="K80" s="21">
        <f t="shared" si="22"/>
        <v>16334.264386403358</v>
      </c>
      <c r="L80" s="21">
        <f t="shared" si="22"/>
        <v>1766.6283897182227</v>
      </c>
      <c r="M80" s="21">
        <f t="shared" si="22"/>
        <v>1887006.076159565</v>
      </c>
      <c r="N80" s="21">
        <f t="shared" si="22"/>
        <v>1</v>
      </c>
      <c r="O80" s="21">
        <f t="shared" si="22"/>
        <v>88.097964937009962</v>
      </c>
      <c r="P80" s="21">
        <f t="shared" si="22"/>
        <v>895816.53677326883</v>
      </c>
      <c r="Q80" s="21">
        <f t="shared" si="22"/>
        <v>1</v>
      </c>
    </row>
  </sheetData>
  <mergeCells count="9">
    <mergeCell ref="A1:D1"/>
    <mergeCell ref="A14:D14"/>
    <mergeCell ref="A64:B64"/>
    <mergeCell ref="A27:B27"/>
    <mergeCell ref="A36:B36"/>
    <mergeCell ref="A25:E25"/>
    <mergeCell ref="A47:B47"/>
    <mergeCell ref="A45:E45"/>
    <mergeCell ref="A55:B55"/>
  </mergeCells>
  <conditionalFormatting sqref="C67:Q72">
    <cfRule type="cellIs" dxfId="5" priority="2" operator="lessThan">
      <formula>0.000063342484</formula>
    </cfRule>
    <cfRule type="cellIs" dxfId="4" priority="3" operator="lessThan">
      <formula>0.002699796063</formula>
    </cfRule>
    <cfRule type="cellIs" dxfId="3" priority="4" operator="lessThan">
      <formula>0.045500263896</formula>
    </cfRule>
    <cfRule type="cellIs" dxfId="2" priority="5" operator="lessThan">
      <formula>0.317310507863</formula>
    </cfRule>
  </conditionalFormatting>
  <conditionalFormatting sqref="C75:Q80">
    <cfRule type="cellIs" dxfId="1" priority="1" operator="greaterThan">
      <formula>370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Sheet1!bigTableOfDoomChances</vt:lpstr>
      <vt:lpstr>dtot</vt:lpstr>
      <vt:lpstr>ndd</vt:lpstr>
      <vt:lpstr>npd</vt:lpstr>
      <vt:lpstr>npp</vt:lpstr>
      <vt:lpstr>ntot</vt:lpstr>
      <vt:lpstr>pama</vt:lpstr>
      <vt:lpstr>pbip</vt:lpstr>
      <vt:lpstr>pdd</vt:lpstr>
      <vt:lpstr>pmul</vt:lpstr>
      <vt:lpstr>ppd</vt:lpstr>
      <vt:lpstr>ppd_</vt:lpstr>
      <vt:lpstr>ppp</vt:lpstr>
      <vt:lpstr>ppp_</vt:lpstr>
      <vt:lpstr>prph</vt:lpstr>
      <vt:lpstr>total3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genneth</dc:creator>
  <cp:lastModifiedBy>Gen Zhang</cp:lastModifiedBy>
  <dcterms:created xsi:type="dcterms:W3CDTF">2010-08-21T13:30:04Z</dcterms:created>
  <dcterms:modified xsi:type="dcterms:W3CDTF">2010-08-24T10:09:53Z</dcterms:modified>
</cp:coreProperties>
</file>