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" sheetId="1" r:id="rId4"/>
    <sheet state="visible" name="LSTM" sheetId="2" r:id="rId5"/>
    <sheet state="visible" name="SVM" sheetId="3" r:id="rId6"/>
    <sheet state="visible" name="NB" sheetId="4" r:id="rId7"/>
    <sheet state="visible" name="RF" sheetId="5" r:id="rId8"/>
    <sheet state="visible" name="All Model" sheetId="6" r:id="rId9"/>
  </sheets>
  <definedNames/>
  <calcPr/>
</workbook>
</file>

<file path=xl/sharedStrings.xml><?xml version="1.0" encoding="utf-8"?>
<sst xmlns="http://schemas.openxmlformats.org/spreadsheetml/2006/main" count="6605" uniqueCount="1000">
  <si>
    <t>SS1: AER</t>
  </si>
  <si>
    <t>Testing Labels</t>
  </si>
  <si>
    <t>SS1: ∆AER</t>
  </si>
  <si>
    <t>Training
Labels</t>
  </si>
  <si>
    <t>Clean</t>
  </si>
  <si>
    <t>NCAR 5%</t>
  </si>
  <si>
    <t>NCAR 10%</t>
  </si>
  <si>
    <t>NAR 5%</t>
  </si>
  <si>
    <t>NAR 10%</t>
  </si>
  <si>
    <t>NNAR 5%</t>
  </si>
  <si>
    <t>NNAR 10%</t>
  </si>
  <si>
    <t>SS2: AER</t>
  </si>
  <si>
    <t>SS2: ∆AER</t>
  </si>
  <si>
    <t>BS1: AER</t>
  </si>
  <si>
    <t>BS1: ∆AER</t>
  </si>
  <si>
    <t>BS2: AER</t>
  </si>
  <si>
    <t>BS2: ∆AER</t>
  </si>
  <si>
    <t>HAR1: AER</t>
  </si>
  <si>
    <t>HAR1: ∆AER</t>
  </si>
  <si>
    <t>HAR2: AER</t>
  </si>
  <si>
    <t>SS AVG: AER</t>
  </si>
  <si>
    <t>SS AVG: ∆AER</t>
  </si>
  <si>
    <t>Clean/Noisy:</t>
  </si>
  <si>
    <t>Noisy/Clean:</t>
  </si>
  <si>
    <t>Noisy/Noisy:</t>
  </si>
  <si>
    <t>BS AVG: AER</t>
  </si>
  <si>
    <t>BS AVG: ∆AER</t>
  </si>
  <si>
    <t>HAR AVG: AER</t>
  </si>
  <si>
    <t>HAR AVG: ∆AER</t>
  </si>
  <si>
    <t>ALL AVG: AER</t>
  </si>
  <si>
    <t>ALL AVG: ∆AER</t>
  </si>
  <si>
    <t>(0.151, 0.151, 0.151)</t>
  </si>
  <si>
    <t>(0.150, 0.135, 0.235)</t>
  </si>
  <si>
    <t>(0.160, 0.128, 0.328)</t>
  </si>
  <si>
    <t>(0.143, 0.129, 0.228)</t>
  </si>
  <si>
    <t>(0.151, 0.121, 0.321)</t>
  </si>
  <si>
    <t>(0.127, 0.115, 0.215)</t>
  </si>
  <si>
    <t>(0.122, 0.098, 0.297)</t>
  </si>
  <si>
    <t>(0.197, 0.197, 0.197)</t>
  </si>
  <si>
    <t>(0.193, 0.174, 0.274)</t>
  </si>
  <si>
    <t>(0.202, 0.162, 0.362)</t>
  </si>
  <si>
    <t>(0.208, 0.188, 0.287)</t>
  </si>
  <si>
    <t>(0.217, 0.174, 0.374)</t>
  </si>
  <si>
    <t>(0.192, 0.172, 0.273)</t>
  </si>
  <si>
    <t>(0.204, 0.164, 0.364)</t>
  </si>
  <si>
    <t>(0.218, 0.218, 0.218)</t>
  </si>
  <si>
    <t>(0.216, 0.195, 0.294)</t>
  </si>
  <si>
    <t>(0.227, 0.181, 0.381)</t>
  </si>
  <si>
    <t>(0.228, 0.205, 0.305)</t>
  </si>
  <si>
    <t>(0.241, 0.192, 0.392)</t>
  </si>
  <si>
    <t>(0.200, 0.180, 0.280)</t>
  </si>
  <si>
    <t>(0.209, 0.167, 0.367)</t>
  </si>
  <si>
    <t>(0.188, 0.188, 0.188)</t>
  </si>
  <si>
    <t>(0.187, 0.168, 0.268)</t>
  </si>
  <si>
    <t>(0.194, 0.155, 0.355)</t>
  </si>
  <si>
    <t>(0.183, 0.164, 0.265)</t>
  </si>
  <si>
    <t>(0.172, 0.138, 0.338)</t>
  </si>
  <si>
    <t>(0.172, 0.154, 0.255)</t>
  </si>
  <si>
    <t>(0.166, 0.133, 0.333)</t>
  </si>
  <si>
    <t>(0.220, 0.220, 0.220)</t>
  </si>
  <si>
    <t>(0.218, 0.197, 0.296)</t>
  </si>
  <si>
    <t>(0.221, 0.177, 0.377)</t>
  </si>
  <si>
    <t>(0.202, 0.182, 0.282)</t>
  </si>
  <si>
    <t>(0.191, 0.152, 0.353)</t>
  </si>
  <si>
    <t>(0.191, 0.172, 0.272)</t>
  </si>
  <si>
    <t>(0.168, 0.134, 0.334)</t>
  </si>
  <si>
    <t>(0.199, 0.179, 0.279)</t>
  </si>
  <si>
    <t>(0.201, 0.161, 0.361)</t>
  </si>
  <si>
    <t>(0.193, 0.173, 0.274)</t>
  </si>
  <si>
    <t>(0.171, 0.137, 0.337)</t>
  </si>
  <si>
    <t>(0.167, 0.151, 0.251)</t>
  </si>
  <si>
    <t>(0.144, 0.115, 0.316)</t>
  </si>
  <si>
    <t>(0.194, 0.194, 0.194)</t>
  </si>
  <si>
    <t>(0.184, 0.166, 0.266)</t>
  </si>
  <si>
    <t>(0.192, 0.153, 0.354)</t>
  </si>
  <si>
    <t>(0.170, 0.153, 0.253)</t>
  </si>
  <si>
    <t>(0.150, 0.120, 0.320)</t>
  </si>
  <si>
    <t>NCAR5</t>
  </si>
  <si>
    <t>NCAR10</t>
  </si>
  <si>
    <t>NAR5</t>
  </si>
  <si>
    <t>NAR10</t>
  </si>
  <si>
    <t>NNAR5</t>
  </si>
  <si>
    <t>NNAR10</t>
  </si>
  <si>
    <t>SS1: TER</t>
  </si>
  <si>
    <t>NAR 5% L</t>
  </si>
  <si>
    <t>NAR 5% H</t>
  </si>
  <si>
    <t>NAR 10% L</t>
  </si>
  <si>
    <t>NAR 10% H</t>
  </si>
  <si>
    <t>NNAR 5% L</t>
  </si>
  <si>
    <t>NNAR 5% H</t>
  </si>
  <si>
    <t>NNAR 10% L</t>
  </si>
  <si>
    <t>NNAR 10% H</t>
  </si>
  <si>
    <t>(0.331, 0.331, 0.331)</t>
  </si>
  <si>
    <t>(0.343, 0.309, 0.409)</t>
  </si>
  <si>
    <t>(0.361, 0.289, 0.489)</t>
  </si>
  <si>
    <t>(0.340, 0.306, 0.406)</t>
  </si>
  <si>
    <t>(0.352, 0.282, 0.482)</t>
  </si>
  <si>
    <t>(0.339, 0.305, 0.405)</t>
  </si>
  <si>
    <t>(0.344, 0.275, 0.475)</t>
  </si>
  <si>
    <t>(0.360, 0.288, 0.488)</t>
  </si>
  <si>
    <t>(0.346, 0.311, 0.411)</t>
  </si>
  <si>
    <t>(0.358, 0.287, 0.487)</t>
  </si>
  <si>
    <t>(0.354, 0.283, 0.483)</t>
  </si>
  <si>
    <t>(0.358, 0.358, 0.358)</t>
  </si>
  <si>
    <t>(0.369, 0.332, 0.432)</t>
  </si>
  <si>
    <t>(0.393, 0.314, 0.514)</t>
  </si>
  <si>
    <t>(0.374, 0.337, 0.437)</t>
  </si>
  <si>
    <t>(0.390, 0.312, 0.512)</t>
  </si>
  <si>
    <t>(0.371, 0.334, 0.434)</t>
  </si>
  <si>
    <t>(0.384, 0.307, 0.507)</t>
  </si>
  <si>
    <t>(0.329, 0.329, 0.329)</t>
  </si>
  <si>
    <t>(0.338, 0.304, 0.404)</t>
  </si>
  <si>
    <t>(0.356, 0.285, 0.485)</t>
  </si>
  <si>
    <t>(0.352, 0.281, 0.481)</t>
  </si>
  <si>
    <t>(0.347, 0.277, 0.477)</t>
  </si>
  <si>
    <t>(0.327, 0.327, 0.327)</t>
  </si>
  <si>
    <t>(0.337, 0.303, 0.403)</t>
  </si>
  <si>
    <t>(0.357, 0.286, 0.486)</t>
  </si>
  <si>
    <t>(0.342, 0.307, 0.407)</t>
  </si>
  <si>
    <t>(0.357, 0.285, 0.486)</t>
  </si>
  <si>
    <t>(0.326, 0.326, 0.326)</t>
  </si>
  <si>
    <t>(0.336, 0.302, 0.402)</t>
  </si>
  <si>
    <t>(0.358, 0.286, 0.486)</t>
  </si>
  <si>
    <t>(0.353, 0.282, 0.483)</t>
  </si>
  <si>
    <t>(0.348, 0.278, 0.479)</t>
  </si>
  <si>
    <t>(0.342, 0.342, 0.342)</t>
  </si>
  <si>
    <t>(0.350, 0.315, 0.415)</t>
  </si>
  <si>
    <t>(0.369, 0.295, 0.495)</t>
  </si>
  <si>
    <t>(0.361, 0.325, 0.425)</t>
  </si>
  <si>
    <t>(0.383, 0.306, 0.506)</t>
  </si>
  <si>
    <t>(0.361, 0.325, 0.424)</t>
  </si>
  <si>
    <t>(0.375, 0.300, 0.500)</t>
  </si>
  <si>
    <t>SS2: TER</t>
  </si>
  <si>
    <t>(0.447, 0.447, 0.447)</t>
  </si>
  <si>
    <t>(0.447, 0.403, 0.503)</t>
  </si>
  <si>
    <t>(0.445, 0.356, 0.556)</t>
  </si>
  <si>
    <t>(0.459, 0.413, 0.513)</t>
  </si>
  <si>
    <t>(0.478, 0.383, 0.583)</t>
  </si>
  <si>
    <t>(0.458, 0.412, 0.512)</t>
  </si>
  <si>
    <t>(0.468, 0.375, 0.575)</t>
  </si>
  <si>
    <t>(0.460, 0.460, 0.460)</t>
  </si>
  <si>
    <t>(0.462, 0.416, 0.516)</t>
  </si>
  <si>
    <t>(0.457, 0.366, 0.566)</t>
  </si>
  <si>
    <t>(0.471, 0.424, 0.524)</t>
  </si>
  <si>
    <t>(0.484, 0.387, 0.587)</t>
  </si>
  <si>
    <t>(0.467, 0.420, 0.520)</t>
  </si>
  <si>
    <t>(0.479, 0.383, 0.583)</t>
  </si>
  <si>
    <t>(0.450, 0.450, 0.450)</t>
  </si>
  <si>
    <t>(0.449, 0.404, 0.504)</t>
  </si>
  <si>
    <t>(0.449, 0.359, 0.559)</t>
  </si>
  <si>
    <t>(0.460, 0.414, 0.514)</t>
  </si>
  <si>
    <t>(0.480, 0.384, 0.584)</t>
  </si>
  <si>
    <t>(0.469, 0.375, 0.575)</t>
  </si>
  <si>
    <t>(0.476, 0.476, 0.476)</t>
  </si>
  <si>
    <t>(0.476, 0.428, 0.528)</t>
  </si>
  <si>
    <t>(0.477, 0.429, 0.529)</t>
  </si>
  <si>
    <t>(0.481, 0.385, 0.585)</t>
  </si>
  <si>
    <t>(0.480, 0.480, 0.480)</t>
  </si>
  <si>
    <t>(0.484, 0.436, 0.536)</t>
  </si>
  <si>
    <t>(0.477, 0.381, 0.581)</t>
  </si>
  <si>
    <t>(0.480, 0.432, 0.532)</t>
  </si>
  <si>
    <t>(0.476, 0.381, 0.581)</t>
  </si>
  <si>
    <t>(0.457, 0.457, 0.457)</t>
  </si>
  <si>
    <t>(0.456, 0.411, 0.511)</t>
  </si>
  <si>
    <t>(0.455, 0.364, 0.564)</t>
  </si>
  <si>
    <t>(0.474, 0.380, 0.580)</t>
  </si>
  <si>
    <t>(0.463, 0.417, 0.517)</t>
  </si>
  <si>
    <t>(0.475, 0.380, 0.580)</t>
  </si>
  <si>
    <t>(0.482, 0.482, 0.482)</t>
  </si>
  <si>
    <t>(0.478, 0.382, 0.582)</t>
  </si>
  <si>
    <t>(0.485, 0.437, 0.537)</t>
  </si>
  <si>
    <t>(0.485, 0.388, 0.588)</t>
  </si>
  <si>
    <t>(0.488, 0.439, 0.539)</t>
  </si>
  <si>
    <t>(0.486, 0.388, 0.588)</t>
  </si>
  <si>
    <t>BS1: TER</t>
  </si>
  <si>
    <t>(0.443, 0.398, 0.498)</t>
  </si>
  <si>
    <t>(0.462, 0.369, 0.569)</t>
  </si>
  <si>
    <t>(0.495, 0.445, 0.545)</t>
  </si>
  <si>
    <t>(0.559, 0.448, 0.648)</t>
  </si>
  <si>
    <t>(0.492, 0.443, 0.543)</t>
  </si>
  <si>
    <t>(0.450, 0.405, 0.505)</t>
  </si>
  <si>
    <t>(0.474, 0.379, 0.579)</t>
  </si>
  <si>
    <t>(0.487, 0.438, 0.538)</t>
  </si>
  <si>
    <t>(0.536, 0.429, 0.629)</t>
  </si>
  <si>
    <t>(0.477, 0.430, 0.530)</t>
  </si>
  <si>
    <t>(0.534, 0.427, 0.627)</t>
  </si>
  <si>
    <t>(0.461, 0.461, 0.461)</t>
  </si>
  <si>
    <t>(0.453, 0.408, 0.508)</t>
  </si>
  <si>
    <t>(0.496, 0.447, 0.547)</t>
  </si>
  <si>
    <t>(0.558, 0.446, 0.646)</t>
  </si>
  <si>
    <t>(0.500, 0.450, 0.550)</t>
  </si>
  <si>
    <t>(0.531, 0.424, 0.624)</t>
  </si>
  <si>
    <t>(0.436, 0.436, 0.436)</t>
  </si>
  <si>
    <t>(0.426, 0.383, 0.483)</t>
  </si>
  <si>
    <t>(0.436, 0.349, 0.549)</t>
  </si>
  <si>
    <t>(0.469, 0.422, 0.522)</t>
  </si>
  <si>
    <t>(0.519, 0.415, 0.615)</t>
  </si>
  <si>
    <t>(0.515, 0.412, 0.612)</t>
  </si>
  <si>
    <t>(0.453, 0.453, 0.453)</t>
  </si>
  <si>
    <t>(0.445, 0.400, 0.500)</t>
  </si>
  <si>
    <t>(0.459, 0.367, 0.567)</t>
  </si>
  <si>
    <t>(0.489, 0.440, 0.540)</t>
  </si>
  <si>
    <t>(0.531, 0.425, 0.625)</t>
  </si>
  <si>
    <t>(0.540, 0.432, 0.632)</t>
  </si>
  <si>
    <t>(0.456, 0.456, 0.456)</t>
  </si>
  <si>
    <t>(0.448, 0.403, 0.503)</t>
  </si>
  <si>
    <t>(0.464, 0.371, 0.571)</t>
  </si>
  <si>
    <t>(0.503, 0.453, 0.553)</t>
  </si>
  <si>
    <t>(0.570, 0.456, 0.656)</t>
  </si>
  <si>
    <t>(0.504, 0.453, 0.553)</t>
  </si>
  <si>
    <t>(0.567, 0.454, 0.654)</t>
  </si>
  <si>
    <t>(0.471, 0.471, 0.471)</t>
  </si>
  <si>
    <t>(0.468, 0.421, 0.521)</t>
  </si>
  <si>
    <t>(0.548, 0.438, 0.638)</t>
  </si>
  <si>
    <t>(0.511, 0.460, 0.560)</t>
  </si>
  <si>
    <t>(0.544, 0.435, 0.635)</t>
  </si>
  <si>
    <t>BS2: TER</t>
  </si>
  <si>
    <t>(0.304, 0.304, 0.304)</t>
  </si>
  <si>
    <t>(0.319, 0.287, 0.387)</t>
  </si>
  <si>
    <t>(0.329, 0.263, 0.463)</t>
  </si>
  <si>
    <t>(0.326, 0.294, 0.394)</t>
  </si>
  <si>
    <t>(0.342, 0.274, 0.474)</t>
  </si>
  <si>
    <t>(0.312, 0.281, 0.381)</t>
  </si>
  <si>
    <t>(0.336, 0.268, 0.468)</t>
  </si>
  <si>
    <t>(0.336, 0.336, 0.336)</t>
  </si>
  <si>
    <t>(0.357, 0.321, 0.421)</t>
  </si>
  <si>
    <t>(0.364, 0.328, 0.428)</t>
  </si>
  <si>
    <t>(0.388, 0.311, 0.511)</t>
  </si>
  <si>
    <t>(0.353, 0.318, 0.418)</t>
  </si>
  <si>
    <t>(0.386, 0.309, 0.509)</t>
  </si>
  <si>
    <t>(0.306, 0.306, 0.306)</t>
  </si>
  <si>
    <t>(0.334, 0.268, 0.468)</t>
  </si>
  <si>
    <t>(0.345, 0.276, 0.476)</t>
  </si>
  <si>
    <t>(0.316, 0.285, 0.385)</t>
  </si>
  <si>
    <t>(0.337, 0.269, 0.469)</t>
  </si>
  <si>
    <t>(0.341, 0.341, 0.341)</t>
  </si>
  <si>
    <t>(0.363, 0.327, 0.427)</t>
  </si>
  <si>
    <t>(0.377, 0.301, 0.501)</t>
  </si>
  <si>
    <t>(0.351, 0.316, 0.416)</t>
  </si>
  <si>
    <t>(0.420, 0.420, 0.420)</t>
  </si>
  <si>
    <t>(0.440, 0.396, 0.496)</t>
  </si>
  <si>
    <t>(0.451, 0.361, 0.561)</t>
  </si>
  <si>
    <t>(0.425, 0.383, 0.483)</t>
  </si>
  <si>
    <t>(0.424, 0.339, 0.539)</t>
  </si>
  <si>
    <t>(0.418, 0.376, 0.476)</t>
  </si>
  <si>
    <t>(0.419, 0.335, 0.535)</t>
  </si>
  <si>
    <t>(0.375, 0.375, 0.375)</t>
  </si>
  <si>
    <t>(0.397, 0.357, 0.457)</t>
  </si>
  <si>
    <t>(0.402, 0.322, 0.522)</t>
  </si>
  <si>
    <t>(0.402, 0.362, 0.462)</t>
  </si>
  <si>
    <t>(0.428, 0.343, 0.543)</t>
  </si>
  <si>
    <t>(0.394, 0.354, 0.454)</t>
  </si>
  <si>
    <t>(0.423, 0.338, 0.538)</t>
  </si>
  <si>
    <t>(0.359, 0.359, 0.359)</t>
  </si>
  <si>
    <t>(0.358, 0.322, 0.422)</t>
  </si>
  <si>
    <t>(0.364, 0.291, 0.491)</t>
  </si>
  <si>
    <t>(0.359, 0.323, 0.423)</t>
  </si>
  <si>
    <t>(0.363, 0.290, 0.490)</t>
  </si>
  <si>
    <t>HAR1: TER</t>
  </si>
  <si>
    <t>(0.167, 0.167, 0.167)</t>
  </si>
  <si>
    <t>(0.177, 0.160, 0.260)</t>
  </si>
  <si>
    <t>(0.185, 0.148, 0.348)</t>
  </si>
  <si>
    <t>(0.188, 0.170, 0.270)</t>
  </si>
  <si>
    <t>(0.211, 0.169, 0.369)</t>
  </si>
  <si>
    <t>(0.185, 0.166, 0.266)</t>
  </si>
  <si>
    <t>(0.208, 0.166, 0.366)</t>
  </si>
  <si>
    <t>(0.192, 0.192, 0.192)</t>
  </si>
  <si>
    <t>(0.204, 0.184, 0.284)</t>
  </si>
  <si>
    <t>(0.210, 0.168, 0.368)</t>
  </si>
  <si>
    <t>(0.216, 0.194, 0.294)</t>
  </si>
  <si>
    <t>(0.241, 0.193, 0.393)</t>
  </si>
  <si>
    <t>(0.213, 0.191, 0.291)</t>
  </si>
  <si>
    <t>(0.238, 0.190, 0.390)</t>
  </si>
  <si>
    <t>(0.199, 0.199, 0.199)</t>
  </si>
  <si>
    <t>(0.208, 0.187, 0.287)</t>
  </si>
  <si>
    <t>(0.218, 0.175, 0.375)</t>
  </si>
  <si>
    <t>(0.225, 0.202, 0.302)</t>
  </si>
  <si>
    <t>(0.253, 0.202, 0.402)</t>
  </si>
  <si>
    <t>(0.221, 0.199, 0.299)</t>
  </si>
  <si>
    <t>(0.249, 0.199, 0.399)</t>
  </si>
  <si>
    <t>(0.139, 0.139, 0.139)</t>
  </si>
  <si>
    <t>(0.149, 0.134, 0.234)</t>
  </si>
  <si>
    <t>(0.153, 0.122, 0.322)</t>
  </si>
  <si>
    <t>(0.156, 0.140, 0.240)</t>
  </si>
  <si>
    <t>(0.169, 0.135, 0.335)</t>
  </si>
  <si>
    <t>(0.148, 0.133, 0.233)</t>
  </si>
  <si>
    <t>(0.164, 0.131, 0.331)</t>
  </si>
  <si>
    <t>(0.315, 0.315, 0.315)</t>
  </si>
  <si>
    <t>(0.336, 0.303, 0.403)</t>
  </si>
  <si>
    <t>(0.350, 0.280, 0.480)</t>
  </si>
  <si>
    <t>(0.255, 0.229, 0.329)</t>
  </si>
  <si>
    <t>(0.189, 0.151, 0.351)</t>
  </si>
  <si>
    <t>(0.261, 0.235, 0.335)</t>
  </si>
  <si>
    <t>(0.196, 0.157, 0.357)</t>
  </si>
  <si>
    <t>(0.174, 0.174, 0.174)</t>
  </si>
  <si>
    <t>(0.186, 0.167, 0.267)</t>
  </si>
  <si>
    <t>(0.192, 0.153, 0.353)</t>
  </si>
  <si>
    <t>(0.192, 0.154, 0.354)</t>
  </si>
  <si>
    <t>(0.178, 0.160, 0.260)</t>
  </si>
  <si>
    <t>(0.188, 0.150, 0.350)</t>
  </si>
  <si>
    <t>(0.235, 0.235, 0.235)</t>
  </si>
  <si>
    <t>(0.248, 0.223, 0.323)</t>
  </si>
  <si>
    <t>(0.261, 0.209, 0.409)</t>
  </si>
  <si>
    <t>(0.232, 0.209, 0.309)</t>
  </si>
  <si>
    <t>(0.235, 0.188, 0.388)</t>
  </si>
  <si>
    <t>(0.229, 0.206, 0.306)</t>
  </si>
  <si>
    <t>(0.231, 0.185, 0.385)</t>
  </si>
  <si>
    <t>HAR2: TER</t>
  </si>
  <si>
    <t>HAR2: ∆TER</t>
  </si>
  <si>
    <t>SS AVG: TER</t>
  </si>
  <si>
    <t>SS AVG: ∆TER</t>
  </si>
  <si>
    <t>BS AVG: TER</t>
  </si>
  <si>
    <t>BS AVG: ∆TER</t>
  </si>
  <si>
    <t>HAR AVG: TER</t>
  </si>
  <si>
    <t>HAR AVG: ∆TER</t>
  </si>
  <si>
    <t>ALL AVG: TER</t>
  </si>
  <si>
    <t>ALL AVG: ∆TER</t>
  </si>
  <si>
    <t>SS1: Prec</t>
  </si>
  <si>
    <t>SS1: Rec</t>
  </si>
  <si>
    <t>Class 0</t>
  </si>
  <si>
    <t>Class 1</t>
  </si>
  <si>
    <t>SS2: Prec</t>
  </si>
  <si>
    <t>SS2: Rec</t>
  </si>
  <si>
    <t>Class 2</t>
  </si>
  <si>
    <t>Class 3</t>
  </si>
  <si>
    <t>Class 4</t>
  </si>
  <si>
    <t>BS1: Prec</t>
  </si>
  <si>
    <t>BS1: Rec</t>
  </si>
  <si>
    <t>BS2: Prec</t>
  </si>
  <si>
    <t>BS2: Rec</t>
  </si>
  <si>
    <t>HAR1: Prec</t>
  </si>
  <si>
    <t>HAR1: Red</t>
  </si>
  <si>
    <t>Class 5</t>
  </si>
  <si>
    <t>HAR2: Prec</t>
  </si>
  <si>
    <t>HAR2: Red</t>
  </si>
  <si>
    <t>(0.243, 0.243, 0.243)</t>
  </si>
  <si>
    <t>(0.244, 0.220, 0.320)</t>
  </si>
  <si>
    <t>(0.243, 0.194, 0.394)</t>
  </si>
  <si>
    <t>(0.211, 0.190, 0.290)</t>
  </si>
  <si>
    <t>(0.195, 0.156, 0.356)</t>
  </si>
  <si>
    <t>(0.254, 0.254, 0.254)</t>
  </si>
  <si>
    <t>(0.257, 0.231, 0.331)</t>
  </si>
  <si>
    <t>(0.235, 0.212, 0.311)</t>
  </si>
  <si>
    <t>(0.237, 0.190, 0.390)</t>
  </si>
  <si>
    <t>(0.213, 0.171, 0.371)</t>
  </si>
  <si>
    <t>(0.285, 0.285, 0.285)</t>
  </si>
  <si>
    <t>(0.287, 0.259, 0.358)</t>
  </si>
  <si>
    <t>(0.271, 0.216, 0.416)</t>
  </si>
  <si>
    <t>(0.271, 0.244, 0.344)</t>
  </si>
  <si>
    <t>(0.264, 0.211, 0.411)</t>
  </si>
  <si>
    <t>(0.253, 0.228, 0.328)</t>
  </si>
  <si>
    <t>(0.224, 0.179, 0.379)</t>
  </si>
  <si>
    <t>(0.260, 0.260, 0.260)</t>
  </si>
  <si>
    <t>(0.261, 0.234, 0.334)</t>
  </si>
  <si>
    <t>(0.257, 0.205, 0.405)</t>
  </si>
  <si>
    <t>(0.237, 0.213, 0.313)</t>
  </si>
  <si>
    <t>(0.226, 0.181, 0.381)</t>
  </si>
  <si>
    <t>(0.264, 0.264, 0.264)</t>
  </si>
  <si>
    <t>(0.259, 0.233, 0.333)</t>
  </si>
  <si>
    <t>(0.260, 0.208, 0.408)</t>
  </si>
  <si>
    <t>(0.252, 0.227, 0.327)</t>
  </si>
  <si>
    <t>(0.239, 0.191, 0.391)</t>
  </si>
  <si>
    <t>(0.242, 0.218, 0.318)</t>
  </si>
  <si>
    <t>(0.239, 0.239, 0.239)</t>
  </si>
  <si>
    <t>(0.237, 0.214, 0.314)</t>
  </si>
  <si>
    <t>(0.232, 0.185, 0.385)</t>
  </si>
  <si>
    <t>(0.230, 0.207, 0.307)</t>
  </si>
  <si>
    <t>(0.203, 0.183, 0.283)</t>
  </si>
  <si>
    <t>(0.249, 0.224, 0.324)</t>
  </si>
  <si>
    <t>(0.214, 0.172, 0.372)</t>
  </si>
  <si>
    <t>(0.199, 0.159, 0.359)</t>
  </si>
  <si>
    <t>(0.357, 0.357, 0.357)</t>
  </si>
  <si>
    <t>(0.367, 0.331, 0.431)</t>
  </si>
  <si>
    <t>(0.389, 0.311, 0.511)</t>
  </si>
  <si>
    <t>(0.372, 0.335, 0.435)</t>
  </si>
  <si>
    <t>(0.370, 0.333, 0.433)</t>
  </si>
  <si>
    <t>(0.376, 0.376, 0.376)</t>
  </si>
  <si>
    <t>(0.388, 0.350, 0.450)</t>
  </si>
  <si>
    <t>(0.413, 0.330, 0.530)</t>
  </si>
  <si>
    <t>(0.391, 0.352, 0.452)</t>
  </si>
  <si>
    <t>(0.409, 0.327, 0.527)</t>
  </si>
  <si>
    <t>(0.405, 0.324, 0.524)</t>
  </si>
  <si>
    <t>(0.387, 0.387, 0.387)</t>
  </si>
  <si>
    <t>(0.399, 0.359, 0.459)</t>
  </si>
  <si>
    <t>(0.415, 0.332, 0.532)</t>
  </si>
  <si>
    <t>(0.400, 0.360, 0.460)</t>
  </si>
  <si>
    <t>(0.412, 0.329, 0.529)</t>
  </si>
  <si>
    <t>(0.398, 0.358, 0.458)</t>
  </si>
  <si>
    <t>(0.408, 0.327, 0.527)</t>
  </si>
  <si>
    <t>(0.406, 0.406, 0.406)</t>
  </si>
  <si>
    <t>(0.422, 0.380, 0.480)</t>
  </si>
  <si>
    <t>(0.444, 0.355, 0.555)</t>
  </si>
  <si>
    <t>(0.424, 0.382, 0.481)</t>
  </si>
  <si>
    <t>(0.442, 0.354, 0.554)</t>
  </si>
  <si>
    <t>(0.422, 0.380, 0.479)</t>
  </si>
  <si>
    <t>(0.438, 0.351, 0.550)</t>
  </si>
  <si>
    <t>(0.418, 0.418, 0.418)</t>
  </si>
  <si>
    <t>(0.431, 0.388, 0.488)</t>
  </si>
  <si>
    <t>(0.454, 0.363, 0.563)</t>
  </si>
  <si>
    <t>(0.437, 0.393, 0.493)</t>
  </si>
  <si>
    <t>(0.461, 0.369, 0.569)</t>
  </si>
  <si>
    <t>(0.434, 0.391, 0.491)</t>
  </si>
  <si>
    <t>(0.380, 0.380, 0.380)</t>
  </si>
  <si>
    <t>(0.418, 0.335, 0.534)</t>
  </si>
  <si>
    <t>(0.396, 0.396, 0.396)</t>
  </si>
  <si>
    <t>(0.409, 0.368, 0.468)</t>
  </si>
  <si>
    <t>(0.431, 0.345, 0.545)</t>
  </si>
  <si>
    <t>(0.410, 0.369, 0.469)</t>
  </si>
  <si>
    <t>(0.425, 0.340, 0.540)</t>
  </si>
  <si>
    <t>(0.407, 0.367, 0.467)</t>
  </si>
  <si>
    <t>(0.422, 0.338, 0.538)</t>
  </si>
  <si>
    <t>(0.465, 0.465, 0.465)</t>
  </si>
  <si>
    <t>(0.465, 0.419, 0.519)</t>
  </si>
  <si>
    <t>(0.466, 0.373, 0.573)</t>
  </si>
  <si>
    <t>(0.477, 0.382, 0.582)</t>
  </si>
  <si>
    <t>(0.467, 0.421, 0.521)</t>
  </si>
  <si>
    <t>(0.471, 0.377, 0.577)</t>
  </si>
  <si>
    <t>(0.456, 0.410, 0.510)</t>
  </si>
  <si>
    <t>(0.467, 0.467, 0.467)</t>
  </si>
  <si>
    <t>(0.467, 0.374, 0.574)</t>
  </si>
  <si>
    <t>(0.475, 0.475, 0.475)</t>
  </si>
  <si>
    <t>(0.475, 0.428, 0.528)</t>
  </si>
  <si>
    <t>(0.472, 0.378, 0.578)</t>
  </si>
  <si>
    <t>(0.487, 0.487, 0.487)</t>
  </si>
  <si>
    <t>(0.488, 0.440, 0.540)</t>
  </si>
  <si>
    <t>(0.484, 0.388, 0.588)</t>
  </si>
  <si>
    <t>(0.486, 0.389, 0.589)</t>
  </si>
  <si>
    <t>(0.478, 0.478, 0.478)</t>
  </si>
  <si>
    <t>(0.485, 0.436, 0.536)</t>
  </si>
  <si>
    <t>(0.483, 0.434, 0.534)</t>
  </si>
  <si>
    <t>(0.486, 0.486, 0.486)</t>
  </si>
  <si>
    <t>(0.483, 0.435, 0.535)</t>
  </si>
  <si>
    <t>(0.484, 0.435, 0.535)</t>
  </si>
  <si>
    <t>(0.493, 0.444, 0.544)</t>
  </si>
  <si>
    <t>(0.520, 0.416, 0.616)</t>
  </si>
  <si>
    <t>(0.497, 0.447, 0.547)</t>
  </si>
  <si>
    <t>(0.442, 0.398, 0.498)</t>
  </si>
  <si>
    <t>(0.495, 0.446, 0.546)</t>
  </si>
  <si>
    <t>(0.559, 0.447, 0.647)</t>
  </si>
  <si>
    <t>(0.499, 0.449, 0.549)</t>
  </si>
  <si>
    <t>(0.560, 0.448, 0.648)</t>
  </si>
  <si>
    <t>(0.490, 0.441, 0.541)</t>
  </si>
  <si>
    <t>(0.527, 0.422, 0.622)</t>
  </si>
  <si>
    <t>(0.517, 0.414, 0.614)</t>
  </si>
  <si>
    <t>(0.452, 0.407, 0.507)</t>
  </si>
  <si>
    <t>(0.468, 0.374, 0.574)</t>
  </si>
  <si>
    <t>(0.491, 0.442, 0.542)</t>
  </si>
  <si>
    <t>(0.528, 0.422, 0.622)</t>
  </si>
  <si>
    <t>(0.478, 0.430, 0.530)</t>
  </si>
  <si>
    <t>(0.525, 0.420, 0.620)</t>
  </si>
  <si>
    <t>(0.457, 0.411, 0.511)</t>
  </si>
  <si>
    <t>(0.543, 0.435, 0.635)</t>
  </si>
  <si>
    <t>(0.530, 0.424, 0.624)</t>
  </si>
  <si>
    <t>(0.491, 0.491, 0.491)</t>
  </si>
  <si>
    <t>(0.498, 0.399, 0.599)</t>
  </si>
  <si>
    <t>(0.523, 0.470, 0.570)</t>
  </si>
  <si>
    <t>(0.547, 0.437, 0.637)</t>
  </si>
  <si>
    <t>(0.519, 0.467, 0.567)</t>
  </si>
  <si>
    <t>(0.550, 0.440, 0.640)</t>
  </si>
  <si>
    <t>(0.451, 0.406, 0.506)</t>
  </si>
  <si>
    <t>(0.511, 0.409, 0.609)</t>
  </si>
  <si>
    <t>(0.375, 0.338, 0.438)</t>
  </si>
  <si>
    <t>(0.391, 0.312, 0.512)</t>
  </si>
  <si>
    <t>(0.382, 0.344, 0.444)</t>
  </si>
  <si>
    <t>(0.397, 0.318, 0.518)</t>
  </si>
  <si>
    <t>(0.322, 0.322, 0.322)</t>
  </si>
  <si>
    <t>(0.335, 0.301, 0.401)</t>
  </si>
  <si>
    <t>(0.344, 0.309, 0.409)</t>
  </si>
  <si>
    <t>(0.330, 0.297, 0.397)</t>
  </si>
  <si>
    <t>(0.298, 0.298, 0.298)</t>
  </si>
  <si>
    <t>(0.310, 0.279, 0.379)</t>
  </si>
  <si>
    <t>(0.315, 0.252, 0.452)</t>
  </si>
  <si>
    <t>(0.320, 0.288, 0.388)</t>
  </si>
  <si>
    <t>(0.305, 0.274, 0.374)</t>
  </si>
  <si>
    <t>(0.326, 0.261, 0.461)</t>
  </si>
  <si>
    <t>(0.286, 0.286, 0.286)</t>
  </si>
  <si>
    <t>(0.302, 0.272, 0.372)</t>
  </si>
  <si>
    <t>(0.313, 0.250, 0.450)</t>
  </si>
  <si>
    <t>(0.299, 0.269, 0.369)</t>
  </si>
  <si>
    <t>(0.289, 0.260, 0.360)</t>
  </si>
  <si>
    <t>(0.301, 0.241, 0.441)</t>
  </si>
  <si>
    <t>(0.368, 0.331, 0.431)</t>
  </si>
  <si>
    <t>(0.379, 0.303, 0.503)</t>
  </si>
  <si>
    <t>(0.352, 0.317, 0.417)</t>
  </si>
  <si>
    <t>(0.341, 0.273, 0.473)</t>
  </si>
  <si>
    <t>(0.379, 0.379, 0.379)</t>
  </si>
  <si>
    <t>(0.413, 0.331, 0.531)</t>
  </si>
  <si>
    <t>(0.420, 0.336, 0.536)</t>
  </si>
  <si>
    <t>(0.387, 0.349, 0.449)</t>
  </si>
  <si>
    <t>(0.381, 0.381, 0.381)</t>
  </si>
  <si>
    <t>(0.359, 0.287, 0.487)</t>
  </si>
  <si>
    <t>(0.155, 0.155, 0.155)</t>
  </si>
  <si>
    <t>(0.165, 0.149, 0.249)</t>
  </si>
  <si>
    <t>(0.169, 0.152, 0.252)</t>
  </si>
  <si>
    <t>(0.186, 0.149, 0.349)</t>
  </si>
  <si>
    <t>(0.168, 0.152, 0.252)</t>
  </si>
  <si>
    <t>(0.183, 0.146, 0.346)</t>
  </si>
  <si>
    <t>(0.180, 0.180, 0.180)</t>
  </si>
  <si>
    <t>(0.190, 0.171, 0.271)</t>
  </si>
  <si>
    <t>(0.228, 0.182, 0.382)</t>
  </si>
  <si>
    <t>(0.206, 0.206, 0.206)</t>
  </si>
  <si>
    <t>(0.216, 0.195, 0.295)</t>
  </si>
  <si>
    <t>(0.228, 0.183, 0.383)</t>
  </si>
  <si>
    <t>(0.261, 0.208, 0.408)</t>
  </si>
  <si>
    <t>(0.228, 0.206, 0.306)</t>
  </si>
  <si>
    <t>(0.256, 0.205, 0.405)</t>
  </si>
  <si>
    <t>(0.205, 0.205, 0.205)</t>
  </si>
  <si>
    <t>(0.217, 0.195, 0.295)</t>
  </si>
  <si>
    <t>(0.222, 0.199, 0.299)</t>
  </si>
  <si>
    <t>(0.337, 0.337, 0.337)</t>
  </si>
  <si>
    <t>(0.356, 0.321, 0.421)</t>
  </si>
  <si>
    <t>(0.372, 0.297, 0.497)</t>
  </si>
  <si>
    <t>(0.274, 0.247, 0.347)</t>
  </si>
  <si>
    <t>(0.199, 0.160, 0.360)</t>
  </si>
  <si>
    <t>(0.209, 0.209, 0.209)</t>
  </si>
  <si>
    <t>(0.224, 0.201, 0.301)</t>
  </si>
  <si>
    <t>(0.234, 0.187, 0.387)</t>
  </si>
  <si>
    <t>(0.222, 0.200, 0.300)</t>
  </si>
  <si>
    <t>(0.219, 0.197, 0.297)</t>
  </si>
  <si>
    <t>(0.227, 0.182, 0.382)</t>
  </si>
  <si>
    <t>(0.221, 0.221, 0.221)</t>
  </si>
  <si>
    <t>(0.233, 0.210, 0.310)</t>
  </si>
  <si>
    <t>(0.244, 0.196, 0.396)</t>
  </si>
  <si>
    <t>(0.197, 0.177, 0.277)</t>
  </si>
  <si>
    <t>(0.181, 0.145, 0.345)</t>
  </si>
  <si>
    <t>(0.180, 0.144, 0.344)</t>
  </si>
  <si>
    <t>(0.044, 0.044, 0.044)</t>
  </si>
  <si>
    <t>(0.039, 0.036, 0.136)</t>
  </si>
  <si>
    <t>(0.043, 0.035, 0.235)</t>
  </si>
  <si>
    <t>(0.046, 0.041, 0.141)</t>
  </si>
  <si>
    <t>(0.058, 0.046, 0.246)</t>
  </si>
  <si>
    <t>(0.023, 0.021, 0.121)</t>
  </si>
  <si>
    <t>(0.017, 0.014, 0.214)</t>
  </si>
  <si>
    <t>(0.043, 0.043, 0.043)</t>
  </si>
  <si>
    <t>(0.038, 0.035, 0.135)</t>
  </si>
  <si>
    <t>(0.042, 0.034, 0.234)</t>
  </si>
  <si>
    <t>(0.044, 0.040, 0.140)</t>
  </si>
  <si>
    <t>(0.057, 0.045, 0.245)</t>
  </si>
  <si>
    <t>(0.019, 0.015, 0.215)</t>
  </si>
  <si>
    <t>(0.045, 0.045, 0.045)</t>
  </si>
  <si>
    <t>(0.040, 0.036, 0.136)</t>
  </si>
  <si>
    <t>(0.046, 0.037, 0.237)</t>
  </si>
  <si>
    <t>(0.047, 0.042, 0.143)</t>
  </si>
  <si>
    <t>(0.060, 0.048, 0.248)</t>
  </si>
  <si>
    <t>(0.027, 0.024, 0.124)</t>
  </si>
  <si>
    <t>(0.023, 0.018, 0.218)</t>
  </si>
  <si>
    <t>(0.054, 0.043, 0.243)</t>
  </si>
  <si>
    <t>(0.020, 0.018, 0.118)</t>
  </si>
  <si>
    <t>(0.012, 0.010, 0.210)</t>
  </si>
  <si>
    <t>(0.047, 0.047, 0.047)</t>
  </si>
  <si>
    <t>(0.042, 0.037, 0.138)</t>
  </si>
  <si>
    <t>(0.044, 0.036, 0.236)</t>
  </si>
  <si>
    <t>(0.048, 0.043, 0.143)</t>
  </si>
  <si>
    <t>(0.053, 0.042, 0.242)</t>
  </si>
  <si>
    <t>(0.019, 0.017, 0.117)</t>
  </si>
  <si>
    <t>(0.007, 0.006, 0.206)</t>
  </si>
  <si>
    <t>(0.051, 0.051, 0.051)</t>
  </si>
  <si>
    <t>(0.047, 0.042, 0.142)</t>
  </si>
  <si>
    <t>(0.049, 0.039, 0.239)</t>
  </si>
  <si>
    <t>(0.051, 0.045, 0.146)</t>
  </si>
  <si>
    <t>(0.056, 0.045, 0.245)</t>
  </si>
  <si>
    <t>(0.018, 0.017, 0.117)</t>
  </si>
  <si>
    <t>(0.007, 0.005, 0.206)</t>
  </si>
  <si>
    <t>(0.056, 0.056, 0.056)</t>
  </si>
  <si>
    <t>(0.053, 0.048, 0.148)</t>
  </si>
  <si>
    <t>(0.056, 0.044, 0.244)</t>
  </si>
  <si>
    <t>(0.018, 0.016, 0.116)</t>
  </si>
  <si>
    <t>(0.002, 0.002, 0.202)</t>
  </si>
  <si>
    <t>(0.269, 0.269, 0.269)</t>
  </si>
  <si>
    <t>(0.291, 0.233, 0.433)</t>
  </si>
  <si>
    <t>(0.269, 0.242, 0.342)</t>
  </si>
  <si>
    <t>(0.267, 0.214, 0.414)</t>
  </si>
  <si>
    <t>(0.266, 0.239, 0.339)</t>
  </si>
  <si>
    <t>(0.268, 0.268, 0.268)</t>
  </si>
  <si>
    <t>(0.274, 0.246, 0.346)</t>
  </si>
  <si>
    <t>(0.289, 0.232, 0.431)</t>
  </si>
  <si>
    <t>(0.268, 0.241, 0.341)</t>
  </si>
  <si>
    <t>(0.265, 0.238, 0.338)</t>
  </si>
  <si>
    <t>(0.270, 0.270, 0.270)</t>
  </si>
  <si>
    <t>(0.276, 0.248, 0.348)</t>
  </si>
  <si>
    <t>(0.292, 0.233, 0.433)</t>
  </si>
  <si>
    <t>(0.270, 0.243, 0.343)</t>
  </si>
  <si>
    <t>(0.269, 0.215, 0.415)</t>
  </si>
  <si>
    <t>(0.266, 0.240, 0.340)</t>
  </si>
  <si>
    <t>(0.257, 0.206, 0.406)</t>
  </si>
  <si>
    <t>(0.276, 0.276, 0.276)</t>
  </si>
  <si>
    <t>(0.281, 0.253, 0.353)</t>
  </si>
  <si>
    <t>(0.300, 0.240, 0.440)</t>
  </si>
  <si>
    <t>(0.276, 0.221, 0.421)</t>
  </si>
  <si>
    <t>(0.273, 0.246, 0.346)</t>
  </si>
  <si>
    <t>(0.265, 0.212, 0.412)</t>
  </si>
  <si>
    <t>(0.367, 0.330, 0.430)</t>
  </si>
  <si>
    <t>(0.364, 0.328, 0.427)</t>
  </si>
  <si>
    <t>(0.279, 0.279, 0.279)</t>
  </si>
  <si>
    <t>(0.284, 0.256, 0.356)</t>
  </si>
  <si>
    <t>(0.302, 0.242, 0.442)</t>
  </si>
  <si>
    <t>(0.280, 0.252, 0.352)</t>
  </si>
  <si>
    <t>(0.280, 0.224, 0.424)</t>
  </si>
  <si>
    <t>(0.277, 0.249, 0.349)</t>
  </si>
  <si>
    <t>(0.270, 0.216, 0.416)</t>
  </si>
  <si>
    <t>(0.292, 0.292, 0.292)</t>
  </si>
  <si>
    <t>(0.318, 0.254, 0.454)</t>
  </si>
  <si>
    <t>(0.295, 0.266, 0.366)</t>
  </si>
  <si>
    <t>(0.297, 0.238, 0.438)</t>
  </si>
  <si>
    <t>(0.292, 0.263, 0.363)</t>
  </si>
  <si>
    <t>(0.287, 0.230, 0.429)</t>
  </si>
  <si>
    <t>(0.463, 0.463, 0.463)</t>
  </si>
  <si>
    <t>(0.465, 0.418, 0.518)</t>
  </si>
  <si>
    <t>(0.463, 0.371, 0.571)</t>
  </si>
  <si>
    <t>(0.456, 0.365, 0.565)</t>
  </si>
  <si>
    <t>(0.468, 0.422, 0.522)</t>
  </si>
  <si>
    <t>(0.467, 0.373, 0.573)</t>
  </si>
  <si>
    <t>(0.462, 0.462, 0.462)</t>
  </si>
  <si>
    <t>(0.464, 0.418, 0.518)</t>
  </si>
  <si>
    <t>(0.462, 0.370, 0.570)</t>
  </si>
  <si>
    <t>(0.470, 0.376, 0.576)</t>
  </si>
  <si>
    <t>(0.466, 0.419, 0.519)</t>
  </si>
  <si>
    <t>(0.464, 0.417, 0.517)</t>
  </si>
  <si>
    <t>(0.458, 0.367, 0.567)</t>
  </si>
  <si>
    <t>(0.453, 0.407, 0.507)</t>
  </si>
  <si>
    <t>(0.437, 0.350, 0.550)</t>
  </si>
  <si>
    <t>(0.433, 0.346, 0.546)</t>
  </si>
  <si>
    <t>(0.452, 0.452, 0.452)</t>
  </si>
  <si>
    <t>(0.453, 0.362, 0.562)</t>
  </si>
  <si>
    <t>(0.437, 0.394, 0.494)</t>
  </si>
  <si>
    <t>(0.410, 0.328, 0.528)</t>
  </si>
  <si>
    <t>(0.459, 0.459, 0.459)</t>
  </si>
  <si>
    <t>(0.463, 0.416, 0.516)</t>
  </si>
  <si>
    <t>(0.458, 0.366, 0.566)</t>
  </si>
  <si>
    <t>(0.451, 0.405, 0.505)</t>
  </si>
  <si>
    <t>(0.449, 0.405, 0.505)</t>
  </si>
  <si>
    <t>(0.432, 0.346, 0.546)</t>
  </si>
  <si>
    <t>(0.460, 0.368, 0.568)</t>
  </si>
  <si>
    <t>(0.445, 0.401, 0.501)</t>
  </si>
  <si>
    <t>(0.421, 0.337, 0.537)</t>
  </si>
  <si>
    <t>(0.443, 0.399, 0.499)</t>
  </si>
  <si>
    <t>(0.419, 0.336, 0.536)</t>
  </si>
  <si>
    <t>(0.463, 0.370, 0.570)</t>
  </si>
  <si>
    <t>(0.200, 0.200, 0.200)</t>
  </si>
  <si>
    <t>(0.204, 0.163, 0.363)</t>
  </si>
  <si>
    <t>(0.195, 0.175, 0.275)</t>
  </si>
  <si>
    <t>(0.174, 0.139, 0.339)</t>
  </si>
  <si>
    <t>(0.180, 0.162, 0.262)</t>
  </si>
  <si>
    <t>(0.169, 0.136, 0.336)</t>
  </si>
  <si>
    <t>(0.198, 0.198, 0.198)</t>
  </si>
  <si>
    <t>(0.200, 0.160, 0.360)</t>
  </si>
  <si>
    <t>(0.168, 0.135, 0.335)</t>
  </si>
  <si>
    <t>(0.163, 0.130, 0.330)</t>
  </si>
  <si>
    <t>(0.170, 0.170, 0.170)</t>
  </si>
  <si>
    <t>(0.166, 0.150, 0.250)</t>
  </si>
  <si>
    <t>(0.149, 0.119, 0.319)</t>
  </si>
  <si>
    <t>(0.152, 0.122, 0.322)</t>
  </si>
  <si>
    <t>(0.246, 0.197, 0.397)</t>
  </si>
  <si>
    <t>(0.214, 0.193, 0.293)</t>
  </si>
  <si>
    <t>(0.184, 0.147, 0.347)</t>
  </si>
  <si>
    <t>(0.213, 0.192, 0.292)</t>
  </si>
  <si>
    <t>(0.183, 0.147, 0.347)</t>
  </si>
  <si>
    <t>(0.251, 0.251, 0.251)</t>
  </si>
  <si>
    <t>(0.258, 0.232, 0.332)</t>
  </si>
  <si>
    <t>(0.258, 0.206, 0.406)</t>
  </si>
  <si>
    <t>(0.223, 0.201, 0.301)</t>
  </si>
  <si>
    <t>(0.209, 0.188, 0.288)</t>
  </si>
  <si>
    <t>(0.179, 0.143, 0.343)</t>
  </si>
  <si>
    <t>(0.253, 0.253, 0.253)</t>
  </si>
  <si>
    <t>(0.226, 0.203, 0.303)</t>
  </si>
  <si>
    <t>(0.191, 0.153, 0.353)</t>
  </si>
  <si>
    <t>(0.366, 0.366, 0.366)</t>
  </si>
  <si>
    <t>(0.386, 0.347, 0.447)</t>
  </si>
  <si>
    <t>(0.395, 0.316, 0.516)</t>
  </si>
  <si>
    <t>(0.380, 0.342, 0.442)</t>
  </si>
  <si>
    <t>(0.378, 0.341, 0.441)</t>
  </si>
  <si>
    <t>(0.368, 0.368, 0.368)</t>
  </si>
  <si>
    <t>(0.387, 0.348, 0.448)</t>
  </si>
  <si>
    <t>(0.400, 0.320, 0.520)</t>
  </si>
  <si>
    <t>(0.381, 0.343, 0.443)</t>
  </si>
  <si>
    <t>(0.397, 0.317, 0.517)</t>
  </si>
  <si>
    <t>(0.403, 0.362, 0.462)</t>
  </si>
  <si>
    <t>(0.409, 0.328, 0.528)</t>
  </si>
  <si>
    <t>(0.417, 0.333, 0.533)</t>
  </si>
  <si>
    <t>(0.396, 0.356, 0.456)</t>
  </si>
  <si>
    <t>(0.377, 0.377, 0.377)</t>
  </si>
  <si>
    <t>(0.398, 0.359, 0.459)</t>
  </si>
  <si>
    <t>(0.406, 0.325, 0.525)</t>
  </si>
  <si>
    <t>(0.390, 0.351, 0.451)</t>
  </si>
  <si>
    <t>(0.464, 0.464, 0.464)</t>
  </si>
  <si>
    <t>(0.508, 0.407, 0.607)</t>
  </si>
  <si>
    <t>(0.398, 0.319, 0.519)</t>
  </si>
  <si>
    <t>(0.401, 0.361, 0.461)</t>
  </si>
  <si>
    <t>(0.393, 0.353, 0.453)</t>
  </si>
  <si>
    <t>(0.392, 0.353, 0.453)</t>
  </si>
  <si>
    <t>(0.407, 0.326, 0.526)</t>
  </si>
  <si>
    <t>(0.508, 0.406, 0.606)</t>
  </si>
  <si>
    <t>(0.433, 0.390, 0.490)</t>
  </si>
  <si>
    <t>(0.396, 0.317, 0.517)</t>
  </si>
  <si>
    <t>(0.398, 0.318, 0.518)</t>
  </si>
  <si>
    <t>(0.052, 0.052, 0.052)</t>
  </si>
  <si>
    <t>(0.048, 0.043, 0.144)</t>
  </si>
  <si>
    <t>(0.051, 0.041, 0.241)</t>
  </si>
  <si>
    <t>(0.050, 0.045, 0.145)</t>
  </si>
  <si>
    <t>(0.010, 0.008, 0.208)</t>
  </si>
  <si>
    <t>(0.050, 0.040, 0.240)</t>
  </si>
  <si>
    <t>(0.052, 0.046, 0.147)</t>
  </si>
  <si>
    <t>(0.055, 0.044, 0.244)</t>
  </si>
  <si>
    <t>(0.021, 0.019, 0.119)</t>
  </si>
  <si>
    <t>(0.016, 0.012, 0.213)</t>
  </si>
  <si>
    <t>(0.045, 0.040, 0.141)</t>
  </si>
  <si>
    <t>(0.049, 0.040, 0.240)</t>
  </si>
  <si>
    <t>(0.052, 0.047, 0.147)</t>
  </si>
  <si>
    <t>(0.062, 0.049, 0.249)</t>
  </si>
  <si>
    <t>(0.025, 0.020, 0.220)</t>
  </si>
  <si>
    <t>(0.054, 0.054, 0.054)</t>
  </si>
  <si>
    <t>(0.049, 0.044, 0.144)</t>
  </si>
  <si>
    <t>(0.019, 0.018, 0.118)</t>
  </si>
  <si>
    <t>(0.009, 0.007, 0.208)</t>
  </si>
  <si>
    <t>(0.059, 0.059, 0.059)</t>
  </si>
  <si>
    <t>(0.061, 0.049, 0.249)</t>
  </si>
  <si>
    <t>(0.059, 0.047, 0.247)</t>
  </si>
  <si>
    <t>(0.022, 0.020, 0.120)</t>
  </si>
  <si>
    <t>(0.062, 0.062, 0.062)</t>
  </si>
  <si>
    <t>(0.056, 0.050, 0.150)</t>
  </si>
  <si>
    <t>(0.067, 0.054, 0.254)</t>
  </si>
  <si>
    <t>(0.056, 0.051, 0.151)</t>
  </si>
  <si>
    <t>(0.001, 0.001, 0.201)</t>
  </si>
  <si>
    <t>(0.373, 0.373, 0.373)</t>
  </si>
  <si>
    <t>(0.385, 0.346, 0.446)</t>
  </si>
  <si>
    <t>(0.411, 0.329, 0.528)</t>
  </si>
  <si>
    <t>(0.406, 0.365, 0.465)</t>
  </si>
  <si>
    <t>(0.435, 0.348, 0.548)</t>
  </si>
  <si>
    <t>(0.435, 0.435, 0.435)</t>
  </si>
  <si>
    <t>(0.452, 0.362, 0.562)</t>
  </si>
  <si>
    <t>(0.444, 0.400, 0.500)</t>
  </si>
  <si>
    <t>(0.453, 0.363, 0.563)</t>
  </si>
  <si>
    <t>(0.412, 0.330, 0.529)</t>
  </si>
  <si>
    <t>(0.408, 0.367, 0.467)</t>
  </si>
  <si>
    <t>(0.405, 0.364, 0.464)</t>
  </si>
  <si>
    <t>(0.436, 0.349, 0.548)</t>
  </si>
  <si>
    <t>(0.372, 0.372, 0.372)</t>
  </si>
  <si>
    <t>(0.383, 0.345, 0.445)</t>
  </si>
  <si>
    <t>(0.408, 0.327, 0.526)</t>
  </si>
  <si>
    <t>(0.404, 0.364, 0.464)</t>
  </si>
  <si>
    <t>(0.442, 0.353, 0.553)</t>
  </si>
  <si>
    <t>(0.433, 0.347, 0.547)</t>
  </si>
  <si>
    <t>(0.384, 0.346, 0.446)</t>
  </si>
  <si>
    <t>(0.374, 0.374, 0.374)</t>
  </si>
  <si>
    <t>(0.406, 0.366, 0.466)</t>
  </si>
  <si>
    <t>(0.416, 0.333, 0.533)</t>
  </si>
  <si>
    <t>(0.413, 0.372, 0.472)</t>
  </si>
  <si>
    <t>(0.443, 0.354, 0.554)</t>
  </si>
  <si>
    <t>(0.587, 0.587, 0.587)</t>
  </si>
  <si>
    <t>(0.590, 0.531, 0.631)</t>
  </si>
  <si>
    <t>(0.585, 0.468, 0.668)</t>
  </si>
  <si>
    <t>(0.550, 0.495, 0.595)</t>
  </si>
  <si>
    <t>(0.506, 0.405, 0.605)</t>
  </si>
  <si>
    <t>(0.554, 0.498, 0.598)</t>
  </si>
  <si>
    <t>(0.507, 0.406, 0.606)</t>
  </si>
  <si>
    <t>(0.586, 0.586, 0.586)</t>
  </si>
  <si>
    <t>(0.589, 0.530, 0.630)</t>
  </si>
  <si>
    <t>(0.583, 0.466, 0.666)</t>
  </si>
  <si>
    <t>(0.507, 0.405, 0.605)</t>
  </si>
  <si>
    <t>(0.553, 0.498, 0.598)</t>
  </si>
  <si>
    <t>(0.509, 0.407, 0.607)</t>
  </si>
  <si>
    <t>(0.584, 0.467, 0.667)</t>
  </si>
  <si>
    <t>(0.551, 0.496, 0.596)</t>
  </si>
  <si>
    <t>(0.555, 0.499, 0.599)</t>
  </si>
  <si>
    <t>(0.510, 0.408, 0.608)</t>
  </si>
  <si>
    <t>(0.588, 0.588, 0.588)</t>
  </si>
  <si>
    <t>(0.591, 0.531, 0.631)</t>
  </si>
  <si>
    <t>(0.548, 0.494, 0.594)</t>
  </si>
  <si>
    <t>(0.503, 0.402, 0.602)</t>
  </si>
  <si>
    <t>(0.553, 0.497, 0.597)</t>
  </si>
  <si>
    <t>(0.505, 0.404, 0.604)</t>
  </si>
  <si>
    <t>(0.504, 0.403, 0.603)</t>
  </si>
  <si>
    <t>(0.591, 0.591, 0.591)</t>
  </si>
  <si>
    <t>(0.594, 0.534, 0.634)</t>
  </si>
  <si>
    <t>(0.589, 0.471, 0.671)</t>
  </si>
  <si>
    <t>(0.554, 0.499, 0.599)</t>
  </si>
  <si>
    <t>(0.557, 0.502, 0.602)</t>
  </si>
  <si>
    <t>(0.513, 0.410, 0.610)</t>
  </si>
  <si>
    <t>(0.439, 0.439, 0.439)</t>
  </si>
  <si>
    <t>(0.432, 0.389, 0.489)</t>
  </si>
  <si>
    <t>(0.452, 0.361, 0.561)</t>
  </si>
  <si>
    <t>(0.553, 0.442, 0.642)</t>
  </si>
  <si>
    <t>(0.486, 0.438, 0.538)</t>
  </si>
  <si>
    <t>(0.549, 0.439, 0.639)</t>
  </si>
  <si>
    <t>(0.438, 0.438, 0.438)</t>
  </si>
  <si>
    <t>(0.552, 0.441, 0.641)</t>
  </si>
  <si>
    <t>(0.548, 0.439, 0.639)</t>
  </si>
  <si>
    <t>(0.348, 0.348, 0.348)</t>
  </si>
  <si>
    <t>(0.366, 0.329, 0.429)</t>
  </si>
  <si>
    <t>(0.378, 0.302, 0.502)</t>
  </si>
  <si>
    <t>(0.373, 0.299, 0.499)</t>
  </si>
  <si>
    <t>(0.256, 0.256, 0.256)</t>
  </si>
  <si>
    <t>(0.272, 0.245, 0.345)</t>
  </si>
  <si>
    <t>(0.278, 0.223, 0.423)</t>
  </si>
  <si>
    <t>(0.273, 0.218, 0.418)</t>
  </si>
  <si>
    <t>(0.255, 0.230, 0.330)</t>
  </si>
  <si>
    <t>(0.271, 0.217, 0.417)</t>
  </si>
  <si>
    <t>(0.214, 0.214, 0.214)</t>
  </si>
  <si>
    <t>(0.217, 0.196, 0.296)</t>
  </si>
  <si>
    <t>(0.242, 0.193, 0.393)</t>
  </si>
  <si>
    <t>(0.215, 0.194, 0.294)</t>
  </si>
  <si>
    <t>(0.205, 0.164, 0.364)</t>
  </si>
  <si>
    <t>(0.205, 0.185, 0.285)</t>
  </si>
  <si>
    <t>(0.382, 0.382, 0.382)</t>
  </si>
  <si>
    <t>(0.391, 0.351, 0.451)</t>
  </si>
  <si>
    <t>(0.401, 0.321, 0.521)</t>
  </si>
  <si>
    <t>(0.352, 0.352, 0.352)</t>
  </si>
  <si>
    <t>(0.365, 0.329, 0.429)</t>
  </si>
  <si>
    <t>(0.372, 0.298, 0.498)</t>
  </si>
  <si>
    <t>(0.355, 0.319, 0.419)</t>
  </si>
  <si>
    <t>(0.356, 0.320, 0.420)</t>
  </si>
  <si>
    <t>(0.345, 0.310, 0.410)</t>
  </si>
  <si>
    <t>(0.376, 0.301, 0.501)</t>
  </si>
  <si>
    <t>(0.347, 0.347, 0.347)</t>
  </si>
  <si>
    <t>(0.388, 0.349, 0.449)</t>
  </si>
  <si>
    <t>(0.374, 0.299, 0.499)</t>
  </si>
  <si>
    <t>(0.346, 0.346, 0.346)</t>
  </si>
  <si>
    <t>(0.380, 0.304, 0.504)</t>
  </si>
  <si>
    <t>(0.368, 0.294, 0.494)</t>
  </si>
  <si>
    <t>(0.365, 0.292, 0.492)</t>
  </si>
  <si>
    <t>(0.381, 0.305, 0.505)</t>
  </si>
  <si>
    <t>(0.370, 0.296, 0.496)</t>
  </si>
  <si>
    <t>(0.399, 0.399, 0.399)</t>
  </si>
  <si>
    <t>(0.403, 0.363, 0.463)</t>
  </si>
  <si>
    <t>(0.413, 0.413, 0.413)</t>
  </si>
  <si>
    <t>(0.450, 0.360, 0.560)</t>
  </si>
  <si>
    <t>(0.416, 0.374, 0.474)</t>
  </si>
  <si>
    <t>(0.416, 0.375, 0.475)</t>
  </si>
  <si>
    <t>(0.402, 0.402, 0.402)</t>
  </si>
  <si>
    <t>(0.439, 0.351, 0.551)</t>
  </si>
  <si>
    <t>(0.407, 0.366, 0.466)</t>
  </si>
  <si>
    <t>(0.400, 0.400, 0.400)</t>
  </si>
  <si>
    <t>(0.423, 0.380, 0.480)</t>
  </si>
  <si>
    <t>(0.427, 0.342, 0.542)</t>
  </si>
  <si>
    <t>(0.413, 0.371, 0.471)</t>
  </si>
  <si>
    <t>(0.426, 0.341, 0.541)</t>
  </si>
  <si>
    <t>(0.048, 0.048, 0.048)</t>
  </si>
  <si>
    <t>(0.042, 0.038, 0.138)</t>
  </si>
  <si>
    <t>(0.049, 0.044, 0.145)</t>
  </si>
  <si>
    <t>(0.057, 0.046, 0.246)</t>
  </si>
  <si>
    <t>(0.029, 0.026, 0.127)</t>
  </si>
  <si>
    <t>(0.027, 0.021, 0.222)</t>
  </si>
  <si>
    <t>(0.052, 0.042, 0.242)</t>
  </si>
  <si>
    <t>(0.033, 0.029, 0.130)</t>
  </si>
  <si>
    <t>(0.028, 0.022, 0.223)</t>
  </si>
  <si>
    <t>(0.054, 0.049, 0.149)</t>
  </si>
  <si>
    <t>(0.061, 0.055, 0.155)</t>
  </si>
  <si>
    <t>(0.072, 0.057, 0.258)</t>
  </si>
  <si>
    <t>(0.044, 0.035, 0.235)</t>
  </si>
  <si>
    <t>(0.050, 0.050, 0.050)</t>
  </si>
  <si>
    <t>(0.043, 0.039, 0.139)</t>
  </si>
  <si>
    <t>(0.026, 0.023, 0.123)</t>
  </si>
  <si>
    <t>(0.022, 0.017, 0.217)</t>
  </si>
  <si>
    <t>(0.065, 0.065, 0.065)</t>
  </si>
  <si>
    <t>(0.060, 0.054, 0.154)</t>
  </si>
  <si>
    <t>(0.064, 0.057, 0.158)</t>
  </si>
  <si>
    <t>(0.026, 0.020, 0.221)</t>
  </si>
  <si>
    <t>(0.051, 0.046, 0.146)</t>
  </si>
  <si>
    <t>(0.070, 0.070, 0.070)</t>
  </si>
  <si>
    <t>(0.071, 0.057, 0.257)</t>
  </si>
  <si>
    <t>(0.065, 0.058, 0.159)</t>
  </si>
  <si>
    <t>(0.031, 0.027, 0.128)</t>
  </si>
  <si>
    <t>(0.018, 0.014, 0.215)</t>
  </si>
  <si>
    <t>(0.224, 0.224, 0.224)</t>
  </si>
  <si>
    <t>(0.245, 0.196, 0.396)</t>
  </si>
  <si>
    <t>(0.227, 0.205, 0.304)</t>
  </si>
  <si>
    <t>(0.230, 0.184, 0.384)</t>
  </si>
  <si>
    <t>(0.223, 0.179, 0.379)</t>
  </si>
  <si>
    <t>(0.228, 0.228, 0.228)</t>
  </si>
  <si>
    <t>(0.233, 0.209, 0.309)</t>
  </si>
  <si>
    <t>(0.251, 0.201, 0.401)</t>
  </si>
  <si>
    <t>(0.229, 0.229, 0.229)</t>
  </si>
  <si>
    <t>(0.235, 0.211, 0.311)</t>
  </si>
  <si>
    <t>(0.231, 0.208, 0.308)</t>
  </si>
  <si>
    <t>(0.233, 0.186, 0.386)</t>
  </si>
  <si>
    <t>(0.227, 0.204, 0.304)</t>
  </si>
  <si>
    <t>(0.246, 0.246, 0.246)</t>
  </si>
  <si>
    <t>(0.253, 0.227, 0.327)</t>
  </si>
  <si>
    <t>(0.255, 0.204, 0.404)</t>
  </si>
  <si>
    <t>(0.247, 0.223, 0.323)</t>
  </si>
  <si>
    <t>(0.252, 0.201, 0.401)</t>
  </si>
  <si>
    <t>(0.312, 0.312, 0.312)</t>
  </si>
  <si>
    <t>(0.323, 0.291, 0.391)</t>
  </si>
  <si>
    <t>(0.339, 0.271, 0.471)</t>
  </si>
  <si>
    <t>(0.328, 0.295, 0.395)</t>
  </si>
  <si>
    <t>(0.346, 0.276, 0.477)</t>
  </si>
  <si>
    <t>(0.237, 0.237, 0.237)</t>
  </si>
  <si>
    <t>(0.243, 0.219, 0.319)</t>
  </si>
  <si>
    <t>(0.236, 0.213, 0.313)</t>
  </si>
  <si>
    <t>(0.296, 0.296, 0.296)</t>
  </si>
  <si>
    <t>(0.303, 0.273, 0.373)</t>
  </si>
  <si>
    <t>(0.325, 0.260, 0.460)</t>
  </si>
  <si>
    <t>(0.308, 0.278, 0.378)</t>
  </si>
  <si>
    <t>(0.321, 0.257, 0.457)</t>
  </si>
  <si>
    <t>(0.304, 0.273, 0.373)</t>
  </si>
  <si>
    <t>(0.339, 0.339, 0.339)</t>
  </si>
  <si>
    <t>(0.338, 0.305, 0.405)</t>
  </si>
  <si>
    <t>(0.357, 0.322, 0.422)</t>
  </si>
  <si>
    <t>(0.355, 0.320, 0.420)</t>
  </si>
  <si>
    <t>(0.374, 0.300, 0.500)</t>
  </si>
  <si>
    <t>(0.347, 0.312, 0.412)</t>
  </si>
  <si>
    <t>(0.362, 0.326, 0.426)</t>
  </si>
  <si>
    <t>(0.349, 0.279, 0.479)</t>
  </si>
  <si>
    <t>(0.362, 0.362, 0.362)</t>
  </si>
  <si>
    <t>(0.373, 0.335, 0.435)</t>
  </si>
  <si>
    <t>(0.371, 0.371, 0.371)</t>
  </si>
  <si>
    <t>(0.371, 0.297, 0.497)</t>
  </si>
  <si>
    <t>(0.376, 0.338, 0.438)</t>
  </si>
  <si>
    <t>(0.350, 0.350, 0.350)</t>
  </si>
  <si>
    <t>(0.348, 0.279, 0.479)</t>
  </si>
  <si>
    <t>(0.360, 0.360, 0.360)</t>
  </si>
  <si>
    <t>(0.362, 0.290, 0.490)</t>
  </si>
  <si>
    <t>(0.548, 0.548, 0.548)</t>
  </si>
  <si>
    <t>(0.548, 0.493, 0.593)</t>
  </si>
  <si>
    <t>(0.560, 0.504, 0.604)</t>
  </si>
  <si>
    <t>(0.571, 0.457, 0.657)</t>
  </si>
  <si>
    <t>(0.561, 0.449, 0.649)</t>
  </si>
  <si>
    <t>(0.567, 0.567, 0.567)</t>
  </si>
  <si>
    <t>(0.576, 0.519, 0.619)</t>
  </si>
  <si>
    <t>(0.575, 0.460, 0.660)</t>
  </si>
  <si>
    <t>(0.579, 0.521, 0.621)</t>
  </si>
  <si>
    <t>(0.577, 0.462, 0.662)</t>
  </si>
  <si>
    <t>(0.573, 0.516, 0.616)</t>
  </si>
  <si>
    <t>(0.593, 0.474, 0.674)</t>
  </si>
  <si>
    <t>(0.569, 0.569, 0.569)</t>
  </si>
  <si>
    <t>(0.567, 0.510, 0.610)</t>
  </si>
  <si>
    <t>(0.576, 0.461, 0.661)</t>
  </si>
  <si>
    <t>(0.582, 0.466, 0.666)</t>
  </si>
  <si>
    <t>(0.581, 0.523, 0.623)</t>
  </si>
  <si>
    <t>(0.560, 0.560, 0.560)</t>
  </si>
  <si>
    <t>(0.556, 0.500, 0.600)</t>
  </si>
  <si>
    <t>(0.569, 0.512, 0.613)</t>
  </si>
  <si>
    <t>(0.578, 0.463, 0.662)</t>
  </si>
  <si>
    <t>(0.558, 0.558, 0.558)</t>
  </si>
  <si>
    <t>(0.564, 0.508, 0.608)</t>
  </si>
  <si>
    <t>(0.568, 0.511, 0.611)</t>
  </si>
  <si>
    <t>(0.562, 0.450, 0.650)</t>
  </si>
  <si>
    <t>(0.565, 0.565, 0.565)</t>
  </si>
  <si>
    <t>(0.566, 0.510, 0.610)</t>
  </si>
  <si>
    <t>(0.580, 0.464, 0.664)</t>
  </si>
  <si>
    <t>(0.574, 0.517, 0.617)</t>
  </si>
  <si>
    <t>(0.588, 0.471, 0.671)</t>
  </si>
  <si>
    <t>(0.562, 0.562, 0.562)</t>
  </si>
  <si>
    <t>(0.562, 0.506, 0.606)</t>
  </si>
  <si>
    <t>(0.569, 0.455, 0.655)</t>
  </si>
  <si>
    <t>(0.572, 0.515, 0.615)</t>
  </si>
  <si>
    <t>(0.563, 0.507, 0.607)</t>
  </si>
  <si>
    <t>(0.308, 0.308, 0.308)</t>
  </si>
  <si>
    <t>(0.330, 0.264, 0.464)</t>
  </si>
  <si>
    <t>(0.346, 0.277, 0.477)</t>
  </si>
  <si>
    <t>(0.309, 0.278, 0.378)</t>
  </si>
  <si>
    <t>(0.191, 0.191, 0.191)</t>
  </si>
  <si>
    <t>(0.198, 0.178, 0.278)</t>
  </si>
  <si>
    <t>(0.206, 0.165, 0.365)</t>
  </si>
  <si>
    <t>(0.198, 0.158, 0.358)</t>
  </si>
  <si>
    <t>(0.181, 0.163, 0.263)</t>
  </si>
  <si>
    <t>(0.203, 0.162, 0.362)</t>
  </si>
  <si>
    <t>(0.201, 0.181, 0.281)</t>
  </si>
  <si>
    <t>(0.177, 0.159, 0.259)</t>
  </si>
  <si>
    <t>(0.324, 0.324, 0.324)</t>
  </si>
  <si>
    <t>(0.332, 0.266, 0.466)</t>
  </si>
  <si>
    <t>(0.236, 0.236, 0.236)</t>
  </si>
  <si>
    <t>(0.247, 0.222, 0.322)</t>
  </si>
  <si>
    <t>(0.254, 0.203, 0.403)</t>
  </si>
  <si>
    <t>(0.212, 0.191, 0.291)</t>
  </si>
  <si>
    <t>(0.210, 0.189, 0.289)</t>
  </si>
  <si>
    <t>(0.268, 0.214, 0.414)</t>
  </si>
  <si>
    <t>(0.218, 0.174, 0.374)</t>
  </si>
  <si>
    <t>(0.234, 0.210, 0.310)</t>
  </si>
  <si>
    <t>(0.214, 0.171, 0.371)</t>
  </si>
  <si>
    <t>(0.397, 0.397, 0.397)</t>
  </si>
  <si>
    <t>(0.392, 0.352, 0.452)</t>
  </si>
  <si>
    <t>(0.291, 0.291, 0.291)</t>
  </si>
  <si>
    <t>(0.307, 0.276, 0.376)</t>
  </si>
  <si>
    <t>(0.323, 0.258, 0.458)</t>
  </si>
  <si>
    <t>(0.318, 0.255, 0.455)</t>
  </si>
  <si>
    <t>(0.316, 0.253, 0.453)</t>
  </si>
  <si>
    <t>(0.290, 0.290, 0.290)</t>
  </si>
  <si>
    <t>(0.306, 0.275, 0.375)</t>
  </si>
  <si>
    <t>(0.317, 0.254, 0.454)</t>
  </si>
  <si>
    <t>(0.300, 0.270, 0.370)</t>
  </si>
  <si>
    <t>(0.314, 0.251, 0.451)</t>
  </si>
  <si>
    <t>(0.309, 0.247, 0.447)</t>
  </si>
  <si>
    <t>(0.287, 0.287, 0.287)</t>
  </si>
  <si>
    <t>(0.301, 0.271, 0.371)</t>
  </si>
  <si>
    <t>(0.319, 0.255, 0.455)</t>
  </si>
  <si>
    <t>(0.298, 0.268, 0.368)</t>
  </si>
  <si>
    <t>(0.311, 0.249, 0.449)</t>
  </si>
  <si>
    <t>(0.324, 0.292, 0.392)</t>
  </si>
  <si>
    <t>(0.340, 0.272, 0.472)</t>
  </si>
  <si>
    <t>(0.313, 0.282, 0.382)</t>
  </si>
  <si>
    <t>(0.317, 0.253, 0.453)</t>
  </si>
  <si>
    <t>(0.311, 0.248, 0.448)</t>
  </si>
  <si>
    <t>(0.318, 0.287, 0.387)</t>
  </si>
  <si>
    <t>(0.363, 0.363, 0.363)</t>
  </si>
  <si>
    <t>SS1: ∆TER</t>
  </si>
  <si>
    <t>SS2: ∆TER</t>
  </si>
  <si>
    <t>BS1: ∆TER</t>
  </si>
  <si>
    <t>BS2: ∆TER</t>
  </si>
  <si>
    <t>HAR1: ∆TER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</si>
</sst>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2" fontId="1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  <xf borderId="0" fillId="2" fontId="1" numFmtId="2" xfId="0" applyAlignment="1" applyFont="1" applyNumberFormat="1">
      <alignment readingOrder="0"/>
    </xf>
    <xf borderId="0" fillId="2" fontId="1" numFmtId="2" xfId="0" applyAlignment="1" applyFont="1" applyNumberFormat="1">
      <alignment horizontal="center" readingOrder="0"/>
    </xf>
    <xf borderId="0" fillId="3" fontId="1" numFmtId="2" xfId="0" applyAlignment="1" applyFill="1" applyFont="1" applyNumberFormat="1">
      <alignment horizontal="center" readingOrder="0"/>
    </xf>
    <xf borderId="0" fillId="0" fontId="2" numFmtId="2" xfId="0" applyFont="1" applyNumberFormat="1"/>
    <xf borderId="0" fillId="2" fontId="1" numFmtId="2" xfId="0" applyAlignment="1" applyFont="1" applyNumberFormat="1">
      <alignment horizontal="center" readingOrder="0" vertical="center"/>
    </xf>
    <xf borderId="0" fillId="0" fontId="1" numFmtId="2" xfId="0" applyFont="1" applyNumberFormat="1"/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0.151</v>
      </c>
      <c r="D3" s="7">
        <v>0.185</v>
      </c>
      <c r="E3" s="7">
        <v>0.228</v>
      </c>
      <c r="F3" s="7">
        <v>0.178</v>
      </c>
      <c r="G3" s="7">
        <v>0.221</v>
      </c>
      <c r="H3" s="7">
        <v>0.165</v>
      </c>
      <c r="I3" s="7">
        <v>0.198</v>
      </c>
      <c r="J3" s="3"/>
      <c r="L3" s="6" t="s">
        <v>4</v>
      </c>
      <c r="M3" s="7">
        <f t="shared" ref="M3:S3" si="1">C3-$C$3</f>
        <v>0</v>
      </c>
      <c r="N3" s="7">
        <f t="shared" si="1"/>
        <v>0.034</v>
      </c>
      <c r="O3" s="7">
        <f t="shared" si="1"/>
        <v>0.077</v>
      </c>
      <c r="P3" s="7">
        <f t="shared" si="1"/>
        <v>0.027</v>
      </c>
      <c r="Q3" s="7">
        <f t="shared" si="1"/>
        <v>0.07</v>
      </c>
      <c r="R3" s="7">
        <f t="shared" si="1"/>
        <v>0.014</v>
      </c>
      <c r="S3" s="7">
        <f t="shared" si="1"/>
        <v>0.047</v>
      </c>
    </row>
    <row r="4">
      <c r="B4" s="6" t="s">
        <v>5</v>
      </c>
      <c r="C4" s="7">
        <v>0.197</v>
      </c>
      <c r="D4" s="7">
        <v>0.224</v>
      </c>
      <c r="E4" s="7">
        <v>0.262</v>
      </c>
      <c r="F4" s="7">
        <v>0.237</v>
      </c>
      <c r="G4" s="7">
        <v>0.274</v>
      </c>
      <c r="H4" s="7">
        <v>0.223</v>
      </c>
      <c r="I4" s="7">
        <v>0.264</v>
      </c>
      <c r="J4" s="3"/>
      <c r="L4" s="6" t="s">
        <v>5</v>
      </c>
      <c r="M4" s="7">
        <f t="shared" ref="M4:S4" si="2">C4-$C$3</f>
        <v>0.046</v>
      </c>
      <c r="N4" s="7">
        <f t="shared" si="2"/>
        <v>0.073</v>
      </c>
      <c r="O4" s="7">
        <f t="shared" si="2"/>
        <v>0.111</v>
      </c>
      <c r="P4" s="7">
        <f t="shared" si="2"/>
        <v>0.086</v>
      </c>
      <c r="Q4" s="7">
        <f t="shared" si="2"/>
        <v>0.123</v>
      </c>
      <c r="R4" s="7">
        <f t="shared" si="2"/>
        <v>0.072</v>
      </c>
      <c r="S4" s="7">
        <f t="shared" si="2"/>
        <v>0.113</v>
      </c>
    </row>
    <row r="5">
      <c r="B5" s="6" t="s">
        <v>6</v>
      </c>
      <c r="C5" s="7">
        <v>0.218</v>
      </c>
      <c r="D5" s="7">
        <v>0.244</v>
      </c>
      <c r="E5" s="7">
        <v>0.281</v>
      </c>
      <c r="F5" s="7">
        <v>0.255</v>
      </c>
      <c r="G5" s="7">
        <v>0.292</v>
      </c>
      <c r="H5" s="7">
        <v>0.23</v>
      </c>
      <c r="I5" s="7">
        <v>0.267</v>
      </c>
      <c r="J5" s="3"/>
      <c r="L5" s="6" t="s">
        <v>6</v>
      </c>
      <c r="M5" s="7">
        <f t="shared" ref="M5:S5" si="3">C5-$C$3</f>
        <v>0.067</v>
      </c>
      <c r="N5" s="7">
        <f t="shared" si="3"/>
        <v>0.093</v>
      </c>
      <c r="O5" s="7">
        <f t="shared" si="3"/>
        <v>0.13</v>
      </c>
      <c r="P5" s="7">
        <f t="shared" si="3"/>
        <v>0.104</v>
      </c>
      <c r="Q5" s="7">
        <f t="shared" si="3"/>
        <v>0.141</v>
      </c>
      <c r="R5" s="7">
        <f t="shared" si="3"/>
        <v>0.079</v>
      </c>
      <c r="S5" s="7">
        <f t="shared" si="3"/>
        <v>0.116</v>
      </c>
    </row>
    <row r="6">
      <c r="B6" s="6" t="s">
        <v>7</v>
      </c>
      <c r="C6" s="7">
        <v>0.188</v>
      </c>
      <c r="D6" s="7">
        <v>0.218</v>
      </c>
      <c r="E6" s="7">
        <v>0.255</v>
      </c>
      <c r="F6" s="7">
        <v>0.214</v>
      </c>
      <c r="G6" s="7">
        <v>0.238</v>
      </c>
      <c r="H6" s="7">
        <v>0.204</v>
      </c>
      <c r="I6" s="7">
        <v>0.233</v>
      </c>
      <c r="J6" s="3"/>
      <c r="L6" s="6" t="s">
        <v>7</v>
      </c>
      <c r="M6" s="7">
        <f t="shared" ref="M6:S6" si="4">C6-$C$3</f>
        <v>0.037</v>
      </c>
      <c r="N6" s="7">
        <f t="shared" si="4"/>
        <v>0.067</v>
      </c>
      <c r="O6" s="7">
        <f t="shared" si="4"/>
        <v>0.104</v>
      </c>
      <c r="P6" s="7">
        <f t="shared" si="4"/>
        <v>0.063</v>
      </c>
      <c r="Q6" s="7">
        <f t="shared" si="4"/>
        <v>0.087</v>
      </c>
      <c r="R6" s="7">
        <f t="shared" si="4"/>
        <v>0.053</v>
      </c>
      <c r="S6" s="7">
        <f t="shared" si="4"/>
        <v>0.082</v>
      </c>
    </row>
    <row r="7">
      <c r="B7" s="6" t="s">
        <v>8</v>
      </c>
      <c r="C7" s="7">
        <v>0.22</v>
      </c>
      <c r="D7" s="7">
        <v>0.246</v>
      </c>
      <c r="E7" s="7">
        <v>0.277</v>
      </c>
      <c r="F7" s="7">
        <v>0.232</v>
      </c>
      <c r="G7" s="7">
        <v>0.253</v>
      </c>
      <c r="H7" s="7">
        <v>0.222</v>
      </c>
      <c r="I7" s="7">
        <v>0.234</v>
      </c>
      <c r="J7" s="3"/>
      <c r="L7" s="6" t="s">
        <v>8</v>
      </c>
      <c r="M7" s="7">
        <f t="shared" ref="M7:S7" si="5">C7-$C$3</f>
        <v>0.069</v>
      </c>
      <c r="N7" s="7">
        <f t="shared" si="5"/>
        <v>0.095</v>
      </c>
      <c r="O7" s="7">
        <f t="shared" si="5"/>
        <v>0.126</v>
      </c>
      <c r="P7" s="7">
        <f t="shared" si="5"/>
        <v>0.081</v>
      </c>
      <c r="Q7" s="7">
        <f t="shared" si="5"/>
        <v>0.102</v>
      </c>
      <c r="R7" s="7">
        <f t="shared" si="5"/>
        <v>0.071</v>
      </c>
      <c r="S7" s="7">
        <f t="shared" si="5"/>
        <v>0.083</v>
      </c>
    </row>
    <row r="8">
      <c r="B8" s="6" t="s">
        <v>9</v>
      </c>
      <c r="C8" s="7">
        <v>0.197</v>
      </c>
      <c r="D8" s="7">
        <v>0.229</v>
      </c>
      <c r="E8" s="7">
        <v>0.261</v>
      </c>
      <c r="F8" s="7">
        <v>0.224</v>
      </c>
      <c r="G8" s="7">
        <v>0.237</v>
      </c>
      <c r="H8" s="7">
        <v>0.201</v>
      </c>
      <c r="I8" s="7">
        <v>0.215</v>
      </c>
      <c r="J8" s="3"/>
      <c r="L8" s="6" t="s">
        <v>9</v>
      </c>
      <c r="M8" s="7">
        <f t="shared" ref="M8:S8" si="6">C8-$C$3</f>
        <v>0.046</v>
      </c>
      <c r="N8" s="7">
        <f t="shared" si="6"/>
        <v>0.078</v>
      </c>
      <c r="O8" s="7">
        <f t="shared" si="6"/>
        <v>0.11</v>
      </c>
      <c r="P8" s="7">
        <f t="shared" si="6"/>
        <v>0.073</v>
      </c>
      <c r="Q8" s="7">
        <f t="shared" si="6"/>
        <v>0.086</v>
      </c>
      <c r="R8" s="7">
        <f t="shared" si="6"/>
        <v>0.05</v>
      </c>
      <c r="S8" s="7">
        <f t="shared" si="6"/>
        <v>0.064</v>
      </c>
    </row>
    <row r="9">
      <c r="B9" s="6" t="s">
        <v>10</v>
      </c>
      <c r="C9" s="7">
        <v>0.194</v>
      </c>
      <c r="D9" s="7">
        <v>0.223</v>
      </c>
      <c r="E9" s="7">
        <v>0.264</v>
      </c>
      <c r="F9" s="7">
        <v>0.216</v>
      </c>
      <c r="G9" s="7">
        <v>0.254</v>
      </c>
      <c r="H9" s="7">
        <v>0.203</v>
      </c>
      <c r="I9" s="7">
        <v>0.22</v>
      </c>
      <c r="J9" s="3"/>
      <c r="L9" s="6" t="s">
        <v>10</v>
      </c>
      <c r="M9" s="7">
        <f t="shared" ref="M9:S9" si="7">C9-$C$3</f>
        <v>0.043</v>
      </c>
      <c r="N9" s="7">
        <f t="shared" si="7"/>
        <v>0.072</v>
      </c>
      <c r="O9" s="7">
        <f t="shared" si="7"/>
        <v>0.113</v>
      </c>
      <c r="P9" s="7">
        <f t="shared" si="7"/>
        <v>0.065</v>
      </c>
      <c r="Q9" s="7">
        <f t="shared" si="7"/>
        <v>0.103</v>
      </c>
      <c r="R9" s="7">
        <f t="shared" si="7"/>
        <v>0.052</v>
      </c>
      <c r="S9" s="7">
        <f t="shared" si="7"/>
        <v>0.069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0.331</v>
      </c>
      <c r="D13" s="7">
        <v>0.359</v>
      </c>
      <c r="E13" s="7">
        <v>0.389</v>
      </c>
      <c r="F13" s="7">
        <v>0.356</v>
      </c>
      <c r="G13" s="7">
        <v>0.382</v>
      </c>
      <c r="H13" s="7">
        <v>0.355</v>
      </c>
      <c r="I13" s="7">
        <v>0.375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0.058</v>
      </c>
      <c r="P13" s="7">
        <f t="shared" si="8"/>
        <v>0.025</v>
      </c>
      <c r="Q13" s="7">
        <f t="shared" si="8"/>
        <v>0.051</v>
      </c>
      <c r="R13" s="7">
        <f t="shared" si="8"/>
        <v>0.024</v>
      </c>
      <c r="S13" s="7">
        <f t="shared" si="8"/>
        <v>0.044</v>
      </c>
    </row>
    <row r="14">
      <c r="B14" s="6" t="s">
        <v>5</v>
      </c>
      <c r="C14" s="7">
        <v>0.331</v>
      </c>
      <c r="D14" s="7">
        <v>0.359</v>
      </c>
      <c r="E14" s="7">
        <v>0.388</v>
      </c>
      <c r="F14" s="7">
        <v>0.361</v>
      </c>
      <c r="G14" s="7">
        <v>0.387</v>
      </c>
      <c r="H14" s="7">
        <v>0.359</v>
      </c>
      <c r="I14" s="7">
        <v>0.383</v>
      </c>
      <c r="J14" s="3"/>
      <c r="L14" s="6" t="s">
        <v>5</v>
      </c>
      <c r="M14" s="7">
        <f t="shared" ref="M14:S14" si="9">C14-$C$13</f>
        <v>0</v>
      </c>
      <c r="N14" s="7">
        <f t="shared" si="9"/>
        <v>0.028</v>
      </c>
      <c r="O14" s="7">
        <f t="shared" si="9"/>
        <v>0.057</v>
      </c>
      <c r="P14" s="7">
        <f t="shared" si="9"/>
        <v>0.03</v>
      </c>
      <c r="Q14" s="7">
        <f t="shared" si="9"/>
        <v>0.056</v>
      </c>
      <c r="R14" s="7">
        <f t="shared" si="9"/>
        <v>0.028</v>
      </c>
      <c r="S14" s="7">
        <f t="shared" si="9"/>
        <v>0.052</v>
      </c>
    </row>
    <row r="15">
      <c r="B15" s="6" t="s">
        <v>6</v>
      </c>
      <c r="C15" s="7">
        <v>0.358</v>
      </c>
      <c r="D15" s="7">
        <v>0.382</v>
      </c>
      <c r="E15" s="7">
        <v>0.414</v>
      </c>
      <c r="F15" s="7">
        <v>0.387</v>
      </c>
      <c r="G15" s="7">
        <v>0.412</v>
      </c>
      <c r="H15" s="7">
        <v>0.384</v>
      </c>
      <c r="I15" s="7">
        <v>0.407</v>
      </c>
      <c r="J15" s="3"/>
      <c r="L15" s="6" t="s">
        <v>6</v>
      </c>
      <c r="M15" s="7">
        <f t="shared" ref="M15:S15" si="10">C15-$C$13</f>
        <v>0.027</v>
      </c>
      <c r="N15" s="7">
        <f t="shared" si="10"/>
        <v>0.051</v>
      </c>
      <c r="O15" s="7">
        <f t="shared" si="10"/>
        <v>0.083</v>
      </c>
      <c r="P15" s="7">
        <f t="shared" si="10"/>
        <v>0.056</v>
      </c>
      <c r="Q15" s="7">
        <f t="shared" si="10"/>
        <v>0.081</v>
      </c>
      <c r="R15" s="7">
        <f t="shared" si="10"/>
        <v>0.053</v>
      </c>
      <c r="S15" s="7">
        <f t="shared" si="10"/>
        <v>0.076</v>
      </c>
    </row>
    <row r="16">
      <c r="B16" s="6" t="s">
        <v>7</v>
      </c>
      <c r="C16" s="7">
        <v>0.329</v>
      </c>
      <c r="D16" s="7">
        <v>0.354</v>
      </c>
      <c r="E16" s="7">
        <v>0.385</v>
      </c>
      <c r="F16" s="7">
        <v>0.355</v>
      </c>
      <c r="G16" s="7">
        <v>0.381</v>
      </c>
      <c r="H16" s="7">
        <v>0.354</v>
      </c>
      <c r="I16" s="7">
        <v>0.377</v>
      </c>
      <c r="J16" s="3"/>
      <c r="L16" s="6" t="s">
        <v>7</v>
      </c>
      <c r="M16" s="7">
        <f t="shared" ref="M16:S16" si="11">C16-$C$13</f>
        <v>-0.002</v>
      </c>
      <c r="N16" s="7">
        <f t="shared" si="11"/>
        <v>0.023</v>
      </c>
      <c r="O16" s="7">
        <f t="shared" si="11"/>
        <v>0.054</v>
      </c>
      <c r="P16" s="7">
        <f t="shared" si="11"/>
        <v>0.024</v>
      </c>
      <c r="Q16" s="7">
        <f t="shared" si="11"/>
        <v>0.05</v>
      </c>
      <c r="R16" s="7">
        <f t="shared" si="11"/>
        <v>0.023</v>
      </c>
      <c r="S16" s="7">
        <f t="shared" si="11"/>
        <v>0.046</v>
      </c>
    </row>
    <row r="17">
      <c r="B17" s="6" t="s">
        <v>8</v>
      </c>
      <c r="C17" s="7">
        <v>0.327</v>
      </c>
      <c r="D17" s="7">
        <v>0.353</v>
      </c>
      <c r="E17" s="7">
        <v>0.386</v>
      </c>
      <c r="F17" s="7">
        <v>0.357</v>
      </c>
      <c r="G17" s="7">
        <v>0.386</v>
      </c>
      <c r="H17" s="7">
        <v>0.353</v>
      </c>
      <c r="I17" s="7">
        <v>0.383</v>
      </c>
      <c r="J17" s="3"/>
      <c r="L17" s="6" t="s">
        <v>8</v>
      </c>
      <c r="M17" s="7">
        <f t="shared" ref="M17:S17" si="12">C17-$C$13</f>
        <v>-0.004</v>
      </c>
      <c r="N17" s="7">
        <f t="shared" si="12"/>
        <v>0.022</v>
      </c>
      <c r="O17" s="7">
        <f t="shared" si="12"/>
        <v>0.055</v>
      </c>
      <c r="P17" s="7">
        <f t="shared" si="12"/>
        <v>0.026</v>
      </c>
      <c r="Q17" s="7">
        <f t="shared" si="12"/>
        <v>0.055</v>
      </c>
      <c r="R17" s="7">
        <f t="shared" si="12"/>
        <v>0.022</v>
      </c>
      <c r="S17" s="7">
        <f t="shared" si="12"/>
        <v>0.052</v>
      </c>
    </row>
    <row r="18">
      <c r="B18" s="6" t="s">
        <v>9</v>
      </c>
      <c r="C18" s="7">
        <v>0.326</v>
      </c>
      <c r="D18" s="7">
        <v>0.352</v>
      </c>
      <c r="E18" s="7">
        <v>0.386</v>
      </c>
      <c r="F18" s="7">
        <v>0.356</v>
      </c>
      <c r="G18" s="7">
        <v>0.383</v>
      </c>
      <c r="H18" s="7">
        <v>0.354</v>
      </c>
      <c r="I18" s="7">
        <v>0.379</v>
      </c>
      <c r="J18" s="3"/>
      <c r="L18" s="6" t="s">
        <v>9</v>
      </c>
      <c r="M18" s="7">
        <f t="shared" ref="M18:S18" si="13">C18-$C$13</f>
        <v>-0.005</v>
      </c>
      <c r="N18" s="7">
        <f t="shared" si="13"/>
        <v>0.021</v>
      </c>
      <c r="O18" s="7">
        <f t="shared" si="13"/>
        <v>0.055</v>
      </c>
      <c r="P18" s="7">
        <f t="shared" si="13"/>
        <v>0.025</v>
      </c>
      <c r="Q18" s="7">
        <f t="shared" si="13"/>
        <v>0.052</v>
      </c>
      <c r="R18" s="7">
        <f t="shared" si="13"/>
        <v>0.023</v>
      </c>
      <c r="S18" s="7">
        <f t="shared" si="13"/>
        <v>0.048</v>
      </c>
    </row>
    <row r="19">
      <c r="B19" s="6" t="s">
        <v>10</v>
      </c>
      <c r="C19" s="7">
        <v>0.342</v>
      </c>
      <c r="D19" s="7">
        <v>0.365</v>
      </c>
      <c r="E19" s="7">
        <v>0.395</v>
      </c>
      <c r="F19" s="7">
        <v>0.375</v>
      </c>
      <c r="G19" s="7">
        <v>0.406</v>
      </c>
      <c r="H19" s="7">
        <v>0.374</v>
      </c>
      <c r="I19" s="7">
        <v>0.4</v>
      </c>
      <c r="J19" s="3"/>
      <c r="L19" s="6" t="s">
        <v>10</v>
      </c>
      <c r="M19" s="7">
        <f t="shared" ref="M19:S19" si="14">C19-$C$13</f>
        <v>0.011</v>
      </c>
      <c r="N19" s="7">
        <f t="shared" si="14"/>
        <v>0.034</v>
      </c>
      <c r="O19" s="7">
        <f t="shared" si="14"/>
        <v>0.064</v>
      </c>
      <c r="P19" s="7">
        <f t="shared" si="14"/>
        <v>0.044</v>
      </c>
      <c r="Q19" s="7">
        <f t="shared" si="14"/>
        <v>0.075</v>
      </c>
      <c r="R19" s="7">
        <f t="shared" si="14"/>
        <v>0.043</v>
      </c>
      <c r="S19" s="7">
        <f t="shared" si="14"/>
        <v>0.069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0.447</v>
      </c>
      <c r="D23" s="7">
        <v>0.453</v>
      </c>
      <c r="E23" s="7">
        <v>0.456</v>
      </c>
      <c r="F23" s="7">
        <v>0.463</v>
      </c>
      <c r="G23" s="7">
        <v>0.483</v>
      </c>
      <c r="H23" s="7">
        <v>0.462</v>
      </c>
      <c r="I23" s="7">
        <v>0.475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0.006</v>
      </c>
      <c r="O23" s="7">
        <f t="shared" si="15"/>
        <v>0.009</v>
      </c>
      <c r="P23" s="7">
        <f t="shared" si="15"/>
        <v>0.016</v>
      </c>
      <c r="Q23" s="7">
        <f t="shared" si="15"/>
        <v>0.036</v>
      </c>
      <c r="R23" s="7">
        <f t="shared" si="15"/>
        <v>0.015</v>
      </c>
      <c r="S23" s="7">
        <f t="shared" si="15"/>
        <v>0.028</v>
      </c>
    </row>
    <row r="24">
      <c r="B24" s="6" t="s">
        <v>5</v>
      </c>
      <c r="C24" s="7">
        <v>0.46</v>
      </c>
      <c r="D24" s="7">
        <v>0.466</v>
      </c>
      <c r="E24" s="7">
        <v>0.466</v>
      </c>
      <c r="F24" s="7">
        <v>0.474</v>
      </c>
      <c r="G24" s="7">
        <v>0.487</v>
      </c>
      <c r="H24" s="7">
        <v>0.47</v>
      </c>
      <c r="I24" s="7">
        <v>0.483</v>
      </c>
      <c r="J24" s="3"/>
      <c r="L24" s="6" t="s">
        <v>5</v>
      </c>
      <c r="M24" s="7">
        <f t="shared" ref="M24:S24" si="16">C24-$C$23</f>
        <v>0.013</v>
      </c>
      <c r="N24" s="7">
        <f t="shared" si="16"/>
        <v>0.019</v>
      </c>
      <c r="O24" s="7">
        <f t="shared" si="16"/>
        <v>0.019</v>
      </c>
      <c r="P24" s="7">
        <f t="shared" si="16"/>
        <v>0.027</v>
      </c>
      <c r="Q24" s="7">
        <f t="shared" si="16"/>
        <v>0.04</v>
      </c>
      <c r="R24" s="7">
        <f t="shared" si="16"/>
        <v>0.023</v>
      </c>
      <c r="S24" s="7">
        <f t="shared" si="16"/>
        <v>0.036</v>
      </c>
    </row>
    <row r="25">
      <c r="B25" s="6" t="s">
        <v>6</v>
      </c>
      <c r="C25" s="7">
        <v>0.45</v>
      </c>
      <c r="D25" s="7">
        <v>0.454</v>
      </c>
      <c r="E25" s="7">
        <v>0.459</v>
      </c>
      <c r="F25" s="7">
        <v>0.464</v>
      </c>
      <c r="G25" s="7">
        <v>0.484</v>
      </c>
      <c r="H25" s="7">
        <v>0.462</v>
      </c>
      <c r="I25" s="7">
        <v>0.475</v>
      </c>
      <c r="J25" s="3"/>
      <c r="L25" s="6" t="s">
        <v>6</v>
      </c>
      <c r="M25" s="7">
        <f t="shared" ref="M25:S25" si="17">C25-$C$23</f>
        <v>0.003</v>
      </c>
      <c r="N25" s="7">
        <f t="shared" si="17"/>
        <v>0.007</v>
      </c>
      <c r="O25" s="7">
        <f t="shared" si="17"/>
        <v>0.012</v>
      </c>
      <c r="P25" s="7">
        <f t="shared" si="17"/>
        <v>0.017</v>
      </c>
      <c r="Q25" s="7">
        <f t="shared" si="17"/>
        <v>0.037</v>
      </c>
      <c r="R25" s="7">
        <f t="shared" si="17"/>
        <v>0.015</v>
      </c>
      <c r="S25" s="7">
        <f t="shared" si="17"/>
        <v>0.028</v>
      </c>
    </row>
    <row r="26">
      <c r="B26" s="6" t="s">
        <v>7</v>
      </c>
      <c r="C26" s="7">
        <v>0.476</v>
      </c>
      <c r="D26" s="7">
        <v>0.478</v>
      </c>
      <c r="E26" s="7">
        <v>0.483</v>
      </c>
      <c r="F26" s="7">
        <v>0.479</v>
      </c>
      <c r="G26" s="7">
        <v>0.485</v>
      </c>
      <c r="H26" s="7">
        <v>0.479</v>
      </c>
      <c r="I26" s="7">
        <v>0.483</v>
      </c>
      <c r="J26" s="3"/>
      <c r="L26" s="6" t="s">
        <v>7</v>
      </c>
      <c r="M26" s="7">
        <f t="shared" ref="M26:S26" si="18">C26-$C$23</f>
        <v>0.029</v>
      </c>
      <c r="N26" s="7">
        <f t="shared" si="18"/>
        <v>0.031</v>
      </c>
      <c r="O26" s="7">
        <f t="shared" si="18"/>
        <v>0.036</v>
      </c>
      <c r="P26" s="7">
        <f t="shared" si="18"/>
        <v>0.032</v>
      </c>
      <c r="Q26" s="7">
        <f t="shared" si="18"/>
        <v>0.038</v>
      </c>
      <c r="R26" s="7">
        <f t="shared" si="18"/>
        <v>0.032</v>
      </c>
      <c r="S26" s="7">
        <f t="shared" si="18"/>
        <v>0.036</v>
      </c>
    </row>
    <row r="27">
      <c r="B27" s="6" t="s">
        <v>8</v>
      </c>
      <c r="C27" s="7">
        <v>0.48</v>
      </c>
      <c r="D27" s="7">
        <v>0.486</v>
      </c>
      <c r="E27" s="7">
        <v>0.481</v>
      </c>
      <c r="F27" s="7">
        <v>0.482</v>
      </c>
      <c r="G27" s="7">
        <v>0.481</v>
      </c>
      <c r="H27" s="7">
        <v>0.479</v>
      </c>
      <c r="I27" s="7">
        <v>0.481</v>
      </c>
      <c r="J27" s="3"/>
      <c r="L27" s="6" t="s">
        <v>8</v>
      </c>
      <c r="M27" s="7">
        <f t="shared" ref="M27:S27" si="19">C27-$C$23</f>
        <v>0.033</v>
      </c>
      <c r="N27" s="7">
        <f t="shared" si="19"/>
        <v>0.039</v>
      </c>
      <c r="O27" s="7">
        <f t="shared" si="19"/>
        <v>0.034</v>
      </c>
      <c r="P27" s="7">
        <f t="shared" si="19"/>
        <v>0.035</v>
      </c>
      <c r="Q27" s="7">
        <f t="shared" si="19"/>
        <v>0.034</v>
      </c>
      <c r="R27" s="7">
        <f t="shared" si="19"/>
        <v>0.032</v>
      </c>
      <c r="S27" s="7">
        <f t="shared" si="19"/>
        <v>0.034</v>
      </c>
    </row>
    <row r="28">
      <c r="B28" s="6" t="s">
        <v>9</v>
      </c>
      <c r="C28" s="7">
        <v>0.457</v>
      </c>
      <c r="D28" s="7">
        <v>0.461</v>
      </c>
      <c r="E28" s="7">
        <v>0.464</v>
      </c>
      <c r="F28" s="7">
        <v>0.47</v>
      </c>
      <c r="G28" s="7">
        <v>0.48</v>
      </c>
      <c r="H28" s="7">
        <v>0.467</v>
      </c>
      <c r="I28" s="7">
        <v>0.48</v>
      </c>
      <c r="J28" s="3"/>
      <c r="L28" s="6" t="s">
        <v>9</v>
      </c>
      <c r="M28" s="7">
        <f t="shared" ref="M28:S28" si="20">C28-$C$23</f>
        <v>0.01</v>
      </c>
      <c r="N28" s="7">
        <f t="shared" si="20"/>
        <v>0.014</v>
      </c>
      <c r="O28" s="7">
        <f t="shared" si="20"/>
        <v>0.017</v>
      </c>
      <c r="P28" s="7">
        <f t="shared" si="20"/>
        <v>0.023</v>
      </c>
      <c r="Q28" s="7">
        <f t="shared" si="20"/>
        <v>0.033</v>
      </c>
      <c r="R28" s="7">
        <f t="shared" si="20"/>
        <v>0.02</v>
      </c>
      <c r="S28" s="7">
        <f t="shared" si="20"/>
        <v>0.033</v>
      </c>
    </row>
    <row r="29">
      <c r="B29" s="6" t="s">
        <v>10</v>
      </c>
      <c r="C29" s="7">
        <v>0.482</v>
      </c>
      <c r="D29" s="7">
        <v>0.486</v>
      </c>
      <c r="E29" s="7">
        <v>0.482</v>
      </c>
      <c r="F29" s="7">
        <v>0.487</v>
      </c>
      <c r="G29" s="7">
        <v>0.488</v>
      </c>
      <c r="H29" s="7">
        <v>0.489</v>
      </c>
      <c r="I29" s="7">
        <v>0.488</v>
      </c>
      <c r="J29" s="3"/>
      <c r="L29" s="6" t="s">
        <v>10</v>
      </c>
      <c r="M29" s="7">
        <f t="shared" ref="M29:S29" si="21">C29-$C$23</f>
        <v>0.035</v>
      </c>
      <c r="N29" s="7">
        <f t="shared" si="21"/>
        <v>0.039</v>
      </c>
      <c r="O29" s="7">
        <f t="shared" si="21"/>
        <v>0.035</v>
      </c>
      <c r="P29" s="7">
        <f t="shared" si="21"/>
        <v>0.04</v>
      </c>
      <c r="Q29" s="7">
        <f t="shared" si="21"/>
        <v>0.041</v>
      </c>
      <c r="R29" s="7">
        <f t="shared" si="21"/>
        <v>0.042</v>
      </c>
      <c r="S29" s="7">
        <f t="shared" si="21"/>
        <v>0.041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0.45</v>
      </c>
      <c r="D33" s="7">
        <v>0.448</v>
      </c>
      <c r="E33" s="7">
        <v>0.469</v>
      </c>
      <c r="F33" s="7">
        <v>0.495</v>
      </c>
      <c r="G33" s="7">
        <v>0.548</v>
      </c>
      <c r="H33" s="7">
        <v>0.493</v>
      </c>
      <c r="I33" s="7">
        <v>0.548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-0.002</v>
      </c>
      <c r="O33" s="7">
        <f t="shared" si="22"/>
        <v>0.019</v>
      </c>
      <c r="P33" s="7">
        <f t="shared" si="22"/>
        <v>0.045</v>
      </c>
      <c r="Q33" s="7">
        <f t="shared" si="22"/>
        <v>0.098</v>
      </c>
      <c r="R33" s="7">
        <f t="shared" si="22"/>
        <v>0.043</v>
      </c>
      <c r="S33" s="7">
        <f t="shared" si="22"/>
        <v>0.098</v>
      </c>
    </row>
    <row r="34">
      <c r="B34" s="6" t="s">
        <v>5</v>
      </c>
      <c r="C34" s="7">
        <v>0.457</v>
      </c>
      <c r="D34" s="7">
        <v>0.455</v>
      </c>
      <c r="E34" s="7">
        <v>0.479</v>
      </c>
      <c r="F34" s="7">
        <v>0.488</v>
      </c>
      <c r="G34" s="7">
        <v>0.529</v>
      </c>
      <c r="H34" s="7">
        <v>0.48</v>
      </c>
      <c r="I34" s="7">
        <v>0.527</v>
      </c>
      <c r="J34" s="3"/>
      <c r="L34" s="6" t="s">
        <v>5</v>
      </c>
      <c r="M34" s="7">
        <f t="shared" ref="M34:S34" si="23">C34-$C$33</f>
        <v>0.007</v>
      </c>
      <c r="N34" s="7">
        <f t="shared" si="23"/>
        <v>0.005</v>
      </c>
      <c r="O34" s="7">
        <f t="shared" si="23"/>
        <v>0.029</v>
      </c>
      <c r="P34" s="7">
        <f t="shared" si="23"/>
        <v>0.038</v>
      </c>
      <c r="Q34" s="7">
        <f t="shared" si="23"/>
        <v>0.079</v>
      </c>
      <c r="R34" s="7">
        <f t="shared" si="23"/>
        <v>0.03</v>
      </c>
      <c r="S34" s="7">
        <f t="shared" si="23"/>
        <v>0.077</v>
      </c>
    </row>
    <row r="35">
      <c r="B35" s="6" t="s">
        <v>6</v>
      </c>
      <c r="C35" s="7">
        <v>0.461</v>
      </c>
      <c r="D35" s="7">
        <v>0.458</v>
      </c>
      <c r="E35" s="7">
        <v>0.475</v>
      </c>
      <c r="F35" s="7">
        <v>0.497</v>
      </c>
      <c r="G35" s="7">
        <v>0.546</v>
      </c>
      <c r="H35" s="7">
        <v>0.5</v>
      </c>
      <c r="I35" s="7">
        <v>0.524</v>
      </c>
      <c r="J35" s="3"/>
      <c r="L35" s="6" t="s">
        <v>6</v>
      </c>
      <c r="M35" s="7">
        <f t="shared" ref="M35:S35" si="24">C35-$C$33</f>
        <v>0.011</v>
      </c>
      <c r="N35" s="7">
        <f t="shared" si="24"/>
        <v>0.008</v>
      </c>
      <c r="O35" s="7">
        <f t="shared" si="24"/>
        <v>0.025</v>
      </c>
      <c r="P35" s="7">
        <f t="shared" si="24"/>
        <v>0.047</v>
      </c>
      <c r="Q35" s="7">
        <f t="shared" si="24"/>
        <v>0.096</v>
      </c>
      <c r="R35" s="7">
        <f t="shared" si="24"/>
        <v>0.05</v>
      </c>
      <c r="S35" s="7">
        <f t="shared" si="24"/>
        <v>0.074</v>
      </c>
    </row>
    <row r="36">
      <c r="B36" s="6" t="s">
        <v>7</v>
      </c>
      <c r="C36" s="7">
        <v>0.436</v>
      </c>
      <c r="D36" s="7">
        <v>0.433</v>
      </c>
      <c r="E36" s="7">
        <v>0.449</v>
      </c>
      <c r="F36" s="7">
        <v>0.472</v>
      </c>
      <c r="G36" s="7">
        <v>0.515</v>
      </c>
      <c r="H36" s="7">
        <v>0.478</v>
      </c>
      <c r="I36" s="7">
        <v>0.512</v>
      </c>
      <c r="J36" s="3"/>
      <c r="L36" s="6" t="s">
        <v>7</v>
      </c>
      <c r="M36" s="7">
        <f t="shared" ref="M36:S36" si="25">C36-$C$33</f>
        <v>-0.014</v>
      </c>
      <c r="N36" s="7">
        <f t="shared" si="25"/>
        <v>-0.017</v>
      </c>
      <c r="O36" s="7">
        <f t="shared" si="25"/>
        <v>-0.001</v>
      </c>
      <c r="P36" s="7">
        <f t="shared" si="25"/>
        <v>0.022</v>
      </c>
      <c r="Q36" s="7">
        <f t="shared" si="25"/>
        <v>0.065</v>
      </c>
      <c r="R36" s="7">
        <f t="shared" si="25"/>
        <v>0.028</v>
      </c>
      <c r="S36" s="7">
        <f t="shared" si="25"/>
        <v>0.062</v>
      </c>
    </row>
    <row r="37">
      <c r="B37" s="6" t="s">
        <v>8</v>
      </c>
      <c r="C37" s="7">
        <v>0.453</v>
      </c>
      <c r="D37" s="7">
        <v>0.45</v>
      </c>
      <c r="E37" s="7">
        <v>0.467</v>
      </c>
      <c r="F37" s="7">
        <v>0.49</v>
      </c>
      <c r="G37" s="7">
        <v>0.525</v>
      </c>
      <c r="H37" s="7">
        <v>0.488</v>
      </c>
      <c r="I37" s="7">
        <v>0.532</v>
      </c>
      <c r="J37" s="3"/>
      <c r="L37" s="6" t="s">
        <v>8</v>
      </c>
      <c r="M37" s="7">
        <f t="shared" ref="M37:S37" si="26">C37-$C$33</f>
        <v>0.003</v>
      </c>
      <c r="N37" s="7">
        <f t="shared" si="26"/>
        <v>0</v>
      </c>
      <c r="O37" s="7">
        <f t="shared" si="26"/>
        <v>0.017</v>
      </c>
      <c r="P37" s="7">
        <f t="shared" si="26"/>
        <v>0.04</v>
      </c>
      <c r="Q37" s="7">
        <f t="shared" si="26"/>
        <v>0.075</v>
      </c>
      <c r="R37" s="7">
        <f t="shared" si="26"/>
        <v>0.038</v>
      </c>
      <c r="S37" s="7">
        <f t="shared" si="26"/>
        <v>0.082</v>
      </c>
    </row>
    <row r="38">
      <c r="B38" s="6" t="s">
        <v>9</v>
      </c>
      <c r="C38" s="7">
        <v>0.456</v>
      </c>
      <c r="D38" s="7">
        <v>0.453</v>
      </c>
      <c r="E38" s="7">
        <v>0.471</v>
      </c>
      <c r="F38" s="7">
        <v>0.503</v>
      </c>
      <c r="G38" s="7">
        <v>0.556</v>
      </c>
      <c r="H38" s="7">
        <v>0.503</v>
      </c>
      <c r="I38" s="7">
        <v>0.554</v>
      </c>
      <c r="J38" s="3"/>
      <c r="L38" s="6" t="s">
        <v>9</v>
      </c>
      <c r="M38" s="7">
        <f t="shared" ref="M38:S38" si="27">C38-$C$33</f>
        <v>0.006</v>
      </c>
      <c r="N38" s="7">
        <f t="shared" si="27"/>
        <v>0.003</v>
      </c>
      <c r="O38" s="7">
        <f t="shared" si="27"/>
        <v>0.021</v>
      </c>
      <c r="P38" s="7">
        <f t="shared" si="27"/>
        <v>0.053</v>
      </c>
      <c r="Q38" s="7">
        <f t="shared" si="27"/>
        <v>0.106</v>
      </c>
      <c r="R38" s="7">
        <f t="shared" si="27"/>
        <v>0.053</v>
      </c>
      <c r="S38" s="7">
        <f t="shared" si="27"/>
        <v>0.104</v>
      </c>
    </row>
    <row r="39">
      <c r="B39" s="6" t="s">
        <v>10</v>
      </c>
      <c r="C39" s="7">
        <v>0.471</v>
      </c>
      <c r="D39" s="7">
        <v>0.471</v>
      </c>
      <c r="E39" s="7">
        <v>0.479</v>
      </c>
      <c r="F39" s="7">
        <v>0.503</v>
      </c>
      <c r="G39" s="7">
        <v>0.538</v>
      </c>
      <c r="H39" s="7">
        <v>0.51</v>
      </c>
      <c r="I39" s="7">
        <v>0.535</v>
      </c>
      <c r="J39" s="3"/>
      <c r="L39" s="6" t="s">
        <v>10</v>
      </c>
      <c r="M39" s="7">
        <f t="shared" ref="M39:S39" si="28">C39-$C$33</f>
        <v>0.021</v>
      </c>
      <c r="N39" s="7">
        <f t="shared" si="28"/>
        <v>0.021</v>
      </c>
      <c r="O39" s="7">
        <f t="shared" si="28"/>
        <v>0.029</v>
      </c>
      <c r="P39" s="7">
        <f t="shared" si="28"/>
        <v>0.053</v>
      </c>
      <c r="Q39" s="7">
        <f t="shared" si="28"/>
        <v>0.088</v>
      </c>
      <c r="R39" s="7">
        <f t="shared" si="28"/>
        <v>0.06</v>
      </c>
      <c r="S39" s="7">
        <f t="shared" si="28"/>
        <v>0.085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0.304</v>
      </c>
      <c r="D43" s="7">
        <v>0.337</v>
      </c>
      <c r="E43" s="7">
        <v>0.363</v>
      </c>
      <c r="F43" s="7">
        <v>0.344</v>
      </c>
      <c r="G43" s="7">
        <v>0.374</v>
      </c>
      <c r="H43" s="7">
        <v>0.331</v>
      </c>
      <c r="I43" s="7">
        <v>0.368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0.033</v>
      </c>
      <c r="O43" s="7">
        <f t="shared" si="29"/>
        <v>0.059</v>
      </c>
      <c r="P43" s="7">
        <f t="shared" si="29"/>
        <v>0.04</v>
      </c>
      <c r="Q43" s="7">
        <f t="shared" si="29"/>
        <v>0.07</v>
      </c>
      <c r="R43" s="7">
        <f t="shared" si="29"/>
        <v>0.027</v>
      </c>
      <c r="S43" s="7">
        <f t="shared" si="29"/>
        <v>0.064</v>
      </c>
    </row>
    <row r="44">
      <c r="B44" s="6" t="s">
        <v>5</v>
      </c>
      <c r="C44" s="7">
        <v>0.336</v>
      </c>
      <c r="D44" s="7">
        <v>0.371</v>
      </c>
      <c r="E44" s="7">
        <v>0.389</v>
      </c>
      <c r="F44" s="7">
        <v>0.378</v>
      </c>
      <c r="G44" s="7">
        <v>0.411</v>
      </c>
      <c r="H44" s="7">
        <v>0.368</v>
      </c>
      <c r="I44" s="7">
        <v>0.409</v>
      </c>
      <c r="J44" s="3"/>
      <c r="L44" s="6" t="s">
        <v>5</v>
      </c>
      <c r="M44" s="7">
        <f t="shared" ref="M44:S44" si="30">C44-$C$43</f>
        <v>0.032</v>
      </c>
      <c r="N44" s="7">
        <f t="shared" si="30"/>
        <v>0.067</v>
      </c>
      <c r="O44" s="7">
        <f t="shared" si="30"/>
        <v>0.085</v>
      </c>
      <c r="P44" s="7">
        <f t="shared" si="30"/>
        <v>0.074</v>
      </c>
      <c r="Q44" s="7">
        <f t="shared" si="30"/>
        <v>0.107</v>
      </c>
      <c r="R44" s="7">
        <f t="shared" si="30"/>
        <v>0.064</v>
      </c>
      <c r="S44" s="7">
        <f t="shared" si="30"/>
        <v>0.105</v>
      </c>
    </row>
    <row r="45">
      <c r="B45" s="6" t="s">
        <v>6</v>
      </c>
      <c r="C45" s="7">
        <v>0.306</v>
      </c>
      <c r="D45" s="7">
        <v>0.337</v>
      </c>
      <c r="E45" s="7">
        <v>0.368</v>
      </c>
      <c r="F45" s="7">
        <v>0.344</v>
      </c>
      <c r="G45" s="7">
        <v>0.376</v>
      </c>
      <c r="H45" s="7">
        <v>0.335</v>
      </c>
      <c r="I45" s="7">
        <v>0.369</v>
      </c>
      <c r="J45" s="3"/>
      <c r="L45" s="6" t="s">
        <v>6</v>
      </c>
      <c r="M45" s="7">
        <f t="shared" ref="M45:S45" si="31">C45-$C$43</f>
        <v>0.002</v>
      </c>
      <c r="N45" s="7">
        <f t="shared" si="31"/>
        <v>0.033</v>
      </c>
      <c r="O45" s="7">
        <f t="shared" si="31"/>
        <v>0.064</v>
      </c>
      <c r="P45" s="7">
        <f t="shared" si="31"/>
        <v>0.04</v>
      </c>
      <c r="Q45" s="7">
        <f t="shared" si="31"/>
        <v>0.072</v>
      </c>
      <c r="R45" s="7">
        <f t="shared" si="31"/>
        <v>0.031</v>
      </c>
      <c r="S45" s="7">
        <f t="shared" si="31"/>
        <v>0.065</v>
      </c>
    </row>
    <row r="46">
      <c r="B46" s="6" t="s">
        <v>7</v>
      </c>
      <c r="C46" s="7">
        <v>0.341</v>
      </c>
      <c r="D46" s="7">
        <v>0.375</v>
      </c>
      <c r="E46" s="7">
        <v>0.388</v>
      </c>
      <c r="F46" s="7">
        <v>0.377</v>
      </c>
      <c r="G46" s="7">
        <v>0.401</v>
      </c>
      <c r="H46" s="7">
        <v>0.366</v>
      </c>
      <c r="I46" s="7">
        <v>0.4</v>
      </c>
      <c r="J46" s="3"/>
      <c r="L46" s="6" t="s">
        <v>7</v>
      </c>
      <c r="M46" s="7">
        <f t="shared" ref="M46:S46" si="32">C46-$C$43</f>
        <v>0.037</v>
      </c>
      <c r="N46" s="7">
        <f t="shared" si="32"/>
        <v>0.071</v>
      </c>
      <c r="O46" s="7">
        <f t="shared" si="32"/>
        <v>0.084</v>
      </c>
      <c r="P46" s="7">
        <f t="shared" si="32"/>
        <v>0.073</v>
      </c>
      <c r="Q46" s="7">
        <f t="shared" si="32"/>
        <v>0.097</v>
      </c>
      <c r="R46" s="7">
        <f t="shared" si="32"/>
        <v>0.062</v>
      </c>
      <c r="S46" s="7">
        <f t="shared" si="32"/>
        <v>0.096</v>
      </c>
    </row>
    <row r="47">
      <c r="B47" s="6" t="s">
        <v>8</v>
      </c>
      <c r="C47" s="7">
        <v>0.42</v>
      </c>
      <c r="D47" s="7">
        <v>0.446</v>
      </c>
      <c r="E47" s="7">
        <v>0.461</v>
      </c>
      <c r="F47" s="7">
        <v>0.433</v>
      </c>
      <c r="G47" s="7">
        <v>0.439</v>
      </c>
      <c r="H47" s="7">
        <v>0.426</v>
      </c>
      <c r="I47" s="7">
        <v>0.435</v>
      </c>
      <c r="J47" s="3"/>
      <c r="L47" s="6" t="s">
        <v>8</v>
      </c>
      <c r="M47" s="7">
        <f t="shared" ref="M47:S47" si="33">C47-$C$43</f>
        <v>0.116</v>
      </c>
      <c r="N47" s="7">
        <f t="shared" si="33"/>
        <v>0.142</v>
      </c>
      <c r="O47" s="7">
        <f t="shared" si="33"/>
        <v>0.157</v>
      </c>
      <c r="P47" s="7">
        <f t="shared" si="33"/>
        <v>0.129</v>
      </c>
      <c r="Q47" s="7">
        <f t="shared" si="33"/>
        <v>0.135</v>
      </c>
      <c r="R47" s="7">
        <f t="shared" si="33"/>
        <v>0.122</v>
      </c>
      <c r="S47" s="7">
        <f t="shared" si="33"/>
        <v>0.131</v>
      </c>
    </row>
    <row r="48">
      <c r="B48" s="6" t="s">
        <v>9</v>
      </c>
      <c r="C48" s="7">
        <v>0.375</v>
      </c>
      <c r="D48" s="7">
        <v>0.407</v>
      </c>
      <c r="E48" s="7">
        <v>0.422</v>
      </c>
      <c r="F48" s="7">
        <v>0.412</v>
      </c>
      <c r="G48" s="7">
        <v>0.443</v>
      </c>
      <c r="H48" s="7">
        <v>0.404</v>
      </c>
      <c r="I48" s="7">
        <v>0.438</v>
      </c>
      <c r="J48" s="3"/>
      <c r="L48" s="6" t="s">
        <v>9</v>
      </c>
      <c r="M48" s="7">
        <f t="shared" ref="M48:S48" si="34">C48-$C$43</f>
        <v>0.071</v>
      </c>
      <c r="N48" s="7">
        <f t="shared" si="34"/>
        <v>0.103</v>
      </c>
      <c r="O48" s="7">
        <f t="shared" si="34"/>
        <v>0.118</v>
      </c>
      <c r="P48" s="7">
        <f t="shared" si="34"/>
        <v>0.108</v>
      </c>
      <c r="Q48" s="7">
        <f t="shared" si="34"/>
        <v>0.139</v>
      </c>
      <c r="R48" s="7">
        <f t="shared" si="34"/>
        <v>0.1</v>
      </c>
      <c r="S48" s="7">
        <f t="shared" si="34"/>
        <v>0.134</v>
      </c>
    </row>
    <row r="49">
      <c r="B49" s="6" t="s">
        <v>10</v>
      </c>
      <c r="C49" s="7">
        <v>0.359</v>
      </c>
      <c r="D49" s="7">
        <v>0.387</v>
      </c>
      <c r="E49" s="7">
        <v>0.401</v>
      </c>
      <c r="F49" s="7">
        <v>0.372</v>
      </c>
      <c r="G49" s="7">
        <v>0.391</v>
      </c>
      <c r="H49" s="7">
        <v>0.373</v>
      </c>
      <c r="I49" s="7">
        <v>0.39</v>
      </c>
      <c r="J49" s="3"/>
      <c r="L49" s="6" t="s">
        <v>10</v>
      </c>
      <c r="M49" s="7">
        <f t="shared" ref="M49:S49" si="35">C49-$C$43</f>
        <v>0.055</v>
      </c>
      <c r="N49" s="7">
        <f t="shared" si="35"/>
        <v>0.083</v>
      </c>
      <c r="O49" s="7">
        <f t="shared" si="35"/>
        <v>0.097</v>
      </c>
      <c r="P49" s="7">
        <f t="shared" si="35"/>
        <v>0.068</v>
      </c>
      <c r="Q49" s="7">
        <f t="shared" si="35"/>
        <v>0.087</v>
      </c>
      <c r="R49" s="7">
        <f t="shared" si="35"/>
        <v>0.069</v>
      </c>
      <c r="S49" s="7">
        <f t="shared" si="35"/>
        <v>0.086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0.167</v>
      </c>
      <c r="D53" s="7">
        <v>0.21</v>
      </c>
      <c r="E53" s="7">
        <v>0.248</v>
      </c>
      <c r="F53" s="7">
        <v>0.22</v>
      </c>
      <c r="G53" s="7">
        <v>0.269</v>
      </c>
      <c r="H53" s="7">
        <v>0.216</v>
      </c>
      <c r="I53" s="7">
        <v>0.266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0.043</v>
      </c>
      <c r="O53" s="7">
        <f t="shared" si="36"/>
        <v>0.081</v>
      </c>
      <c r="P53" s="7">
        <f t="shared" si="36"/>
        <v>0.053</v>
      </c>
      <c r="Q53" s="7">
        <f t="shared" si="36"/>
        <v>0.102</v>
      </c>
      <c r="R53" s="7">
        <f t="shared" si="36"/>
        <v>0.049</v>
      </c>
      <c r="S53" s="7">
        <f t="shared" si="36"/>
        <v>0.099</v>
      </c>
    </row>
    <row r="54">
      <c r="B54" s="6" t="s">
        <v>5</v>
      </c>
      <c r="C54" s="7">
        <v>0.192</v>
      </c>
      <c r="D54" s="7">
        <v>0.234</v>
      </c>
      <c r="E54" s="7">
        <v>0.268</v>
      </c>
      <c r="F54" s="7">
        <v>0.244</v>
      </c>
      <c r="G54" s="7">
        <v>0.293</v>
      </c>
      <c r="H54" s="7">
        <v>0.241</v>
      </c>
      <c r="I54" s="7">
        <v>0.29</v>
      </c>
      <c r="J54" s="3"/>
      <c r="L54" s="6" t="s">
        <v>5</v>
      </c>
      <c r="M54" s="7">
        <f t="shared" ref="M54:S54" si="37">C54-$C$53</f>
        <v>0.025</v>
      </c>
      <c r="N54" s="7">
        <f t="shared" si="37"/>
        <v>0.067</v>
      </c>
      <c r="O54" s="7">
        <f t="shared" si="37"/>
        <v>0.101</v>
      </c>
      <c r="P54" s="7">
        <f t="shared" si="37"/>
        <v>0.077</v>
      </c>
      <c r="Q54" s="7">
        <f t="shared" si="37"/>
        <v>0.126</v>
      </c>
      <c r="R54" s="7">
        <f t="shared" si="37"/>
        <v>0.074</v>
      </c>
      <c r="S54" s="7">
        <f t="shared" si="37"/>
        <v>0.123</v>
      </c>
    </row>
    <row r="55">
      <c r="B55" s="6" t="s">
        <v>6</v>
      </c>
      <c r="C55" s="7">
        <v>0.199</v>
      </c>
      <c r="D55" s="7">
        <v>0.237</v>
      </c>
      <c r="E55" s="7">
        <v>0.275</v>
      </c>
      <c r="F55" s="7">
        <v>0.252</v>
      </c>
      <c r="G55" s="7">
        <v>0.302</v>
      </c>
      <c r="H55" s="7">
        <v>0.249</v>
      </c>
      <c r="I55" s="7">
        <v>0.299</v>
      </c>
      <c r="J55" s="3"/>
      <c r="L55" s="6" t="s">
        <v>6</v>
      </c>
      <c r="M55" s="7">
        <f t="shared" ref="M55:S55" si="38">C55-$C$53</f>
        <v>0.032</v>
      </c>
      <c r="N55" s="7">
        <f t="shared" si="38"/>
        <v>0.07</v>
      </c>
      <c r="O55" s="7">
        <f t="shared" si="38"/>
        <v>0.108</v>
      </c>
      <c r="P55" s="7">
        <f t="shared" si="38"/>
        <v>0.085</v>
      </c>
      <c r="Q55" s="7">
        <f t="shared" si="38"/>
        <v>0.135</v>
      </c>
      <c r="R55" s="7">
        <f t="shared" si="38"/>
        <v>0.082</v>
      </c>
      <c r="S55" s="7">
        <f t="shared" si="38"/>
        <v>0.132</v>
      </c>
    </row>
    <row r="56">
      <c r="B56" s="6" t="s">
        <v>7</v>
      </c>
      <c r="C56" s="7">
        <v>0.139</v>
      </c>
      <c r="D56" s="7">
        <v>0.184</v>
      </c>
      <c r="E56" s="7">
        <v>0.222</v>
      </c>
      <c r="F56" s="7">
        <v>0.19</v>
      </c>
      <c r="G56" s="7">
        <v>0.235</v>
      </c>
      <c r="H56" s="7">
        <v>0.183</v>
      </c>
      <c r="I56" s="7">
        <v>0.231</v>
      </c>
      <c r="J56" s="3"/>
      <c r="L56" s="6" t="s">
        <v>7</v>
      </c>
      <c r="M56" s="7">
        <f t="shared" ref="M56:S56" si="39">C56-$C$53</f>
        <v>-0.028</v>
      </c>
      <c r="N56" s="7">
        <f t="shared" si="39"/>
        <v>0.017</v>
      </c>
      <c r="O56" s="7">
        <f t="shared" si="39"/>
        <v>0.055</v>
      </c>
      <c r="P56" s="7">
        <f t="shared" si="39"/>
        <v>0.023</v>
      </c>
      <c r="Q56" s="7">
        <f t="shared" si="39"/>
        <v>0.068</v>
      </c>
      <c r="R56" s="7">
        <f t="shared" si="39"/>
        <v>0.016</v>
      </c>
      <c r="S56" s="7">
        <f t="shared" si="39"/>
        <v>0.064</v>
      </c>
    </row>
    <row r="57">
      <c r="B57" s="6" t="s">
        <v>8</v>
      </c>
      <c r="C57" s="7">
        <v>0.315</v>
      </c>
      <c r="D57" s="7">
        <v>0.353</v>
      </c>
      <c r="E57" s="7">
        <v>0.38</v>
      </c>
      <c r="F57" s="7">
        <v>0.279</v>
      </c>
      <c r="G57" s="7">
        <v>0.251</v>
      </c>
      <c r="H57" s="7">
        <v>0.285</v>
      </c>
      <c r="I57" s="7">
        <v>0.257</v>
      </c>
      <c r="J57" s="3"/>
      <c r="L57" s="6" t="s">
        <v>8</v>
      </c>
      <c r="M57" s="7">
        <f t="shared" ref="M57:S57" si="40">C57-$C$53</f>
        <v>0.148</v>
      </c>
      <c r="N57" s="7">
        <f t="shared" si="40"/>
        <v>0.186</v>
      </c>
      <c r="O57" s="7">
        <f t="shared" si="40"/>
        <v>0.213</v>
      </c>
      <c r="P57" s="7">
        <f t="shared" si="40"/>
        <v>0.112</v>
      </c>
      <c r="Q57" s="7">
        <f t="shared" si="40"/>
        <v>0.084</v>
      </c>
      <c r="R57" s="7">
        <f t="shared" si="40"/>
        <v>0.118</v>
      </c>
      <c r="S57" s="7">
        <f t="shared" si="40"/>
        <v>0.09</v>
      </c>
    </row>
    <row r="58">
      <c r="B58" s="6" t="s">
        <v>9</v>
      </c>
      <c r="C58" s="7">
        <v>0.174</v>
      </c>
      <c r="D58" s="7">
        <v>0.217</v>
      </c>
      <c r="E58" s="7">
        <v>0.253</v>
      </c>
      <c r="F58" s="7">
        <v>0.216</v>
      </c>
      <c r="G58" s="7">
        <v>0.254</v>
      </c>
      <c r="H58" s="7">
        <v>0.21</v>
      </c>
      <c r="I58" s="7">
        <v>0.25</v>
      </c>
      <c r="J58" s="3"/>
      <c r="L58" s="6" t="s">
        <v>9</v>
      </c>
      <c r="M58" s="7">
        <f t="shared" ref="M58:S58" si="41">C58-$C$53</f>
        <v>0.007</v>
      </c>
      <c r="N58" s="7">
        <f t="shared" si="41"/>
        <v>0.05</v>
      </c>
      <c r="O58" s="7">
        <f t="shared" si="41"/>
        <v>0.086</v>
      </c>
      <c r="P58" s="7">
        <f t="shared" si="41"/>
        <v>0.049</v>
      </c>
      <c r="Q58" s="7">
        <f t="shared" si="41"/>
        <v>0.087</v>
      </c>
      <c r="R58" s="7">
        <f t="shared" si="41"/>
        <v>0.043</v>
      </c>
      <c r="S58" s="7">
        <f t="shared" si="41"/>
        <v>0.083</v>
      </c>
    </row>
    <row r="59">
      <c r="B59" s="6" t="s">
        <v>10</v>
      </c>
      <c r="C59" s="7">
        <v>0.235</v>
      </c>
      <c r="D59" s="7">
        <v>0.273</v>
      </c>
      <c r="E59" s="7">
        <v>0.309</v>
      </c>
      <c r="F59" s="7">
        <v>0.259</v>
      </c>
      <c r="G59" s="7">
        <v>0.288</v>
      </c>
      <c r="H59" s="7">
        <v>0.256</v>
      </c>
      <c r="I59" s="7">
        <v>0.285</v>
      </c>
      <c r="J59" s="3"/>
      <c r="L59" s="6" t="s">
        <v>10</v>
      </c>
      <c r="M59" s="7">
        <f t="shared" ref="M59:S59" si="42">C59-$C$53</f>
        <v>0.068</v>
      </c>
      <c r="N59" s="7">
        <f t="shared" si="42"/>
        <v>0.106</v>
      </c>
      <c r="O59" s="7">
        <f t="shared" si="42"/>
        <v>0.142</v>
      </c>
      <c r="P59" s="7">
        <f t="shared" si="42"/>
        <v>0.092</v>
      </c>
      <c r="Q59" s="7">
        <f t="shared" si="42"/>
        <v>0.121</v>
      </c>
      <c r="R59" s="7">
        <f t="shared" si="42"/>
        <v>0.089</v>
      </c>
      <c r="S59" s="7">
        <f t="shared" si="42"/>
        <v>0.118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0.04158333333</v>
      </c>
    </row>
    <row r="63">
      <c r="B63" s="6" t="s">
        <v>4</v>
      </c>
      <c r="C63" s="7">
        <f t="shared" ref="C63:I63" si="43">AVERAGE(C3, C13)</f>
        <v>0.241</v>
      </c>
      <c r="D63" s="7">
        <f t="shared" si="43"/>
        <v>0.272</v>
      </c>
      <c r="E63" s="7">
        <f t="shared" si="43"/>
        <v>0.3085</v>
      </c>
      <c r="F63" s="7">
        <f t="shared" si="43"/>
        <v>0.267</v>
      </c>
      <c r="G63" s="7">
        <f t="shared" si="43"/>
        <v>0.3015</v>
      </c>
      <c r="H63" s="7">
        <f t="shared" si="43"/>
        <v>0.26</v>
      </c>
      <c r="I63" s="7">
        <f t="shared" si="43"/>
        <v>0.2865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0.031</v>
      </c>
      <c r="O63" s="7">
        <f t="shared" si="44"/>
        <v>0.0675</v>
      </c>
      <c r="P63" s="7">
        <f t="shared" si="44"/>
        <v>0.026</v>
      </c>
      <c r="Q63" s="7">
        <f t="shared" si="44"/>
        <v>0.0605</v>
      </c>
      <c r="R63" s="7">
        <f t="shared" si="44"/>
        <v>0.019</v>
      </c>
      <c r="S63" s="7">
        <f t="shared" si="44"/>
        <v>0.0455</v>
      </c>
      <c r="U63" s="8" t="s">
        <v>23</v>
      </c>
      <c r="V63" s="3">
        <f>average(M64:M69)</f>
        <v>0.02791666667</v>
      </c>
    </row>
    <row r="64">
      <c r="B64" s="6" t="s">
        <v>5</v>
      </c>
      <c r="C64" s="7">
        <f t="shared" ref="C64:I64" si="45">AVERAGE(C4, C14)</f>
        <v>0.264</v>
      </c>
      <c r="D64" s="7">
        <f t="shared" si="45"/>
        <v>0.2915</v>
      </c>
      <c r="E64" s="7">
        <f t="shared" si="45"/>
        <v>0.325</v>
      </c>
      <c r="F64" s="7">
        <f t="shared" si="45"/>
        <v>0.299</v>
      </c>
      <c r="G64" s="7">
        <f t="shared" si="45"/>
        <v>0.3305</v>
      </c>
      <c r="H64" s="7">
        <f t="shared" si="45"/>
        <v>0.291</v>
      </c>
      <c r="I64" s="7">
        <f t="shared" si="45"/>
        <v>0.3235</v>
      </c>
      <c r="J64" s="3"/>
      <c r="L64" s="6" t="s">
        <v>5</v>
      </c>
      <c r="M64" s="7">
        <f t="shared" ref="M64:S64" si="46">C64-$C$63</f>
        <v>0.023</v>
      </c>
      <c r="N64" s="7">
        <f t="shared" si="46"/>
        <v>0.0505</v>
      </c>
      <c r="O64" s="7">
        <f t="shared" si="46"/>
        <v>0.084</v>
      </c>
      <c r="P64" s="7">
        <f t="shared" si="46"/>
        <v>0.058</v>
      </c>
      <c r="Q64" s="7">
        <f t="shared" si="46"/>
        <v>0.0895</v>
      </c>
      <c r="R64" s="7">
        <f t="shared" si="46"/>
        <v>0.05</v>
      </c>
      <c r="S64" s="7">
        <f t="shared" si="46"/>
        <v>0.0825</v>
      </c>
      <c r="U64" s="8" t="s">
        <v>24</v>
      </c>
      <c r="V64" s="3">
        <f>AVERAGE(N64:S69)</f>
        <v>0.06730555556</v>
      </c>
    </row>
    <row r="65">
      <c r="B65" s="6" t="s">
        <v>6</v>
      </c>
      <c r="C65" s="7">
        <f t="shared" ref="C65:I65" si="47">AVERAGE(C5, C15)</f>
        <v>0.288</v>
      </c>
      <c r="D65" s="7">
        <f t="shared" si="47"/>
        <v>0.313</v>
      </c>
      <c r="E65" s="7">
        <f t="shared" si="47"/>
        <v>0.3475</v>
      </c>
      <c r="F65" s="7">
        <f t="shared" si="47"/>
        <v>0.321</v>
      </c>
      <c r="G65" s="7">
        <f t="shared" si="47"/>
        <v>0.352</v>
      </c>
      <c r="H65" s="7">
        <f t="shared" si="47"/>
        <v>0.307</v>
      </c>
      <c r="I65" s="7">
        <f t="shared" si="47"/>
        <v>0.337</v>
      </c>
      <c r="J65" s="3"/>
      <c r="L65" s="6" t="s">
        <v>6</v>
      </c>
      <c r="M65" s="7">
        <f t="shared" ref="M65:S65" si="48">C65-$C$63</f>
        <v>0.047</v>
      </c>
      <c r="N65" s="7">
        <f t="shared" si="48"/>
        <v>0.072</v>
      </c>
      <c r="O65" s="7">
        <f t="shared" si="48"/>
        <v>0.1065</v>
      </c>
      <c r="P65" s="7">
        <f t="shared" si="48"/>
        <v>0.08</v>
      </c>
      <c r="Q65" s="7">
        <f t="shared" si="48"/>
        <v>0.111</v>
      </c>
      <c r="R65" s="7">
        <f t="shared" si="48"/>
        <v>0.066</v>
      </c>
      <c r="S65" s="7">
        <f t="shared" si="48"/>
        <v>0.096</v>
      </c>
    </row>
    <row r="66">
      <c r="B66" s="6" t="s">
        <v>7</v>
      </c>
      <c r="C66" s="7">
        <f t="shared" ref="C66:I66" si="49">AVERAGE(C6, C16)</f>
        <v>0.2585</v>
      </c>
      <c r="D66" s="7">
        <f t="shared" si="49"/>
        <v>0.286</v>
      </c>
      <c r="E66" s="7">
        <f t="shared" si="49"/>
        <v>0.32</v>
      </c>
      <c r="F66" s="7">
        <f t="shared" si="49"/>
        <v>0.2845</v>
      </c>
      <c r="G66" s="7">
        <f t="shared" si="49"/>
        <v>0.3095</v>
      </c>
      <c r="H66" s="7">
        <f t="shared" si="49"/>
        <v>0.279</v>
      </c>
      <c r="I66" s="7">
        <f t="shared" si="49"/>
        <v>0.305</v>
      </c>
      <c r="J66" s="3"/>
      <c r="L66" s="6" t="s">
        <v>7</v>
      </c>
      <c r="M66" s="7">
        <f t="shared" ref="M66:S66" si="50">C66-$C$63</f>
        <v>0.0175</v>
      </c>
      <c r="N66" s="7">
        <f t="shared" si="50"/>
        <v>0.045</v>
      </c>
      <c r="O66" s="7">
        <f t="shared" si="50"/>
        <v>0.079</v>
      </c>
      <c r="P66" s="7">
        <f t="shared" si="50"/>
        <v>0.0435</v>
      </c>
      <c r="Q66" s="7">
        <f t="shared" si="50"/>
        <v>0.0685</v>
      </c>
      <c r="R66" s="7">
        <f t="shared" si="50"/>
        <v>0.038</v>
      </c>
      <c r="S66" s="7">
        <f t="shared" si="50"/>
        <v>0.064</v>
      </c>
    </row>
    <row r="67">
      <c r="B67" s="6" t="s">
        <v>8</v>
      </c>
      <c r="C67" s="7">
        <f t="shared" ref="C67:I67" si="51">AVERAGE(C7, C17)</f>
        <v>0.2735</v>
      </c>
      <c r="D67" s="7">
        <f t="shared" si="51"/>
        <v>0.2995</v>
      </c>
      <c r="E67" s="7">
        <f t="shared" si="51"/>
        <v>0.3315</v>
      </c>
      <c r="F67" s="7">
        <f t="shared" si="51"/>
        <v>0.2945</v>
      </c>
      <c r="G67" s="7">
        <f t="shared" si="51"/>
        <v>0.3195</v>
      </c>
      <c r="H67" s="7">
        <f t="shared" si="51"/>
        <v>0.2875</v>
      </c>
      <c r="I67" s="7">
        <f t="shared" si="51"/>
        <v>0.3085</v>
      </c>
      <c r="J67" s="3"/>
      <c r="L67" s="6" t="s">
        <v>8</v>
      </c>
      <c r="M67" s="7">
        <f t="shared" ref="M67:S67" si="52">C67-$C$63</f>
        <v>0.0325</v>
      </c>
      <c r="N67" s="7">
        <f t="shared" si="52"/>
        <v>0.0585</v>
      </c>
      <c r="O67" s="7">
        <f t="shared" si="52"/>
        <v>0.0905</v>
      </c>
      <c r="P67" s="7">
        <f t="shared" si="52"/>
        <v>0.0535</v>
      </c>
      <c r="Q67" s="7">
        <f t="shared" si="52"/>
        <v>0.0785</v>
      </c>
      <c r="R67" s="7">
        <f t="shared" si="52"/>
        <v>0.0465</v>
      </c>
      <c r="S67" s="7">
        <f t="shared" si="52"/>
        <v>0.0675</v>
      </c>
    </row>
    <row r="68">
      <c r="B68" s="6" t="s">
        <v>9</v>
      </c>
      <c r="C68" s="7">
        <f t="shared" ref="C68:I68" si="53">AVERAGE(C8, C18)</f>
        <v>0.2615</v>
      </c>
      <c r="D68" s="7">
        <f t="shared" si="53"/>
        <v>0.2905</v>
      </c>
      <c r="E68" s="7">
        <f t="shared" si="53"/>
        <v>0.3235</v>
      </c>
      <c r="F68" s="7">
        <f t="shared" si="53"/>
        <v>0.29</v>
      </c>
      <c r="G68" s="7">
        <f t="shared" si="53"/>
        <v>0.31</v>
      </c>
      <c r="H68" s="7">
        <f t="shared" si="53"/>
        <v>0.2775</v>
      </c>
      <c r="I68" s="7">
        <f t="shared" si="53"/>
        <v>0.297</v>
      </c>
      <c r="J68" s="3"/>
      <c r="L68" s="6" t="s">
        <v>9</v>
      </c>
      <c r="M68" s="7">
        <f t="shared" ref="M68:S68" si="54">C68-$C$63</f>
        <v>0.0205</v>
      </c>
      <c r="N68" s="7">
        <f t="shared" si="54"/>
        <v>0.0495</v>
      </c>
      <c r="O68" s="7">
        <f t="shared" si="54"/>
        <v>0.0825</v>
      </c>
      <c r="P68" s="7">
        <f t="shared" si="54"/>
        <v>0.049</v>
      </c>
      <c r="Q68" s="7">
        <f t="shared" si="54"/>
        <v>0.069</v>
      </c>
      <c r="R68" s="7">
        <f t="shared" si="54"/>
        <v>0.0365</v>
      </c>
      <c r="S68" s="7">
        <f t="shared" si="54"/>
        <v>0.056</v>
      </c>
    </row>
    <row r="69">
      <c r="B69" s="6" t="s">
        <v>10</v>
      </c>
      <c r="C69" s="7">
        <f t="shared" ref="C69:I69" si="55">AVERAGE(C9, C19)</f>
        <v>0.268</v>
      </c>
      <c r="D69" s="7">
        <f t="shared" si="55"/>
        <v>0.294</v>
      </c>
      <c r="E69" s="7">
        <f t="shared" si="55"/>
        <v>0.3295</v>
      </c>
      <c r="F69" s="7">
        <f t="shared" si="55"/>
        <v>0.2955</v>
      </c>
      <c r="G69" s="7">
        <f t="shared" si="55"/>
        <v>0.33</v>
      </c>
      <c r="H69" s="7">
        <f t="shared" si="55"/>
        <v>0.2885</v>
      </c>
      <c r="I69" s="7">
        <f t="shared" si="55"/>
        <v>0.31</v>
      </c>
      <c r="J69" s="3"/>
      <c r="L69" s="6" t="s">
        <v>10</v>
      </c>
      <c r="M69" s="7">
        <f t="shared" ref="M69:S69" si="56">C69-$C$63</f>
        <v>0.027</v>
      </c>
      <c r="N69" s="7">
        <f t="shared" si="56"/>
        <v>0.053</v>
      </c>
      <c r="O69" s="7">
        <f t="shared" si="56"/>
        <v>0.0885</v>
      </c>
      <c r="P69" s="7">
        <f t="shared" si="56"/>
        <v>0.0545</v>
      </c>
      <c r="Q69" s="7">
        <f t="shared" si="56"/>
        <v>0.089</v>
      </c>
      <c r="R69" s="7">
        <f t="shared" si="56"/>
        <v>0.0475</v>
      </c>
      <c r="S69" s="7">
        <f t="shared" si="56"/>
        <v>0.069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0.03425</v>
      </c>
    </row>
    <row r="73">
      <c r="B73" s="6" t="s">
        <v>4</v>
      </c>
      <c r="C73" s="7">
        <f t="shared" ref="C73:I73" si="57">AVERAGE(C23, C33)</f>
        <v>0.4485</v>
      </c>
      <c r="D73" s="7">
        <f t="shared" si="57"/>
        <v>0.4505</v>
      </c>
      <c r="E73" s="7">
        <f t="shared" si="57"/>
        <v>0.4625</v>
      </c>
      <c r="F73" s="7">
        <f t="shared" si="57"/>
        <v>0.479</v>
      </c>
      <c r="G73" s="7">
        <f t="shared" si="57"/>
        <v>0.5155</v>
      </c>
      <c r="H73" s="7">
        <f t="shared" si="57"/>
        <v>0.4775</v>
      </c>
      <c r="I73" s="7">
        <f t="shared" si="57"/>
        <v>0.5115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0.002</v>
      </c>
      <c r="O73" s="7">
        <f t="shared" si="58"/>
        <v>0.014</v>
      </c>
      <c r="P73" s="7">
        <f t="shared" si="58"/>
        <v>0.0305</v>
      </c>
      <c r="Q73" s="7">
        <f t="shared" si="58"/>
        <v>0.067</v>
      </c>
      <c r="R73" s="7">
        <f t="shared" si="58"/>
        <v>0.029</v>
      </c>
      <c r="S73" s="7">
        <f t="shared" si="58"/>
        <v>0.063</v>
      </c>
      <c r="U73" s="8" t="s">
        <v>23</v>
      </c>
      <c r="V73" s="3">
        <f>average(M74:M79)</f>
        <v>0.01308333333</v>
      </c>
    </row>
    <row r="74">
      <c r="B74" s="6" t="s">
        <v>5</v>
      </c>
      <c r="C74" s="7">
        <f t="shared" ref="C74:I74" si="59">AVERAGE(C24, C34)</f>
        <v>0.4585</v>
      </c>
      <c r="D74" s="7">
        <f t="shared" si="59"/>
        <v>0.4605</v>
      </c>
      <c r="E74" s="7">
        <f t="shared" si="59"/>
        <v>0.4725</v>
      </c>
      <c r="F74" s="7">
        <f t="shared" si="59"/>
        <v>0.481</v>
      </c>
      <c r="G74" s="7">
        <f t="shared" si="59"/>
        <v>0.508</v>
      </c>
      <c r="H74" s="7">
        <f t="shared" si="59"/>
        <v>0.475</v>
      </c>
      <c r="I74" s="7">
        <f t="shared" si="59"/>
        <v>0.505</v>
      </c>
      <c r="J74" s="3"/>
      <c r="L74" s="6" t="s">
        <v>5</v>
      </c>
      <c r="M74" s="7">
        <f t="shared" ref="M74:S74" si="60">C74-$C$73</f>
        <v>0.01</v>
      </c>
      <c r="N74" s="7">
        <f t="shared" si="60"/>
        <v>0.012</v>
      </c>
      <c r="O74" s="7">
        <f t="shared" si="60"/>
        <v>0.024</v>
      </c>
      <c r="P74" s="7">
        <f t="shared" si="60"/>
        <v>0.0325</v>
      </c>
      <c r="Q74" s="7">
        <f t="shared" si="60"/>
        <v>0.0595</v>
      </c>
      <c r="R74" s="7">
        <f t="shared" si="60"/>
        <v>0.0265</v>
      </c>
      <c r="S74" s="7">
        <f t="shared" si="60"/>
        <v>0.0565</v>
      </c>
      <c r="U74" s="8" t="s">
        <v>24</v>
      </c>
      <c r="V74" s="3">
        <f>AVERAGE(N74:S79)</f>
        <v>0.03772222222</v>
      </c>
    </row>
    <row r="75">
      <c r="B75" s="6" t="s">
        <v>6</v>
      </c>
      <c r="C75" s="7">
        <f t="shared" ref="C75:I75" si="61">AVERAGE(C25, C35)</f>
        <v>0.4555</v>
      </c>
      <c r="D75" s="7">
        <f t="shared" si="61"/>
        <v>0.456</v>
      </c>
      <c r="E75" s="7">
        <f t="shared" si="61"/>
        <v>0.467</v>
      </c>
      <c r="F75" s="7">
        <f t="shared" si="61"/>
        <v>0.4805</v>
      </c>
      <c r="G75" s="7">
        <f t="shared" si="61"/>
        <v>0.515</v>
      </c>
      <c r="H75" s="7">
        <f t="shared" si="61"/>
        <v>0.481</v>
      </c>
      <c r="I75" s="7">
        <f t="shared" si="61"/>
        <v>0.4995</v>
      </c>
      <c r="J75" s="3"/>
      <c r="L75" s="6" t="s">
        <v>6</v>
      </c>
      <c r="M75" s="7">
        <f t="shared" ref="M75:S75" si="62">C75-$C$73</f>
        <v>0.007</v>
      </c>
      <c r="N75" s="7">
        <f t="shared" si="62"/>
        <v>0.0075</v>
      </c>
      <c r="O75" s="7">
        <f t="shared" si="62"/>
        <v>0.0185</v>
      </c>
      <c r="P75" s="7">
        <f t="shared" si="62"/>
        <v>0.032</v>
      </c>
      <c r="Q75" s="7">
        <f t="shared" si="62"/>
        <v>0.0665</v>
      </c>
      <c r="R75" s="7">
        <f t="shared" si="62"/>
        <v>0.0325</v>
      </c>
      <c r="S75" s="7">
        <f t="shared" si="62"/>
        <v>0.051</v>
      </c>
    </row>
    <row r="76">
      <c r="B76" s="6" t="s">
        <v>7</v>
      </c>
      <c r="C76" s="7">
        <f t="shared" ref="C76:I76" si="63">AVERAGE(C26, C36)</f>
        <v>0.456</v>
      </c>
      <c r="D76" s="7">
        <f t="shared" si="63"/>
        <v>0.4555</v>
      </c>
      <c r="E76" s="7">
        <f t="shared" si="63"/>
        <v>0.466</v>
      </c>
      <c r="F76" s="7">
        <f t="shared" si="63"/>
        <v>0.4755</v>
      </c>
      <c r="G76" s="7">
        <f t="shared" si="63"/>
        <v>0.5</v>
      </c>
      <c r="H76" s="7">
        <f t="shared" si="63"/>
        <v>0.4785</v>
      </c>
      <c r="I76" s="7">
        <f t="shared" si="63"/>
        <v>0.4975</v>
      </c>
      <c r="J76" s="3"/>
      <c r="L76" s="6" t="s">
        <v>7</v>
      </c>
      <c r="M76" s="7">
        <f t="shared" ref="M76:S76" si="64">C76-$C$73</f>
        <v>0.0075</v>
      </c>
      <c r="N76" s="7">
        <f t="shared" si="64"/>
        <v>0.007</v>
      </c>
      <c r="O76" s="7">
        <f t="shared" si="64"/>
        <v>0.0175</v>
      </c>
      <c r="P76" s="7">
        <f t="shared" si="64"/>
        <v>0.027</v>
      </c>
      <c r="Q76" s="7">
        <f t="shared" si="64"/>
        <v>0.0515</v>
      </c>
      <c r="R76" s="7">
        <f t="shared" si="64"/>
        <v>0.03</v>
      </c>
      <c r="S76" s="7">
        <f t="shared" si="64"/>
        <v>0.049</v>
      </c>
    </row>
    <row r="77">
      <c r="B77" s="6" t="s">
        <v>8</v>
      </c>
      <c r="C77" s="7">
        <f t="shared" ref="C77:I77" si="65">AVERAGE(C27, C37)</f>
        <v>0.4665</v>
      </c>
      <c r="D77" s="7">
        <f t="shared" si="65"/>
        <v>0.468</v>
      </c>
      <c r="E77" s="7">
        <f t="shared" si="65"/>
        <v>0.474</v>
      </c>
      <c r="F77" s="7">
        <f t="shared" si="65"/>
        <v>0.486</v>
      </c>
      <c r="G77" s="7">
        <f t="shared" si="65"/>
        <v>0.503</v>
      </c>
      <c r="H77" s="7">
        <f t="shared" si="65"/>
        <v>0.4835</v>
      </c>
      <c r="I77" s="7">
        <f t="shared" si="65"/>
        <v>0.5065</v>
      </c>
      <c r="J77" s="3"/>
      <c r="L77" s="6" t="s">
        <v>8</v>
      </c>
      <c r="M77" s="7">
        <f t="shared" ref="M77:S77" si="66">C77-$C$73</f>
        <v>0.018</v>
      </c>
      <c r="N77" s="7">
        <f t="shared" si="66"/>
        <v>0.0195</v>
      </c>
      <c r="O77" s="7">
        <f t="shared" si="66"/>
        <v>0.0255</v>
      </c>
      <c r="P77" s="7">
        <f t="shared" si="66"/>
        <v>0.0375</v>
      </c>
      <c r="Q77" s="7">
        <f t="shared" si="66"/>
        <v>0.0545</v>
      </c>
      <c r="R77" s="7">
        <f t="shared" si="66"/>
        <v>0.035</v>
      </c>
      <c r="S77" s="7">
        <f t="shared" si="66"/>
        <v>0.058</v>
      </c>
    </row>
    <row r="78">
      <c r="B78" s="6" t="s">
        <v>9</v>
      </c>
      <c r="C78" s="7">
        <f t="shared" ref="C78:I78" si="67">AVERAGE(C28, C38)</f>
        <v>0.4565</v>
      </c>
      <c r="D78" s="7">
        <f t="shared" si="67"/>
        <v>0.457</v>
      </c>
      <c r="E78" s="7">
        <f t="shared" si="67"/>
        <v>0.4675</v>
      </c>
      <c r="F78" s="7">
        <f t="shared" si="67"/>
        <v>0.4865</v>
      </c>
      <c r="G78" s="7">
        <f t="shared" si="67"/>
        <v>0.518</v>
      </c>
      <c r="H78" s="7">
        <f t="shared" si="67"/>
        <v>0.485</v>
      </c>
      <c r="I78" s="7">
        <f t="shared" si="67"/>
        <v>0.517</v>
      </c>
      <c r="J78" s="3"/>
      <c r="L78" s="6" t="s">
        <v>9</v>
      </c>
      <c r="M78" s="7">
        <f t="shared" ref="M78:S78" si="68">C78-$C$73</f>
        <v>0.008</v>
      </c>
      <c r="N78" s="7">
        <f t="shared" si="68"/>
        <v>0.0085</v>
      </c>
      <c r="O78" s="7">
        <f t="shared" si="68"/>
        <v>0.019</v>
      </c>
      <c r="P78" s="7">
        <f t="shared" si="68"/>
        <v>0.038</v>
      </c>
      <c r="Q78" s="7">
        <f t="shared" si="68"/>
        <v>0.0695</v>
      </c>
      <c r="R78" s="7">
        <f t="shared" si="68"/>
        <v>0.0365</v>
      </c>
      <c r="S78" s="7">
        <f t="shared" si="68"/>
        <v>0.0685</v>
      </c>
    </row>
    <row r="79">
      <c r="B79" s="6" t="s">
        <v>10</v>
      </c>
      <c r="C79" s="7">
        <f t="shared" ref="C79:I79" si="69">AVERAGE(C29, C39)</f>
        <v>0.4765</v>
      </c>
      <c r="D79" s="7">
        <f t="shared" si="69"/>
        <v>0.4785</v>
      </c>
      <c r="E79" s="7">
        <f t="shared" si="69"/>
        <v>0.4805</v>
      </c>
      <c r="F79" s="7">
        <f t="shared" si="69"/>
        <v>0.495</v>
      </c>
      <c r="G79" s="7">
        <f t="shared" si="69"/>
        <v>0.513</v>
      </c>
      <c r="H79" s="7">
        <f t="shared" si="69"/>
        <v>0.4995</v>
      </c>
      <c r="I79" s="7">
        <f t="shared" si="69"/>
        <v>0.5115</v>
      </c>
      <c r="J79" s="3"/>
      <c r="L79" s="6" t="s">
        <v>10</v>
      </c>
      <c r="M79" s="7">
        <f t="shared" ref="M79:S79" si="70">C79-$C$73</f>
        <v>0.028</v>
      </c>
      <c r="N79" s="7">
        <f t="shared" si="70"/>
        <v>0.03</v>
      </c>
      <c r="O79" s="7">
        <f t="shared" si="70"/>
        <v>0.032</v>
      </c>
      <c r="P79" s="7">
        <f t="shared" si="70"/>
        <v>0.0465</v>
      </c>
      <c r="Q79" s="7">
        <f t="shared" si="70"/>
        <v>0.0645</v>
      </c>
      <c r="R79" s="7">
        <f t="shared" si="70"/>
        <v>0.051</v>
      </c>
      <c r="S79" s="7">
        <f t="shared" si="70"/>
        <v>0.063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0.06</v>
      </c>
    </row>
    <row r="83">
      <c r="B83" s="6" t="s">
        <v>4</v>
      </c>
      <c r="C83" s="7">
        <f t="shared" ref="C83:I83" si="71">AVERAGE(C43, C53)</f>
        <v>0.2355</v>
      </c>
      <c r="D83" s="7">
        <f t="shared" si="71"/>
        <v>0.2735</v>
      </c>
      <c r="E83" s="7">
        <f t="shared" si="71"/>
        <v>0.3055</v>
      </c>
      <c r="F83" s="7">
        <f t="shared" si="71"/>
        <v>0.282</v>
      </c>
      <c r="G83" s="7">
        <f t="shared" si="71"/>
        <v>0.3215</v>
      </c>
      <c r="H83" s="7">
        <f t="shared" si="71"/>
        <v>0.2735</v>
      </c>
      <c r="I83" s="7">
        <f t="shared" si="71"/>
        <v>0.317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0.038</v>
      </c>
      <c r="O83" s="7">
        <f t="shared" si="72"/>
        <v>0.07</v>
      </c>
      <c r="P83" s="7">
        <f t="shared" si="72"/>
        <v>0.0465</v>
      </c>
      <c r="Q83" s="7">
        <f t="shared" si="72"/>
        <v>0.086</v>
      </c>
      <c r="R83" s="7">
        <f t="shared" si="72"/>
        <v>0.038</v>
      </c>
      <c r="S83" s="7">
        <f t="shared" si="72"/>
        <v>0.0815</v>
      </c>
      <c r="U83" s="8" t="s">
        <v>23</v>
      </c>
      <c r="V83" s="3">
        <f>average(M84:M89)</f>
        <v>0.04708333333</v>
      </c>
    </row>
    <row r="84">
      <c r="B84" s="6" t="s">
        <v>5</v>
      </c>
      <c r="C84" s="7">
        <f t="shared" ref="C84:I84" si="73">AVERAGE(C44, C54)</f>
        <v>0.264</v>
      </c>
      <c r="D84" s="7">
        <f t="shared" si="73"/>
        <v>0.3025</v>
      </c>
      <c r="E84" s="7">
        <f t="shared" si="73"/>
        <v>0.3285</v>
      </c>
      <c r="F84" s="7">
        <f t="shared" si="73"/>
        <v>0.311</v>
      </c>
      <c r="G84" s="7">
        <f t="shared" si="73"/>
        <v>0.352</v>
      </c>
      <c r="H84" s="7">
        <f t="shared" si="73"/>
        <v>0.3045</v>
      </c>
      <c r="I84" s="7">
        <f t="shared" si="73"/>
        <v>0.3495</v>
      </c>
      <c r="J84" s="3"/>
      <c r="L84" s="6" t="s">
        <v>5</v>
      </c>
      <c r="M84" s="7">
        <f t="shared" ref="M84:S84" si="74">C84-$C$83</f>
        <v>0.0285</v>
      </c>
      <c r="N84" s="7">
        <f t="shared" si="74"/>
        <v>0.067</v>
      </c>
      <c r="O84" s="7">
        <f t="shared" si="74"/>
        <v>0.093</v>
      </c>
      <c r="P84" s="7">
        <f t="shared" si="74"/>
        <v>0.0755</v>
      </c>
      <c r="Q84" s="7">
        <f t="shared" si="74"/>
        <v>0.1165</v>
      </c>
      <c r="R84" s="7">
        <f t="shared" si="74"/>
        <v>0.069</v>
      </c>
      <c r="S84" s="7">
        <f t="shared" si="74"/>
        <v>0.114</v>
      </c>
      <c r="U84" s="8" t="s">
        <v>24</v>
      </c>
      <c r="V84" s="3">
        <f>AVERAGE(N84:S89)</f>
        <v>0.09152777778</v>
      </c>
    </row>
    <row r="85">
      <c r="B85" s="6" t="s">
        <v>6</v>
      </c>
      <c r="C85" s="7">
        <f t="shared" ref="C85:I85" si="75">AVERAGE(C45, C55)</f>
        <v>0.2525</v>
      </c>
      <c r="D85" s="7">
        <f t="shared" si="75"/>
        <v>0.287</v>
      </c>
      <c r="E85" s="7">
        <f t="shared" si="75"/>
        <v>0.3215</v>
      </c>
      <c r="F85" s="7">
        <f t="shared" si="75"/>
        <v>0.298</v>
      </c>
      <c r="G85" s="7">
        <f t="shared" si="75"/>
        <v>0.339</v>
      </c>
      <c r="H85" s="7">
        <f t="shared" si="75"/>
        <v>0.292</v>
      </c>
      <c r="I85" s="7">
        <f t="shared" si="75"/>
        <v>0.334</v>
      </c>
      <c r="J85" s="3"/>
      <c r="L85" s="6" t="s">
        <v>6</v>
      </c>
      <c r="M85" s="7">
        <f t="shared" ref="M85:S85" si="76">C85-$C$83</f>
        <v>0.017</v>
      </c>
      <c r="N85" s="7">
        <f t="shared" si="76"/>
        <v>0.0515</v>
      </c>
      <c r="O85" s="7">
        <f t="shared" si="76"/>
        <v>0.086</v>
      </c>
      <c r="P85" s="7">
        <f t="shared" si="76"/>
        <v>0.0625</v>
      </c>
      <c r="Q85" s="7">
        <f t="shared" si="76"/>
        <v>0.1035</v>
      </c>
      <c r="R85" s="7">
        <f t="shared" si="76"/>
        <v>0.0565</v>
      </c>
      <c r="S85" s="7">
        <f t="shared" si="76"/>
        <v>0.0985</v>
      </c>
    </row>
    <row r="86">
      <c r="B86" s="6" t="s">
        <v>7</v>
      </c>
      <c r="C86" s="7">
        <f t="shared" ref="C86:I86" si="77">AVERAGE(C46, C56)</f>
        <v>0.24</v>
      </c>
      <c r="D86" s="7">
        <f t="shared" si="77"/>
        <v>0.2795</v>
      </c>
      <c r="E86" s="7">
        <f t="shared" si="77"/>
        <v>0.305</v>
      </c>
      <c r="F86" s="7">
        <f t="shared" si="77"/>
        <v>0.2835</v>
      </c>
      <c r="G86" s="7">
        <f t="shared" si="77"/>
        <v>0.318</v>
      </c>
      <c r="H86" s="7">
        <f t="shared" si="77"/>
        <v>0.2745</v>
      </c>
      <c r="I86" s="7">
        <f t="shared" si="77"/>
        <v>0.3155</v>
      </c>
      <c r="J86" s="3"/>
      <c r="L86" s="6" t="s">
        <v>7</v>
      </c>
      <c r="M86" s="7">
        <f t="shared" ref="M86:S86" si="78">C86-$C$83</f>
        <v>0.0045</v>
      </c>
      <c r="N86" s="7">
        <f t="shared" si="78"/>
        <v>0.044</v>
      </c>
      <c r="O86" s="7">
        <f t="shared" si="78"/>
        <v>0.0695</v>
      </c>
      <c r="P86" s="7">
        <f t="shared" si="78"/>
        <v>0.048</v>
      </c>
      <c r="Q86" s="7">
        <f t="shared" si="78"/>
        <v>0.0825</v>
      </c>
      <c r="R86" s="7">
        <f t="shared" si="78"/>
        <v>0.039</v>
      </c>
      <c r="S86" s="7">
        <f t="shared" si="78"/>
        <v>0.08</v>
      </c>
    </row>
    <row r="87">
      <c r="B87" s="6" t="s">
        <v>8</v>
      </c>
      <c r="C87" s="7">
        <f t="shared" ref="C87:I87" si="79">AVERAGE(C47, C57)</f>
        <v>0.3675</v>
      </c>
      <c r="D87" s="7">
        <f t="shared" si="79"/>
        <v>0.3995</v>
      </c>
      <c r="E87" s="7">
        <f t="shared" si="79"/>
        <v>0.4205</v>
      </c>
      <c r="F87" s="7">
        <f t="shared" si="79"/>
        <v>0.356</v>
      </c>
      <c r="G87" s="7">
        <f t="shared" si="79"/>
        <v>0.345</v>
      </c>
      <c r="H87" s="7">
        <f t="shared" si="79"/>
        <v>0.3555</v>
      </c>
      <c r="I87" s="7">
        <f t="shared" si="79"/>
        <v>0.346</v>
      </c>
      <c r="J87" s="3"/>
      <c r="L87" s="6" t="s">
        <v>8</v>
      </c>
      <c r="M87" s="7">
        <f t="shared" ref="M87:S87" si="80">C87-$C$83</f>
        <v>0.132</v>
      </c>
      <c r="N87" s="7">
        <f t="shared" si="80"/>
        <v>0.164</v>
      </c>
      <c r="O87" s="7">
        <f t="shared" si="80"/>
        <v>0.185</v>
      </c>
      <c r="P87" s="7">
        <f t="shared" si="80"/>
        <v>0.1205</v>
      </c>
      <c r="Q87" s="7">
        <f t="shared" si="80"/>
        <v>0.1095</v>
      </c>
      <c r="R87" s="7">
        <f t="shared" si="80"/>
        <v>0.12</v>
      </c>
      <c r="S87" s="7">
        <f t="shared" si="80"/>
        <v>0.1105</v>
      </c>
    </row>
    <row r="88">
      <c r="B88" s="6" t="s">
        <v>9</v>
      </c>
      <c r="C88" s="7">
        <f t="shared" ref="C88:I88" si="81">AVERAGE(C48, C58)</f>
        <v>0.2745</v>
      </c>
      <c r="D88" s="7">
        <f t="shared" si="81"/>
        <v>0.312</v>
      </c>
      <c r="E88" s="7">
        <f t="shared" si="81"/>
        <v>0.3375</v>
      </c>
      <c r="F88" s="7">
        <f t="shared" si="81"/>
        <v>0.314</v>
      </c>
      <c r="G88" s="7">
        <f t="shared" si="81"/>
        <v>0.3485</v>
      </c>
      <c r="H88" s="7">
        <f t="shared" si="81"/>
        <v>0.307</v>
      </c>
      <c r="I88" s="7">
        <f t="shared" si="81"/>
        <v>0.344</v>
      </c>
      <c r="J88" s="3"/>
      <c r="L88" s="6" t="s">
        <v>9</v>
      </c>
      <c r="M88" s="7">
        <f t="shared" ref="M88:S88" si="82">C88-$C$83</f>
        <v>0.039</v>
      </c>
      <c r="N88" s="7">
        <f t="shared" si="82"/>
        <v>0.0765</v>
      </c>
      <c r="O88" s="7">
        <f t="shared" si="82"/>
        <v>0.102</v>
      </c>
      <c r="P88" s="7">
        <f t="shared" si="82"/>
        <v>0.0785</v>
      </c>
      <c r="Q88" s="7">
        <f t="shared" si="82"/>
        <v>0.113</v>
      </c>
      <c r="R88" s="7">
        <f t="shared" si="82"/>
        <v>0.0715</v>
      </c>
      <c r="S88" s="7">
        <f t="shared" si="82"/>
        <v>0.1085</v>
      </c>
    </row>
    <row r="89">
      <c r="B89" s="6" t="s">
        <v>10</v>
      </c>
      <c r="C89" s="7">
        <f t="shared" ref="C89:I89" si="83">AVERAGE(C49, C59)</f>
        <v>0.297</v>
      </c>
      <c r="D89" s="7">
        <f t="shared" si="83"/>
        <v>0.33</v>
      </c>
      <c r="E89" s="7">
        <f t="shared" si="83"/>
        <v>0.355</v>
      </c>
      <c r="F89" s="7">
        <f t="shared" si="83"/>
        <v>0.3155</v>
      </c>
      <c r="G89" s="7">
        <f t="shared" si="83"/>
        <v>0.3395</v>
      </c>
      <c r="H89" s="7">
        <f t="shared" si="83"/>
        <v>0.3145</v>
      </c>
      <c r="I89" s="7">
        <f t="shared" si="83"/>
        <v>0.3375</v>
      </c>
      <c r="J89" s="3"/>
      <c r="L89" s="6" t="s">
        <v>10</v>
      </c>
      <c r="M89" s="7">
        <f t="shared" ref="M89:S89" si="84">C89-$C$83</f>
        <v>0.0615</v>
      </c>
      <c r="N89" s="7">
        <f t="shared" si="84"/>
        <v>0.0945</v>
      </c>
      <c r="O89" s="7">
        <f t="shared" si="84"/>
        <v>0.1195</v>
      </c>
      <c r="P89" s="7">
        <f t="shared" si="84"/>
        <v>0.08</v>
      </c>
      <c r="Q89" s="7">
        <f t="shared" si="84"/>
        <v>0.104</v>
      </c>
      <c r="R89" s="7">
        <f t="shared" si="84"/>
        <v>0.079</v>
      </c>
      <c r="S89" s="7">
        <f t="shared" si="84"/>
        <v>0.102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0.04527777778</v>
      </c>
    </row>
    <row r="93">
      <c r="B93" s="6" t="s">
        <v>4</v>
      </c>
      <c r="C93" s="7">
        <f t="shared" ref="C93:I93" si="85">AVERAGE(C63, C73, C83)</f>
        <v>0.3083333333</v>
      </c>
      <c r="D93" s="7">
        <f t="shared" si="85"/>
        <v>0.332</v>
      </c>
      <c r="E93" s="7">
        <f t="shared" si="85"/>
        <v>0.3588333333</v>
      </c>
      <c r="F93" s="7">
        <f t="shared" si="85"/>
        <v>0.3426666667</v>
      </c>
      <c r="G93" s="7">
        <f t="shared" si="85"/>
        <v>0.3795</v>
      </c>
      <c r="H93" s="7">
        <f t="shared" si="85"/>
        <v>0.337</v>
      </c>
      <c r="I93" s="7">
        <f t="shared" si="85"/>
        <v>0.3716666667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0.02366666667</v>
      </c>
      <c r="O93" s="7">
        <f t="shared" si="86"/>
        <v>0.0505</v>
      </c>
      <c r="P93" s="7">
        <f t="shared" si="86"/>
        <v>0.03433333333</v>
      </c>
      <c r="Q93" s="7">
        <f t="shared" si="86"/>
        <v>0.07116666667</v>
      </c>
      <c r="R93" s="7">
        <f t="shared" si="86"/>
        <v>0.02866666667</v>
      </c>
      <c r="S93" s="7">
        <f t="shared" si="86"/>
        <v>0.06333333333</v>
      </c>
      <c r="U93" s="8" t="s">
        <v>23</v>
      </c>
      <c r="V93" s="3">
        <f>average(M94:M99)</f>
        <v>0.02936111111</v>
      </c>
    </row>
    <row r="94">
      <c r="B94" s="6" t="s">
        <v>5</v>
      </c>
      <c r="C94" s="7">
        <f t="shared" ref="C94:I94" si="87">AVERAGE(C64, C74, C84)</f>
        <v>0.3288333333</v>
      </c>
      <c r="D94" s="7">
        <f t="shared" si="87"/>
        <v>0.3515</v>
      </c>
      <c r="E94" s="7">
        <f t="shared" si="87"/>
        <v>0.3753333333</v>
      </c>
      <c r="F94" s="7">
        <f t="shared" si="87"/>
        <v>0.3636666667</v>
      </c>
      <c r="G94" s="7">
        <f t="shared" si="87"/>
        <v>0.3968333333</v>
      </c>
      <c r="H94" s="7">
        <f t="shared" si="87"/>
        <v>0.3568333333</v>
      </c>
      <c r="I94" s="7">
        <f t="shared" si="87"/>
        <v>0.3926666667</v>
      </c>
      <c r="J94" s="3"/>
      <c r="L94" s="6" t="s">
        <v>5</v>
      </c>
      <c r="M94" s="7">
        <f t="shared" ref="M94:S94" si="88">C94-$C$93</f>
        <v>0.0205</v>
      </c>
      <c r="N94" s="7">
        <f t="shared" si="88"/>
        <v>0.04316666667</v>
      </c>
      <c r="O94" s="7">
        <f t="shared" si="88"/>
        <v>0.067</v>
      </c>
      <c r="P94" s="7">
        <f t="shared" si="88"/>
        <v>0.05533333333</v>
      </c>
      <c r="Q94" s="7">
        <f t="shared" si="88"/>
        <v>0.0885</v>
      </c>
      <c r="R94" s="7">
        <f t="shared" si="88"/>
        <v>0.0485</v>
      </c>
      <c r="S94" s="7">
        <f t="shared" si="88"/>
        <v>0.08433333333</v>
      </c>
      <c r="U94" s="8" t="s">
        <v>24</v>
      </c>
      <c r="V94" s="3">
        <f>AVERAGE(N94:S99)</f>
        <v>0.06551851852</v>
      </c>
    </row>
    <row r="95">
      <c r="B95" s="6" t="s">
        <v>6</v>
      </c>
      <c r="C95" s="7">
        <f t="shared" ref="C95:I95" si="89">AVERAGE(C65, C75, C85)</f>
        <v>0.332</v>
      </c>
      <c r="D95" s="7">
        <f t="shared" si="89"/>
        <v>0.352</v>
      </c>
      <c r="E95" s="7">
        <f t="shared" si="89"/>
        <v>0.3786666667</v>
      </c>
      <c r="F95" s="7">
        <f t="shared" si="89"/>
        <v>0.3665</v>
      </c>
      <c r="G95" s="7">
        <f t="shared" si="89"/>
        <v>0.402</v>
      </c>
      <c r="H95" s="7">
        <f t="shared" si="89"/>
        <v>0.36</v>
      </c>
      <c r="I95" s="7">
        <f t="shared" si="89"/>
        <v>0.3901666667</v>
      </c>
      <c r="J95" s="3"/>
      <c r="L95" s="6" t="s">
        <v>6</v>
      </c>
      <c r="M95" s="7">
        <f t="shared" ref="M95:S95" si="90">C95-$C$93</f>
        <v>0.02366666667</v>
      </c>
      <c r="N95" s="7">
        <f t="shared" si="90"/>
        <v>0.04366666667</v>
      </c>
      <c r="O95" s="7">
        <f t="shared" si="90"/>
        <v>0.07033333333</v>
      </c>
      <c r="P95" s="7">
        <f t="shared" si="90"/>
        <v>0.05816666667</v>
      </c>
      <c r="Q95" s="7">
        <f t="shared" si="90"/>
        <v>0.09366666667</v>
      </c>
      <c r="R95" s="7">
        <f t="shared" si="90"/>
        <v>0.05166666667</v>
      </c>
      <c r="S95" s="7">
        <f t="shared" si="90"/>
        <v>0.08183333333</v>
      </c>
    </row>
    <row r="96">
      <c r="B96" s="6" t="s">
        <v>7</v>
      </c>
      <c r="C96" s="7">
        <f t="shared" ref="C96:I96" si="91">AVERAGE(C66, C76, C86)</f>
        <v>0.3181666667</v>
      </c>
      <c r="D96" s="7">
        <f t="shared" si="91"/>
        <v>0.3403333333</v>
      </c>
      <c r="E96" s="7">
        <f t="shared" si="91"/>
        <v>0.3636666667</v>
      </c>
      <c r="F96" s="7">
        <f t="shared" si="91"/>
        <v>0.3478333333</v>
      </c>
      <c r="G96" s="7">
        <f t="shared" si="91"/>
        <v>0.3758333333</v>
      </c>
      <c r="H96" s="7">
        <f t="shared" si="91"/>
        <v>0.344</v>
      </c>
      <c r="I96" s="7">
        <f t="shared" si="91"/>
        <v>0.3726666667</v>
      </c>
      <c r="J96" s="3"/>
      <c r="L96" s="6" t="s">
        <v>7</v>
      </c>
      <c r="M96" s="7">
        <f t="shared" ref="M96:S96" si="92">C96-$C$93</f>
        <v>0.009833333333</v>
      </c>
      <c r="N96" s="7">
        <f t="shared" si="92"/>
        <v>0.032</v>
      </c>
      <c r="O96" s="7">
        <f t="shared" si="92"/>
        <v>0.05533333333</v>
      </c>
      <c r="P96" s="7">
        <f t="shared" si="92"/>
        <v>0.0395</v>
      </c>
      <c r="Q96" s="7">
        <f t="shared" si="92"/>
        <v>0.0675</v>
      </c>
      <c r="R96" s="7">
        <f t="shared" si="92"/>
        <v>0.03566666667</v>
      </c>
      <c r="S96" s="7">
        <f t="shared" si="92"/>
        <v>0.06433333333</v>
      </c>
    </row>
    <row r="97">
      <c r="B97" s="6" t="s">
        <v>8</v>
      </c>
      <c r="C97" s="7">
        <f t="shared" ref="C97:I97" si="93">AVERAGE(C67, C77, C87)</f>
        <v>0.3691666667</v>
      </c>
      <c r="D97" s="7">
        <f t="shared" si="93"/>
        <v>0.389</v>
      </c>
      <c r="E97" s="7">
        <f t="shared" si="93"/>
        <v>0.4086666667</v>
      </c>
      <c r="F97" s="7">
        <f t="shared" si="93"/>
        <v>0.3788333333</v>
      </c>
      <c r="G97" s="7">
        <f t="shared" si="93"/>
        <v>0.3891666667</v>
      </c>
      <c r="H97" s="7">
        <f t="shared" si="93"/>
        <v>0.3755</v>
      </c>
      <c r="I97" s="7">
        <f t="shared" si="93"/>
        <v>0.387</v>
      </c>
      <c r="J97" s="3"/>
      <c r="L97" s="6" t="s">
        <v>8</v>
      </c>
      <c r="M97" s="7">
        <f t="shared" ref="M97:S97" si="94">C97-$C$93</f>
        <v>0.06083333333</v>
      </c>
      <c r="N97" s="7">
        <f t="shared" si="94"/>
        <v>0.08066666667</v>
      </c>
      <c r="O97" s="7">
        <f t="shared" si="94"/>
        <v>0.1003333333</v>
      </c>
      <c r="P97" s="7">
        <f t="shared" si="94"/>
        <v>0.0705</v>
      </c>
      <c r="Q97" s="7">
        <f t="shared" si="94"/>
        <v>0.08083333333</v>
      </c>
      <c r="R97" s="7">
        <f t="shared" si="94"/>
        <v>0.06716666667</v>
      </c>
      <c r="S97" s="7">
        <f t="shared" si="94"/>
        <v>0.07866666667</v>
      </c>
    </row>
    <row r="98">
      <c r="B98" s="6" t="s">
        <v>9</v>
      </c>
      <c r="C98" s="7">
        <f t="shared" ref="C98:I98" si="95">AVERAGE(C68, C78, C88)</f>
        <v>0.3308333333</v>
      </c>
      <c r="D98" s="7">
        <f t="shared" si="95"/>
        <v>0.3531666667</v>
      </c>
      <c r="E98" s="7">
        <f t="shared" si="95"/>
        <v>0.3761666667</v>
      </c>
      <c r="F98" s="7">
        <f t="shared" si="95"/>
        <v>0.3635</v>
      </c>
      <c r="G98" s="7">
        <f t="shared" si="95"/>
        <v>0.3921666667</v>
      </c>
      <c r="H98" s="7">
        <f t="shared" si="95"/>
        <v>0.3565</v>
      </c>
      <c r="I98" s="7">
        <f t="shared" si="95"/>
        <v>0.386</v>
      </c>
      <c r="J98" s="3"/>
      <c r="L98" s="6" t="s">
        <v>9</v>
      </c>
      <c r="M98" s="7">
        <f t="shared" ref="M98:S98" si="96">C98-$C$93</f>
        <v>0.0225</v>
      </c>
      <c r="N98" s="7">
        <f t="shared" si="96"/>
        <v>0.04483333333</v>
      </c>
      <c r="O98" s="7">
        <f t="shared" si="96"/>
        <v>0.06783333333</v>
      </c>
      <c r="P98" s="7">
        <f t="shared" si="96"/>
        <v>0.05516666667</v>
      </c>
      <c r="Q98" s="7">
        <f t="shared" si="96"/>
        <v>0.08383333333</v>
      </c>
      <c r="R98" s="7">
        <f t="shared" si="96"/>
        <v>0.04816666667</v>
      </c>
      <c r="S98" s="7">
        <f t="shared" si="96"/>
        <v>0.07766666667</v>
      </c>
    </row>
    <row r="99">
      <c r="B99" s="6" t="s">
        <v>10</v>
      </c>
      <c r="C99" s="7">
        <f t="shared" ref="C99:I99" si="97">AVERAGE(C69, C79, C89)</f>
        <v>0.3471666667</v>
      </c>
      <c r="D99" s="7">
        <f t="shared" si="97"/>
        <v>0.3675</v>
      </c>
      <c r="E99" s="7">
        <f t="shared" si="97"/>
        <v>0.3883333333</v>
      </c>
      <c r="F99" s="7">
        <f t="shared" si="97"/>
        <v>0.3686666667</v>
      </c>
      <c r="G99" s="7">
        <f t="shared" si="97"/>
        <v>0.3941666667</v>
      </c>
      <c r="H99" s="7">
        <f t="shared" si="97"/>
        <v>0.3675</v>
      </c>
      <c r="I99" s="7">
        <f t="shared" si="97"/>
        <v>0.3863333333</v>
      </c>
      <c r="J99" s="3"/>
      <c r="L99" s="6" t="s">
        <v>10</v>
      </c>
      <c r="M99" s="7">
        <f t="shared" ref="M99:S99" si="98">C99-$C$93</f>
        <v>0.03883333333</v>
      </c>
      <c r="N99" s="7">
        <f t="shared" si="98"/>
        <v>0.05916666667</v>
      </c>
      <c r="O99" s="7">
        <f t="shared" si="98"/>
        <v>0.08</v>
      </c>
      <c r="P99" s="7">
        <f t="shared" si="98"/>
        <v>0.06033333333</v>
      </c>
      <c r="Q99" s="7">
        <f t="shared" si="98"/>
        <v>0.08583333333</v>
      </c>
      <c r="R99" s="7">
        <f t="shared" si="98"/>
        <v>0.05916666667</v>
      </c>
      <c r="S99" s="7">
        <f t="shared" si="98"/>
        <v>0.078</v>
      </c>
    </row>
    <row r="101">
      <c r="A101" s="8" t="s">
        <v>31</v>
      </c>
      <c r="B101" s="8" t="s">
        <v>32</v>
      </c>
      <c r="C101" s="8" t="s">
        <v>33</v>
      </c>
      <c r="D101" s="8" t="s">
        <v>34</v>
      </c>
      <c r="E101" s="8" t="s">
        <v>35</v>
      </c>
      <c r="F101" s="8" t="s">
        <v>36</v>
      </c>
      <c r="G101" s="8" t="s">
        <v>37</v>
      </c>
      <c r="I101" s="9" t="str">
        <f t="shared" ref="I101:O101" si="99">substitute(SUBSTITUTE(A101, "(", ""), ")", "")</f>
        <v>0.151, 0.151, 0.151</v>
      </c>
      <c r="J101" s="9" t="str">
        <f t="shared" si="99"/>
        <v>0.150, 0.135, 0.235</v>
      </c>
      <c r="K101" s="9" t="str">
        <f t="shared" si="99"/>
        <v>0.160, 0.128, 0.328</v>
      </c>
      <c r="L101" s="9" t="str">
        <f t="shared" si="99"/>
        <v>0.143, 0.129, 0.228</v>
      </c>
      <c r="M101" s="9" t="str">
        <f t="shared" si="99"/>
        <v>0.151, 0.121, 0.321</v>
      </c>
      <c r="N101" s="9" t="str">
        <f t="shared" si="99"/>
        <v>0.127, 0.115, 0.215</v>
      </c>
      <c r="O101" s="9" t="str">
        <f t="shared" si="99"/>
        <v>0.122, 0.098, 0.297</v>
      </c>
      <c r="T101" s="6"/>
    </row>
    <row r="102">
      <c r="A102" s="8" t="s">
        <v>38</v>
      </c>
      <c r="B102" s="8" t="s">
        <v>39</v>
      </c>
      <c r="C102" s="8" t="s">
        <v>40</v>
      </c>
      <c r="D102" s="8" t="s">
        <v>41</v>
      </c>
      <c r="E102" s="8" t="s">
        <v>42</v>
      </c>
      <c r="F102" s="8" t="s">
        <v>43</v>
      </c>
      <c r="G102" s="8" t="s">
        <v>44</v>
      </c>
      <c r="I102" s="9" t="str">
        <f t="shared" ref="I102:O102" si="100">substitute(SUBSTITUTE(A102, "(", ""), ")", "")</f>
        <v>0.197, 0.197, 0.197</v>
      </c>
      <c r="J102" s="9" t="str">
        <f t="shared" si="100"/>
        <v>0.193, 0.174, 0.274</v>
      </c>
      <c r="K102" s="9" t="str">
        <f t="shared" si="100"/>
        <v>0.202, 0.162, 0.362</v>
      </c>
      <c r="L102" s="9" t="str">
        <f t="shared" si="100"/>
        <v>0.208, 0.188, 0.287</v>
      </c>
      <c r="M102" s="9" t="str">
        <f t="shared" si="100"/>
        <v>0.217, 0.174, 0.374</v>
      </c>
      <c r="N102" s="9" t="str">
        <f t="shared" si="100"/>
        <v>0.192, 0.172, 0.273</v>
      </c>
      <c r="O102" s="9" t="str">
        <f t="shared" si="100"/>
        <v>0.204, 0.164, 0.364</v>
      </c>
    </row>
    <row r="103">
      <c r="A103" s="8" t="s">
        <v>45</v>
      </c>
      <c r="B103" s="8" t="s">
        <v>46</v>
      </c>
      <c r="C103" s="8" t="s">
        <v>47</v>
      </c>
      <c r="D103" s="8" t="s">
        <v>48</v>
      </c>
      <c r="E103" s="8" t="s">
        <v>49</v>
      </c>
      <c r="F103" s="8" t="s">
        <v>50</v>
      </c>
      <c r="G103" s="8" t="s">
        <v>51</v>
      </c>
      <c r="I103" s="9" t="str">
        <f t="shared" ref="I103:O103" si="101">substitute(SUBSTITUTE(A103, "(", ""), ")", "")</f>
        <v>0.218, 0.218, 0.218</v>
      </c>
      <c r="J103" s="9" t="str">
        <f t="shared" si="101"/>
        <v>0.216, 0.195, 0.294</v>
      </c>
      <c r="K103" s="9" t="str">
        <f t="shared" si="101"/>
        <v>0.227, 0.181, 0.381</v>
      </c>
      <c r="L103" s="9" t="str">
        <f t="shared" si="101"/>
        <v>0.228, 0.205, 0.305</v>
      </c>
      <c r="M103" s="9" t="str">
        <f t="shared" si="101"/>
        <v>0.241, 0.192, 0.392</v>
      </c>
      <c r="N103" s="9" t="str">
        <f t="shared" si="101"/>
        <v>0.200, 0.180, 0.280</v>
      </c>
      <c r="O103" s="9" t="str">
        <f t="shared" si="101"/>
        <v>0.209, 0.167, 0.367</v>
      </c>
    </row>
    <row r="104">
      <c r="A104" s="8" t="s">
        <v>52</v>
      </c>
      <c r="B104" s="8" t="s">
        <v>53</v>
      </c>
      <c r="C104" s="8" t="s">
        <v>54</v>
      </c>
      <c r="D104" s="8" t="s">
        <v>55</v>
      </c>
      <c r="E104" s="8" t="s">
        <v>56</v>
      </c>
      <c r="F104" s="8" t="s">
        <v>57</v>
      </c>
      <c r="G104" s="8" t="s">
        <v>58</v>
      </c>
      <c r="I104" s="9" t="str">
        <f t="shared" ref="I104:O104" si="102">substitute(SUBSTITUTE(A104, "(", ""), ")", "")</f>
        <v>0.188, 0.188, 0.188</v>
      </c>
      <c r="J104" s="9" t="str">
        <f t="shared" si="102"/>
        <v>0.187, 0.168, 0.268</v>
      </c>
      <c r="K104" s="9" t="str">
        <f t="shared" si="102"/>
        <v>0.194, 0.155, 0.355</v>
      </c>
      <c r="L104" s="9" t="str">
        <f t="shared" si="102"/>
        <v>0.183, 0.164, 0.265</v>
      </c>
      <c r="M104" s="9" t="str">
        <f t="shared" si="102"/>
        <v>0.172, 0.138, 0.338</v>
      </c>
      <c r="N104" s="9" t="str">
        <f t="shared" si="102"/>
        <v>0.172, 0.154, 0.255</v>
      </c>
      <c r="O104" s="9" t="str">
        <f t="shared" si="102"/>
        <v>0.166, 0.133, 0.333</v>
      </c>
    </row>
    <row r="105">
      <c r="A105" s="8" t="s">
        <v>59</v>
      </c>
      <c r="B105" s="8" t="s">
        <v>60</v>
      </c>
      <c r="C105" s="8" t="s">
        <v>61</v>
      </c>
      <c r="D105" s="8" t="s">
        <v>62</v>
      </c>
      <c r="E105" s="8" t="s">
        <v>63</v>
      </c>
      <c r="F105" s="8" t="s">
        <v>64</v>
      </c>
      <c r="G105" s="8" t="s">
        <v>65</v>
      </c>
      <c r="I105" s="9" t="str">
        <f t="shared" ref="I105:O105" si="103">substitute(SUBSTITUTE(A105, "(", ""), ")", "")</f>
        <v>0.220, 0.220, 0.220</v>
      </c>
      <c r="J105" s="9" t="str">
        <f t="shared" si="103"/>
        <v>0.218, 0.197, 0.296</v>
      </c>
      <c r="K105" s="9" t="str">
        <f t="shared" si="103"/>
        <v>0.221, 0.177, 0.377</v>
      </c>
      <c r="L105" s="9" t="str">
        <f t="shared" si="103"/>
        <v>0.202, 0.182, 0.282</v>
      </c>
      <c r="M105" s="9" t="str">
        <f t="shared" si="103"/>
        <v>0.191, 0.152, 0.353</v>
      </c>
      <c r="N105" s="9" t="str">
        <f t="shared" si="103"/>
        <v>0.191, 0.172, 0.272</v>
      </c>
      <c r="O105" s="9" t="str">
        <f t="shared" si="103"/>
        <v>0.168, 0.134, 0.334</v>
      </c>
    </row>
    <row r="106">
      <c r="A106" s="8" t="s">
        <v>38</v>
      </c>
      <c r="B106" s="8" t="s">
        <v>66</v>
      </c>
      <c r="C106" s="8" t="s">
        <v>67</v>
      </c>
      <c r="D106" s="8" t="s">
        <v>68</v>
      </c>
      <c r="E106" s="8" t="s">
        <v>69</v>
      </c>
      <c r="F106" s="8" t="s">
        <v>70</v>
      </c>
      <c r="G106" s="8" t="s">
        <v>71</v>
      </c>
      <c r="I106" s="9" t="str">
        <f t="shared" ref="I106:O106" si="104">substitute(SUBSTITUTE(A106, "(", ""), ")", "")</f>
        <v>0.197, 0.197, 0.197</v>
      </c>
      <c r="J106" s="9" t="str">
        <f t="shared" si="104"/>
        <v>0.199, 0.179, 0.279</v>
      </c>
      <c r="K106" s="9" t="str">
        <f t="shared" si="104"/>
        <v>0.201, 0.161, 0.361</v>
      </c>
      <c r="L106" s="9" t="str">
        <f t="shared" si="104"/>
        <v>0.193, 0.173, 0.274</v>
      </c>
      <c r="M106" s="9" t="str">
        <f t="shared" si="104"/>
        <v>0.171, 0.137, 0.337</v>
      </c>
      <c r="N106" s="9" t="str">
        <f t="shared" si="104"/>
        <v>0.167, 0.151, 0.251</v>
      </c>
      <c r="O106" s="9" t="str">
        <f t="shared" si="104"/>
        <v>0.144, 0.115, 0.316</v>
      </c>
    </row>
    <row r="107">
      <c r="A107" s="8" t="s">
        <v>72</v>
      </c>
      <c r="B107" s="8" t="s">
        <v>43</v>
      </c>
      <c r="C107" s="8" t="s">
        <v>44</v>
      </c>
      <c r="D107" s="8" t="s">
        <v>73</v>
      </c>
      <c r="E107" s="8" t="s">
        <v>74</v>
      </c>
      <c r="F107" s="8" t="s">
        <v>75</v>
      </c>
      <c r="G107" s="8" t="s">
        <v>76</v>
      </c>
      <c r="I107" s="9" t="str">
        <f t="shared" ref="I107:O107" si="105">substitute(SUBSTITUTE(A107, "(", ""), ")", "")</f>
        <v>0.194, 0.194, 0.194</v>
      </c>
      <c r="J107" s="9" t="str">
        <f t="shared" si="105"/>
        <v>0.192, 0.172, 0.273</v>
      </c>
      <c r="K107" s="9" t="str">
        <f t="shared" si="105"/>
        <v>0.204, 0.164, 0.364</v>
      </c>
      <c r="L107" s="9" t="str">
        <f t="shared" si="105"/>
        <v>0.184, 0.166, 0.266</v>
      </c>
      <c r="M107" s="9" t="str">
        <f t="shared" si="105"/>
        <v>0.192, 0.153, 0.354</v>
      </c>
      <c r="N107" s="9" t="str">
        <f t="shared" si="105"/>
        <v>0.170, 0.153, 0.253</v>
      </c>
      <c r="O107" s="9" t="str">
        <f t="shared" si="105"/>
        <v>0.150, 0.120, 0.320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"","")"),0.151)</f>
        <v>0.151</v>
      </c>
      <c r="B109" s="9">
        <f>IFERROR(__xludf.DUMMYFUNCTION("""COMPUTED_VALUE"""),0.151)</f>
        <v>0.151</v>
      </c>
      <c r="C109" s="9">
        <f>IFERROR(__xludf.DUMMYFUNCTION("""COMPUTED_VALUE"""),0.151)</f>
        <v>0.151</v>
      </c>
      <c r="E109" s="11">
        <f>IFERROR(__xludf.DUMMYFUNCTION("SPLIT(J101, "","")"),0.15)</f>
        <v>0.15</v>
      </c>
      <c r="F109" s="9">
        <f>IFERROR(__xludf.DUMMYFUNCTION("""COMPUTED_VALUE"""),0.135)</f>
        <v>0.135</v>
      </c>
      <c r="G109" s="9">
        <f>IFERROR(__xludf.DUMMYFUNCTION("""COMPUTED_VALUE"""),0.235)</f>
        <v>0.235</v>
      </c>
      <c r="I109" s="9">
        <f>IFERROR(__xludf.DUMMYFUNCTION("SPLIT(K101, "","")"),0.16)</f>
        <v>0.16</v>
      </c>
      <c r="J109" s="9">
        <f>IFERROR(__xludf.DUMMYFUNCTION("""COMPUTED_VALUE"""),0.128)</f>
        <v>0.128</v>
      </c>
      <c r="K109" s="9">
        <f>IFERROR(__xludf.DUMMYFUNCTION("""COMPUTED_VALUE"""),0.328)</f>
        <v>0.328</v>
      </c>
      <c r="M109" s="9">
        <f>IFERROR(__xludf.DUMMYFUNCTION("SPLIT(L101, "","")"),0.143)</f>
        <v>0.143</v>
      </c>
      <c r="N109" s="9">
        <f>IFERROR(__xludf.DUMMYFUNCTION("""COMPUTED_VALUE"""),0.129)</f>
        <v>0.129</v>
      </c>
      <c r="O109" s="9">
        <f>IFERROR(__xludf.DUMMYFUNCTION("""COMPUTED_VALUE"""),0.228)</f>
        <v>0.228</v>
      </c>
      <c r="Q109" s="9">
        <f>IFERROR(__xludf.DUMMYFUNCTION("SPLIT(M101, "","")"),0.151)</f>
        <v>0.151</v>
      </c>
      <c r="R109" s="9">
        <f>IFERROR(__xludf.DUMMYFUNCTION("""COMPUTED_VALUE"""),0.121)</f>
        <v>0.121</v>
      </c>
      <c r="S109" s="9">
        <f>IFERROR(__xludf.DUMMYFUNCTION("""COMPUTED_VALUE"""),0.321)</f>
        <v>0.321</v>
      </c>
      <c r="U109" s="9">
        <f>IFERROR(__xludf.DUMMYFUNCTION("SPLIT(N101, "","")"),0.127)</f>
        <v>0.127</v>
      </c>
      <c r="V109" s="9">
        <f>IFERROR(__xludf.DUMMYFUNCTION("""COMPUTED_VALUE"""),0.115)</f>
        <v>0.115</v>
      </c>
      <c r="W109" s="9">
        <f>IFERROR(__xludf.DUMMYFUNCTION("""COMPUTED_VALUE"""),0.215)</f>
        <v>0.215</v>
      </c>
      <c r="Y109" s="9">
        <f>IFERROR(__xludf.DUMMYFUNCTION("SPLIT(O101, "","")"),0.122)</f>
        <v>0.122</v>
      </c>
      <c r="Z109" s="9">
        <f>IFERROR(__xludf.DUMMYFUNCTION("""COMPUTED_VALUE"""),0.098)</f>
        <v>0.098</v>
      </c>
      <c r="AA109" s="9">
        <f>IFERROR(__xludf.DUMMYFUNCTION("""COMPUTED_VALUE"""),0.297)</f>
        <v>0.297</v>
      </c>
    </row>
    <row r="110">
      <c r="A110" s="9">
        <f>IFERROR(__xludf.DUMMYFUNCTION("SPLIT(I102, "","")"),0.197)</f>
        <v>0.197</v>
      </c>
      <c r="B110" s="9">
        <f>IFERROR(__xludf.DUMMYFUNCTION("""COMPUTED_VALUE"""),0.197)</f>
        <v>0.197</v>
      </c>
      <c r="C110" s="9">
        <f>IFERROR(__xludf.DUMMYFUNCTION("""COMPUTED_VALUE"""),0.197)</f>
        <v>0.197</v>
      </c>
      <c r="E110" s="11">
        <f>IFERROR(__xludf.DUMMYFUNCTION("SPLIT(J102, "","")"),0.193)</f>
        <v>0.193</v>
      </c>
      <c r="F110" s="9">
        <f>IFERROR(__xludf.DUMMYFUNCTION("""COMPUTED_VALUE"""),0.174)</f>
        <v>0.174</v>
      </c>
      <c r="G110" s="9">
        <f>IFERROR(__xludf.DUMMYFUNCTION("""COMPUTED_VALUE"""),0.274)</f>
        <v>0.274</v>
      </c>
      <c r="I110" s="9">
        <f>IFERROR(__xludf.DUMMYFUNCTION("SPLIT(K102, "","")"),0.202)</f>
        <v>0.202</v>
      </c>
      <c r="J110" s="9">
        <f>IFERROR(__xludf.DUMMYFUNCTION("""COMPUTED_VALUE"""),0.162)</f>
        <v>0.162</v>
      </c>
      <c r="K110" s="9">
        <f>IFERROR(__xludf.DUMMYFUNCTION("""COMPUTED_VALUE"""),0.362)</f>
        <v>0.362</v>
      </c>
      <c r="M110" s="9">
        <f>IFERROR(__xludf.DUMMYFUNCTION("SPLIT(L102, "","")"),0.208)</f>
        <v>0.208</v>
      </c>
      <c r="N110" s="9">
        <f>IFERROR(__xludf.DUMMYFUNCTION("""COMPUTED_VALUE"""),0.188)</f>
        <v>0.188</v>
      </c>
      <c r="O110" s="9">
        <f>IFERROR(__xludf.DUMMYFUNCTION("""COMPUTED_VALUE"""),0.287)</f>
        <v>0.287</v>
      </c>
      <c r="Q110" s="9">
        <f>IFERROR(__xludf.DUMMYFUNCTION("SPLIT(M102, "","")"),0.217)</f>
        <v>0.217</v>
      </c>
      <c r="R110" s="9">
        <f>IFERROR(__xludf.DUMMYFUNCTION("""COMPUTED_VALUE"""),0.174)</f>
        <v>0.174</v>
      </c>
      <c r="S110" s="9">
        <f>IFERROR(__xludf.DUMMYFUNCTION("""COMPUTED_VALUE"""),0.374)</f>
        <v>0.374</v>
      </c>
      <c r="U110" s="9">
        <f>IFERROR(__xludf.DUMMYFUNCTION("SPLIT(N102, "","")"),0.192)</f>
        <v>0.192</v>
      </c>
      <c r="V110" s="9">
        <f>IFERROR(__xludf.DUMMYFUNCTION("""COMPUTED_VALUE"""),0.172)</f>
        <v>0.172</v>
      </c>
      <c r="W110" s="9">
        <f>IFERROR(__xludf.DUMMYFUNCTION("""COMPUTED_VALUE"""),0.273)</f>
        <v>0.273</v>
      </c>
      <c r="Y110" s="9">
        <f>IFERROR(__xludf.DUMMYFUNCTION("SPLIT(O102, "","")"),0.204)</f>
        <v>0.204</v>
      </c>
      <c r="Z110" s="9">
        <f>IFERROR(__xludf.DUMMYFUNCTION("""COMPUTED_VALUE"""),0.164)</f>
        <v>0.164</v>
      </c>
      <c r="AA110" s="9">
        <f>IFERROR(__xludf.DUMMYFUNCTION("""COMPUTED_VALUE"""),0.364)</f>
        <v>0.364</v>
      </c>
    </row>
    <row r="111">
      <c r="A111" s="9">
        <f>IFERROR(__xludf.DUMMYFUNCTION("SPLIT(I103, "","")"),0.218)</f>
        <v>0.218</v>
      </c>
      <c r="B111" s="9">
        <f>IFERROR(__xludf.DUMMYFUNCTION("""COMPUTED_VALUE"""),0.218)</f>
        <v>0.218</v>
      </c>
      <c r="C111" s="9">
        <f>IFERROR(__xludf.DUMMYFUNCTION("""COMPUTED_VALUE"""),0.218)</f>
        <v>0.218</v>
      </c>
      <c r="E111" s="11">
        <f>IFERROR(__xludf.DUMMYFUNCTION("SPLIT(J103, "","")"),0.216)</f>
        <v>0.216</v>
      </c>
      <c r="F111" s="9">
        <f>IFERROR(__xludf.DUMMYFUNCTION("""COMPUTED_VALUE"""),0.195)</f>
        <v>0.195</v>
      </c>
      <c r="G111" s="9">
        <f>IFERROR(__xludf.DUMMYFUNCTION("""COMPUTED_VALUE"""),0.294)</f>
        <v>0.294</v>
      </c>
      <c r="I111" s="9">
        <f>IFERROR(__xludf.DUMMYFUNCTION("SPLIT(K103, "","")"),0.227)</f>
        <v>0.227</v>
      </c>
      <c r="J111" s="9">
        <f>IFERROR(__xludf.DUMMYFUNCTION("""COMPUTED_VALUE"""),0.181)</f>
        <v>0.181</v>
      </c>
      <c r="K111" s="9">
        <f>IFERROR(__xludf.DUMMYFUNCTION("""COMPUTED_VALUE"""),0.381)</f>
        <v>0.381</v>
      </c>
      <c r="M111" s="9">
        <f>IFERROR(__xludf.DUMMYFUNCTION("SPLIT(L103, "","")"),0.228)</f>
        <v>0.228</v>
      </c>
      <c r="N111" s="9">
        <f>IFERROR(__xludf.DUMMYFUNCTION("""COMPUTED_VALUE"""),0.205)</f>
        <v>0.205</v>
      </c>
      <c r="O111" s="9">
        <f>IFERROR(__xludf.DUMMYFUNCTION("""COMPUTED_VALUE"""),0.305)</f>
        <v>0.305</v>
      </c>
      <c r="Q111" s="9">
        <f>IFERROR(__xludf.DUMMYFUNCTION("SPLIT(M103, "","")"),0.241)</f>
        <v>0.241</v>
      </c>
      <c r="R111" s="9">
        <f>IFERROR(__xludf.DUMMYFUNCTION("""COMPUTED_VALUE"""),0.192)</f>
        <v>0.192</v>
      </c>
      <c r="S111" s="9">
        <f>IFERROR(__xludf.DUMMYFUNCTION("""COMPUTED_VALUE"""),0.392)</f>
        <v>0.392</v>
      </c>
      <c r="U111" s="9">
        <f>IFERROR(__xludf.DUMMYFUNCTION("SPLIT(N103, "","")"),0.2)</f>
        <v>0.2</v>
      </c>
      <c r="V111" s="9">
        <f>IFERROR(__xludf.DUMMYFUNCTION("""COMPUTED_VALUE"""),0.18)</f>
        <v>0.18</v>
      </c>
      <c r="W111" s="9">
        <f>IFERROR(__xludf.DUMMYFUNCTION("""COMPUTED_VALUE"""),0.28)</f>
        <v>0.28</v>
      </c>
      <c r="Y111" s="9">
        <f>IFERROR(__xludf.DUMMYFUNCTION("SPLIT(O103, "","")"),0.209)</f>
        <v>0.209</v>
      </c>
      <c r="Z111" s="9">
        <f>IFERROR(__xludf.DUMMYFUNCTION("""COMPUTED_VALUE"""),0.167)</f>
        <v>0.167</v>
      </c>
      <c r="AA111" s="9">
        <f>IFERROR(__xludf.DUMMYFUNCTION("""COMPUTED_VALUE"""),0.367)</f>
        <v>0.367</v>
      </c>
    </row>
    <row r="112">
      <c r="A112" s="9">
        <f>IFERROR(__xludf.DUMMYFUNCTION("SPLIT(I104, "","")"),0.188)</f>
        <v>0.188</v>
      </c>
      <c r="B112" s="9">
        <f>IFERROR(__xludf.DUMMYFUNCTION("""COMPUTED_VALUE"""),0.188)</f>
        <v>0.188</v>
      </c>
      <c r="C112" s="9">
        <f>IFERROR(__xludf.DUMMYFUNCTION("""COMPUTED_VALUE"""),0.188)</f>
        <v>0.188</v>
      </c>
      <c r="E112" s="11">
        <f>IFERROR(__xludf.DUMMYFUNCTION("SPLIT(J104, "","")"),0.187)</f>
        <v>0.187</v>
      </c>
      <c r="F112" s="9">
        <f>IFERROR(__xludf.DUMMYFUNCTION("""COMPUTED_VALUE"""),0.168)</f>
        <v>0.168</v>
      </c>
      <c r="G112" s="9">
        <f>IFERROR(__xludf.DUMMYFUNCTION("""COMPUTED_VALUE"""),0.268)</f>
        <v>0.268</v>
      </c>
      <c r="I112" s="9">
        <f>IFERROR(__xludf.DUMMYFUNCTION("SPLIT(K104, "","")"),0.194)</f>
        <v>0.194</v>
      </c>
      <c r="J112" s="9">
        <f>IFERROR(__xludf.DUMMYFUNCTION("""COMPUTED_VALUE"""),0.155)</f>
        <v>0.155</v>
      </c>
      <c r="K112" s="9">
        <f>IFERROR(__xludf.DUMMYFUNCTION("""COMPUTED_VALUE"""),0.355)</f>
        <v>0.355</v>
      </c>
      <c r="M112" s="9">
        <f>IFERROR(__xludf.DUMMYFUNCTION("SPLIT(L104, "","")"),0.183)</f>
        <v>0.183</v>
      </c>
      <c r="N112" s="9">
        <f>IFERROR(__xludf.DUMMYFUNCTION("""COMPUTED_VALUE"""),0.164)</f>
        <v>0.164</v>
      </c>
      <c r="O112" s="9">
        <f>IFERROR(__xludf.DUMMYFUNCTION("""COMPUTED_VALUE"""),0.265)</f>
        <v>0.265</v>
      </c>
      <c r="Q112" s="9">
        <f>IFERROR(__xludf.DUMMYFUNCTION("SPLIT(M104, "","")"),0.172)</f>
        <v>0.172</v>
      </c>
      <c r="R112" s="9">
        <f>IFERROR(__xludf.DUMMYFUNCTION("""COMPUTED_VALUE"""),0.138)</f>
        <v>0.138</v>
      </c>
      <c r="S112" s="9">
        <f>IFERROR(__xludf.DUMMYFUNCTION("""COMPUTED_VALUE"""),0.338)</f>
        <v>0.338</v>
      </c>
      <c r="U112" s="9">
        <f>IFERROR(__xludf.DUMMYFUNCTION("SPLIT(N104, "","")"),0.172)</f>
        <v>0.172</v>
      </c>
      <c r="V112" s="9">
        <f>IFERROR(__xludf.DUMMYFUNCTION("""COMPUTED_VALUE"""),0.154)</f>
        <v>0.154</v>
      </c>
      <c r="W112" s="9">
        <f>IFERROR(__xludf.DUMMYFUNCTION("""COMPUTED_VALUE"""),0.255)</f>
        <v>0.255</v>
      </c>
      <c r="Y112" s="9">
        <f>IFERROR(__xludf.DUMMYFUNCTION("SPLIT(O104, "","")"),0.166)</f>
        <v>0.166</v>
      </c>
      <c r="Z112" s="9">
        <f>IFERROR(__xludf.DUMMYFUNCTION("""COMPUTED_VALUE"""),0.133)</f>
        <v>0.133</v>
      </c>
      <c r="AA112" s="9">
        <f>IFERROR(__xludf.DUMMYFUNCTION("""COMPUTED_VALUE"""),0.333)</f>
        <v>0.333</v>
      </c>
    </row>
    <row r="113">
      <c r="A113" s="9">
        <f>IFERROR(__xludf.DUMMYFUNCTION("SPLIT(I105, "","")"),0.22)</f>
        <v>0.22</v>
      </c>
      <c r="B113" s="9">
        <f>IFERROR(__xludf.DUMMYFUNCTION("""COMPUTED_VALUE"""),0.22)</f>
        <v>0.22</v>
      </c>
      <c r="C113" s="9">
        <f>IFERROR(__xludf.DUMMYFUNCTION("""COMPUTED_VALUE"""),0.22)</f>
        <v>0.22</v>
      </c>
      <c r="E113" s="11">
        <f>IFERROR(__xludf.DUMMYFUNCTION("SPLIT(J105, "","")"),0.218)</f>
        <v>0.218</v>
      </c>
      <c r="F113" s="9">
        <f>IFERROR(__xludf.DUMMYFUNCTION("""COMPUTED_VALUE"""),0.197)</f>
        <v>0.197</v>
      </c>
      <c r="G113" s="9">
        <f>IFERROR(__xludf.DUMMYFUNCTION("""COMPUTED_VALUE"""),0.296)</f>
        <v>0.296</v>
      </c>
      <c r="I113" s="9">
        <f>IFERROR(__xludf.DUMMYFUNCTION("SPLIT(K105, "","")"),0.221)</f>
        <v>0.221</v>
      </c>
      <c r="J113" s="9">
        <f>IFERROR(__xludf.DUMMYFUNCTION("""COMPUTED_VALUE"""),0.177)</f>
        <v>0.177</v>
      </c>
      <c r="K113" s="9">
        <f>IFERROR(__xludf.DUMMYFUNCTION("""COMPUTED_VALUE"""),0.377)</f>
        <v>0.377</v>
      </c>
      <c r="M113" s="9">
        <f>IFERROR(__xludf.DUMMYFUNCTION("SPLIT(L105, "","")"),0.202)</f>
        <v>0.202</v>
      </c>
      <c r="N113" s="9">
        <f>IFERROR(__xludf.DUMMYFUNCTION("""COMPUTED_VALUE"""),0.182)</f>
        <v>0.182</v>
      </c>
      <c r="O113" s="9">
        <f>IFERROR(__xludf.DUMMYFUNCTION("""COMPUTED_VALUE"""),0.282)</f>
        <v>0.282</v>
      </c>
      <c r="Q113" s="9">
        <f>IFERROR(__xludf.DUMMYFUNCTION("SPLIT(M105, "","")"),0.191)</f>
        <v>0.191</v>
      </c>
      <c r="R113" s="9">
        <f>IFERROR(__xludf.DUMMYFUNCTION("""COMPUTED_VALUE"""),0.152)</f>
        <v>0.152</v>
      </c>
      <c r="S113" s="9">
        <f>IFERROR(__xludf.DUMMYFUNCTION("""COMPUTED_VALUE"""),0.353)</f>
        <v>0.353</v>
      </c>
      <c r="U113" s="9">
        <f>IFERROR(__xludf.DUMMYFUNCTION("SPLIT(N105, "","")"),0.191)</f>
        <v>0.191</v>
      </c>
      <c r="V113" s="9">
        <f>IFERROR(__xludf.DUMMYFUNCTION("""COMPUTED_VALUE"""),0.172)</f>
        <v>0.172</v>
      </c>
      <c r="W113" s="9">
        <f>IFERROR(__xludf.DUMMYFUNCTION("""COMPUTED_VALUE"""),0.272)</f>
        <v>0.272</v>
      </c>
      <c r="Y113" s="9">
        <f>IFERROR(__xludf.DUMMYFUNCTION("SPLIT(O105, "","")"),0.168)</f>
        <v>0.168</v>
      </c>
      <c r="Z113" s="9">
        <f>IFERROR(__xludf.DUMMYFUNCTION("""COMPUTED_VALUE"""),0.134)</f>
        <v>0.134</v>
      </c>
      <c r="AA113" s="9">
        <f>IFERROR(__xludf.DUMMYFUNCTION("""COMPUTED_VALUE"""),0.334)</f>
        <v>0.334</v>
      </c>
    </row>
    <row r="114">
      <c r="A114" s="9">
        <f>IFERROR(__xludf.DUMMYFUNCTION("SPLIT(I106, "","")"),0.197)</f>
        <v>0.197</v>
      </c>
      <c r="B114" s="9">
        <f>IFERROR(__xludf.DUMMYFUNCTION("""COMPUTED_VALUE"""),0.197)</f>
        <v>0.197</v>
      </c>
      <c r="C114" s="9">
        <f>IFERROR(__xludf.DUMMYFUNCTION("""COMPUTED_VALUE"""),0.197)</f>
        <v>0.197</v>
      </c>
      <c r="E114" s="11">
        <f>IFERROR(__xludf.DUMMYFUNCTION("SPLIT(J106, "","")"),0.199)</f>
        <v>0.199</v>
      </c>
      <c r="F114" s="9">
        <f>IFERROR(__xludf.DUMMYFUNCTION("""COMPUTED_VALUE"""),0.179)</f>
        <v>0.179</v>
      </c>
      <c r="G114" s="9">
        <f>IFERROR(__xludf.DUMMYFUNCTION("""COMPUTED_VALUE"""),0.279)</f>
        <v>0.279</v>
      </c>
      <c r="I114" s="9">
        <f>IFERROR(__xludf.DUMMYFUNCTION("SPLIT(K106, "","")"),0.201)</f>
        <v>0.201</v>
      </c>
      <c r="J114" s="9">
        <f>IFERROR(__xludf.DUMMYFUNCTION("""COMPUTED_VALUE"""),0.161)</f>
        <v>0.161</v>
      </c>
      <c r="K114" s="9">
        <f>IFERROR(__xludf.DUMMYFUNCTION("""COMPUTED_VALUE"""),0.361)</f>
        <v>0.361</v>
      </c>
      <c r="M114" s="9">
        <f>IFERROR(__xludf.DUMMYFUNCTION("SPLIT(L106, "","")"),0.193)</f>
        <v>0.193</v>
      </c>
      <c r="N114" s="9">
        <f>IFERROR(__xludf.DUMMYFUNCTION("""COMPUTED_VALUE"""),0.173)</f>
        <v>0.173</v>
      </c>
      <c r="O114" s="9">
        <f>IFERROR(__xludf.DUMMYFUNCTION("""COMPUTED_VALUE"""),0.274)</f>
        <v>0.274</v>
      </c>
      <c r="Q114" s="9">
        <f>IFERROR(__xludf.DUMMYFUNCTION("SPLIT(M106, "","")"),0.171)</f>
        <v>0.171</v>
      </c>
      <c r="R114" s="9">
        <f>IFERROR(__xludf.DUMMYFUNCTION("""COMPUTED_VALUE"""),0.137)</f>
        <v>0.137</v>
      </c>
      <c r="S114" s="9">
        <f>IFERROR(__xludf.DUMMYFUNCTION("""COMPUTED_VALUE"""),0.337)</f>
        <v>0.337</v>
      </c>
      <c r="U114" s="9">
        <f>IFERROR(__xludf.DUMMYFUNCTION("SPLIT(N106, "","")"),0.167)</f>
        <v>0.167</v>
      </c>
      <c r="V114" s="9">
        <f>IFERROR(__xludf.DUMMYFUNCTION("""COMPUTED_VALUE"""),0.151)</f>
        <v>0.151</v>
      </c>
      <c r="W114" s="9">
        <f>IFERROR(__xludf.DUMMYFUNCTION("""COMPUTED_VALUE"""),0.251)</f>
        <v>0.251</v>
      </c>
      <c r="Y114" s="9">
        <f>IFERROR(__xludf.DUMMYFUNCTION("SPLIT(O106, "","")"),0.144)</f>
        <v>0.144</v>
      </c>
      <c r="Z114" s="9">
        <f>IFERROR(__xludf.DUMMYFUNCTION("""COMPUTED_VALUE"""),0.115)</f>
        <v>0.115</v>
      </c>
      <c r="AA114" s="9">
        <f>IFERROR(__xludf.DUMMYFUNCTION("""COMPUTED_VALUE"""),0.316)</f>
        <v>0.316</v>
      </c>
    </row>
    <row r="115">
      <c r="A115" s="9">
        <f>IFERROR(__xludf.DUMMYFUNCTION("SPLIT(I107, "","")"),0.194)</f>
        <v>0.194</v>
      </c>
      <c r="B115" s="9">
        <f>IFERROR(__xludf.DUMMYFUNCTION("""COMPUTED_VALUE"""),0.194)</f>
        <v>0.194</v>
      </c>
      <c r="C115" s="9">
        <f>IFERROR(__xludf.DUMMYFUNCTION("""COMPUTED_VALUE"""),0.194)</f>
        <v>0.194</v>
      </c>
      <c r="E115" s="11">
        <f>IFERROR(__xludf.DUMMYFUNCTION("SPLIT(J107, "","")"),0.192)</f>
        <v>0.192</v>
      </c>
      <c r="F115" s="9">
        <f>IFERROR(__xludf.DUMMYFUNCTION("""COMPUTED_VALUE"""),0.172)</f>
        <v>0.172</v>
      </c>
      <c r="G115" s="9">
        <f>IFERROR(__xludf.DUMMYFUNCTION("""COMPUTED_VALUE"""),0.273)</f>
        <v>0.273</v>
      </c>
      <c r="I115" s="9">
        <f>IFERROR(__xludf.DUMMYFUNCTION("SPLIT(K107, "","")"),0.204)</f>
        <v>0.204</v>
      </c>
      <c r="J115" s="9">
        <f>IFERROR(__xludf.DUMMYFUNCTION("""COMPUTED_VALUE"""),0.164)</f>
        <v>0.164</v>
      </c>
      <c r="K115" s="9">
        <f>IFERROR(__xludf.DUMMYFUNCTION("""COMPUTED_VALUE"""),0.364)</f>
        <v>0.364</v>
      </c>
      <c r="M115" s="9">
        <f>IFERROR(__xludf.DUMMYFUNCTION("SPLIT(L107, "","")"),0.184)</f>
        <v>0.184</v>
      </c>
      <c r="N115" s="9">
        <f>IFERROR(__xludf.DUMMYFUNCTION("""COMPUTED_VALUE"""),0.166)</f>
        <v>0.166</v>
      </c>
      <c r="O115" s="9">
        <f>IFERROR(__xludf.DUMMYFUNCTION("""COMPUTED_VALUE"""),0.266)</f>
        <v>0.266</v>
      </c>
      <c r="Q115" s="9">
        <f>IFERROR(__xludf.DUMMYFUNCTION("SPLIT(M107, "","")"),0.192)</f>
        <v>0.192</v>
      </c>
      <c r="R115" s="9">
        <f>IFERROR(__xludf.DUMMYFUNCTION("""COMPUTED_VALUE"""),0.153)</f>
        <v>0.153</v>
      </c>
      <c r="S115" s="9">
        <f>IFERROR(__xludf.DUMMYFUNCTION("""COMPUTED_VALUE"""),0.354)</f>
        <v>0.354</v>
      </c>
      <c r="U115" s="9">
        <f>IFERROR(__xludf.DUMMYFUNCTION("SPLIT(N107, "","")"),0.17)</f>
        <v>0.17</v>
      </c>
      <c r="V115" s="9">
        <f>IFERROR(__xludf.DUMMYFUNCTION("""COMPUTED_VALUE"""),0.153)</f>
        <v>0.153</v>
      </c>
      <c r="W115" s="9">
        <f>IFERROR(__xludf.DUMMYFUNCTION("""COMPUTED_VALUE"""),0.253)</f>
        <v>0.253</v>
      </c>
      <c r="Y115" s="9">
        <f>IFERROR(__xludf.DUMMYFUNCTION("SPLIT(O107, "","")"),0.15)</f>
        <v>0.15</v>
      </c>
      <c r="Z115" s="9">
        <f>IFERROR(__xludf.DUMMYFUNCTION("""COMPUTED_VALUE"""),0.12)</f>
        <v>0.12</v>
      </c>
      <c r="AA115" s="9">
        <f>IFERROR(__xludf.DUMMYFUNCTION("""COMPUTED_VALUE"""),0.32)</f>
        <v>0.32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0.151</v>
      </c>
      <c r="D119" s="7">
        <f t="shared" ref="D119:D125" si="111">E109</f>
        <v>0.15</v>
      </c>
      <c r="E119" s="7">
        <f t="shared" ref="E119:E125" si="112">I109</f>
        <v>0.16</v>
      </c>
      <c r="F119" s="7">
        <f t="shared" ref="F119:G119" si="106">N109</f>
        <v>0.129</v>
      </c>
      <c r="G119" s="12">
        <f t="shared" si="106"/>
        <v>0.228</v>
      </c>
      <c r="H119" s="7">
        <f t="shared" ref="H119:I119" si="107">R109</f>
        <v>0.121</v>
      </c>
      <c r="I119" s="12">
        <f t="shared" si="107"/>
        <v>0.321</v>
      </c>
      <c r="J119" s="7">
        <f t="shared" ref="J119:K119" si="108">V109</f>
        <v>0.115</v>
      </c>
      <c r="K119" s="12">
        <f t="shared" si="108"/>
        <v>0.215</v>
      </c>
      <c r="L119" s="7">
        <f t="shared" ref="L119:M119" si="109">Z109</f>
        <v>0.098</v>
      </c>
      <c r="M119" s="7">
        <f t="shared" si="109"/>
        <v>0.297</v>
      </c>
    </row>
    <row r="120">
      <c r="B120" s="6" t="s">
        <v>5</v>
      </c>
      <c r="C120" s="7">
        <f t="shared" si="110"/>
        <v>0.197</v>
      </c>
      <c r="D120" s="7">
        <f t="shared" si="111"/>
        <v>0.193</v>
      </c>
      <c r="E120" s="7">
        <f t="shared" si="112"/>
        <v>0.202</v>
      </c>
      <c r="F120" s="7">
        <f t="shared" ref="F120:G120" si="113">N110</f>
        <v>0.188</v>
      </c>
      <c r="G120" s="12">
        <f t="shared" si="113"/>
        <v>0.287</v>
      </c>
      <c r="H120" s="7">
        <f t="shared" ref="H120:I120" si="114">R110</f>
        <v>0.174</v>
      </c>
      <c r="I120" s="12">
        <f t="shared" si="114"/>
        <v>0.374</v>
      </c>
      <c r="J120" s="7">
        <f t="shared" ref="J120:K120" si="115">V110</f>
        <v>0.172</v>
      </c>
      <c r="K120" s="12">
        <f t="shared" si="115"/>
        <v>0.273</v>
      </c>
      <c r="L120" s="7">
        <f t="shared" ref="L120:M120" si="116">Z110</f>
        <v>0.164</v>
      </c>
      <c r="M120" s="7">
        <f t="shared" si="116"/>
        <v>0.364</v>
      </c>
    </row>
    <row r="121">
      <c r="B121" s="6" t="s">
        <v>6</v>
      </c>
      <c r="C121" s="7">
        <f t="shared" si="110"/>
        <v>0.218</v>
      </c>
      <c r="D121" s="7">
        <f t="shared" si="111"/>
        <v>0.216</v>
      </c>
      <c r="E121" s="7">
        <f t="shared" si="112"/>
        <v>0.227</v>
      </c>
      <c r="F121" s="7">
        <f t="shared" ref="F121:G121" si="117">N111</f>
        <v>0.205</v>
      </c>
      <c r="G121" s="12">
        <f t="shared" si="117"/>
        <v>0.305</v>
      </c>
      <c r="H121" s="7">
        <f t="shared" ref="H121:I121" si="118">R111</f>
        <v>0.192</v>
      </c>
      <c r="I121" s="12">
        <f t="shared" si="118"/>
        <v>0.392</v>
      </c>
      <c r="J121" s="7">
        <f t="shared" ref="J121:K121" si="119">V111</f>
        <v>0.18</v>
      </c>
      <c r="K121" s="12">
        <f t="shared" si="119"/>
        <v>0.28</v>
      </c>
      <c r="L121" s="7">
        <f t="shared" ref="L121:M121" si="120">Z111</f>
        <v>0.167</v>
      </c>
      <c r="M121" s="7">
        <f t="shared" si="120"/>
        <v>0.367</v>
      </c>
    </row>
    <row r="122">
      <c r="B122" s="6" t="s">
        <v>7</v>
      </c>
      <c r="C122" s="7">
        <f t="shared" si="110"/>
        <v>0.188</v>
      </c>
      <c r="D122" s="7">
        <f t="shared" si="111"/>
        <v>0.187</v>
      </c>
      <c r="E122" s="7">
        <f t="shared" si="112"/>
        <v>0.194</v>
      </c>
      <c r="F122" s="7">
        <f t="shared" ref="F122:G122" si="121">N112</f>
        <v>0.164</v>
      </c>
      <c r="G122" s="12">
        <f t="shared" si="121"/>
        <v>0.265</v>
      </c>
      <c r="H122" s="7">
        <f t="shared" ref="H122:I122" si="122">R112</f>
        <v>0.138</v>
      </c>
      <c r="I122" s="12">
        <f t="shared" si="122"/>
        <v>0.338</v>
      </c>
      <c r="J122" s="7">
        <f t="shared" ref="J122:K122" si="123">V112</f>
        <v>0.154</v>
      </c>
      <c r="K122" s="12">
        <f t="shared" si="123"/>
        <v>0.255</v>
      </c>
      <c r="L122" s="7">
        <f t="shared" ref="L122:M122" si="124">Z112</f>
        <v>0.133</v>
      </c>
      <c r="M122" s="7">
        <f t="shared" si="124"/>
        <v>0.333</v>
      </c>
    </row>
    <row r="123">
      <c r="B123" s="6" t="s">
        <v>8</v>
      </c>
      <c r="C123" s="7">
        <f t="shared" si="110"/>
        <v>0.22</v>
      </c>
      <c r="D123" s="7">
        <f t="shared" si="111"/>
        <v>0.218</v>
      </c>
      <c r="E123" s="7">
        <f t="shared" si="112"/>
        <v>0.221</v>
      </c>
      <c r="F123" s="7">
        <f t="shared" ref="F123:G123" si="125">N113</f>
        <v>0.182</v>
      </c>
      <c r="G123" s="12">
        <f t="shared" si="125"/>
        <v>0.282</v>
      </c>
      <c r="H123" s="7">
        <f t="shared" ref="H123:I123" si="126">R113</f>
        <v>0.152</v>
      </c>
      <c r="I123" s="12">
        <f t="shared" si="126"/>
        <v>0.353</v>
      </c>
      <c r="J123" s="7">
        <f t="shared" ref="J123:K123" si="127">V113</f>
        <v>0.172</v>
      </c>
      <c r="K123" s="12">
        <f t="shared" si="127"/>
        <v>0.272</v>
      </c>
      <c r="L123" s="7">
        <f t="shared" ref="L123:M123" si="128">Z113</f>
        <v>0.134</v>
      </c>
      <c r="M123" s="7">
        <f t="shared" si="128"/>
        <v>0.334</v>
      </c>
    </row>
    <row r="124">
      <c r="B124" s="6" t="s">
        <v>9</v>
      </c>
      <c r="C124" s="7">
        <f t="shared" si="110"/>
        <v>0.197</v>
      </c>
      <c r="D124" s="7">
        <f t="shared" si="111"/>
        <v>0.199</v>
      </c>
      <c r="E124" s="7">
        <f t="shared" si="112"/>
        <v>0.201</v>
      </c>
      <c r="F124" s="7">
        <f t="shared" ref="F124:G124" si="129">N114</f>
        <v>0.173</v>
      </c>
      <c r="G124" s="12">
        <f t="shared" si="129"/>
        <v>0.274</v>
      </c>
      <c r="H124" s="7">
        <f t="shared" ref="H124:I124" si="130">R114</f>
        <v>0.137</v>
      </c>
      <c r="I124" s="12">
        <f t="shared" si="130"/>
        <v>0.337</v>
      </c>
      <c r="J124" s="7">
        <f t="shared" ref="J124:K124" si="131">V114</f>
        <v>0.151</v>
      </c>
      <c r="K124" s="12">
        <f t="shared" si="131"/>
        <v>0.251</v>
      </c>
      <c r="L124" s="7">
        <f t="shared" ref="L124:M124" si="132">Z114</f>
        <v>0.115</v>
      </c>
      <c r="M124" s="7">
        <f t="shared" si="132"/>
        <v>0.316</v>
      </c>
    </row>
    <row r="125">
      <c r="B125" s="6" t="s">
        <v>10</v>
      </c>
      <c r="C125" s="7">
        <f t="shared" si="110"/>
        <v>0.194</v>
      </c>
      <c r="D125" s="7">
        <f t="shared" si="111"/>
        <v>0.192</v>
      </c>
      <c r="E125" s="7">
        <f t="shared" si="112"/>
        <v>0.204</v>
      </c>
      <c r="F125" s="7">
        <f t="shared" ref="F125:G125" si="133">N115</f>
        <v>0.166</v>
      </c>
      <c r="G125" s="12">
        <f t="shared" si="133"/>
        <v>0.266</v>
      </c>
      <c r="H125" s="7">
        <f t="shared" ref="H125:I125" si="134">R115</f>
        <v>0.153</v>
      </c>
      <c r="I125" s="12">
        <f t="shared" si="134"/>
        <v>0.354</v>
      </c>
      <c r="J125" s="7">
        <f t="shared" ref="J125:K125" si="135">V115</f>
        <v>0.153</v>
      </c>
      <c r="K125" s="12">
        <f t="shared" si="135"/>
        <v>0.253</v>
      </c>
      <c r="L125" s="7">
        <f t="shared" ref="L125:M125" si="136">Z115</f>
        <v>0.12</v>
      </c>
      <c r="M125" s="7">
        <f t="shared" si="136"/>
        <v>0.32</v>
      </c>
    </row>
    <row r="127">
      <c r="A127" s="8" t="s">
        <v>92</v>
      </c>
      <c r="B127" s="8" t="s">
        <v>93</v>
      </c>
      <c r="C127" s="8" t="s">
        <v>94</v>
      </c>
      <c r="D127" s="8" t="s">
        <v>95</v>
      </c>
      <c r="E127" s="8" t="s">
        <v>96</v>
      </c>
      <c r="F127" s="8" t="s">
        <v>97</v>
      </c>
      <c r="G127" s="8" t="s">
        <v>98</v>
      </c>
      <c r="I127" s="9" t="str">
        <f t="shared" ref="I127:O127" si="137">substitute(SUBSTITUTE(A127, "(", ""), ")", "")</f>
        <v>0.331, 0.331, 0.331</v>
      </c>
      <c r="J127" s="9" t="str">
        <f t="shared" si="137"/>
        <v>0.343, 0.309, 0.409</v>
      </c>
      <c r="K127" s="9" t="str">
        <f t="shared" si="137"/>
        <v>0.361, 0.289, 0.489</v>
      </c>
      <c r="L127" s="9" t="str">
        <f t="shared" si="137"/>
        <v>0.340, 0.306, 0.406</v>
      </c>
      <c r="M127" s="9" t="str">
        <f t="shared" si="137"/>
        <v>0.352, 0.282, 0.482</v>
      </c>
      <c r="N127" s="9" t="str">
        <f t="shared" si="137"/>
        <v>0.339, 0.305, 0.405</v>
      </c>
      <c r="O127" s="9" t="str">
        <f t="shared" si="137"/>
        <v>0.344, 0.275, 0.475</v>
      </c>
      <c r="T127" s="6"/>
    </row>
    <row r="128">
      <c r="A128" s="8" t="s">
        <v>92</v>
      </c>
      <c r="B128" s="8" t="s">
        <v>93</v>
      </c>
      <c r="C128" s="8" t="s">
        <v>99</v>
      </c>
      <c r="D128" s="8" t="s">
        <v>100</v>
      </c>
      <c r="E128" s="8" t="s">
        <v>101</v>
      </c>
      <c r="F128" s="8" t="s">
        <v>93</v>
      </c>
      <c r="G128" s="8" t="s">
        <v>102</v>
      </c>
      <c r="I128" s="9" t="str">
        <f t="shared" ref="I128:O128" si="138">substitute(SUBSTITUTE(A128, "(", ""), ")", "")</f>
        <v>0.331, 0.331, 0.331</v>
      </c>
      <c r="J128" s="9" t="str">
        <f t="shared" si="138"/>
        <v>0.343, 0.309, 0.409</v>
      </c>
      <c r="K128" s="9" t="str">
        <f t="shared" si="138"/>
        <v>0.360, 0.288, 0.488</v>
      </c>
      <c r="L128" s="9" t="str">
        <f t="shared" si="138"/>
        <v>0.346, 0.311, 0.411</v>
      </c>
      <c r="M128" s="9" t="str">
        <f t="shared" si="138"/>
        <v>0.358, 0.287, 0.487</v>
      </c>
      <c r="N128" s="9" t="str">
        <f t="shared" si="138"/>
        <v>0.343, 0.309, 0.409</v>
      </c>
      <c r="O128" s="9" t="str">
        <f t="shared" si="138"/>
        <v>0.354, 0.283, 0.483</v>
      </c>
    </row>
    <row r="129">
      <c r="A129" s="8" t="s">
        <v>103</v>
      </c>
      <c r="B129" s="8" t="s">
        <v>104</v>
      </c>
      <c r="C129" s="8" t="s">
        <v>105</v>
      </c>
      <c r="D129" s="8" t="s">
        <v>106</v>
      </c>
      <c r="E129" s="8" t="s">
        <v>107</v>
      </c>
      <c r="F129" s="8" t="s">
        <v>108</v>
      </c>
      <c r="G129" s="8" t="s">
        <v>109</v>
      </c>
      <c r="I129" s="9" t="str">
        <f t="shared" ref="I129:O129" si="139">substitute(SUBSTITUTE(A129, "(", ""), ")", "")</f>
        <v>0.358, 0.358, 0.358</v>
      </c>
      <c r="J129" s="9" t="str">
        <f t="shared" si="139"/>
        <v>0.369, 0.332, 0.432</v>
      </c>
      <c r="K129" s="9" t="str">
        <f t="shared" si="139"/>
        <v>0.393, 0.314, 0.514</v>
      </c>
      <c r="L129" s="9" t="str">
        <f t="shared" si="139"/>
        <v>0.374, 0.337, 0.437</v>
      </c>
      <c r="M129" s="9" t="str">
        <f t="shared" si="139"/>
        <v>0.390, 0.312, 0.512</v>
      </c>
      <c r="N129" s="9" t="str">
        <f t="shared" si="139"/>
        <v>0.371, 0.334, 0.434</v>
      </c>
      <c r="O129" s="9" t="str">
        <f t="shared" si="139"/>
        <v>0.384, 0.307, 0.507</v>
      </c>
    </row>
    <row r="130">
      <c r="A130" s="8" t="s">
        <v>110</v>
      </c>
      <c r="B130" s="8" t="s">
        <v>111</v>
      </c>
      <c r="C130" s="8" t="s">
        <v>112</v>
      </c>
      <c r="D130" s="8" t="s">
        <v>97</v>
      </c>
      <c r="E130" s="8" t="s">
        <v>113</v>
      </c>
      <c r="F130" s="8" t="s">
        <v>111</v>
      </c>
      <c r="G130" s="8" t="s">
        <v>114</v>
      </c>
      <c r="I130" s="9" t="str">
        <f t="shared" ref="I130:O130" si="140">substitute(SUBSTITUTE(A130, "(", ""), ")", "")</f>
        <v>0.329, 0.329, 0.329</v>
      </c>
      <c r="J130" s="9" t="str">
        <f t="shared" si="140"/>
        <v>0.338, 0.304, 0.404</v>
      </c>
      <c r="K130" s="9" t="str">
        <f t="shared" si="140"/>
        <v>0.356, 0.285, 0.485</v>
      </c>
      <c r="L130" s="9" t="str">
        <f t="shared" si="140"/>
        <v>0.339, 0.305, 0.405</v>
      </c>
      <c r="M130" s="9" t="str">
        <f t="shared" si="140"/>
        <v>0.352, 0.281, 0.481</v>
      </c>
      <c r="N130" s="9" t="str">
        <f t="shared" si="140"/>
        <v>0.338, 0.304, 0.404</v>
      </c>
      <c r="O130" s="9" t="str">
        <f t="shared" si="140"/>
        <v>0.347, 0.277, 0.477</v>
      </c>
    </row>
    <row r="131">
      <c r="A131" s="8" t="s">
        <v>115</v>
      </c>
      <c r="B131" s="8" t="s">
        <v>116</v>
      </c>
      <c r="C131" s="8" t="s">
        <v>117</v>
      </c>
      <c r="D131" s="8" t="s">
        <v>118</v>
      </c>
      <c r="E131" s="8" t="s">
        <v>119</v>
      </c>
      <c r="F131" s="8" t="s">
        <v>116</v>
      </c>
      <c r="G131" s="8" t="s">
        <v>102</v>
      </c>
      <c r="I131" s="9" t="str">
        <f t="shared" ref="I131:O131" si="141">substitute(SUBSTITUTE(A131, "(", ""), ")", "")</f>
        <v>0.327, 0.327, 0.327</v>
      </c>
      <c r="J131" s="9" t="str">
        <f t="shared" si="141"/>
        <v>0.337, 0.303, 0.403</v>
      </c>
      <c r="K131" s="9" t="str">
        <f t="shared" si="141"/>
        <v>0.357, 0.286, 0.486</v>
      </c>
      <c r="L131" s="9" t="str">
        <f t="shared" si="141"/>
        <v>0.342, 0.307, 0.407</v>
      </c>
      <c r="M131" s="9" t="str">
        <f t="shared" si="141"/>
        <v>0.357, 0.285, 0.486</v>
      </c>
      <c r="N131" s="9" t="str">
        <f t="shared" si="141"/>
        <v>0.337, 0.303, 0.403</v>
      </c>
      <c r="O131" s="9" t="str">
        <f t="shared" si="141"/>
        <v>0.354, 0.283, 0.483</v>
      </c>
    </row>
    <row r="132">
      <c r="A132" s="8" t="s">
        <v>120</v>
      </c>
      <c r="B132" s="8" t="s">
        <v>121</v>
      </c>
      <c r="C132" s="8" t="s">
        <v>122</v>
      </c>
      <c r="D132" s="8" t="s">
        <v>95</v>
      </c>
      <c r="E132" s="8" t="s">
        <v>123</v>
      </c>
      <c r="F132" s="8" t="s">
        <v>111</v>
      </c>
      <c r="G132" s="8" t="s">
        <v>124</v>
      </c>
      <c r="I132" s="9" t="str">
        <f t="shared" ref="I132:O132" si="142">substitute(SUBSTITUTE(A132, "(", ""), ")", "")</f>
        <v>0.326, 0.326, 0.326</v>
      </c>
      <c r="J132" s="9" t="str">
        <f t="shared" si="142"/>
        <v>0.336, 0.302, 0.402</v>
      </c>
      <c r="K132" s="9" t="str">
        <f t="shared" si="142"/>
        <v>0.358, 0.286, 0.486</v>
      </c>
      <c r="L132" s="9" t="str">
        <f t="shared" si="142"/>
        <v>0.340, 0.306, 0.406</v>
      </c>
      <c r="M132" s="9" t="str">
        <f t="shared" si="142"/>
        <v>0.353, 0.282, 0.483</v>
      </c>
      <c r="N132" s="9" t="str">
        <f t="shared" si="142"/>
        <v>0.338, 0.304, 0.404</v>
      </c>
      <c r="O132" s="9" t="str">
        <f t="shared" si="142"/>
        <v>0.348, 0.278, 0.479</v>
      </c>
    </row>
    <row r="133">
      <c r="A133" s="8" t="s">
        <v>125</v>
      </c>
      <c r="B133" s="8" t="s">
        <v>126</v>
      </c>
      <c r="C133" s="8" t="s">
        <v>127</v>
      </c>
      <c r="D133" s="8" t="s">
        <v>128</v>
      </c>
      <c r="E133" s="8" t="s">
        <v>129</v>
      </c>
      <c r="F133" s="8" t="s">
        <v>130</v>
      </c>
      <c r="G133" s="8" t="s">
        <v>131</v>
      </c>
      <c r="I133" s="9" t="str">
        <f t="shared" ref="I133:O133" si="143">substitute(SUBSTITUTE(A133, "(", ""), ")", "")</f>
        <v>0.342, 0.342, 0.342</v>
      </c>
      <c r="J133" s="9" t="str">
        <f t="shared" si="143"/>
        <v>0.350, 0.315, 0.415</v>
      </c>
      <c r="K133" s="9" t="str">
        <f t="shared" si="143"/>
        <v>0.369, 0.295, 0.495</v>
      </c>
      <c r="L133" s="9" t="str">
        <f t="shared" si="143"/>
        <v>0.361, 0.325, 0.425</v>
      </c>
      <c r="M133" s="9" t="str">
        <f t="shared" si="143"/>
        <v>0.383, 0.306, 0.506</v>
      </c>
      <c r="N133" s="9" t="str">
        <f t="shared" si="143"/>
        <v>0.361, 0.325, 0.424</v>
      </c>
      <c r="O133" s="9" t="str">
        <f t="shared" si="143"/>
        <v>0.375, 0.300, 0.500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"","")"),0.331)</f>
        <v>0.331</v>
      </c>
      <c r="B135" s="9">
        <f>IFERROR(__xludf.DUMMYFUNCTION("""COMPUTED_VALUE"""),0.331)</f>
        <v>0.331</v>
      </c>
      <c r="C135" s="9">
        <f>IFERROR(__xludf.DUMMYFUNCTION("""COMPUTED_VALUE"""),0.331)</f>
        <v>0.331</v>
      </c>
      <c r="E135" s="11">
        <f>IFERROR(__xludf.DUMMYFUNCTION("SPLIT(J127, "","")"),0.343)</f>
        <v>0.343</v>
      </c>
      <c r="F135" s="9">
        <f>IFERROR(__xludf.DUMMYFUNCTION("""COMPUTED_VALUE"""),0.309)</f>
        <v>0.309</v>
      </c>
      <c r="G135" s="9">
        <f>IFERROR(__xludf.DUMMYFUNCTION("""COMPUTED_VALUE"""),0.409)</f>
        <v>0.409</v>
      </c>
      <c r="I135" s="9">
        <f>IFERROR(__xludf.DUMMYFUNCTION("SPLIT(K127, "","")"),0.361)</f>
        <v>0.361</v>
      </c>
      <c r="J135" s="9">
        <f>IFERROR(__xludf.DUMMYFUNCTION("""COMPUTED_VALUE"""),0.289)</f>
        <v>0.289</v>
      </c>
      <c r="K135" s="9">
        <f>IFERROR(__xludf.DUMMYFUNCTION("""COMPUTED_VALUE"""),0.489)</f>
        <v>0.489</v>
      </c>
      <c r="M135" s="9">
        <f>IFERROR(__xludf.DUMMYFUNCTION("SPLIT(L127, "","")"),0.34)</f>
        <v>0.34</v>
      </c>
      <c r="N135" s="9">
        <f>IFERROR(__xludf.DUMMYFUNCTION("""COMPUTED_VALUE"""),0.306)</f>
        <v>0.306</v>
      </c>
      <c r="O135" s="9">
        <f>IFERROR(__xludf.DUMMYFUNCTION("""COMPUTED_VALUE"""),0.406)</f>
        <v>0.406</v>
      </c>
      <c r="Q135" s="9">
        <f>IFERROR(__xludf.DUMMYFUNCTION("SPLIT(M127, "","")"),0.352)</f>
        <v>0.352</v>
      </c>
      <c r="R135" s="9">
        <f>IFERROR(__xludf.DUMMYFUNCTION("""COMPUTED_VALUE"""),0.282)</f>
        <v>0.282</v>
      </c>
      <c r="S135" s="9">
        <f>IFERROR(__xludf.DUMMYFUNCTION("""COMPUTED_VALUE"""),0.482)</f>
        <v>0.482</v>
      </c>
      <c r="U135" s="9">
        <f>IFERROR(__xludf.DUMMYFUNCTION("SPLIT(N127, "","")"),0.339)</f>
        <v>0.339</v>
      </c>
      <c r="V135" s="9">
        <f>IFERROR(__xludf.DUMMYFUNCTION("""COMPUTED_VALUE"""),0.305)</f>
        <v>0.305</v>
      </c>
      <c r="W135" s="9">
        <f>IFERROR(__xludf.DUMMYFUNCTION("""COMPUTED_VALUE"""),0.405)</f>
        <v>0.405</v>
      </c>
      <c r="Y135" s="9">
        <f>IFERROR(__xludf.DUMMYFUNCTION("SPLIT(O127, "","")"),0.344)</f>
        <v>0.344</v>
      </c>
      <c r="Z135" s="9">
        <f>IFERROR(__xludf.DUMMYFUNCTION("""COMPUTED_VALUE"""),0.275)</f>
        <v>0.275</v>
      </c>
      <c r="AA135" s="9">
        <f>IFERROR(__xludf.DUMMYFUNCTION("""COMPUTED_VALUE"""),0.475)</f>
        <v>0.475</v>
      </c>
    </row>
    <row r="136">
      <c r="A136" s="9">
        <f>IFERROR(__xludf.DUMMYFUNCTION("SPLIT(I128, "","")"),0.331)</f>
        <v>0.331</v>
      </c>
      <c r="B136" s="9">
        <f>IFERROR(__xludf.DUMMYFUNCTION("""COMPUTED_VALUE"""),0.331)</f>
        <v>0.331</v>
      </c>
      <c r="C136" s="9">
        <f>IFERROR(__xludf.DUMMYFUNCTION("""COMPUTED_VALUE"""),0.331)</f>
        <v>0.331</v>
      </c>
      <c r="E136" s="11">
        <f>IFERROR(__xludf.DUMMYFUNCTION("SPLIT(J128, "","")"),0.343)</f>
        <v>0.343</v>
      </c>
      <c r="F136" s="9">
        <f>IFERROR(__xludf.DUMMYFUNCTION("""COMPUTED_VALUE"""),0.309)</f>
        <v>0.309</v>
      </c>
      <c r="G136" s="9">
        <f>IFERROR(__xludf.DUMMYFUNCTION("""COMPUTED_VALUE"""),0.409)</f>
        <v>0.409</v>
      </c>
      <c r="I136" s="9">
        <f>IFERROR(__xludf.DUMMYFUNCTION("SPLIT(K128, "","")"),0.36)</f>
        <v>0.36</v>
      </c>
      <c r="J136" s="9">
        <f>IFERROR(__xludf.DUMMYFUNCTION("""COMPUTED_VALUE"""),0.288)</f>
        <v>0.288</v>
      </c>
      <c r="K136" s="9">
        <f>IFERROR(__xludf.DUMMYFUNCTION("""COMPUTED_VALUE"""),0.488)</f>
        <v>0.488</v>
      </c>
      <c r="M136" s="9">
        <f>IFERROR(__xludf.DUMMYFUNCTION("SPLIT(L128, "","")"),0.346)</f>
        <v>0.346</v>
      </c>
      <c r="N136" s="9">
        <f>IFERROR(__xludf.DUMMYFUNCTION("""COMPUTED_VALUE"""),0.311)</f>
        <v>0.311</v>
      </c>
      <c r="O136" s="9">
        <f>IFERROR(__xludf.DUMMYFUNCTION("""COMPUTED_VALUE"""),0.411)</f>
        <v>0.411</v>
      </c>
      <c r="Q136" s="9">
        <f>IFERROR(__xludf.DUMMYFUNCTION("SPLIT(M128, "","")"),0.358)</f>
        <v>0.358</v>
      </c>
      <c r="R136" s="9">
        <f>IFERROR(__xludf.DUMMYFUNCTION("""COMPUTED_VALUE"""),0.287)</f>
        <v>0.287</v>
      </c>
      <c r="S136" s="9">
        <f>IFERROR(__xludf.DUMMYFUNCTION("""COMPUTED_VALUE"""),0.487)</f>
        <v>0.487</v>
      </c>
      <c r="U136" s="9">
        <f>IFERROR(__xludf.DUMMYFUNCTION("SPLIT(N128, "","")"),0.343)</f>
        <v>0.343</v>
      </c>
      <c r="V136" s="9">
        <f>IFERROR(__xludf.DUMMYFUNCTION("""COMPUTED_VALUE"""),0.309)</f>
        <v>0.309</v>
      </c>
      <c r="W136" s="9">
        <f>IFERROR(__xludf.DUMMYFUNCTION("""COMPUTED_VALUE"""),0.409)</f>
        <v>0.409</v>
      </c>
      <c r="Y136" s="9">
        <f>IFERROR(__xludf.DUMMYFUNCTION("SPLIT(O128, "","")"),0.354)</f>
        <v>0.354</v>
      </c>
      <c r="Z136" s="9">
        <f>IFERROR(__xludf.DUMMYFUNCTION("""COMPUTED_VALUE"""),0.283)</f>
        <v>0.283</v>
      </c>
      <c r="AA136" s="9">
        <f>IFERROR(__xludf.DUMMYFUNCTION("""COMPUTED_VALUE"""),0.483)</f>
        <v>0.483</v>
      </c>
    </row>
    <row r="137">
      <c r="A137" s="9">
        <f>IFERROR(__xludf.DUMMYFUNCTION("SPLIT(I129, "","")"),0.358)</f>
        <v>0.358</v>
      </c>
      <c r="B137" s="9">
        <f>IFERROR(__xludf.DUMMYFUNCTION("""COMPUTED_VALUE"""),0.358)</f>
        <v>0.358</v>
      </c>
      <c r="C137" s="9">
        <f>IFERROR(__xludf.DUMMYFUNCTION("""COMPUTED_VALUE"""),0.358)</f>
        <v>0.358</v>
      </c>
      <c r="E137" s="11">
        <f>IFERROR(__xludf.DUMMYFUNCTION("SPLIT(J129, "","")"),0.369)</f>
        <v>0.369</v>
      </c>
      <c r="F137" s="9">
        <f>IFERROR(__xludf.DUMMYFUNCTION("""COMPUTED_VALUE"""),0.332)</f>
        <v>0.332</v>
      </c>
      <c r="G137" s="9">
        <f>IFERROR(__xludf.DUMMYFUNCTION("""COMPUTED_VALUE"""),0.432)</f>
        <v>0.432</v>
      </c>
      <c r="I137" s="9">
        <f>IFERROR(__xludf.DUMMYFUNCTION("SPLIT(K129, "","")"),0.393)</f>
        <v>0.393</v>
      </c>
      <c r="J137" s="9">
        <f>IFERROR(__xludf.DUMMYFUNCTION("""COMPUTED_VALUE"""),0.314)</f>
        <v>0.314</v>
      </c>
      <c r="K137" s="9">
        <f>IFERROR(__xludf.DUMMYFUNCTION("""COMPUTED_VALUE"""),0.514)</f>
        <v>0.514</v>
      </c>
      <c r="M137" s="9">
        <f>IFERROR(__xludf.DUMMYFUNCTION("SPLIT(L129, "","")"),0.374)</f>
        <v>0.374</v>
      </c>
      <c r="N137" s="9">
        <f>IFERROR(__xludf.DUMMYFUNCTION("""COMPUTED_VALUE"""),0.337)</f>
        <v>0.337</v>
      </c>
      <c r="O137" s="9">
        <f>IFERROR(__xludf.DUMMYFUNCTION("""COMPUTED_VALUE"""),0.437)</f>
        <v>0.437</v>
      </c>
      <c r="Q137" s="9">
        <f>IFERROR(__xludf.DUMMYFUNCTION("SPLIT(M129, "","")"),0.39)</f>
        <v>0.39</v>
      </c>
      <c r="R137" s="9">
        <f>IFERROR(__xludf.DUMMYFUNCTION("""COMPUTED_VALUE"""),0.312)</f>
        <v>0.312</v>
      </c>
      <c r="S137" s="9">
        <f>IFERROR(__xludf.DUMMYFUNCTION("""COMPUTED_VALUE"""),0.512)</f>
        <v>0.512</v>
      </c>
      <c r="U137" s="9">
        <f>IFERROR(__xludf.DUMMYFUNCTION("SPLIT(N129, "","")"),0.371)</f>
        <v>0.371</v>
      </c>
      <c r="V137" s="9">
        <f>IFERROR(__xludf.DUMMYFUNCTION("""COMPUTED_VALUE"""),0.334)</f>
        <v>0.334</v>
      </c>
      <c r="W137" s="9">
        <f>IFERROR(__xludf.DUMMYFUNCTION("""COMPUTED_VALUE"""),0.434)</f>
        <v>0.434</v>
      </c>
      <c r="Y137" s="9">
        <f>IFERROR(__xludf.DUMMYFUNCTION("SPLIT(O129, "","")"),0.384)</f>
        <v>0.384</v>
      </c>
      <c r="Z137" s="9">
        <f>IFERROR(__xludf.DUMMYFUNCTION("""COMPUTED_VALUE"""),0.307)</f>
        <v>0.307</v>
      </c>
      <c r="AA137" s="9">
        <f>IFERROR(__xludf.DUMMYFUNCTION("""COMPUTED_VALUE"""),0.507)</f>
        <v>0.507</v>
      </c>
    </row>
    <row r="138">
      <c r="A138" s="9">
        <f>IFERROR(__xludf.DUMMYFUNCTION("SPLIT(I130, "","")"),0.329)</f>
        <v>0.329</v>
      </c>
      <c r="B138" s="9">
        <f>IFERROR(__xludf.DUMMYFUNCTION("""COMPUTED_VALUE"""),0.329)</f>
        <v>0.329</v>
      </c>
      <c r="C138" s="9">
        <f>IFERROR(__xludf.DUMMYFUNCTION("""COMPUTED_VALUE"""),0.329)</f>
        <v>0.329</v>
      </c>
      <c r="E138" s="11">
        <f>IFERROR(__xludf.DUMMYFUNCTION("SPLIT(J130, "","")"),0.338)</f>
        <v>0.338</v>
      </c>
      <c r="F138" s="9">
        <f>IFERROR(__xludf.DUMMYFUNCTION("""COMPUTED_VALUE"""),0.304)</f>
        <v>0.304</v>
      </c>
      <c r="G138" s="9">
        <f>IFERROR(__xludf.DUMMYFUNCTION("""COMPUTED_VALUE"""),0.404)</f>
        <v>0.404</v>
      </c>
      <c r="I138" s="9">
        <f>IFERROR(__xludf.DUMMYFUNCTION("SPLIT(K130, "","")"),0.356)</f>
        <v>0.356</v>
      </c>
      <c r="J138" s="9">
        <f>IFERROR(__xludf.DUMMYFUNCTION("""COMPUTED_VALUE"""),0.285)</f>
        <v>0.285</v>
      </c>
      <c r="K138" s="9">
        <f>IFERROR(__xludf.DUMMYFUNCTION("""COMPUTED_VALUE"""),0.485)</f>
        <v>0.485</v>
      </c>
      <c r="M138" s="9">
        <f>IFERROR(__xludf.DUMMYFUNCTION("SPLIT(L130, "","")"),0.339)</f>
        <v>0.339</v>
      </c>
      <c r="N138" s="9">
        <f>IFERROR(__xludf.DUMMYFUNCTION("""COMPUTED_VALUE"""),0.305)</f>
        <v>0.305</v>
      </c>
      <c r="O138" s="9">
        <f>IFERROR(__xludf.DUMMYFUNCTION("""COMPUTED_VALUE"""),0.405)</f>
        <v>0.405</v>
      </c>
      <c r="Q138" s="9">
        <f>IFERROR(__xludf.DUMMYFUNCTION("SPLIT(M130, "","")"),0.352)</f>
        <v>0.352</v>
      </c>
      <c r="R138" s="9">
        <f>IFERROR(__xludf.DUMMYFUNCTION("""COMPUTED_VALUE"""),0.281)</f>
        <v>0.281</v>
      </c>
      <c r="S138" s="9">
        <f>IFERROR(__xludf.DUMMYFUNCTION("""COMPUTED_VALUE"""),0.481)</f>
        <v>0.481</v>
      </c>
      <c r="U138" s="9">
        <f>IFERROR(__xludf.DUMMYFUNCTION("SPLIT(N130, "","")"),0.338)</f>
        <v>0.338</v>
      </c>
      <c r="V138" s="9">
        <f>IFERROR(__xludf.DUMMYFUNCTION("""COMPUTED_VALUE"""),0.304)</f>
        <v>0.304</v>
      </c>
      <c r="W138" s="9">
        <f>IFERROR(__xludf.DUMMYFUNCTION("""COMPUTED_VALUE"""),0.404)</f>
        <v>0.404</v>
      </c>
      <c r="Y138" s="9">
        <f>IFERROR(__xludf.DUMMYFUNCTION("SPLIT(O130, "","")"),0.347)</f>
        <v>0.347</v>
      </c>
      <c r="Z138" s="9">
        <f>IFERROR(__xludf.DUMMYFUNCTION("""COMPUTED_VALUE"""),0.277)</f>
        <v>0.277</v>
      </c>
      <c r="AA138" s="9">
        <f>IFERROR(__xludf.DUMMYFUNCTION("""COMPUTED_VALUE"""),0.477)</f>
        <v>0.477</v>
      </c>
    </row>
    <row r="139">
      <c r="A139" s="9">
        <f>IFERROR(__xludf.DUMMYFUNCTION("SPLIT(I131, "","")"),0.327)</f>
        <v>0.327</v>
      </c>
      <c r="B139" s="9">
        <f>IFERROR(__xludf.DUMMYFUNCTION("""COMPUTED_VALUE"""),0.327)</f>
        <v>0.327</v>
      </c>
      <c r="C139" s="9">
        <f>IFERROR(__xludf.DUMMYFUNCTION("""COMPUTED_VALUE"""),0.327)</f>
        <v>0.327</v>
      </c>
      <c r="E139" s="11">
        <f>IFERROR(__xludf.DUMMYFUNCTION("SPLIT(J131, "","")"),0.337)</f>
        <v>0.337</v>
      </c>
      <c r="F139" s="9">
        <f>IFERROR(__xludf.DUMMYFUNCTION("""COMPUTED_VALUE"""),0.303)</f>
        <v>0.303</v>
      </c>
      <c r="G139" s="9">
        <f>IFERROR(__xludf.DUMMYFUNCTION("""COMPUTED_VALUE"""),0.403)</f>
        <v>0.403</v>
      </c>
      <c r="I139" s="9">
        <f>IFERROR(__xludf.DUMMYFUNCTION("SPLIT(K131, "","")"),0.357)</f>
        <v>0.357</v>
      </c>
      <c r="J139" s="9">
        <f>IFERROR(__xludf.DUMMYFUNCTION("""COMPUTED_VALUE"""),0.286)</f>
        <v>0.286</v>
      </c>
      <c r="K139" s="9">
        <f>IFERROR(__xludf.DUMMYFUNCTION("""COMPUTED_VALUE"""),0.486)</f>
        <v>0.486</v>
      </c>
      <c r="M139" s="9">
        <f>IFERROR(__xludf.DUMMYFUNCTION("SPLIT(L131, "","")"),0.342)</f>
        <v>0.342</v>
      </c>
      <c r="N139" s="9">
        <f>IFERROR(__xludf.DUMMYFUNCTION("""COMPUTED_VALUE"""),0.307)</f>
        <v>0.307</v>
      </c>
      <c r="O139" s="9">
        <f>IFERROR(__xludf.DUMMYFUNCTION("""COMPUTED_VALUE"""),0.407)</f>
        <v>0.407</v>
      </c>
      <c r="Q139" s="9">
        <f>IFERROR(__xludf.DUMMYFUNCTION("SPLIT(M131, "","")"),0.357)</f>
        <v>0.357</v>
      </c>
      <c r="R139" s="9">
        <f>IFERROR(__xludf.DUMMYFUNCTION("""COMPUTED_VALUE"""),0.285)</f>
        <v>0.285</v>
      </c>
      <c r="S139" s="9">
        <f>IFERROR(__xludf.DUMMYFUNCTION("""COMPUTED_VALUE"""),0.486)</f>
        <v>0.486</v>
      </c>
      <c r="U139" s="9">
        <f>IFERROR(__xludf.DUMMYFUNCTION("SPLIT(N131, "","")"),0.337)</f>
        <v>0.337</v>
      </c>
      <c r="V139" s="9">
        <f>IFERROR(__xludf.DUMMYFUNCTION("""COMPUTED_VALUE"""),0.303)</f>
        <v>0.303</v>
      </c>
      <c r="W139" s="9">
        <f>IFERROR(__xludf.DUMMYFUNCTION("""COMPUTED_VALUE"""),0.403)</f>
        <v>0.403</v>
      </c>
      <c r="Y139" s="9">
        <f>IFERROR(__xludf.DUMMYFUNCTION("SPLIT(O131, "","")"),0.354)</f>
        <v>0.354</v>
      </c>
      <c r="Z139" s="9">
        <f>IFERROR(__xludf.DUMMYFUNCTION("""COMPUTED_VALUE"""),0.283)</f>
        <v>0.283</v>
      </c>
      <c r="AA139" s="9">
        <f>IFERROR(__xludf.DUMMYFUNCTION("""COMPUTED_VALUE"""),0.483)</f>
        <v>0.483</v>
      </c>
    </row>
    <row r="140">
      <c r="A140" s="9">
        <f>IFERROR(__xludf.DUMMYFUNCTION("SPLIT(I132, "","")"),0.326)</f>
        <v>0.326</v>
      </c>
      <c r="B140" s="9">
        <f>IFERROR(__xludf.DUMMYFUNCTION("""COMPUTED_VALUE"""),0.326)</f>
        <v>0.326</v>
      </c>
      <c r="C140" s="9">
        <f>IFERROR(__xludf.DUMMYFUNCTION("""COMPUTED_VALUE"""),0.326)</f>
        <v>0.326</v>
      </c>
      <c r="E140" s="11">
        <f>IFERROR(__xludf.DUMMYFUNCTION("SPLIT(J132, "","")"),0.336)</f>
        <v>0.336</v>
      </c>
      <c r="F140" s="9">
        <f>IFERROR(__xludf.DUMMYFUNCTION("""COMPUTED_VALUE"""),0.302)</f>
        <v>0.302</v>
      </c>
      <c r="G140" s="9">
        <f>IFERROR(__xludf.DUMMYFUNCTION("""COMPUTED_VALUE"""),0.402)</f>
        <v>0.402</v>
      </c>
      <c r="I140" s="9">
        <f>IFERROR(__xludf.DUMMYFUNCTION("SPLIT(K132, "","")"),0.358)</f>
        <v>0.358</v>
      </c>
      <c r="J140" s="9">
        <f>IFERROR(__xludf.DUMMYFUNCTION("""COMPUTED_VALUE"""),0.286)</f>
        <v>0.286</v>
      </c>
      <c r="K140" s="9">
        <f>IFERROR(__xludf.DUMMYFUNCTION("""COMPUTED_VALUE"""),0.486)</f>
        <v>0.486</v>
      </c>
      <c r="M140" s="9">
        <f>IFERROR(__xludf.DUMMYFUNCTION("SPLIT(L132, "","")"),0.34)</f>
        <v>0.34</v>
      </c>
      <c r="N140" s="9">
        <f>IFERROR(__xludf.DUMMYFUNCTION("""COMPUTED_VALUE"""),0.306)</f>
        <v>0.306</v>
      </c>
      <c r="O140" s="9">
        <f>IFERROR(__xludf.DUMMYFUNCTION("""COMPUTED_VALUE"""),0.406)</f>
        <v>0.406</v>
      </c>
      <c r="Q140" s="9">
        <f>IFERROR(__xludf.DUMMYFUNCTION("SPLIT(M132, "","")"),0.353)</f>
        <v>0.353</v>
      </c>
      <c r="R140" s="9">
        <f>IFERROR(__xludf.DUMMYFUNCTION("""COMPUTED_VALUE"""),0.282)</f>
        <v>0.282</v>
      </c>
      <c r="S140" s="9">
        <f>IFERROR(__xludf.DUMMYFUNCTION("""COMPUTED_VALUE"""),0.483)</f>
        <v>0.483</v>
      </c>
      <c r="U140" s="9">
        <f>IFERROR(__xludf.DUMMYFUNCTION("SPLIT(N132, "","")"),0.338)</f>
        <v>0.338</v>
      </c>
      <c r="V140" s="9">
        <f>IFERROR(__xludf.DUMMYFUNCTION("""COMPUTED_VALUE"""),0.304)</f>
        <v>0.304</v>
      </c>
      <c r="W140" s="9">
        <f>IFERROR(__xludf.DUMMYFUNCTION("""COMPUTED_VALUE"""),0.404)</f>
        <v>0.404</v>
      </c>
      <c r="Y140" s="9">
        <f>IFERROR(__xludf.DUMMYFUNCTION("SPLIT(O132, "","")"),0.348)</f>
        <v>0.348</v>
      </c>
      <c r="Z140" s="9">
        <f>IFERROR(__xludf.DUMMYFUNCTION("""COMPUTED_VALUE"""),0.278)</f>
        <v>0.278</v>
      </c>
      <c r="AA140" s="9">
        <f>IFERROR(__xludf.DUMMYFUNCTION("""COMPUTED_VALUE"""),0.479)</f>
        <v>0.479</v>
      </c>
    </row>
    <row r="141">
      <c r="A141" s="9">
        <f>IFERROR(__xludf.DUMMYFUNCTION("SPLIT(I133, "","")"),0.342)</f>
        <v>0.342</v>
      </c>
      <c r="B141" s="9">
        <f>IFERROR(__xludf.DUMMYFUNCTION("""COMPUTED_VALUE"""),0.342)</f>
        <v>0.342</v>
      </c>
      <c r="C141" s="9">
        <f>IFERROR(__xludf.DUMMYFUNCTION("""COMPUTED_VALUE"""),0.342)</f>
        <v>0.342</v>
      </c>
      <c r="E141" s="11">
        <f>IFERROR(__xludf.DUMMYFUNCTION("SPLIT(J133, "","")"),0.35)</f>
        <v>0.35</v>
      </c>
      <c r="F141" s="9">
        <f>IFERROR(__xludf.DUMMYFUNCTION("""COMPUTED_VALUE"""),0.315)</f>
        <v>0.315</v>
      </c>
      <c r="G141" s="9">
        <f>IFERROR(__xludf.DUMMYFUNCTION("""COMPUTED_VALUE"""),0.415)</f>
        <v>0.415</v>
      </c>
      <c r="I141" s="9">
        <f>IFERROR(__xludf.DUMMYFUNCTION("SPLIT(K133, "","")"),0.369)</f>
        <v>0.369</v>
      </c>
      <c r="J141" s="9">
        <f>IFERROR(__xludf.DUMMYFUNCTION("""COMPUTED_VALUE"""),0.295)</f>
        <v>0.295</v>
      </c>
      <c r="K141" s="9">
        <f>IFERROR(__xludf.DUMMYFUNCTION("""COMPUTED_VALUE"""),0.495)</f>
        <v>0.495</v>
      </c>
      <c r="M141" s="9">
        <f>IFERROR(__xludf.DUMMYFUNCTION("SPLIT(L133, "","")"),0.361)</f>
        <v>0.361</v>
      </c>
      <c r="N141" s="9">
        <f>IFERROR(__xludf.DUMMYFUNCTION("""COMPUTED_VALUE"""),0.325)</f>
        <v>0.325</v>
      </c>
      <c r="O141" s="9">
        <f>IFERROR(__xludf.DUMMYFUNCTION("""COMPUTED_VALUE"""),0.425)</f>
        <v>0.425</v>
      </c>
      <c r="Q141" s="9">
        <f>IFERROR(__xludf.DUMMYFUNCTION("SPLIT(M133, "","")"),0.383)</f>
        <v>0.383</v>
      </c>
      <c r="R141" s="9">
        <f>IFERROR(__xludf.DUMMYFUNCTION("""COMPUTED_VALUE"""),0.306)</f>
        <v>0.306</v>
      </c>
      <c r="S141" s="9">
        <f>IFERROR(__xludf.DUMMYFUNCTION("""COMPUTED_VALUE"""),0.506)</f>
        <v>0.506</v>
      </c>
      <c r="U141" s="9">
        <f>IFERROR(__xludf.DUMMYFUNCTION("SPLIT(N133, "","")"),0.361)</f>
        <v>0.361</v>
      </c>
      <c r="V141" s="9">
        <f>IFERROR(__xludf.DUMMYFUNCTION("""COMPUTED_VALUE"""),0.325)</f>
        <v>0.325</v>
      </c>
      <c r="W141" s="9">
        <f>IFERROR(__xludf.DUMMYFUNCTION("""COMPUTED_VALUE"""),0.424)</f>
        <v>0.424</v>
      </c>
      <c r="Y141" s="9">
        <f>IFERROR(__xludf.DUMMYFUNCTION("SPLIT(O133, "","")"),0.375)</f>
        <v>0.375</v>
      </c>
      <c r="Z141" s="9">
        <f>IFERROR(__xludf.DUMMYFUNCTION("""COMPUTED_VALUE"""),0.3)</f>
        <v>0.3</v>
      </c>
      <c r="AA141" s="9">
        <f>IFERROR(__xludf.DUMMYFUNCTION("""COMPUTED_VALUE"""),0.5)</f>
        <v>0.5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0.331</v>
      </c>
      <c r="D145" s="7">
        <f t="shared" ref="D145:D151" si="149">E135</f>
        <v>0.343</v>
      </c>
      <c r="E145" s="7">
        <f t="shared" ref="E145:E151" si="150">I135</f>
        <v>0.361</v>
      </c>
      <c r="F145" s="7">
        <f t="shared" ref="F145:G145" si="144">N135</f>
        <v>0.306</v>
      </c>
      <c r="G145" s="12">
        <f t="shared" si="144"/>
        <v>0.406</v>
      </c>
      <c r="H145" s="7">
        <f t="shared" ref="H145:I145" si="145">R135</f>
        <v>0.282</v>
      </c>
      <c r="I145" s="12">
        <f t="shared" si="145"/>
        <v>0.482</v>
      </c>
      <c r="J145" s="7">
        <f t="shared" ref="J145:K145" si="146">V135</f>
        <v>0.305</v>
      </c>
      <c r="K145" s="12">
        <f t="shared" si="146"/>
        <v>0.405</v>
      </c>
      <c r="L145" s="7">
        <f t="shared" ref="L145:M145" si="147">Z135</f>
        <v>0.275</v>
      </c>
      <c r="M145" s="7">
        <f t="shared" si="147"/>
        <v>0.475</v>
      </c>
    </row>
    <row r="146">
      <c r="B146" s="6" t="s">
        <v>5</v>
      </c>
      <c r="C146" s="7">
        <f t="shared" si="148"/>
        <v>0.331</v>
      </c>
      <c r="D146" s="7">
        <f t="shared" si="149"/>
        <v>0.343</v>
      </c>
      <c r="E146" s="7">
        <f t="shared" si="150"/>
        <v>0.36</v>
      </c>
      <c r="F146" s="7">
        <f t="shared" ref="F146:G146" si="151">N136</f>
        <v>0.311</v>
      </c>
      <c r="G146" s="12">
        <f t="shared" si="151"/>
        <v>0.411</v>
      </c>
      <c r="H146" s="7">
        <f t="shared" ref="H146:I146" si="152">R136</f>
        <v>0.287</v>
      </c>
      <c r="I146" s="12">
        <f t="shared" si="152"/>
        <v>0.487</v>
      </c>
      <c r="J146" s="7">
        <f t="shared" ref="J146:K146" si="153">V136</f>
        <v>0.309</v>
      </c>
      <c r="K146" s="12">
        <f t="shared" si="153"/>
        <v>0.409</v>
      </c>
      <c r="L146" s="7">
        <f t="shared" ref="L146:M146" si="154">Z136</f>
        <v>0.283</v>
      </c>
      <c r="M146" s="7">
        <f t="shared" si="154"/>
        <v>0.483</v>
      </c>
    </row>
    <row r="147">
      <c r="B147" s="6" t="s">
        <v>6</v>
      </c>
      <c r="C147" s="7">
        <f t="shared" si="148"/>
        <v>0.358</v>
      </c>
      <c r="D147" s="7">
        <f t="shared" si="149"/>
        <v>0.369</v>
      </c>
      <c r="E147" s="7">
        <f t="shared" si="150"/>
        <v>0.393</v>
      </c>
      <c r="F147" s="7">
        <f t="shared" ref="F147:G147" si="155">N137</f>
        <v>0.337</v>
      </c>
      <c r="G147" s="12">
        <f t="shared" si="155"/>
        <v>0.437</v>
      </c>
      <c r="H147" s="7">
        <f t="shared" ref="H147:I147" si="156">R137</f>
        <v>0.312</v>
      </c>
      <c r="I147" s="12">
        <f t="shared" si="156"/>
        <v>0.512</v>
      </c>
      <c r="J147" s="7">
        <f t="shared" ref="J147:K147" si="157">V137</f>
        <v>0.334</v>
      </c>
      <c r="K147" s="12">
        <f t="shared" si="157"/>
        <v>0.434</v>
      </c>
      <c r="L147" s="7">
        <f t="shared" ref="L147:M147" si="158">Z137</f>
        <v>0.307</v>
      </c>
      <c r="M147" s="7">
        <f t="shared" si="158"/>
        <v>0.507</v>
      </c>
    </row>
    <row r="148">
      <c r="B148" s="6" t="s">
        <v>7</v>
      </c>
      <c r="C148" s="7">
        <f t="shared" si="148"/>
        <v>0.329</v>
      </c>
      <c r="D148" s="7">
        <f t="shared" si="149"/>
        <v>0.338</v>
      </c>
      <c r="E148" s="7">
        <f t="shared" si="150"/>
        <v>0.356</v>
      </c>
      <c r="F148" s="7">
        <f t="shared" ref="F148:G148" si="159">N138</f>
        <v>0.305</v>
      </c>
      <c r="G148" s="12">
        <f t="shared" si="159"/>
        <v>0.405</v>
      </c>
      <c r="H148" s="7">
        <f t="shared" ref="H148:I148" si="160">R138</f>
        <v>0.281</v>
      </c>
      <c r="I148" s="12">
        <f t="shared" si="160"/>
        <v>0.481</v>
      </c>
      <c r="J148" s="7">
        <f t="shared" ref="J148:K148" si="161">V138</f>
        <v>0.304</v>
      </c>
      <c r="K148" s="12">
        <f t="shared" si="161"/>
        <v>0.404</v>
      </c>
      <c r="L148" s="7">
        <f t="shared" ref="L148:M148" si="162">Z138</f>
        <v>0.277</v>
      </c>
      <c r="M148" s="7">
        <f t="shared" si="162"/>
        <v>0.477</v>
      </c>
    </row>
    <row r="149">
      <c r="B149" s="6" t="s">
        <v>8</v>
      </c>
      <c r="C149" s="7">
        <f t="shared" si="148"/>
        <v>0.327</v>
      </c>
      <c r="D149" s="7">
        <f t="shared" si="149"/>
        <v>0.337</v>
      </c>
      <c r="E149" s="7">
        <f t="shared" si="150"/>
        <v>0.357</v>
      </c>
      <c r="F149" s="7">
        <f t="shared" ref="F149:G149" si="163">N139</f>
        <v>0.307</v>
      </c>
      <c r="G149" s="12">
        <f t="shared" si="163"/>
        <v>0.407</v>
      </c>
      <c r="H149" s="7">
        <f t="shared" ref="H149:I149" si="164">R139</f>
        <v>0.285</v>
      </c>
      <c r="I149" s="12">
        <f t="shared" si="164"/>
        <v>0.486</v>
      </c>
      <c r="J149" s="7">
        <f t="shared" ref="J149:K149" si="165">V139</f>
        <v>0.303</v>
      </c>
      <c r="K149" s="12">
        <f t="shared" si="165"/>
        <v>0.403</v>
      </c>
      <c r="L149" s="7">
        <f t="shared" ref="L149:M149" si="166">Z139</f>
        <v>0.283</v>
      </c>
      <c r="M149" s="7">
        <f t="shared" si="166"/>
        <v>0.483</v>
      </c>
    </row>
    <row r="150">
      <c r="B150" s="6" t="s">
        <v>9</v>
      </c>
      <c r="C150" s="7">
        <f t="shared" si="148"/>
        <v>0.326</v>
      </c>
      <c r="D150" s="7">
        <f t="shared" si="149"/>
        <v>0.336</v>
      </c>
      <c r="E150" s="7">
        <f t="shared" si="150"/>
        <v>0.358</v>
      </c>
      <c r="F150" s="7">
        <f t="shared" ref="F150:G150" si="167">N140</f>
        <v>0.306</v>
      </c>
      <c r="G150" s="12">
        <f t="shared" si="167"/>
        <v>0.406</v>
      </c>
      <c r="H150" s="7">
        <f t="shared" ref="H150:I150" si="168">R140</f>
        <v>0.282</v>
      </c>
      <c r="I150" s="12">
        <f t="shared" si="168"/>
        <v>0.483</v>
      </c>
      <c r="J150" s="7">
        <f t="shared" ref="J150:K150" si="169">V140</f>
        <v>0.304</v>
      </c>
      <c r="K150" s="12">
        <f t="shared" si="169"/>
        <v>0.404</v>
      </c>
      <c r="L150" s="7">
        <f t="shared" ref="L150:M150" si="170">Z140</f>
        <v>0.278</v>
      </c>
      <c r="M150" s="7">
        <f t="shared" si="170"/>
        <v>0.479</v>
      </c>
    </row>
    <row r="151">
      <c r="B151" s="6" t="s">
        <v>10</v>
      </c>
      <c r="C151" s="7">
        <f t="shared" si="148"/>
        <v>0.342</v>
      </c>
      <c r="D151" s="7">
        <f t="shared" si="149"/>
        <v>0.35</v>
      </c>
      <c r="E151" s="7">
        <f t="shared" si="150"/>
        <v>0.369</v>
      </c>
      <c r="F151" s="7">
        <f t="shared" ref="F151:G151" si="171">N141</f>
        <v>0.325</v>
      </c>
      <c r="G151" s="12">
        <f t="shared" si="171"/>
        <v>0.425</v>
      </c>
      <c r="H151" s="7">
        <f t="shared" ref="H151:I151" si="172">R141</f>
        <v>0.306</v>
      </c>
      <c r="I151" s="12">
        <f t="shared" si="172"/>
        <v>0.506</v>
      </c>
      <c r="J151" s="7">
        <f t="shared" ref="J151:K151" si="173">V141</f>
        <v>0.325</v>
      </c>
      <c r="K151" s="12">
        <f t="shared" si="173"/>
        <v>0.424</v>
      </c>
      <c r="L151" s="7">
        <f t="shared" ref="L151:M151" si="174">Z141</f>
        <v>0.3</v>
      </c>
      <c r="M151" s="7">
        <f t="shared" si="174"/>
        <v>0.5</v>
      </c>
    </row>
    <row r="153">
      <c r="A153" s="8" t="s">
        <v>133</v>
      </c>
      <c r="B153" s="8" t="s">
        <v>134</v>
      </c>
      <c r="C153" s="8" t="s">
        <v>135</v>
      </c>
      <c r="D153" s="8" t="s">
        <v>136</v>
      </c>
      <c r="E153" s="8" t="s">
        <v>137</v>
      </c>
      <c r="F153" s="8" t="s">
        <v>138</v>
      </c>
      <c r="G153" s="8" t="s">
        <v>139</v>
      </c>
      <c r="I153" s="9" t="str">
        <f t="shared" ref="I153:O153" si="175">substitute(SUBSTITUTE(A153, "(", ""), ")", "")</f>
        <v>0.447, 0.447, 0.447</v>
      </c>
      <c r="J153" s="9" t="str">
        <f t="shared" si="175"/>
        <v>0.447, 0.403, 0.503</v>
      </c>
      <c r="K153" s="9" t="str">
        <f t="shared" si="175"/>
        <v>0.445, 0.356, 0.556</v>
      </c>
      <c r="L153" s="9" t="str">
        <f t="shared" si="175"/>
        <v>0.459, 0.413, 0.513</v>
      </c>
      <c r="M153" s="9" t="str">
        <f t="shared" si="175"/>
        <v>0.478, 0.383, 0.583</v>
      </c>
      <c r="N153" s="9" t="str">
        <f t="shared" si="175"/>
        <v>0.458, 0.412, 0.512</v>
      </c>
      <c r="O153" s="9" t="str">
        <f t="shared" si="175"/>
        <v>0.468, 0.375, 0.575</v>
      </c>
      <c r="T153" s="6"/>
    </row>
    <row r="154">
      <c r="A154" s="8" t="s">
        <v>140</v>
      </c>
      <c r="B154" s="8" t="s">
        <v>141</v>
      </c>
      <c r="C154" s="8" t="s">
        <v>142</v>
      </c>
      <c r="D154" s="8" t="s">
        <v>143</v>
      </c>
      <c r="E154" s="8" t="s">
        <v>144</v>
      </c>
      <c r="F154" s="8" t="s">
        <v>145</v>
      </c>
      <c r="G154" s="8" t="s">
        <v>146</v>
      </c>
      <c r="I154" s="9" t="str">
        <f t="shared" ref="I154:O154" si="176">substitute(SUBSTITUTE(A154, "(", ""), ")", "")</f>
        <v>0.460, 0.460, 0.460</v>
      </c>
      <c r="J154" s="9" t="str">
        <f t="shared" si="176"/>
        <v>0.462, 0.416, 0.516</v>
      </c>
      <c r="K154" s="9" t="str">
        <f t="shared" si="176"/>
        <v>0.457, 0.366, 0.566</v>
      </c>
      <c r="L154" s="9" t="str">
        <f t="shared" si="176"/>
        <v>0.471, 0.424, 0.524</v>
      </c>
      <c r="M154" s="9" t="str">
        <f t="shared" si="176"/>
        <v>0.484, 0.387, 0.587</v>
      </c>
      <c r="N154" s="9" t="str">
        <f t="shared" si="176"/>
        <v>0.467, 0.420, 0.520</v>
      </c>
      <c r="O154" s="9" t="str">
        <f t="shared" si="176"/>
        <v>0.479, 0.383, 0.583</v>
      </c>
    </row>
    <row r="155">
      <c r="A155" s="8" t="s">
        <v>147</v>
      </c>
      <c r="B155" s="8" t="s">
        <v>148</v>
      </c>
      <c r="C155" s="8" t="s">
        <v>149</v>
      </c>
      <c r="D155" s="8" t="s">
        <v>150</v>
      </c>
      <c r="E155" s="8" t="s">
        <v>151</v>
      </c>
      <c r="F155" s="8" t="s">
        <v>138</v>
      </c>
      <c r="G155" s="8" t="s">
        <v>152</v>
      </c>
      <c r="I155" s="9" t="str">
        <f t="shared" ref="I155:O155" si="177">substitute(SUBSTITUTE(A155, "(", ""), ")", "")</f>
        <v>0.450, 0.450, 0.450</v>
      </c>
      <c r="J155" s="9" t="str">
        <f t="shared" si="177"/>
        <v>0.449, 0.404, 0.504</v>
      </c>
      <c r="K155" s="9" t="str">
        <f t="shared" si="177"/>
        <v>0.449, 0.359, 0.559</v>
      </c>
      <c r="L155" s="9" t="str">
        <f t="shared" si="177"/>
        <v>0.460, 0.414, 0.514</v>
      </c>
      <c r="M155" s="9" t="str">
        <f t="shared" si="177"/>
        <v>0.480, 0.384, 0.584</v>
      </c>
      <c r="N155" s="9" t="str">
        <f t="shared" si="177"/>
        <v>0.458, 0.412, 0.512</v>
      </c>
      <c r="O155" s="9" t="str">
        <f t="shared" si="177"/>
        <v>0.469, 0.375, 0.575</v>
      </c>
    </row>
    <row r="156">
      <c r="A156" s="8" t="s">
        <v>153</v>
      </c>
      <c r="B156" s="8" t="s">
        <v>154</v>
      </c>
      <c r="C156" s="8" t="s">
        <v>146</v>
      </c>
      <c r="D156" s="8" t="s">
        <v>155</v>
      </c>
      <c r="E156" s="8" t="s">
        <v>156</v>
      </c>
      <c r="F156" s="8" t="s">
        <v>155</v>
      </c>
      <c r="G156" s="8" t="s">
        <v>146</v>
      </c>
      <c r="I156" s="9" t="str">
        <f t="shared" ref="I156:O156" si="178">substitute(SUBSTITUTE(A156, "(", ""), ")", "")</f>
        <v>0.476, 0.476, 0.476</v>
      </c>
      <c r="J156" s="9" t="str">
        <f t="shared" si="178"/>
        <v>0.476, 0.428, 0.528</v>
      </c>
      <c r="K156" s="9" t="str">
        <f t="shared" si="178"/>
        <v>0.479, 0.383, 0.583</v>
      </c>
      <c r="L156" s="9" t="str">
        <f t="shared" si="178"/>
        <v>0.477, 0.429, 0.529</v>
      </c>
      <c r="M156" s="9" t="str">
        <f t="shared" si="178"/>
        <v>0.481, 0.385, 0.585</v>
      </c>
      <c r="N156" s="9" t="str">
        <f t="shared" si="178"/>
        <v>0.477, 0.429, 0.529</v>
      </c>
      <c r="O156" s="9" t="str">
        <f t="shared" si="178"/>
        <v>0.479, 0.383, 0.583</v>
      </c>
    </row>
    <row r="157">
      <c r="A157" s="8" t="s">
        <v>157</v>
      </c>
      <c r="B157" s="8" t="s">
        <v>158</v>
      </c>
      <c r="C157" s="8" t="s">
        <v>159</v>
      </c>
      <c r="D157" s="8" t="s">
        <v>160</v>
      </c>
      <c r="E157" s="8" t="s">
        <v>161</v>
      </c>
      <c r="F157" s="8" t="s">
        <v>155</v>
      </c>
      <c r="G157" s="8" t="s">
        <v>161</v>
      </c>
      <c r="I157" s="9" t="str">
        <f t="shared" ref="I157:O157" si="179">substitute(SUBSTITUTE(A157, "(", ""), ")", "")</f>
        <v>0.480, 0.480, 0.480</v>
      </c>
      <c r="J157" s="9" t="str">
        <f t="shared" si="179"/>
        <v>0.484, 0.436, 0.536</v>
      </c>
      <c r="K157" s="9" t="str">
        <f t="shared" si="179"/>
        <v>0.477, 0.381, 0.581</v>
      </c>
      <c r="L157" s="9" t="str">
        <f t="shared" si="179"/>
        <v>0.480, 0.432, 0.532</v>
      </c>
      <c r="M157" s="9" t="str">
        <f t="shared" si="179"/>
        <v>0.476, 0.381, 0.581</v>
      </c>
      <c r="N157" s="9" t="str">
        <f t="shared" si="179"/>
        <v>0.477, 0.429, 0.529</v>
      </c>
      <c r="O157" s="9" t="str">
        <f t="shared" si="179"/>
        <v>0.476, 0.381, 0.581</v>
      </c>
    </row>
    <row r="158">
      <c r="A158" s="8" t="s">
        <v>162</v>
      </c>
      <c r="B158" s="8" t="s">
        <v>163</v>
      </c>
      <c r="C158" s="8" t="s">
        <v>164</v>
      </c>
      <c r="D158" s="8" t="s">
        <v>145</v>
      </c>
      <c r="E158" s="8" t="s">
        <v>165</v>
      </c>
      <c r="F158" s="8" t="s">
        <v>166</v>
      </c>
      <c r="G158" s="8" t="s">
        <v>167</v>
      </c>
      <c r="I158" s="9" t="str">
        <f t="shared" ref="I158:O158" si="180">substitute(SUBSTITUTE(A158, "(", ""), ")", "")</f>
        <v>0.457, 0.457, 0.457</v>
      </c>
      <c r="J158" s="9" t="str">
        <f t="shared" si="180"/>
        <v>0.456, 0.411, 0.511</v>
      </c>
      <c r="K158" s="9" t="str">
        <f t="shared" si="180"/>
        <v>0.455, 0.364, 0.564</v>
      </c>
      <c r="L158" s="9" t="str">
        <f t="shared" si="180"/>
        <v>0.467, 0.420, 0.520</v>
      </c>
      <c r="M158" s="9" t="str">
        <f t="shared" si="180"/>
        <v>0.474, 0.380, 0.580</v>
      </c>
      <c r="N158" s="9" t="str">
        <f t="shared" si="180"/>
        <v>0.463, 0.417, 0.517</v>
      </c>
      <c r="O158" s="9" t="str">
        <f t="shared" si="180"/>
        <v>0.475, 0.380, 0.580</v>
      </c>
    </row>
    <row r="159">
      <c r="A159" s="8" t="s">
        <v>168</v>
      </c>
      <c r="B159" s="8" t="s">
        <v>158</v>
      </c>
      <c r="C159" s="8" t="s">
        <v>169</v>
      </c>
      <c r="D159" s="8" t="s">
        <v>170</v>
      </c>
      <c r="E159" s="8" t="s">
        <v>171</v>
      </c>
      <c r="F159" s="8" t="s">
        <v>172</v>
      </c>
      <c r="G159" s="8" t="s">
        <v>173</v>
      </c>
      <c r="I159" s="9" t="str">
        <f t="shared" ref="I159:O159" si="181">substitute(SUBSTITUTE(A159, "(", ""), ")", "")</f>
        <v>0.482, 0.482, 0.482</v>
      </c>
      <c r="J159" s="9" t="str">
        <f t="shared" si="181"/>
        <v>0.484, 0.436, 0.536</v>
      </c>
      <c r="K159" s="9" t="str">
        <f t="shared" si="181"/>
        <v>0.478, 0.382, 0.582</v>
      </c>
      <c r="L159" s="9" t="str">
        <f t="shared" si="181"/>
        <v>0.485, 0.437, 0.537</v>
      </c>
      <c r="M159" s="9" t="str">
        <f t="shared" si="181"/>
        <v>0.485, 0.388, 0.588</v>
      </c>
      <c r="N159" s="9" t="str">
        <f t="shared" si="181"/>
        <v>0.488, 0.439, 0.539</v>
      </c>
      <c r="O159" s="9" t="str">
        <f t="shared" si="181"/>
        <v>0.486, 0.388, 0.588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"","")"),0.447)</f>
        <v>0.447</v>
      </c>
      <c r="B161" s="9">
        <f>IFERROR(__xludf.DUMMYFUNCTION("""COMPUTED_VALUE"""),0.447)</f>
        <v>0.447</v>
      </c>
      <c r="C161" s="9">
        <f>IFERROR(__xludf.DUMMYFUNCTION("""COMPUTED_VALUE"""),0.447)</f>
        <v>0.447</v>
      </c>
      <c r="E161" s="11">
        <f>IFERROR(__xludf.DUMMYFUNCTION("SPLIT(J153, "","")"),0.447)</f>
        <v>0.447</v>
      </c>
      <c r="F161" s="9">
        <f>IFERROR(__xludf.DUMMYFUNCTION("""COMPUTED_VALUE"""),0.403)</f>
        <v>0.403</v>
      </c>
      <c r="G161" s="9">
        <f>IFERROR(__xludf.DUMMYFUNCTION("""COMPUTED_VALUE"""),0.503)</f>
        <v>0.503</v>
      </c>
      <c r="I161" s="9">
        <f>IFERROR(__xludf.DUMMYFUNCTION("SPLIT(K153, "","")"),0.445)</f>
        <v>0.445</v>
      </c>
      <c r="J161" s="9">
        <f>IFERROR(__xludf.DUMMYFUNCTION("""COMPUTED_VALUE"""),0.356)</f>
        <v>0.356</v>
      </c>
      <c r="K161" s="9">
        <f>IFERROR(__xludf.DUMMYFUNCTION("""COMPUTED_VALUE"""),0.556)</f>
        <v>0.556</v>
      </c>
      <c r="M161" s="9">
        <f>IFERROR(__xludf.DUMMYFUNCTION("SPLIT(L153, "","")"),0.459)</f>
        <v>0.459</v>
      </c>
      <c r="N161" s="9">
        <f>IFERROR(__xludf.DUMMYFUNCTION("""COMPUTED_VALUE"""),0.413)</f>
        <v>0.413</v>
      </c>
      <c r="O161" s="9">
        <f>IFERROR(__xludf.DUMMYFUNCTION("""COMPUTED_VALUE"""),0.513)</f>
        <v>0.513</v>
      </c>
      <c r="Q161" s="9">
        <f>IFERROR(__xludf.DUMMYFUNCTION("SPLIT(M153, "","")"),0.478)</f>
        <v>0.478</v>
      </c>
      <c r="R161" s="9">
        <f>IFERROR(__xludf.DUMMYFUNCTION("""COMPUTED_VALUE"""),0.383)</f>
        <v>0.383</v>
      </c>
      <c r="S161" s="9">
        <f>IFERROR(__xludf.DUMMYFUNCTION("""COMPUTED_VALUE"""),0.583)</f>
        <v>0.583</v>
      </c>
      <c r="U161" s="9">
        <f>IFERROR(__xludf.DUMMYFUNCTION("SPLIT(N153, "","")"),0.458)</f>
        <v>0.458</v>
      </c>
      <c r="V161" s="9">
        <f>IFERROR(__xludf.DUMMYFUNCTION("""COMPUTED_VALUE"""),0.412)</f>
        <v>0.412</v>
      </c>
      <c r="W161" s="9">
        <f>IFERROR(__xludf.DUMMYFUNCTION("""COMPUTED_VALUE"""),0.512)</f>
        <v>0.512</v>
      </c>
      <c r="Y161" s="9">
        <f>IFERROR(__xludf.DUMMYFUNCTION("SPLIT(O153, "","")"),0.468)</f>
        <v>0.468</v>
      </c>
      <c r="Z161" s="9">
        <f>IFERROR(__xludf.DUMMYFUNCTION("""COMPUTED_VALUE"""),0.375)</f>
        <v>0.375</v>
      </c>
      <c r="AA161" s="9">
        <f>IFERROR(__xludf.DUMMYFUNCTION("""COMPUTED_VALUE"""),0.575)</f>
        <v>0.575</v>
      </c>
    </row>
    <row r="162">
      <c r="A162" s="9">
        <f>IFERROR(__xludf.DUMMYFUNCTION("SPLIT(I154, "","")"),0.46)</f>
        <v>0.46</v>
      </c>
      <c r="B162" s="9">
        <f>IFERROR(__xludf.DUMMYFUNCTION("""COMPUTED_VALUE"""),0.46)</f>
        <v>0.46</v>
      </c>
      <c r="C162" s="9">
        <f>IFERROR(__xludf.DUMMYFUNCTION("""COMPUTED_VALUE"""),0.46)</f>
        <v>0.46</v>
      </c>
      <c r="E162" s="11">
        <f>IFERROR(__xludf.DUMMYFUNCTION("SPLIT(J154, "","")"),0.462)</f>
        <v>0.462</v>
      </c>
      <c r="F162" s="9">
        <f>IFERROR(__xludf.DUMMYFUNCTION("""COMPUTED_VALUE"""),0.416)</f>
        <v>0.416</v>
      </c>
      <c r="G162" s="9">
        <f>IFERROR(__xludf.DUMMYFUNCTION("""COMPUTED_VALUE"""),0.516)</f>
        <v>0.516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"","")"),0.484)</f>
        <v>0.484</v>
      </c>
      <c r="R162" s="9">
        <f>IFERROR(__xludf.DUMMYFUNCTION("""COMPUTED_VALUE"""),0.387)</f>
        <v>0.387</v>
      </c>
      <c r="S162" s="9">
        <f>IFERROR(__xludf.DUMMYFUNCTION("""COMPUTED_VALUE"""),0.587)</f>
        <v>0.587</v>
      </c>
      <c r="U162" s="9">
        <f>IFERROR(__xludf.DUMMYFUNCTION("SPLIT(N154, "","")"),0.467)</f>
        <v>0.467</v>
      </c>
      <c r="V162" s="9">
        <f>IFERROR(__xludf.DUMMYFUNCTION("""COMPUTED_VALUE"""),0.42)</f>
        <v>0.42</v>
      </c>
      <c r="W162" s="9">
        <f>IFERROR(__xludf.DUMMYFUNCTION("""COMPUTED_VALUE"""),0.52)</f>
        <v>0.52</v>
      </c>
      <c r="Y162" s="9">
        <f>IFERROR(__xludf.DUMMYFUNCTION("SPLIT(O154, "","")"),0.479)</f>
        <v>0.479</v>
      </c>
      <c r="Z162" s="9">
        <f>IFERROR(__xludf.DUMMYFUNCTION("""COMPUTED_VALUE"""),0.383)</f>
        <v>0.383</v>
      </c>
      <c r="AA162" s="9">
        <f>IFERROR(__xludf.DUMMYFUNCTION("""COMPUTED_VALUE"""),0.583)</f>
        <v>0.583</v>
      </c>
    </row>
    <row r="163">
      <c r="A163" s="9">
        <f>IFERROR(__xludf.DUMMYFUNCTION("SPLIT(I155, "","")"),0.45)</f>
        <v>0.45</v>
      </c>
      <c r="B163" s="9">
        <f>IFERROR(__xludf.DUMMYFUNCTION("""COMPUTED_VALUE"""),0.45)</f>
        <v>0.45</v>
      </c>
      <c r="C163" s="9">
        <f>IFERROR(__xludf.DUMMYFUNCTION("""COMPUTED_VALUE"""),0.45)</f>
        <v>0.45</v>
      </c>
      <c r="E163" s="11">
        <f>IFERROR(__xludf.DUMMYFUNCTION("SPLIT(J155, "","")"),0.449)</f>
        <v>0.449</v>
      </c>
      <c r="F163" s="9">
        <f>IFERROR(__xludf.DUMMYFUNCTION("""COMPUTED_VALUE"""),0.404)</f>
        <v>0.404</v>
      </c>
      <c r="G163" s="9">
        <f>IFERROR(__xludf.DUMMYFUNCTION("""COMPUTED_VALUE"""),0.504)</f>
        <v>0.504</v>
      </c>
      <c r="I163" s="9">
        <f>IFERROR(__xludf.DUMMYFUNCTION("SPLIT(K155, "","")"),0.449)</f>
        <v>0.449</v>
      </c>
      <c r="J163" s="9">
        <f>IFERROR(__xludf.DUMMYFUNCTION("""COMPUTED_VALUE"""),0.359)</f>
        <v>0.359</v>
      </c>
      <c r="K163" s="9">
        <f>IFERROR(__xludf.DUMMYFUNCTION("""COMPUTED_VALUE"""),0.559)</f>
        <v>0.559</v>
      </c>
      <c r="M163" s="9">
        <f>IFERROR(__xludf.DUMMYFUNCTION("SPLIT(L155, "","")"),0.46)</f>
        <v>0.46</v>
      </c>
      <c r="N163" s="9">
        <f>IFERROR(__xludf.DUMMYFUNCTION("""COMPUTED_VALUE"""),0.414)</f>
        <v>0.414</v>
      </c>
      <c r="O163" s="9">
        <f>IFERROR(__xludf.DUMMYFUNCTION("""COMPUTED_VALUE"""),0.514)</f>
        <v>0.514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"","")"),0.458)</f>
        <v>0.458</v>
      </c>
      <c r="V163" s="9">
        <f>IFERROR(__xludf.DUMMYFUNCTION("""COMPUTED_VALUE"""),0.412)</f>
        <v>0.412</v>
      </c>
      <c r="W163" s="9">
        <f>IFERROR(__xludf.DUMMYFUNCTION("""COMPUTED_VALUE"""),0.512)</f>
        <v>0.512</v>
      </c>
      <c r="Y163" s="9">
        <f>IFERROR(__xludf.DUMMYFUNCTION("SPLIT(O155, "","")"),0.469)</f>
        <v>0.469</v>
      </c>
      <c r="Z163" s="9">
        <f>IFERROR(__xludf.DUMMYFUNCTION("""COMPUTED_VALUE"""),0.375)</f>
        <v>0.375</v>
      </c>
      <c r="AA163" s="9">
        <f>IFERROR(__xludf.DUMMYFUNCTION("""COMPUTED_VALUE"""),0.575)</f>
        <v>0.575</v>
      </c>
    </row>
    <row r="164">
      <c r="A164" s="9">
        <f>IFERROR(__xludf.DUMMYFUNCTION("SPLIT(I156, "","")"),0.476)</f>
        <v>0.476</v>
      </c>
      <c r="B164" s="9">
        <f>IFERROR(__xludf.DUMMYFUNCTION("""COMPUTED_VALUE"""),0.476)</f>
        <v>0.476</v>
      </c>
      <c r="C164" s="9">
        <f>IFERROR(__xludf.DUMMYFUNCTION("""COMPUTED_VALUE"""),0.476)</f>
        <v>0.476</v>
      </c>
      <c r="E164" s="11">
        <f>IFERROR(__xludf.DUMMYFUNCTION("SPLIT(J156, "","")"),0.476)</f>
        <v>0.476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"","")"),0.479)</f>
        <v>0.479</v>
      </c>
      <c r="J164" s="9">
        <f>IFERROR(__xludf.DUMMYFUNCTION("""COMPUTED_VALUE"""),0.383)</f>
        <v>0.383</v>
      </c>
      <c r="K164" s="9">
        <f>IFERROR(__xludf.DUMMYFUNCTION("""COMPUTED_VALUE"""),0.583)</f>
        <v>0.583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"","")"),0.481)</f>
        <v>0.481</v>
      </c>
      <c r="R164" s="9">
        <f>IFERROR(__xludf.DUMMYFUNCTION("""COMPUTED_VALUE"""),0.385)</f>
        <v>0.385</v>
      </c>
      <c r="S164" s="9">
        <f>IFERROR(__xludf.DUMMYFUNCTION("""COMPUTED_VALUE"""),0.585)</f>
        <v>0.585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"","")"),0.479)</f>
        <v>0.479</v>
      </c>
      <c r="Z164" s="9">
        <f>IFERROR(__xludf.DUMMYFUNCTION("""COMPUTED_VALUE"""),0.383)</f>
        <v>0.383</v>
      </c>
      <c r="AA164" s="9">
        <f>IFERROR(__xludf.DUMMYFUNCTION("""COMPUTED_VALUE"""),0.583)</f>
        <v>0.583</v>
      </c>
    </row>
    <row r="165">
      <c r="A165" s="9">
        <f>IFERROR(__xludf.DUMMYFUNCTION("SPLIT(I157, "","")"),0.48)</f>
        <v>0.48</v>
      </c>
      <c r="B165" s="9">
        <f>IFERROR(__xludf.DUMMYFUNCTION("""COMPUTED_VALUE"""),0.48)</f>
        <v>0.48</v>
      </c>
      <c r="C165" s="9">
        <f>IFERROR(__xludf.DUMMYFUNCTION("""COMPUTED_VALUE"""),0.48)</f>
        <v>0.48</v>
      </c>
      <c r="E165" s="11">
        <f>IFERROR(__xludf.DUMMYFUNCTION("SPLIT(J157, "","")"),0.484)</f>
        <v>0.484</v>
      </c>
      <c r="F165" s="9">
        <f>IFERROR(__xludf.DUMMYFUNCTION("""COMPUTED_VALUE"""),0.436)</f>
        <v>0.436</v>
      </c>
      <c r="G165" s="9">
        <f>IFERROR(__xludf.DUMMYFUNCTION("""COMPUTED_VALUE"""),0.536)</f>
        <v>0.536</v>
      </c>
      <c r="I165" s="9">
        <f>IFERROR(__xludf.DUMMYFUNCTION("SPLIT(K157, "","")"),0.477)</f>
        <v>0.477</v>
      </c>
      <c r="J165" s="9">
        <f>IFERROR(__xludf.DUMMYFUNCTION("""COMPUTED_VALUE"""),0.381)</f>
        <v>0.381</v>
      </c>
      <c r="K165" s="9">
        <f>IFERROR(__xludf.DUMMYFUNCTION("""COMPUTED_VALUE"""),0.581)</f>
        <v>0.581</v>
      </c>
      <c r="M165" s="9">
        <f>IFERROR(__xludf.DUMMYFUNCTION("SPLIT(L157, "","")"),0.48)</f>
        <v>0.48</v>
      </c>
      <c r="N165" s="9">
        <f>IFERROR(__xludf.DUMMYFUNCTION("""COMPUTED_VALUE"""),0.432)</f>
        <v>0.432</v>
      </c>
      <c r="O165" s="9">
        <f>IFERROR(__xludf.DUMMYFUNCTION("""COMPUTED_VALUE"""),0.532)</f>
        <v>0.532</v>
      </c>
      <c r="Q165" s="9">
        <f>IFERROR(__xludf.DUMMYFUNCTION("SPLIT(M157, "","")"),0.476)</f>
        <v>0.476</v>
      </c>
      <c r="R165" s="9">
        <f>IFERROR(__xludf.DUMMYFUNCTION("""COMPUTED_VALUE"""),0.381)</f>
        <v>0.381</v>
      </c>
      <c r="S165" s="9">
        <f>IFERROR(__xludf.DUMMYFUNCTION("""COMPUTED_VALUE"""),0.581)</f>
        <v>0.581</v>
      </c>
      <c r="U165" s="9">
        <f>IFERROR(__xludf.DUMMYFUNCTION("SPLIT(N157, "","")"),0.477)</f>
        <v>0.477</v>
      </c>
      <c r="V165" s="9">
        <f>IFERROR(__xludf.DUMMYFUNCTION("""COMPUTED_VALUE"""),0.429)</f>
        <v>0.429</v>
      </c>
      <c r="W165" s="9">
        <f>IFERROR(__xludf.DUMMYFUNCTION("""COMPUTED_VALUE"""),0.529)</f>
        <v>0.529</v>
      </c>
      <c r="Y165" s="9">
        <f>IFERROR(__xludf.DUMMYFUNCTION("SPLIT(O157, "","")"),0.476)</f>
        <v>0.476</v>
      </c>
      <c r="Z165" s="9">
        <f>IFERROR(__xludf.DUMMYFUNCTION("""COMPUTED_VALUE"""),0.381)</f>
        <v>0.381</v>
      </c>
      <c r="AA165" s="9">
        <f>IFERROR(__xludf.DUMMYFUNCTION("""COMPUTED_VALUE"""),0.581)</f>
        <v>0.581</v>
      </c>
    </row>
    <row r="166">
      <c r="A166" s="9">
        <f>IFERROR(__xludf.DUMMYFUNCTION("SPLIT(I158, "","")"),0.457)</f>
        <v>0.457</v>
      </c>
      <c r="B166" s="9">
        <f>IFERROR(__xludf.DUMMYFUNCTION("""COMPUTED_VALUE"""),0.457)</f>
        <v>0.457</v>
      </c>
      <c r="C166" s="9">
        <f>IFERROR(__xludf.DUMMYFUNCTION("""COMPUTED_VALUE"""),0.457)</f>
        <v>0.457</v>
      </c>
      <c r="E166" s="11">
        <f>IFERROR(__xludf.DUMMYFUNCTION("SPLIT(J158, "","")"),0.456)</f>
        <v>0.456</v>
      </c>
      <c r="F166" s="9">
        <f>IFERROR(__xludf.DUMMYFUNCTION("""COMPUTED_VALUE"""),0.411)</f>
        <v>0.411</v>
      </c>
      <c r="G166" s="9">
        <f>IFERROR(__xludf.DUMMYFUNCTION("""COMPUTED_VALUE"""),0.511)</f>
        <v>0.511</v>
      </c>
      <c r="I166" s="9">
        <f>IFERROR(__xludf.DUMMYFUNCTION("SPLIT(K158, "","")"),0.455)</f>
        <v>0.455</v>
      </c>
      <c r="J166" s="9">
        <f>IFERROR(__xludf.DUMMYFUNCTION("""COMPUTED_VALUE"""),0.364)</f>
        <v>0.364</v>
      </c>
      <c r="K166" s="9">
        <f>IFERROR(__xludf.DUMMYFUNCTION("""COMPUTED_VALUE"""),0.564)</f>
        <v>0.564</v>
      </c>
      <c r="M166" s="9">
        <f>IFERROR(__xludf.DUMMYFUNCTION("SPLIT(L158, "","")"),0.467)</f>
        <v>0.467</v>
      </c>
      <c r="N166" s="9">
        <f>IFERROR(__xludf.DUMMYFUNCTION("""COMPUTED_VALUE"""),0.42)</f>
        <v>0.42</v>
      </c>
      <c r="O166" s="9">
        <f>IFERROR(__xludf.DUMMYFUNCTION("""COMPUTED_VALUE"""),0.52)</f>
        <v>0.52</v>
      </c>
      <c r="Q166" s="9">
        <f>IFERROR(__xludf.DUMMYFUNCTION("SPLIT(M158, "","")"),0.474)</f>
        <v>0.474</v>
      </c>
      <c r="R166" s="9">
        <f>IFERROR(__xludf.DUMMYFUNCTION("""COMPUTED_VALUE"""),0.38)</f>
        <v>0.38</v>
      </c>
      <c r="S166" s="9">
        <f>IFERROR(__xludf.DUMMYFUNCTION("""COMPUTED_VALUE"""),0.58)</f>
        <v>0.58</v>
      </c>
      <c r="U166" s="9">
        <f>IFERROR(__xludf.DUMMYFUNCTION("SPLIT(N158, "","")"),0.463)</f>
        <v>0.463</v>
      </c>
      <c r="V166" s="9">
        <f>IFERROR(__xludf.DUMMYFUNCTION("""COMPUTED_VALUE"""),0.417)</f>
        <v>0.417</v>
      </c>
      <c r="W166" s="9">
        <f>IFERROR(__xludf.DUMMYFUNCTION("""COMPUTED_VALUE"""),0.517)</f>
        <v>0.517</v>
      </c>
      <c r="Y166" s="9">
        <f>IFERROR(__xludf.DUMMYFUNCTION("SPLIT(O158, "","")"),0.475)</f>
        <v>0.475</v>
      </c>
      <c r="Z166" s="9">
        <f>IFERROR(__xludf.DUMMYFUNCTION("""COMPUTED_VALUE"""),0.38)</f>
        <v>0.38</v>
      </c>
      <c r="AA166" s="9">
        <f>IFERROR(__xludf.DUMMYFUNCTION("""COMPUTED_VALUE"""),0.58)</f>
        <v>0.58</v>
      </c>
    </row>
    <row r="167">
      <c r="A167" s="9">
        <f>IFERROR(__xludf.DUMMYFUNCTION("SPLIT(I159, "","")"),0.482)</f>
        <v>0.482</v>
      </c>
      <c r="B167" s="9">
        <f>IFERROR(__xludf.DUMMYFUNCTION("""COMPUTED_VALUE"""),0.482)</f>
        <v>0.482</v>
      </c>
      <c r="C167" s="9">
        <f>IFERROR(__xludf.DUMMYFUNCTION("""COMPUTED_VALUE"""),0.482)</f>
        <v>0.482</v>
      </c>
      <c r="E167" s="11">
        <f>IFERROR(__xludf.DUMMYFUNCTION("SPLIT(J159, "","")"),0.484)</f>
        <v>0.484</v>
      </c>
      <c r="F167" s="9">
        <f>IFERROR(__xludf.DUMMYFUNCTION("""COMPUTED_VALUE"""),0.436)</f>
        <v>0.436</v>
      </c>
      <c r="G167" s="9">
        <f>IFERROR(__xludf.DUMMYFUNCTION("""COMPUTED_VALUE"""),0.536)</f>
        <v>0.536</v>
      </c>
      <c r="I167" s="9">
        <f>IFERROR(__xludf.DUMMYFUNCTION("SPLIT(K159, "","")"),0.478)</f>
        <v>0.478</v>
      </c>
      <c r="J167" s="9">
        <f>IFERROR(__xludf.DUMMYFUNCTION("""COMPUTED_VALUE"""),0.382)</f>
        <v>0.382</v>
      </c>
      <c r="K167" s="9">
        <f>IFERROR(__xludf.DUMMYFUNCTION("""COMPUTED_VALUE"""),0.582)</f>
        <v>0.582</v>
      </c>
      <c r="M167" s="9">
        <f>IFERROR(__xludf.DUMMYFUNCTION("SPLIT(L159, "","")"),0.485)</f>
        <v>0.485</v>
      </c>
      <c r="N167" s="9">
        <f>IFERROR(__xludf.DUMMYFUNCTION("""COMPUTED_VALUE"""),0.437)</f>
        <v>0.437</v>
      </c>
      <c r="O167" s="9">
        <f>IFERROR(__xludf.DUMMYFUNCTION("""COMPUTED_VALUE"""),0.537)</f>
        <v>0.537</v>
      </c>
      <c r="Q167" s="9">
        <f>IFERROR(__xludf.DUMMYFUNCTION("SPLIT(M159, "","")"),0.485)</f>
        <v>0.485</v>
      </c>
      <c r="R167" s="9">
        <f>IFERROR(__xludf.DUMMYFUNCTION("""COMPUTED_VALUE"""),0.388)</f>
        <v>0.388</v>
      </c>
      <c r="S167" s="9">
        <f>IFERROR(__xludf.DUMMYFUNCTION("""COMPUTED_VALUE"""),0.588)</f>
        <v>0.588</v>
      </c>
      <c r="U167" s="9">
        <f>IFERROR(__xludf.DUMMYFUNCTION("SPLIT(N159, "","")"),0.488)</f>
        <v>0.488</v>
      </c>
      <c r="V167" s="9">
        <f>IFERROR(__xludf.DUMMYFUNCTION("""COMPUTED_VALUE"""),0.439)</f>
        <v>0.439</v>
      </c>
      <c r="W167" s="9">
        <f>IFERROR(__xludf.DUMMYFUNCTION("""COMPUTED_VALUE"""),0.539)</f>
        <v>0.539</v>
      </c>
      <c r="Y167" s="9">
        <f>IFERROR(__xludf.DUMMYFUNCTION("SPLIT(O159, "","")"),0.486)</f>
        <v>0.486</v>
      </c>
      <c r="Z167" s="9">
        <f>IFERROR(__xludf.DUMMYFUNCTION("""COMPUTED_VALUE"""),0.388)</f>
        <v>0.388</v>
      </c>
      <c r="AA167" s="9">
        <f>IFERROR(__xludf.DUMMYFUNCTION("""COMPUTED_VALUE"""),0.588)</f>
        <v>0.588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0.447</v>
      </c>
      <c r="D171" s="7">
        <f t="shared" ref="D171:D177" si="187">E161</f>
        <v>0.447</v>
      </c>
      <c r="E171" s="7">
        <f t="shared" ref="E171:E177" si="188">I161</f>
        <v>0.445</v>
      </c>
      <c r="F171" s="7">
        <f t="shared" ref="F171:G171" si="182">N161</f>
        <v>0.413</v>
      </c>
      <c r="G171" s="12">
        <f t="shared" si="182"/>
        <v>0.513</v>
      </c>
      <c r="H171" s="7">
        <f t="shared" ref="H171:I171" si="183">R161</f>
        <v>0.383</v>
      </c>
      <c r="I171" s="12">
        <f t="shared" si="183"/>
        <v>0.583</v>
      </c>
      <c r="J171" s="7">
        <f t="shared" ref="J171:K171" si="184">V161</f>
        <v>0.412</v>
      </c>
      <c r="K171" s="12">
        <f t="shared" si="184"/>
        <v>0.512</v>
      </c>
      <c r="L171" s="7">
        <f t="shared" ref="L171:M171" si="185">Z161</f>
        <v>0.375</v>
      </c>
      <c r="M171" s="7">
        <f t="shared" si="185"/>
        <v>0.575</v>
      </c>
    </row>
    <row r="172">
      <c r="B172" s="6" t="s">
        <v>5</v>
      </c>
      <c r="C172" s="7">
        <f t="shared" si="186"/>
        <v>0.46</v>
      </c>
      <c r="D172" s="7">
        <f t="shared" si="187"/>
        <v>0.462</v>
      </c>
      <c r="E172" s="7">
        <f t="shared" si="188"/>
        <v>0.457</v>
      </c>
      <c r="F172" s="7">
        <f t="shared" ref="F172:G172" si="189">N162</f>
        <v>0.424</v>
      </c>
      <c r="G172" s="12">
        <f t="shared" si="189"/>
        <v>0.524</v>
      </c>
      <c r="H172" s="7">
        <f t="shared" ref="H172:I172" si="190">R162</f>
        <v>0.387</v>
      </c>
      <c r="I172" s="12">
        <f t="shared" si="190"/>
        <v>0.587</v>
      </c>
      <c r="J172" s="7">
        <f t="shared" ref="J172:K172" si="191">V162</f>
        <v>0.42</v>
      </c>
      <c r="K172" s="12">
        <f t="shared" si="191"/>
        <v>0.52</v>
      </c>
      <c r="L172" s="7">
        <f t="shared" ref="L172:M172" si="192">Z162</f>
        <v>0.383</v>
      </c>
      <c r="M172" s="7">
        <f t="shared" si="192"/>
        <v>0.583</v>
      </c>
    </row>
    <row r="173">
      <c r="B173" s="6" t="s">
        <v>6</v>
      </c>
      <c r="C173" s="7">
        <f t="shared" si="186"/>
        <v>0.45</v>
      </c>
      <c r="D173" s="7">
        <f t="shared" si="187"/>
        <v>0.449</v>
      </c>
      <c r="E173" s="7">
        <f t="shared" si="188"/>
        <v>0.449</v>
      </c>
      <c r="F173" s="7">
        <f t="shared" ref="F173:G173" si="193">N163</f>
        <v>0.414</v>
      </c>
      <c r="G173" s="12">
        <f t="shared" si="193"/>
        <v>0.514</v>
      </c>
      <c r="H173" s="7">
        <f t="shared" ref="H173:I173" si="194">R163</f>
        <v>0.384</v>
      </c>
      <c r="I173" s="12">
        <f t="shared" si="194"/>
        <v>0.584</v>
      </c>
      <c r="J173" s="7">
        <f t="shared" ref="J173:K173" si="195">V163</f>
        <v>0.412</v>
      </c>
      <c r="K173" s="12">
        <f t="shared" si="195"/>
        <v>0.512</v>
      </c>
      <c r="L173" s="7">
        <f t="shared" ref="L173:M173" si="196">Z163</f>
        <v>0.375</v>
      </c>
      <c r="M173" s="7">
        <f t="shared" si="196"/>
        <v>0.575</v>
      </c>
    </row>
    <row r="174">
      <c r="B174" s="6" t="s">
        <v>7</v>
      </c>
      <c r="C174" s="7">
        <f t="shared" si="186"/>
        <v>0.476</v>
      </c>
      <c r="D174" s="7">
        <f t="shared" si="187"/>
        <v>0.476</v>
      </c>
      <c r="E174" s="7">
        <f t="shared" si="188"/>
        <v>0.479</v>
      </c>
      <c r="F174" s="7">
        <f t="shared" ref="F174:G174" si="197">N164</f>
        <v>0.429</v>
      </c>
      <c r="G174" s="12">
        <f t="shared" si="197"/>
        <v>0.529</v>
      </c>
      <c r="H174" s="7">
        <f t="shared" ref="H174:I174" si="198">R164</f>
        <v>0.385</v>
      </c>
      <c r="I174" s="12">
        <f t="shared" si="198"/>
        <v>0.585</v>
      </c>
      <c r="J174" s="7">
        <f t="shared" ref="J174:K174" si="199">V164</f>
        <v>0.429</v>
      </c>
      <c r="K174" s="12">
        <f t="shared" si="199"/>
        <v>0.529</v>
      </c>
      <c r="L174" s="7">
        <f t="shared" ref="L174:M174" si="200">Z164</f>
        <v>0.383</v>
      </c>
      <c r="M174" s="7">
        <f t="shared" si="200"/>
        <v>0.583</v>
      </c>
    </row>
    <row r="175">
      <c r="B175" s="6" t="s">
        <v>8</v>
      </c>
      <c r="C175" s="7">
        <f t="shared" si="186"/>
        <v>0.48</v>
      </c>
      <c r="D175" s="7">
        <f t="shared" si="187"/>
        <v>0.484</v>
      </c>
      <c r="E175" s="7">
        <f t="shared" si="188"/>
        <v>0.477</v>
      </c>
      <c r="F175" s="7">
        <f t="shared" ref="F175:G175" si="201">N165</f>
        <v>0.432</v>
      </c>
      <c r="G175" s="12">
        <f t="shared" si="201"/>
        <v>0.532</v>
      </c>
      <c r="H175" s="7">
        <f t="shared" ref="H175:I175" si="202">R165</f>
        <v>0.381</v>
      </c>
      <c r="I175" s="12">
        <f t="shared" si="202"/>
        <v>0.581</v>
      </c>
      <c r="J175" s="7">
        <f t="shared" ref="J175:K175" si="203">V165</f>
        <v>0.429</v>
      </c>
      <c r="K175" s="12">
        <f t="shared" si="203"/>
        <v>0.529</v>
      </c>
      <c r="L175" s="7">
        <f t="shared" ref="L175:M175" si="204">Z165</f>
        <v>0.381</v>
      </c>
      <c r="M175" s="7">
        <f t="shared" si="204"/>
        <v>0.581</v>
      </c>
    </row>
    <row r="176">
      <c r="B176" s="6" t="s">
        <v>9</v>
      </c>
      <c r="C176" s="7">
        <f t="shared" si="186"/>
        <v>0.457</v>
      </c>
      <c r="D176" s="7">
        <f t="shared" si="187"/>
        <v>0.456</v>
      </c>
      <c r="E176" s="7">
        <f t="shared" si="188"/>
        <v>0.455</v>
      </c>
      <c r="F176" s="7">
        <f t="shared" ref="F176:G176" si="205">N166</f>
        <v>0.42</v>
      </c>
      <c r="G176" s="12">
        <f t="shared" si="205"/>
        <v>0.52</v>
      </c>
      <c r="H176" s="7">
        <f t="shared" ref="H176:I176" si="206">R166</f>
        <v>0.38</v>
      </c>
      <c r="I176" s="12">
        <f t="shared" si="206"/>
        <v>0.58</v>
      </c>
      <c r="J176" s="7">
        <f t="shared" ref="J176:K176" si="207">V166</f>
        <v>0.417</v>
      </c>
      <c r="K176" s="12">
        <f t="shared" si="207"/>
        <v>0.517</v>
      </c>
      <c r="L176" s="7">
        <f t="shared" ref="L176:M176" si="208">Z166</f>
        <v>0.38</v>
      </c>
      <c r="M176" s="7">
        <f t="shared" si="208"/>
        <v>0.58</v>
      </c>
    </row>
    <row r="177">
      <c r="B177" s="6" t="s">
        <v>10</v>
      </c>
      <c r="C177" s="7">
        <f t="shared" si="186"/>
        <v>0.482</v>
      </c>
      <c r="D177" s="7">
        <f t="shared" si="187"/>
        <v>0.484</v>
      </c>
      <c r="E177" s="7">
        <f t="shared" si="188"/>
        <v>0.478</v>
      </c>
      <c r="F177" s="7">
        <f t="shared" ref="F177:G177" si="209">N167</f>
        <v>0.437</v>
      </c>
      <c r="G177" s="12">
        <f t="shared" si="209"/>
        <v>0.537</v>
      </c>
      <c r="H177" s="7">
        <f t="shared" ref="H177:I177" si="210">R167</f>
        <v>0.388</v>
      </c>
      <c r="I177" s="12">
        <f t="shared" si="210"/>
        <v>0.588</v>
      </c>
      <c r="J177" s="7">
        <f t="shared" ref="J177:K177" si="211">V167</f>
        <v>0.439</v>
      </c>
      <c r="K177" s="12">
        <f t="shared" si="211"/>
        <v>0.539</v>
      </c>
      <c r="L177" s="7">
        <f t="shared" ref="L177:M177" si="212">Z167</f>
        <v>0.388</v>
      </c>
      <c r="M177" s="7">
        <f t="shared" si="212"/>
        <v>0.588</v>
      </c>
    </row>
    <row r="179">
      <c r="A179" s="8" t="s">
        <v>147</v>
      </c>
      <c r="B179" s="8" t="s">
        <v>175</v>
      </c>
      <c r="C179" s="8" t="s">
        <v>176</v>
      </c>
      <c r="D179" s="8" t="s">
        <v>177</v>
      </c>
      <c r="E179" s="8" t="s">
        <v>178</v>
      </c>
      <c r="F179" s="8" t="s">
        <v>179</v>
      </c>
      <c r="G179" s="8" t="s">
        <v>178</v>
      </c>
      <c r="I179" s="9" t="str">
        <f t="shared" ref="I179:O179" si="213">substitute(SUBSTITUTE(A179, "(", ""), ")", "")</f>
        <v>0.450, 0.450, 0.450</v>
      </c>
      <c r="J179" s="9" t="str">
        <f t="shared" si="213"/>
        <v>0.443, 0.398, 0.498</v>
      </c>
      <c r="K179" s="9" t="str">
        <f t="shared" si="213"/>
        <v>0.462, 0.369, 0.569</v>
      </c>
      <c r="L179" s="9" t="str">
        <f t="shared" si="213"/>
        <v>0.495, 0.445, 0.545</v>
      </c>
      <c r="M179" s="9" t="str">
        <f t="shared" si="213"/>
        <v>0.559, 0.448, 0.648</v>
      </c>
      <c r="N179" s="9" t="str">
        <f t="shared" si="213"/>
        <v>0.492, 0.443, 0.543</v>
      </c>
      <c r="O179" s="9" t="str">
        <f t="shared" si="213"/>
        <v>0.559, 0.448, 0.648</v>
      </c>
      <c r="T179" s="6"/>
    </row>
    <row r="180">
      <c r="A180" s="8" t="s">
        <v>162</v>
      </c>
      <c r="B180" s="8" t="s">
        <v>180</v>
      </c>
      <c r="C180" s="8" t="s">
        <v>181</v>
      </c>
      <c r="D180" s="8" t="s">
        <v>182</v>
      </c>
      <c r="E180" s="8" t="s">
        <v>183</v>
      </c>
      <c r="F180" s="8" t="s">
        <v>184</v>
      </c>
      <c r="G180" s="8" t="s">
        <v>185</v>
      </c>
      <c r="I180" s="9" t="str">
        <f t="shared" ref="I180:O180" si="214">substitute(SUBSTITUTE(A180, "(", ""), ")", "")</f>
        <v>0.457, 0.457, 0.457</v>
      </c>
      <c r="J180" s="9" t="str">
        <f t="shared" si="214"/>
        <v>0.450, 0.405, 0.505</v>
      </c>
      <c r="K180" s="9" t="str">
        <f t="shared" si="214"/>
        <v>0.474, 0.379, 0.579</v>
      </c>
      <c r="L180" s="9" t="str">
        <f t="shared" si="214"/>
        <v>0.487, 0.438, 0.538</v>
      </c>
      <c r="M180" s="9" t="str">
        <f t="shared" si="214"/>
        <v>0.536, 0.429, 0.629</v>
      </c>
      <c r="N180" s="9" t="str">
        <f t="shared" si="214"/>
        <v>0.477, 0.430, 0.530</v>
      </c>
      <c r="O180" s="9" t="str">
        <f t="shared" si="214"/>
        <v>0.534, 0.427, 0.627</v>
      </c>
    </row>
    <row r="181">
      <c r="A181" s="8" t="s">
        <v>186</v>
      </c>
      <c r="B181" s="8" t="s">
        <v>187</v>
      </c>
      <c r="C181" s="8" t="s">
        <v>152</v>
      </c>
      <c r="D181" s="8" t="s">
        <v>188</v>
      </c>
      <c r="E181" s="8" t="s">
        <v>189</v>
      </c>
      <c r="F181" s="8" t="s">
        <v>190</v>
      </c>
      <c r="G181" s="8" t="s">
        <v>191</v>
      </c>
      <c r="I181" s="9" t="str">
        <f t="shared" ref="I181:O181" si="215">substitute(SUBSTITUTE(A181, "(", ""), ")", "")</f>
        <v>0.461, 0.461, 0.461</v>
      </c>
      <c r="J181" s="9" t="str">
        <f t="shared" si="215"/>
        <v>0.453, 0.408, 0.508</v>
      </c>
      <c r="K181" s="9" t="str">
        <f t="shared" si="215"/>
        <v>0.469, 0.375, 0.575</v>
      </c>
      <c r="L181" s="9" t="str">
        <f t="shared" si="215"/>
        <v>0.496, 0.447, 0.547</v>
      </c>
      <c r="M181" s="9" t="str">
        <f t="shared" si="215"/>
        <v>0.558, 0.446, 0.646</v>
      </c>
      <c r="N181" s="9" t="str">
        <f t="shared" si="215"/>
        <v>0.500, 0.450, 0.550</v>
      </c>
      <c r="O181" s="9" t="str">
        <f t="shared" si="215"/>
        <v>0.531, 0.424, 0.624</v>
      </c>
    </row>
    <row r="182">
      <c r="A182" s="8" t="s">
        <v>192</v>
      </c>
      <c r="B182" s="8" t="s">
        <v>193</v>
      </c>
      <c r="C182" s="8" t="s">
        <v>194</v>
      </c>
      <c r="D182" s="8" t="s">
        <v>195</v>
      </c>
      <c r="E182" s="8" t="s">
        <v>196</v>
      </c>
      <c r="F182" s="8" t="s">
        <v>154</v>
      </c>
      <c r="G182" s="8" t="s">
        <v>197</v>
      </c>
      <c r="I182" s="9" t="str">
        <f t="shared" ref="I182:O182" si="216">substitute(SUBSTITUTE(A182, "(", ""), ")", "")</f>
        <v>0.436, 0.436, 0.436</v>
      </c>
      <c r="J182" s="9" t="str">
        <f t="shared" si="216"/>
        <v>0.426, 0.383, 0.483</v>
      </c>
      <c r="K182" s="9" t="str">
        <f t="shared" si="216"/>
        <v>0.436, 0.349, 0.549</v>
      </c>
      <c r="L182" s="9" t="str">
        <f t="shared" si="216"/>
        <v>0.469, 0.422, 0.522</v>
      </c>
      <c r="M182" s="9" t="str">
        <f t="shared" si="216"/>
        <v>0.519, 0.415, 0.615</v>
      </c>
      <c r="N182" s="9" t="str">
        <f t="shared" si="216"/>
        <v>0.476, 0.428, 0.528</v>
      </c>
      <c r="O182" s="9" t="str">
        <f t="shared" si="216"/>
        <v>0.515, 0.412, 0.612</v>
      </c>
    </row>
    <row r="183">
      <c r="A183" s="8" t="s">
        <v>198</v>
      </c>
      <c r="B183" s="8" t="s">
        <v>199</v>
      </c>
      <c r="C183" s="8" t="s">
        <v>200</v>
      </c>
      <c r="D183" s="8" t="s">
        <v>201</v>
      </c>
      <c r="E183" s="8" t="s">
        <v>202</v>
      </c>
      <c r="F183" s="8" t="s">
        <v>182</v>
      </c>
      <c r="G183" s="8" t="s">
        <v>203</v>
      </c>
      <c r="I183" s="9" t="str">
        <f t="shared" ref="I183:O183" si="217">substitute(SUBSTITUTE(A183, "(", ""), ")", "")</f>
        <v>0.453, 0.453, 0.453</v>
      </c>
      <c r="J183" s="9" t="str">
        <f t="shared" si="217"/>
        <v>0.445, 0.400, 0.500</v>
      </c>
      <c r="K183" s="9" t="str">
        <f t="shared" si="217"/>
        <v>0.459, 0.367, 0.567</v>
      </c>
      <c r="L183" s="9" t="str">
        <f t="shared" si="217"/>
        <v>0.489, 0.440, 0.540</v>
      </c>
      <c r="M183" s="9" t="str">
        <f t="shared" si="217"/>
        <v>0.531, 0.425, 0.625</v>
      </c>
      <c r="N183" s="9" t="str">
        <f t="shared" si="217"/>
        <v>0.487, 0.438, 0.538</v>
      </c>
      <c r="O183" s="9" t="str">
        <f t="shared" si="217"/>
        <v>0.540, 0.432, 0.632</v>
      </c>
    </row>
    <row r="184">
      <c r="A184" s="8" t="s">
        <v>204</v>
      </c>
      <c r="B184" s="8" t="s">
        <v>205</v>
      </c>
      <c r="C184" s="8" t="s">
        <v>206</v>
      </c>
      <c r="D184" s="8" t="s">
        <v>207</v>
      </c>
      <c r="E184" s="8" t="s">
        <v>208</v>
      </c>
      <c r="F184" s="8" t="s">
        <v>209</v>
      </c>
      <c r="G184" s="8" t="s">
        <v>210</v>
      </c>
      <c r="I184" s="9" t="str">
        <f t="shared" ref="I184:O184" si="218">substitute(SUBSTITUTE(A184, "(", ""), ")", "")</f>
        <v>0.456, 0.456, 0.456</v>
      </c>
      <c r="J184" s="9" t="str">
        <f t="shared" si="218"/>
        <v>0.448, 0.403, 0.503</v>
      </c>
      <c r="K184" s="9" t="str">
        <f t="shared" si="218"/>
        <v>0.464, 0.371, 0.571</v>
      </c>
      <c r="L184" s="9" t="str">
        <f t="shared" si="218"/>
        <v>0.503, 0.453, 0.553</v>
      </c>
      <c r="M184" s="9" t="str">
        <f t="shared" si="218"/>
        <v>0.570, 0.456, 0.656</v>
      </c>
      <c r="N184" s="9" t="str">
        <f t="shared" si="218"/>
        <v>0.504, 0.453, 0.553</v>
      </c>
      <c r="O184" s="9" t="str">
        <f t="shared" si="218"/>
        <v>0.567, 0.454, 0.654</v>
      </c>
    </row>
    <row r="185">
      <c r="A185" s="8" t="s">
        <v>211</v>
      </c>
      <c r="B185" s="8" t="s">
        <v>212</v>
      </c>
      <c r="C185" s="8" t="s">
        <v>181</v>
      </c>
      <c r="D185" s="8" t="s">
        <v>209</v>
      </c>
      <c r="E185" s="8" t="s">
        <v>213</v>
      </c>
      <c r="F185" s="8" t="s">
        <v>214</v>
      </c>
      <c r="G185" s="8" t="s">
        <v>215</v>
      </c>
      <c r="I185" s="9" t="str">
        <f t="shared" ref="I185:O185" si="219">substitute(SUBSTITUTE(A185, "(", ""), ")", "")</f>
        <v>0.471, 0.471, 0.471</v>
      </c>
      <c r="J185" s="9" t="str">
        <f t="shared" si="219"/>
        <v>0.468, 0.421, 0.521</v>
      </c>
      <c r="K185" s="9" t="str">
        <f t="shared" si="219"/>
        <v>0.474, 0.379, 0.579</v>
      </c>
      <c r="L185" s="9" t="str">
        <f t="shared" si="219"/>
        <v>0.504, 0.453, 0.553</v>
      </c>
      <c r="M185" s="9" t="str">
        <f t="shared" si="219"/>
        <v>0.548, 0.438, 0.638</v>
      </c>
      <c r="N185" s="9" t="str">
        <f t="shared" si="219"/>
        <v>0.511, 0.460, 0.560</v>
      </c>
      <c r="O185" s="9" t="str">
        <f t="shared" si="219"/>
        <v>0.544, 0.435, 0.635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"","")"),0.45)</f>
        <v>0.45</v>
      </c>
      <c r="B187" s="9">
        <f>IFERROR(__xludf.DUMMYFUNCTION("""COMPUTED_VALUE"""),0.45)</f>
        <v>0.45</v>
      </c>
      <c r="C187" s="9">
        <f>IFERROR(__xludf.DUMMYFUNCTION("""COMPUTED_VALUE"""),0.45)</f>
        <v>0.45</v>
      </c>
      <c r="E187" s="11">
        <f>IFERROR(__xludf.DUMMYFUNCTION("SPLIT(J179, "","")"),0.443)</f>
        <v>0.443</v>
      </c>
      <c r="F187" s="9">
        <f>IFERROR(__xludf.DUMMYFUNCTION("""COMPUTED_VALUE"""),0.398)</f>
        <v>0.398</v>
      </c>
      <c r="G187" s="9">
        <f>IFERROR(__xludf.DUMMYFUNCTION("""COMPUTED_VALUE"""),0.498)</f>
        <v>0.498</v>
      </c>
      <c r="I187" s="9">
        <f>IFERROR(__xludf.DUMMYFUNCTION("SPLIT(K179, "","")"),0.462)</f>
        <v>0.462</v>
      </c>
      <c r="J187" s="9">
        <f>IFERROR(__xludf.DUMMYFUNCTION("""COMPUTED_VALUE"""),0.369)</f>
        <v>0.369</v>
      </c>
      <c r="K187" s="9">
        <f>IFERROR(__xludf.DUMMYFUNCTION("""COMPUTED_VALUE"""),0.569)</f>
        <v>0.569</v>
      </c>
      <c r="M187" s="9">
        <f>IFERROR(__xludf.DUMMYFUNCTION("SPLIT(L179, "","")"),0.495)</f>
        <v>0.495</v>
      </c>
      <c r="N187" s="9">
        <f>IFERROR(__xludf.DUMMYFUNCTION("""COMPUTED_VALUE"""),0.445)</f>
        <v>0.445</v>
      </c>
      <c r="O187" s="9">
        <f>IFERROR(__xludf.DUMMYFUNCTION("""COMPUTED_VALUE"""),0.545)</f>
        <v>0.545</v>
      </c>
      <c r="Q187" s="9">
        <f>IFERROR(__xludf.DUMMYFUNCTION("SPLIT(M179, "","")"),0.559)</f>
        <v>0.559</v>
      </c>
      <c r="R187" s="9">
        <f>IFERROR(__xludf.DUMMYFUNCTION("""COMPUTED_VALUE"""),0.448)</f>
        <v>0.448</v>
      </c>
      <c r="S187" s="9">
        <f>IFERROR(__xludf.DUMMYFUNCTION("""COMPUTED_VALUE"""),0.648)</f>
        <v>0.648</v>
      </c>
      <c r="U187" s="9">
        <f>IFERROR(__xludf.DUMMYFUNCTION("SPLIT(N179, "","")"),0.492)</f>
        <v>0.492</v>
      </c>
      <c r="V187" s="9">
        <f>IFERROR(__xludf.DUMMYFUNCTION("""COMPUTED_VALUE"""),0.443)</f>
        <v>0.443</v>
      </c>
      <c r="W187" s="9">
        <f>IFERROR(__xludf.DUMMYFUNCTION("""COMPUTED_VALUE"""),0.543)</f>
        <v>0.543</v>
      </c>
      <c r="Y187" s="9">
        <f>IFERROR(__xludf.DUMMYFUNCTION("SPLIT(O179, "","")"),0.559)</f>
        <v>0.559</v>
      </c>
      <c r="Z187" s="9">
        <f>IFERROR(__xludf.DUMMYFUNCTION("""COMPUTED_VALUE"""),0.448)</f>
        <v>0.448</v>
      </c>
      <c r="AA187" s="9">
        <f>IFERROR(__xludf.DUMMYFUNCTION("""COMPUTED_VALUE"""),0.648)</f>
        <v>0.648</v>
      </c>
    </row>
    <row r="188">
      <c r="A188" s="9">
        <f>IFERROR(__xludf.DUMMYFUNCTION("SPLIT(I180, "","")"),0.457)</f>
        <v>0.457</v>
      </c>
      <c r="B188" s="9">
        <f>IFERROR(__xludf.DUMMYFUNCTION("""COMPUTED_VALUE"""),0.457)</f>
        <v>0.457</v>
      </c>
      <c r="C188" s="9">
        <f>IFERROR(__xludf.DUMMYFUNCTION("""COMPUTED_VALUE"""),0.457)</f>
        <v>0.457</v>
      </c>
      <c r="E188" s="11">
        <f>IFERROR(__xludf.DUMMYFUNCTION("SPLIT(J180, "","")"),0.45)</f>
        <v>0.45</v>
      </c>
      <c r="F188" s="9">
        <f>IFERROR(__xludf.DUMMYFUNCTION("""COMPUTED_VALUE"""),0.405)</f>
        <v>0.405</v>
      </c>
      <c r="G188" s="9">
        <f>IFERROR(__xludf.DUMMYFUNCTION("""COMPUTED_VALUE"""),0.505)</f>
        <v>0.505</v>
      </c>
      <c r="I188" s="9">
        <f>IFERROR(__xludf.DUMMYFUNCTION("SPLIT(K180, "","")"),0.474)</f>
        <v>0.474</v>
      </c>
      <c r="J188" s="9">
        <f>IFERROR(__xludf.DUMMYFUNCTION("""COMPUTED_VALUE"""),0.379)</f>
        <v>0.379</v>
      </c>
      <c r="K188" s="9">
        <f>IFERROR(__xludf.DUMMYFUNCTION("""COMPUTED_VALUE"""),0.579)</f>
        <v>0.579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"","")"),0.536)</f>
        <v>0.536</v>
      </c>
      <c r="R188" s="9">
        <f>IFERROR(__xludf.DUMMYFUNCTION("""COMPUTED_VALUE"""),0.429)</f>
        <v>0.429</v>
      </c>
      <c r="S188" s="9">
        <f>IFERROR(__xludf.DUMMYFUNCTION("""COMPUTED_VALUE"""),0.629)</f>
        <v>0.629</v>
      </c>
      <c r="U188" s="9">
        <f>IFERROR(__xludf.DUMMYFUNCTION("SPLIT(N180, "","")"),0.477)</f>
        <v>0.477</v>
      </c>
      <c r="V188" s="9">
        <f>IFERROR(__xludf.DUMMYFUNCTION("""COMPUTED_VALUE"""),0.43)</f>
        <v>0.43</v>
      </c>
      <c r="W188" s="9">
        <f>IFERROR(__xludf.DUMMYFUNCTION("""COMPUTED_VALUE"""),0.53)</f>
        <v>0.53</v>
      </c>
      <c r="Y188" s="9">
        <f>IFERROR(__xludf.DUMMYFUNCTION("SPLIT(O180, "","")"),0.534)</f>
        <v>0.534</v>
      </c>
      <c r="Z188" s="9">
        <f>IFERROR(__xludf.DUMMYFUNCTION("""COMPUTED_VALUE"""),0.427)</f>
        <v>0.427</v>
      </c>
      <c r="AA188" s="9">
        <f>IFERROR(__xludf.DUMMYFUNCTION("""COMPUTED_VALUE"""),0.627)</f>
        <v>0.627</v>
      </c>
    </row>
    <row r="189">
      <c r="A189" s="9">
        <f>IFERROR(__xludf.DUMMYFUNCTION("SPLIT(I181, "","")"),0.461)</f>
        <v>0.461</v>
      </c>
      <c r="B189" s="9">
        <f>IFERROR(__xludf.DUMMYFUNCTION("""COMPUTED_VALUE"""),0.461)</f>
        <v>0.461</v>
      </c>
      <c r="C189" s="9">
        <f>IFERROR(__xludf.DUMMYFUNCTION("""COMPUTED_VALUE"""),0.461)</f>
        <v>0.461</v>
      </c>
      <c r="E189" s="11">
        <f>IFERROR(__xludf.DUMMYFUNCTION("SPLIT(J181, "","")"),0.453)</f>
        <v>0.453</v>
      </c>
      <c r="F189" s="9">
        <f>IFERROR(__xludf.DUMMYFUNCTION("""COMPUTED_VALUE"""),0.408)</f>
        <v>0.408</v>
      </c>
      <c r="G189" s="9">
        <f>IFERROR(__xludf.DUMMYFUNCTION("""COMPUTED_VALUE"""),0.508)</f>
        <v>0.508</v>
      </c>
      <c r="I189" s="9">
        <f>IFERROR(__xludf.DUMMYFUNCTION("SPLIT(K181, "","")"),0.469)</f>
        <v>0.469</v>
      </c>
      <c r="J189" s="9">
        <f>IFERROR(__xludf.DUMMYFUNCTION("""COMPUTED_VALUE"""),0.375)</f>
        <v>0.375</v>
      </c>
      <c r="K189" s="9">
        <f>IFERROR(__xludf.DUMMYFUNCTION("""COMPUTED_VALUE"""),0.575)</f>
        <v>0.575</v>
      </c>
      <c r="M189" s="9">
        <f>IFERROR(__xludf.DUMMYFUNCTION("SPLIT(L181, "","")"),0.496)</f>
        <v>0.496</v>
      </c>
      <c r="N189" s="9">
        <f>IFERROR(__xludf.DUMMYFUNCTION("""COMPUTED_VALUE"""),0.447)</f>
        <v>0.447</v>
      </c>
      <c r="O189" s="9">
        <f>IFERROR(__xludf.DUMMYFUNCTION("""COMPUTED_VALUE"""),0.547)</f>
        <v>0.547</v>
      </c>
      <c r="Q189" s="9">
        <f>IFERROR(__xludf.DUMMYFUNCTION("SPLIT(M181, "","")"),0.558)</f>
        <v>0.558</v>
      </c>
      <c r="R189" s="9">
        <f>IFERROR(__xludf.DUMMYFUNCTION("""COMPUTED_VALUE"""),0.446)</f>
        <v>0.446</v>
      </c>
      <c r="S189" s="9">
        <f>IFERROR(__xludf.DUMMYFUNCTION("""COMPUTED_VALUE"""),0.646)</f>
        <v>0.646</v>
      </c>
      <c r="U189" s="9">
        <f>IFERROR(__xludf.DUMMYFUNCTION("SPLIT(N181, "","")"),0.5)</f>
        <v>0.5</v>
      </c>
      <c r="V189" s="9">
        <f>IFERROR(__xludf.DUMMYFUNCTION("""COMPUTED_VALUE"""),0.45)</f>
        <v>0.45</v>
      </c>
      <c r="W189" s="9">
        <f>IFERROR(__xludf.DUMMYFUNCTION("""COMPUTED_VALUE"""),0.55)</f>
        <v>0.55</v>
      </c>
      <c r="Y189" s="9">
        <f>IFERROR(__xludf.DUMMYFUNCTION("SPLIT(O181, "","")"),0.531)</f>
        <v>0.531</v>
      </c>
      <c r="Z189" s="9">
        <f>IFERROR(__xludf.DUMMYFUNCTION("""COMPUTED_VALUE"""),0.424)</f>
        <v>0.424</v>
      </c>
      <c r="AA189" s="9">
        <f>IFERROR(__xludf.DUMMYFUNCTION("""COMPUTED_VALUE"""),0.624)</f>
        <v>0.624</v>
      </c>
    </row>
    <row r="190">
      <c r="A190" s="9">
        <f>IFERROR(__xludf.DUMMYFUNCTION("SPLIT(I182, "","")"),0.436)</f>
        <v>0.436</v>
      </c>
      <c r="B190" s="9">
        <f>IFERROR(__xludf.DUMMYFUNCTION("""COMPUTED_VALUE"""),0.436)</f>
        <v>0.436</v>
      </c>
      <c r="C190" s="9">
        <f>IFERROR(__xludf.DUMMYFUNCTION("""COMPUTED_VALUE"""),0.436)</f>
        <v>0.436</v>
      </c>
      <c r="E190" s="11">
        <f>IFERROR(__xludf.DUMMYFUNCTION("SPLIT(J182, "","")"),0.426)</f>
        <v>0.426</v>
      </c>
      <c r="F190" s="9">
        <f>IFERROR(__xludf.DUMMYFUNCTION("""COMPUTED_VALUE"""),0.383)</f>
        <v>0.383</v>
      </c>
      <c r="G190" s="9">
        <f>IFERROR(__xludf.DUMMYFUNCTION("""COMPUTED_VALUE"""),0.483)</f>
        <v>0.483</v>
      </c>
      <c r="I190" s="9">
        <f>IFERROR(__xludf.DUMMYFUNCTION("SPLIT(K182, "","")"),0.436)</f>
        <v>0.436</v>
      </c>
      <c r="J190" s="9">
        <f>IFERROR(__xludf.DUMMYFUNCTION("""COMPUTED_VALUE"""),0.349)</f>
        <v>0.349</v>
      </c>
      <c r="K190" s="9">
        <f>IFERROR(__xludf.DUMMYFUNCTION("""COMPUTED_VALUE"""),0.549)</f>
        <v>0.549</v>
      </c>
      <c r="M190" s="9">
        <f>IFERROR(__xludf.DUMMYFUNCTION("SPLIT(L182, "","")"),0.469)</f>
        <v>0.469</v>
      </c>
      <c r="N190" s="9">
        <f>IFERROR(__xludf.DUMMYFUNCTION("""COMPUTED_VALUE"""),0.422)</f>
        <v>0.422</v>
      </c>
      <c r="O190" s="9">
        <f>IFERROR(__xludf.DUMMYFUNCTION("""COMPUTED_VALUE"""),0.522)</f>
        <v>0.522</v>
      </c>
      <c r="Q190" s="9">
        <f>IFERROR(__xludf.DUMMYFUNCTION("SPLIT(M182, "","")"),0.519)</f>
        <v>0.519</v>
      </c>
      <c r="R190" s="9">
        <f>IFERROR(__xludf.DUMMYFUNCTION("""COMPUTED_VALUE"""),0.415)</f>
        <v>0.415</v>
      </c>
      <c r="S190" s="9">
        <f>IFERROR(__xludf.DUMMYFUNCTION("""COMPUTED_VALUE"""),0.615)</f>
        <v>0.615</v>
      </c>
      <c r="U190" s="9">
        <f>IFERROR(__xludf.DUMMYFUNCTION("SPLIT(N182, "","")"),0.476)</f>
        <v>0.476</v>
      </c>
      <c r="V190" s="9">
        <f>IFERROR(__xludf.DUMMYFUNCTION("""COMPUTED_VALUE"""),0.428)</f>
        <v>0.428</v>
      </c>
      <c r="W190" s="9">
        <f>IFERROR(__xludf.DUMMYFUNCTION("""COMPUTED_VALUE"""),0.528)</f>
        <v>0.528</v>
      </c>
      <c r="Y190" s="9">
        <f>IFERROR(__xludf.DUMMYFUNCTION("SPLIT(O182, "","")"),0.515)</f>
        <v>0.515</v>
      </c>
      <c r="Z190" s="9">
        <f>IFERROR(__xludf.DUMMYFUNCTION("""COMPUTED_VALUE"""),0.412)</f>
        <v>0.412</v>
      </c>
      <c r="AA190" s="9">
        <f>IFERROR(__xludf.DUMMYFUNCTION("""COMPUTED_VALUE"""),0.612)</f>
        <v>0.612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"","")"),0.459)</f>
        <v>0.459</v>
      </c>
      <c r="J191" s="9">
        <f>IFERROR(__xludf.DUMMYFUNCTION("""COMPUTED_VALUE"""),0.367)</f>
        <v>0.367</v>
      </c>
      <c r="K191" s="9">
        <f>IFERROR(__xludf.DUMMYFUNCTION("""COMPUTED_VALUE"""),0.567)</f>
        <v>0.567</v>
      </c>
      <c r="M191" s="9">
        <f>IFERROR(__xludf.DUMMYFUNCTION("SPLIT(L183, "","")"),0.489)</f>
        <v>0.489</v>
      </c>
      <c r="N191" s="9">
        <f>IFERROR(__xludf.DUMMYFUNCTION("""COMPUTED_VALUE"""),0.44)</f>
        <v>0.44</v>
      </c>
      <c r="O191" s="9">
        <f>IFERROR(__xludf.DUMMYFUNCTION("""COMPUTED_VALUE"""),0.54)</f>
        <v>0.54</v>
      </c>
      <c r="Q191" s="9">
        <f>IFERROR(__xludf.DUMMYFUNCTION("SPLIT(M183, "","")"),0.531)</f>
        <v>0.531</v>
      </c>
      <c r="R191" s="9">
        <f>IFERROR(__xludf.DUMMYFUNCTION("""COMPUTED_VALUE"""),0.425)</f>
        <v>0.425</v>
      </c>
      <c r="S191" s="9">
        <f>IFERROR(__xludf.DUMMYFUNCTION("""COMPUTED_VALUE"""),0.625)</f>
        <v>0.625</v>
      </c>
      <c r="U191" s="9">
        <f>IFERROR(__xludf.DUMMYFUNCTION("SPLIT(N183, "","")"),0.487)</f>
        <v>0.487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"","")"),0.54)</f>
        <v>0.54</v>
      </c>
      <c r="Z191" s="9">
        <f>IFERROR(__xludf.DUMMYFUNCTION("""COMPUTED_VALUE"""),0.432)</f>
        <v>0.432</v>
      </c>
      <c r="AA191" s="9">
        <f>IFERROR(__xludf.DUMMYFUNCTION("""COMPUTED_VALUE"""),0.632)</f>
        <v>0.632</v>
      </c>
    </row>
    <row r="192">
      <c r="A192" s="9">
        <f>IFERROR(__xludf.DUMMYFUNCTION("SPLIT(I184, "","")"),0.456)</f>
        <v>0.456</v>
      </c>
      <c r="B192" s="9">
        <f>IFERROR(__xludf.DUMMYFUNCTION("""COMPUTED_VALUE"""),0.456)</f>
        <v>0.456</v>
      </c>
      <c r="C192" s="9">
        <f>IFERROR(__xludf.DUMMYFUNCTION("""COMPUTED_VALUE"""),0.456)</f>
        <v>0.456</v>
      </c>
      <c r="E192" s="11">
        <f>IFERROR(__xludf.DUMMYFUNCTION("SPLIT(J184, "","")"),0.448)</f>
        <v>0.448</v>
      </c>
      <c r="F192" s="9">
        <f>IFERROR(__xludf.DUMMYFUNCTION("""COMPUTED_VALUE"""),0.403)</f>
        <v>0.403</v>
      </c>
      <c r="G192" s="9">
        <f>IFERROR(__xludf.DUMMYFUNCTION("""COMPUTED_VALUE"""),0.503)</f>
        <v>0.503</v>
      </c>
      <c r="I192" s="9">
        <f>IFERROR(__xludf.DUMMYFUNCTION("SPLIT(K184, "","")"),0.464)</f>
        <v>0.464</v>
      </c>
      <c r="J192" s="9">
        <f>IFERROR(__xludf.DUMMYFUNCTION("""COMPUTED_VALUE"""),0.371)</f>
        <v>0.371</v>
      </c>
      <c r="K192" s="9">
        <f>IFERROR(__xludf.DUMMYFUNCTION("""COMPUTED_VALUE"""),0.571)</f>
        <v>0.571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"","")"),0.471)</f>
        <v>0.471</v>
      </c>
      <c r="B193" s="9">
        <f>IFERROR(__xludf.DUMMYFUNCTION("""COMPUTED_VALUE"""),0.471)</f>
        <v>0.471</v>
      </c>
      <c r="C193" s="9">
        <f>IFERROR(__xludf.DUMMYFUNCTION("""COMPUTED_VALUE"""),0.471)</f>
        <v>0.471</v>
      </c>
      <c r="E193" s="11">
        <f>IFERROR(__xludf.DUMMYFUNCTION("SPLIT(J185, "","")"),0.468)</f>
        <v>0.468</v>
      </c>
      <c r="F193" s="9">
        <f>IFERROR(__xludf.DUMMYFUNCTION("""COMPUTED_VALUE"""),0.421)</f>
        <v>0.421</v>
      </c>
      <c r="G193" s="9">
        <f>IFERROR(__xludf.DUMMYFUNCTION("""COMPUTED_VALUE"""),0.521)</f>
        <v>0.521</v>
      </c>
      <c r="I193" s="9">
        <f>IFERROR(__xludf.DUMMYFUNCTION("SPLIT(K185, "","")"),0.474)</f>
        <v>0.474</v>
      </c>
      <c r="J193" s="9">
        <f>IFERROR(__xludf.DUMMYFUNCTION("""COMPUTED_VALUE"""),0.379)</f>
        <v>0.379</v>
      </c>
      <c r="K193" s="9">
        <f>IFERROR(__xludf.DUMMYFUNCTION("""COMPUTED_VALUE"""),0.579)</f>
        <v>0.579</v>
      </c>
      <c r="M193" s="9">
        <f>IFERROR(__xludf.DUMMYFUNCTION("SPLIT(L185, "","")"),0.504)</f>
        <v>0.504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"","")"),0.548)</f>
        <v>0.548</v>
      </c>
      <c r="R193" s="9">
        <f>IFERROR(__xludf.DUMMYFUNCTION("""COMPUTED_VALUE"""),0.438)</f>
        <v>0.438</v>
      </c>
      <c r="S193" s="9">
        <f>IFERROR(__xludf.DUMMYFUNCTION("""COMPUTED_VALUE"""),0.638)</f>
        <v>0.638</v>
      </c>
      <c r="U193" s="9">
        <f>IFERROR(__xludf.DUMMYFUNCTION("SPLIT(N185, "","")"),0.511)</f>
        <v>0.511</v>
      </c>
      <c r="V193" s="9">
        <f>IFERROR(__xludf.DUMMYFUNCTION("""COMPUTED_VALUE"""),0.46)</f>
        <v>0.46</v>
      </c>
      <c r="W193" s="9">
        <f>IFERROR(__xludf.DUMMYFUNCTION("""COMPUTED_VALUE"""),0.56)</f>
        <v>0.56</v>
      </c>
      <c r="Y193" s="9">
        <f>IFERROR(__xludf.DUMMYFUNCTION("SPLIT(O185, "","")"),0.544)</f>
        <v>0.544</v>
      </c>
      <c r="Z193" s="9">
        <f>IFERROR(__xludf.DUMMYFUNCTION("""COMPUTED_VALUE"""),0.435)</f>
        <v>0.435</v>
      </c>
      <c r="AA193" s="9">
        <f>IFERROR(__xludf.DUMMYFUNCTION("""COMPUTED_VALUE"""),0.635)</f>
        <v>0.635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0.45</v>
      </c>
      <c r="D197" s="7">
        <f t="shared" ref="D197:D203" si="225">E187</f>
        <v>0.443</v>
      </c>
      <c r="E197" s="7">
        <f t="shared" ref="E197:E203" si="226">I187</f>
        <v>0.462</v>
      </c>
      <c r="F197" s="7">
        <f t="shared" ref="F197:G197" si="220">N187</f>
        <v>0.445</v>
      </c>
      <c r="G197" s="12">
        <f t="shared" si="220"/>
        <v>0.545</v>
      </c>
      <c r="H197" s="7">
        <f t="shared" ref="H197:I197" si="221">R187</f>
        <v>0.448</v>
      </c>
      <c r="I197" s="12">
        <f t="shared" si="221"/>
        <v>0.648</v>
      </c>
      <c r="J197" s="7">
        <f t="shared" ref="J197:K197" si="222">V187</f>
        <v>0.443</v>
      </c>
      <c r="K197" s="12">
        <f t="shared" si="222"/>
        <v>0.543</v>
      </c>
      <c r="L197" s="7">
        <f t="shared" ref="L197:M197" si="223">Z187</f>
        <v>0.448</v>
      </c>
      <c r="M197" s="7">
        <f t="shared" si="223"/>
        <v>0.648</v>
      </c>
    </row>
    <row r="198">
      <c r="B198" s="6" t="s">
        <v>5</v>
      </c>
      <c r="C198" s="7">
        <f t="shared" si="224"/>
        <v>0.457</v>
      </c>
      <c r="D198" s="7">
        <f t="shared" si="225"/>
        <v>0.45</v>
      </c>
      <c r="E198" s="7">
        <f t="shared" si="226"/>
        <v>0.474</v>
      </c>
      <c r="F198" s="7">
        <f t="shared" ref="F198:G198" si="227">N188</f>
        <v>0.438</v>
      </c>
      <c r="G198" s="12">
        <f t="shared" si="227"/>
        <v>0.538</v>
      </c>
      <c r="H198" s="7">
        <f t="shared" ref="H198:I198" si="228">R188</f>
        <v>0.429</v>
      </c>
      <c r="I198" s="12">
        <f t="shared" si="228"/>
        <v>0.629</v>
      </c>
      <c r="J198" s="7">
        <f t="shared" ref="J198:K198" si="229">V188</f>
        <v>0.43</v>
      </c>
      <c r="K198" s="12">
        <f t="shared" si="229"/>
        <v>0.53</v>
      </c>
      <c r="L198" s="7">
        <f t="shared" ref="L198:M198" si="230">Z188</f>
        <v>0.427</v>
      </c>
      <c r="M198" s="7">
        <f t="shared" si="230"/>
        <v>0.627</v>
      </c>
    </row>
    <row r="199">
      <c r="B199" s="6" t="s">
        <v>6</v>
      </c>
      <c r="C199" s="7">
        <f t="shared" si="224"/>
        <v>0.461</v>
      </c>
      <c r="D199" s="7">
        <f t="shared" si="225"/>
        <v>0.453</v>
      </c>
      <c r="E199" s="7">
        <f t="shared" si="226"/>
        <v>0.469</v>
      </c>
      <c r="F199" s="7">
        <f t="shared" ref="F199:G199" si="231">N189</f>
        <v>0.447</v>
      </c>
      <c r="G199" s="12">
        <f t="shared" si="231"/>
        <v>0.547</v>
      </c>
      <c r="H199" s="7">
        <f t="shared" ref="H199:I199" si="232">R189</f>
        <v>0.446</v>
      </c>
      <c r="I199" s="12">
        <f t="shared" si="232"/>
        <v>0.646</v>
      </c>
      <c r="J199" s="7">
        <f t="shared" ref="J199:K199" si="233">V189</f>
        <v>0.45</v>
      </c>
      <c r="K199" s="12">
        <f t="shared" si="233"/>
        <v>0.55</v>
      </c>
      <c r="L199" s="7">
        <f t="shared" ref="L199:M199" si="234">Z189</f>
        <v>0.424</v>
      </c>
      <c r="M199" s="7">
        <f t="shared" si="234"/>
        <v>0.624</v>
      </c>
    </row>
    <row r="200">
      <c r="B200" s="6" t="s">
        <v>7</v>
      </c>
      <c r="C200" s="7">
        <f t="shared" si="224"/>
        <v>0.436</v>
      </c>
      <c r="D200" s="7">
        <f t="shared" si="225"/>
        <v>0.426</v>
      </c>
      <c r="E200" s="7">
        <f t="shared" si="226"/>
        <v>0.436</v>
      </c>
      <c r="F200" s="7">
        <f t="shared" ref="F200:G200" si="235">N190</f>
        <v>0.422</v>
      </c>
      <c r="G200" s="12">
        <f t="shared" si="235"/>
        <v>0.522</v>
      </c>
      <c r="H200" s="7">
        <f t="shared" ref="H200:I200" si="236">R190</f>
        <v>0.415</v>
      </c>
      <c r="I200" s="12">
        <f t="shared" si="236"/>
        <v>0.615</v>
      </c>
      <c r="J200" s="7">
        <f t="shared" ref="J200:K200" si="237">V190</f>
        <v>0.428</v>
      </c>
      <c r="K200" s="12">
        <f t="shared" si="237"/>
        <v>0.528</v>
      </c>
      <c r="L200" s="7">
        <f t="shared" ref="L200:M200" si="238">Z190</f>
        <v>0.412</v>
      </c>
      <c r="M200" s="7">
        <f t="shared" si="238"/>
        <v>0.612</v>
      </c>
    </row>
    <row r="201">
      <c r="B201" s="6" t="s">
        <v>8</v>
      </c>
      <c r="C201" s="7">
        <f t="shared" si="224"/>
        <v>0.453</v>
      </c>
      <c r="D201" s="7">
        <f t="shared" si="225"/>
        <v>0.445</v>
      </c>
      <c r="E201" s="7">
        <f t="shared" si="226"/>
        <v>0.459</v>
      </c>
      <c r="F201" s="7">
        <f t="shared" ref="F201:G201" si="239">N191</f>
        <v>0.44</v>
      </c>
      <c r="G201" s="12">
        <f t="shared" si="239"/>
        <v>0.54</v>
      </c>
      <c r="H201" s="7">
        <f t="shared" ref="H201:I201" si="240">R191</f>
        <v>0.425</v>
      </c>
      <c r="I201" s="12">
        <f t="shared" si="240"/>
        <v>0.625</v>
      </c>
      <c r="J201" s="7">
        <f t="shared" ref="J201:K201" si="241">V191</f>
        <v>0.438</v>
      </c>
      <c r="K201" s="12">
        <f t="shared" si="241"/>
        <v>0.538</v>
      </c>
      <c r="L201" s="7">
        <f t="shared" ref="L201:M201" si="242">Z191</f>
        <v>0.432</v>
      </c>
      <c r="M201" s="7">
        <f t="shared" si="242"/>
        <v>0.632</v>
      </c>
    </row>
    <row r="202">
      <c r="B202" s="6" t="s">
        <v>9</v>
      </c>
      <c r="C202" s="7">
        <f t="shared" si="224"/>
        <v>0.456</v>
      </c>
      <c r="D202" s="7">
        <f t="shared" si="225"/>
        <v>0.448</v>
      </c>
      <c r="E202" s="7">
        <f t="shared" si="226"/>
        <v>0.464</v>
      </c>
      <c r="F202" s="7">
        <f t="shared" ref="F202:G202" si="243">N192</f>
        <v>0.453</v>
      </c>
      <c r="G202" s="12">
        <f t="shared" si="243"/>
        <v>0.553</v>
      </c>
      <c r="H202" s="7">
        <f t="shared" ref="H202:I202" si="244">R192</f>
        <v>0.456</v>
      </c>
      <c r="I202" s="12">
        <f t="shared" si="244"/>
        <v>0.656</v>
      </c>
      <c r="J202" s="7">
        <f t="shared" ref="J202:K202" si="245">V192</f>
        <v>0.453</v>
      </c>
      <c r="K202" s="12">
        <f t="shared" si="245"/>
        <v>0.553</v>
      </c>
      <c r="L202" s="7">
        <f t="shared" ref="L202:M202" si="246">Z192</f>
        <v>0.454</v>
      </c>
      <c r="M202" s="7">
        <f t="shared" si="246"/>
        <v>0.654</v>
      </c>
    </row>
    <row r="203">
      <c r="B203" s="6" t="s">
        <v>10</v>
      </c>
      <c r="C203" s="7">
        <f t="shared" si="224"/>
        <v>0.471</v>
      </c>
      <c r="D203" s="7">
        <f t="shared" si="225"/>
        <v>0.468</v>
      </c>
      <c r="E203" s="7">
        <f t="shared" si="226"/>
        <v>0.474</v>
      </c>
      <c r="F203" s="7">
        <f t="shared" ref="F203:G203" si="247">N193</f>
        <v>0.453</v>
      </c>
      <c r="G203" s="12">
        <f t="shared" si="247"/>
        <v>0.553</v>
      </c>
      <c r="H203" s="7">
        <f t="shared" ref="H203:I203" si="248">R193</f>
        <v>0.438</v>
      </c>
      <c r="I203" s="12">
        <f t="shared" si="248"/>
        <v>0.638</v>
      </c>
      <c r="J203" s="7">
        <f t="shared" ref="J203:K203" si="249">V193</f>
        <v>0.46</v>
      </c>
      <c r="K203" s="12">
        <f t="shared" si="249"/>
        <v>0.56</v>
      </c>
      <c r="L203" s="7">
        <f t="shared" ref="L203:M203" si="250">Z193</f>
        <v>0.435</v>
      </c>
      <c r="M203" s="7">
        <f t="shared" si="250"/>
        <v>0.635</v>
      </c>
    </row>
    <row r="205">
      <c r="A205" s="8" t="s">
        <v>217</v>
      </c>
      <c r="B205" s="8" t="s">
        <v>218</v>
      </c>
      <c r="C205" s="8" t="s">
        <v>219</v>
      </c>
      <c r="D205" s="8" t="s">
        <v>220</v>
      </c>
      <c r="E205" s="8" t="s">
        <v>221</v>
      </c>
      <c r="F205" s="8" t="s">
        <v>222</v>
      </c>
      <c r="G205" s="8" t="s">
        <v>223</v>
      </c>
      <c r="I205" s="9" t="str">
        <f t="shared" ref="I205:O205" si="251">substitute(SUBSTITUTE(A205, "(", ""), ")", "")</f>
        <v>0.304, 0.304, 0.304</v>
      </c>
      <c r="J205" s="9" t="str">
        <f t="shared" si="251"/>
        <v>0.319, 0.287, 0.387</v>
      </c>
      <c r="K205" s="9" t="str">
        <f t="shared" si="251"/>
        <v>0.329, 0.263, 0.463</v>
      </c>
      <c r="L205" s="9" t="str">
        <f t="shared" si="251"/>
        <v>0.326, 0.294, 0.394</v>
      </c>
      <c r="M205" s="9" t="str">
        <f t="shared" si="251"/>
        <v>0.342, 0.274, 0.474</v>
      </c>
      <c r="N205" s="9" t="str">
        <f t="shared" si="251"/>
        <v>0.312, 0.281, 0.381</v>
      </c>
      <c r="O205" s="9" t="str">
        <f t="shared" si="251"/>
        <v>0.336, 0.268, 0.468</v>
      </c>
      <c r="T205" s="6"/>
    </row>
    <row r="206">
      <c r="A206" s="8" t="s">
        <v>224</v>
      </c>
      <c r="B206" s="8" t="s">
        <v>225</v>
      </c>
      <c r="C206" s="8" t="s">
        <v>94</v>
      </c>
      <c r="D206" s="8" t="s">
        <v>226</v>
      </c>
      <c r="E206" s="8" t="s">
        <v>227</v>
      </c>
      <c r="F206" s="8" t="s">
        <v>228</v>
      </c>
      <c r="G206" s="8" t="s">
        <v>229</v>
      </c>
      <c r="I206" s="9" t="str">
        <f t="shared" ref="I206:O206" si="252">substitute(SUBSTITUTE(A206, "(", ""), ")", "")</f>
        <v>0.336, 0.336, 0.336</v>
      </c>
      <c r="J206" s="9" t="str">
        <f t="shared" si="252"/>
        <v>0.357, 0.321, 0.421</v>
      </c>
      <c r="K206" s="9" t="str">
        <f t="shared" si="252"/>
        <v>0.361, 0.289, 0.489</v>
      </c>
      <c r="L206" s="9" t="str">
        <f t="shared" si="252"/>
        <v>0.364, 0.328, 0.428</v>
      </c>
      <c r="M206" s="9" t="str">
        <f t="shared" si="252"/>
        <v>0.388, 0.311, 0.511</v>
      </c>
      <c r="N206" s="9" t="str">
        <f t="shared" si="252"/>
        <v>0.353, 0.318, 0.418</v>
      </c>
      <c r="O206" s="9" t="str">
        <f t="shared" si="252"/>
        <v>0.386, 0.309, 0.509</v>
      </c>
    </row>
    <row r="207">
      <c r="A207" s="8" t="s">
        <v>230</v>
      </c>
      <c r="B207" s="8" t="s">
        <v>218</v>
      </c>
      <c r="C207" s="8" t="s">
        <v>231</v>
      </c>
      <c r="D207" s="8" t="s">
        <v>220</v>
      </c>
      <c r="E207" s="8" t="s">
        <v>232</v>
      </c>
      <c r="F207" s="8" t="s">
        <v>233</v>
      </c>
      <c r="G207" s="8" t="s">
        <v>234</v>
      </c>
      <c r="I207" s="9" t="str">
        <f t="shared" ref="I207:O207" si="253">substitute(SUBSTITUTE(A207, "(", ""), ")", "")</f>
        <v>0.306, 0.306, 0.306</v>
      </c>
      <c r="J207" s="9" t="str">
        <f t="shared" si="253"/>
        <v>0.319, 0.287, 0.387</v>
      </c>
      <c r="K207" s="9" t="str">
        <f t="shared" si="253"/>
        <v>0.334, 0.268, 0.468</v>
      </c>
      <c r="L207" s="9" t="str">
        <f t="shared" si="253"/>
        <v>0.326, 0.294, 0.394</v>
      </c>
      <c r="M207" s="9" t="str">
        <f t="shared" si="253"/>
        <v>0.345, 0.276, 0.476</v>
      </c>
      <c r="N207" s="9" t="str">
        <f t="shared" si="253"/>
        <v>0.316, 0.285, 0.385</v>
      </c>
      <c r="O207" s="9" t="str">
        <f t="shared" si="253"/>
        <v>0.337, 0.269, 0.469</v>
      </c>
    </row>
    <row r="208">
      <c r="A208" s="8" t="s">
        <v>235</v>
      </c>
      <c r="B208" s="8" t="s">
        <v>128</v>
      </c>
      <c r="C208" s="8" t="s">
        <v>99</v>
      </c>
      <c r="D208" s="8" t="s">
        <v>236</v>
      </c>
      <c r="E208" s="8" t="s">
        <v>237</v>
      </c>
      <c r="F208" s="8" t="s">
        <v>238</v>
      </c>
      <c r="G208" s="8" t="s">
        <v>131</v>
      </c>
      <c r="I208" s="9" t="str">
        <f t="shared" ref="I208:O208" si="254">substitute(SUBSTITUTE(A208, "(", ""), ")", "")</f>
        <v>0.341, 0.341, 0.341</v>
      </c>
      <c r="J208" s="9" t="str">
        <f t="shared" si="254"/>
        <v>0.361, 0.325, 0.425</v>
      </c>
      <c r="K208" s="9" t="str">
        <f t="shared" si="254"/>
        <v>0.360, 0.288, 0.488</v>
      </c>
      <c r="L208" s="9" t="str">
        <f t="shared" si="254"/>
        <v>0.363, 0.327, 0.427</v>
      </c>
      <c r="M208" s="9" t="str">
        <f t="shared" si="254"/>
        <v>0.377, 0.301, 0.501</v>
      </c>
      <c r="N208" s="9" t="str">
        <f t="shared" si="254"/>
        <v>0.351, 0.316, 0.416</v>
      </c>
      <c r="O208" s="9" t="str">
        <f t="shared" si="254"/>
        <v>0.375, 0.300, 0.500</v>
      </c>
    </row>
    <row r="209">
      <c r="A209" s="8" t="s">
        <v>239</v>
      </c>
      <c r="B209" s="8" t="s">
        <v>240</v>
      </c>
      <c r="C209" s="8" t="s">
        <v>241</v>
      </c>
      <c r="D209" s="8" t="s">
        <v>242</v>
      </c>
      <c r="E209" s="8" t="s">
        <v>243</v>
      </c>
      <c r="F209" s="8" t="s">
        <v>244</v>
      </c>
      <c r="G209" s="8" t="s">
        <v>245</v>
      </c>
      <c r="I209" s="9" t="str">
        <f t="shared" ref="I209:O209" si="255">substitute(SUBSTITUTE(A209, "(", ""), ")", "")</f>
        <v>0.420, 0.420, 0.420</v>
      </c>
      <c r="J209" s="9" t="str">
        <f t="shared" si="255"/>
        <v>0.440, 0.396, 0.496</v>
      </c>
      <c r="K209" s="9" t="str">
        <f t="shared" si="255"/>
        <v>0.451, 0.361, 0.561</v>
      </c>
      <c r="L209" s="9" t="str">
        <f t="shared" si="255"/>
        <v>0.425, 0.383, 0.483</v>
      </c>
      <c r="M209" s="9" t="str">
        <f t="shared" si="255"/>
        <v>0.424, 0.339, 0.539</v>
      </c>
      <c r="N209" s="9" t="str">
        <f t="shared" si="255"/>
        <v>0.418, 0.376, 0.476</v>
      </c>
      <c r="O209" s="9" t="str">
        <f t="shared" si="255"/>
        <v>0.419, 0.335, 0.535</v>
      </c>
    </row>
    <row r="210">
      <c r="A210" s="8" t="s">
        <v>246</v>
      </c>
      <c r="B210" s="8" t="s">
        <v>247</v>
      </c>
      <c r="C210" s="8" t="s">
        <v>248</v>
      </c>
      <c r="D210" s="8" t="s">
        <v>249</v>
      </c>
      <c r="E210" s="8" t="s">
        <v>250</v>
      </c>
      <c r="F210" s="8" t="s">
        <v>251</v>
      </c>
      <c r="G210" s="8" t="s">
        <v>252</v>
      </c>
      <c r="I210" s="9" t="str">
        <f t="shared" ref="I210:O210" si="256">substitute(SUBSTITUTE(A210, "(", ""), ")", "")</f>
        <v>0.375, 0.375, 0.375</v>
      </c>
      <c r="J210" s="9" t="str">
        <f t="shared" si="256"/>
        <v>0.397, 0.357, 0.457</v>
      </c>
      <c r="K210" s="9" t="str">
        <f t="shared" si="256"/>
        <v>0.402, 0.322, 0.522</v>
      </c>
      <c r="L210" s="9" t="str">
        <f t="shared" si="256"/>
        <v>0.402, 0.362, 0.462</v>
      </c>
      <c r="M210" s="9" t="str">
        <f t="shared" si="256"/>
        <v>0.428, 0.343, 0.543</v>
      </c>
      <c r="N210" s="9" t="str">
        <f t="shared" si="256"/>
        <v>0.394, 0.354, 0.454</v>
      </c>
      <c r="O210" s="9" t="str">
        <f t="shared" si="256"/>
        <v>0.423, 0.338, 0.538</v>
      </c>
    </row>
    <row r="211">
      <c r="A211" s="8" t="s">
        <v>253</v>
      </c>
      <c r="B211" s="8" t="s">
        <v>106</v>
      </c>
      <c r="C211" s="8" t="s">
        <v>237</v>
      </c>
      <c r="D211" s="8" t="s">
        <v>254</v>
      </c>
      <c r="E211" s="8" t="s">
        <v>255</v>
      </c>
      <c r="F211" s="8" t="s">
        <v>256</v>
      </c>
      <c r="G211" s="8" t="s">
        <v>257</v>
      </c>
      <c r="I211" s="9" t="str">
        <f t="shared" ref="I211:O211" si="257">substitute(SUBSTITUTE(A211, "(", ""), ")", "")</f>
        <v>0.359, 0.359, 0.359</v>
      </c>
      <c r="J211" s="9" t="str">
        <f t="shared" si="257"/>
        <v>0.374, 0.337, 0.437</v>
      </c>
      <c r="K211" s="9" t="str">
        <f t="shared" si="257"/>
        <v>0.377, 0.301, 0.501</v>
      </c>
      <c r="L211" s="9" t="str">
        <f t="shared" si="257"/>
        <v>0.358, 0.322, 0.422</v>
      </c>
      <c r="M211" s="9" t="str">
        <f t="shared" si="257"/>
        <v>0.364, 0.291, 0.491</v>
      </c>
      <c r="N211" s="9" t="str">
        <f t="shared" si="257"/>
        <v>0.359, 0.323, 0.423</v>
      </c>
      <c r="O211" s="9" t="str">
        <f t="shared" si="257"/>
        <v>0.363, 0.290, 0.490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"","")"),0.304)</f>
        <v>0.304</v>
      </c>
      <c r="B213" s="9">
        <f>IFERROR(__xludf.DUMMYFUNCTION("""COMPUTED_VALUE"""),0.304)</f>
        <v>0.304</v>
      </c>
      <c r="C213" s="9">
        <f>IFERROR(__xludf.DUMMYFUNCTION("""COMPUTED_VALUE"""),0.304)</f>
        <v>0.304</v>
      </c>
      <c r="E213" s="11">
        <f>IFERROR(__xludf.DUMMYFUNCTION("SPLIT(J205, "","")"),0.319)</f>
        <v>0.319</v>
      </c>
      <c r="F213" s="9">
        <f>IFERROR(__xludf.DUMMYFUNCTION("""COMPUTED_VALUE"""),0.287)</f>
        <v>0.287</v>
      </c>
      <c r="G213" s="9">
        <f>IFERROR(__xludf.DUMMYFUNCTION("""COMPUTED_VALUE"""),0.387)</f>
        <v>0.387</v>
      </c>
      <c r="I213" s="9">
        <f>IFERROR(__xludf.DUMMYFUNCTION("SPLIT(K205, "","")"),0.329)</f>
        <v>0.329</v>
      </c>
      <c r="J213" s="9">
        <f>IFERROR(__xludf.DUMMYFUNCTION("""COMPUTED_VALUE"""),0.263)</f>
        <v>0.263</v>
      </c>
      <c r="K213" s="9">
        <f>IFERROR(__xludf.DUMMYFUNCTION("""COMPUTED_VALUE"""),0.463)</f>
        <v>0.463</v>
      </c>
      <c r="M213" s="9">
        <f>IFERROR(__xludf.DUMMYFUNCTION("SPLIT(L205, "","")"),0.326)</f>
        <v>0.326</v>
      </c>
      <c r="N213" s="9">
        <f>IFERROR(__xludf.DUMMYFUNCTION("""COMPUTED_VALUE"""),0.294)</f>
        <v>0.294</v>
      </c>
      <c r="O213" s="9">
        <f>IFERROR(__xludf.DUMMYFUNCTION("""COMPUTED_VALUE"""),0.394)</f>
        <v>0.394</v>
      </c>
      <c r="Q213" s="9">
        <f>IFERROR(__xludf.DUMMYFUNCTION("SPLIT(M205, "","")"),0.342)</f>
        <v>0.342</v>
      </c>
      <c r="R213" s="9">
        <f>IFERROR(__xludf.DUMMYFUNCTION("""COMPUTED_VALUE"""),0.274)</f>
        <v>0.274</v>
      </c>
      <c r="S213" s="9">
        <f>IFERROR(__xludf.DUMMYFUNCTION("""COMPUTED_VALUE"""),0.474)</f>
        <v>0.474</v>
      </c>
      <c r="U213" s="9">
        <f>IFERROR(__xludf.DUMMYFUNCTION("SPLIT(N205, "","")"),0.312)</f>
        <v>0.312</v>
      </c>
      <c r="V213" s="9">
        <f>IFERROR(__xludf.DUMMYFUNCTION("""COMPUTED_VALUE"""),0.281)</f>
        <v>0.281</v>
      </c>
      <c r="W213" s="9">
        <f>IFERROR(__xludf.DUMMYFUNCTION("""COMPUTED_VALUE"""),0.381)</f>
        <v>0.381</v>
      </c>
      <c r="Y213" s="9">
        <f>IFERROR(__xludf.DUMMYFUNCTION("SPLIT(O205, "","")"),0.336)</f>
        <v>0.336</v>
      </c>
      <c r="Z213" s="9">
        <f>IFERROR(__xludf.DUMMYFUNCTION("""COMPUTED_VALUE"""),0.268)</f>
        <v>0.268</v>
      </c>
      <c r="AA213" s="9">
        <f>IFERROR(__xludf.DUMMYFUNCTION("""COMPUTED_VALUE"""),0.468)</f>
        <v>0.468</v>
      </c>
    </row>
    <row r="214">
      <c r="A214" s="9">
        <f>IFERROR(__xludf.DUMMYFUNCTION("SPLIT(I206, "","")"),0.336)</f>
        <v>0.336</v>
      </c>
      <c r="B214" s="9">
        <f>IFERROR(__xludf.DUMMYFUNCTION("""COMPUTED_VALUE"""),0.336)</f>
        <v>0.336</v>
      </c>
      <c r="C214" s="9">
        <f>IFERROR(__xludf.DUMMYFUNCTION("""COMPUTED_VALUE"""),0.336)</f>
        <v>0.336</v>
      </c>
      <c r="E214" s="11">
        <f>IFERROR(__xludf.DUMMYFUNCTION("SPLIT(J206, "","")"),0.357)</f>
        <v>0.357</v>
      </c>
      <c r="F214" s="9">
        <f>IFERROR(__xludf.DUMMYFUNCTION("""COMPUTED_VALUE"""),0.321)</f>
        <v>0.321</v>
      </c>
      <c r="G214" s="9">
        <f>IFERROR(__xludf.DUMMYFUNCTION("""COMPUTED_VALUE"""),0.421)</f>
        <v>0.421</v>
      </c>
      <c r="I214" s="9">
        <f>IFERROR(__xludf.DUMMYFUNCTION("SPLIT(K206, "","")"),0.361)</f>
        <v>0.361</v>
      </c>
      <c r="J214" s="9">
        <f>IFERROR(__xludf.DUMMYFUNCTION("""COMPUTED_VALUE"""),0.289)</f>
        <v>0.289</v>
      </c>
      <c r="K214" s="9">
        <f>IFERROR(__xludf.DUMMYFUNCTION("""COMPUTED_VALUE"""),0.489)</f>
        <v>0.489</v>
      </c>
      <c r="M214" s="9">
        <f>IFERROR(__xludf.DUMMYFUNCTION("SPLIT(L206, "","")"),0.364)</f>
        <v>0.364</v>
      </c>
      <c r="N214" s="9">
        <f>IFERROR(__xludf.DUMMYFUNCTION("""COMPUTED_VALUE"""),0.328)</f>
        <v>0.328</v>
      </c>
      <c r="O214" s="9">
        <f>IFERROR(__xludf.DUMMYFUNCTION("""COMPUTED_VALUE"""),0.428)</f>
        <v>0.428</v>
      </c>
      <c r="Q214" s="9">
        <f>IFERROR(__xludf.DUMMYFUNCTION("SPLIT(M206, "","")"),0.388)</f>
        <v>0.388</v>
      </c>
      <c r="R214" s="9">
        <f>IFERROR(__xludf.DUMMYFUNCTION("""COMPUTED_VALUE"""),0.311)</f>
        <v>0.311</v>
      </c>
      <c r="S214" s="9">
        <f>IFERROR(__xludf.DUMMYFUNCTION("""COMPUTED_VALUE"""),0.511)</f>
        <v>0.511</v>
      </c>
      <c r="U214" s="9">
        <f>IFERROR(__xludf.DUMMYFUNCTION("SPLIT(N206, "","")"),0.353)</f>
        <v>0.353</v>
      </c>
      <c r="V214" s="9">
        <f>IFERROR(__xludf.DUMMYFUNCTION("""COMPUTED_VALUE"""),0.318)</f>
        <v>0.318</v>
      </c>
      <c r="W214" s="9">
        <f>IFERROR(__xludf.DUMMYFUNCTION("""COMPUTED_VALUE"""),0.418)</f>
        <v>0.418</v>
      </c>
      <c r="Y214" s="9">
        <f>IFERROR(__xludf.DUMMYFUNCTION("SPLIT(O206, "","")"),0.386)</f>
        <v>0.386</v>
      </c>
      <c r="Z214" s="9">
        <f>IFERROR(__xludf.DUMMYFUNCTION("""COMPUTED_VALUE"""),0.309)</f>
        <v>0.309</v>
      </c>
      <c r="AA214" s="9">
        <f>IFERROR(__xludf.DUMMYFUNCTION("""COMPUTED_VALUE"""),0.509)</f>
        <v>0.509</v>
      </c>
    </row>
    <row r="215">
      <c r="A215" s="9">
        <f>IFERROR(__xludf.DUMMYFUNCTION("SPLIT(I207, "","")"),0.306)</f>
        <v>0.306</v>
      </c>
      <c r="B215" s="9">
        <f>IFERROR(__xludf.DUMMYFUNCTION("""COMPUTED_VALUE"""),0.306)</f>
        <v>0.306</v>
      </c>
      <c r="C215" s="9">
        <f>IFERROR(__xludf.DUMMYFUNCTION("""COMPUTED_VALUE"""),0.306)</f>
        <v>0.306</v>
      </c>
      <c r="E215" s="11">
        <f>IFERROR(__xludf.DUMMYFUNCTION("SPLIT(J207, "","")"),0.319)</f>
        <v>0.319</v>
      </c>
      <c r="F215" s="9">
        <f>IFERROR(__xludf.DUMMYFUNCTION("""COMPUTED_VALUE"""),0.287)</f>
        <v>0.287</v>
      </c>
      <c r="G215" s="9">
        <f>IFERROR(__xludf.DUMMYFUNCTION("""COMPUTED_VALUE"""),0.387)</f>
        <v>0.387</v>
      </c>
      <c r="I215" s="9">
        <f>IFERROR(__xludf.DUMMYFUNCTION("SPLIT(K207, "","")"),0.334)</f>
        <v>0.334</v>
      </c>
      <c r="J215" s="9">
        <f>IFERROR(__xludf.DUMMYFUNCTION("""COMPUTED_VALUE"""),0.268)</f>
        <v>0.268</v>
      </c>
      <c r="K215" s="9">
        <f>IFERROR(__xludf.DUMMYFUNCTION("""COMPUTED_VALUE"""),0.468)</f>
        <v>0.468</v>
      </c>
      <c r="M215" s="9">
        <f>IFERROR(__xludf.DUMMYFUNCTION("SPLIT(L207, "","")"),0.326)</f>
        <v>0.326</v>
      </c>
      <c r="N215" s="9">
        <f>IFERROR(__xludf.DUMMYFUNCTION("""COMPUTED_VALUE"""),0.294)</f>
        <v>0.294</v>
      </c>
      <c r="O215" s="9">
        <f>IFERROR(__xludf.DUMMYFUNCTION("""COMPUTED_VALUE"""),0.394)</f>
        <v>0.394</v>
      </c>
      <c r="Q215" s="9">
        <f>IFERROR(__xludf.DUMMYFUNCTION("SPLIT(M207, "","")"),0.345)</f>
        <v>0.345</v>
      </c>
      <c r="R215" s="9">
        <f>IFERROR(__xludf.DUMMYFUNCTION("""COMPUTED_VALUE"""),0.276)</f>
        <v>0.276</v>
      </c>
      <c r="S215" s="9">
        <f>IFERROR(__xludf.DUMMYFUNCTION("""COMPUTED_VALUE"""),0.476)</f>
        <v>0.476</v>
      </c>
      <c r="U215" s="9">
        <f>IFERROR(__xludf.DUMMYFUNCTION("SPLIT(N207, "","")"),0.316)</f>
        <v>0.316</v>
      </c>
      <c r="V215" s="9">
        <f>IFERROR(__xludf.DUMMYFUNCTION("""COMPUTED_VALUE"""),0.285)</f>
        <v>0.285</v>
      </c>
      <c r="W215" s="9">
        <f>IFERROR(__xludf.DUMMYFUNCTION("""COMPUTED_VALUE"""),0.385)</f>
        <v>0.385</v>
      </c>
      <c r="Y215" s="9">
        <f>IFERROR(__xludf.DUMMYFUNCTION("SPLIT(O207, "","")"),0.337)</f>
        <v>0.337</v>
      </c>
      <c r="Z215" s="9">
        <f>IFERROR(__xludf.DUMMYFUNCTION("""COMPUTED_VALUE"""),0.269)</f>
        <v>0.269</v>
      </c>
      <c r="AA215" s="9">
        <f>IFERROR(__xludf.DUMMYFUNCTION("""COMPUTED_VALUE"""),0.469)</f>
        <v>0.469</v>
      </c>
    </row>
    <row r="216">
      <c r="A216" s="9">
        <f>IFERROR(__xludf.DUMMYFUNCTION("SPLIT(I208, "","")"),0.341)</f>
        <v>0.341</v>
      </c>
      <c r="B216" s="9">
        <f>IFERROR(__xludf.DUMMYFUNCTION("""COMPUTED_VALUE"""),0.341)</f>
        <v>0.341</v>
      </c>
      <c r="C216" s="9">
        <f>IFERROR(__xludf.DUMMYFUNCTION("""COMPUTED_VALUE"""),0.341)</f>
        <v>0.341</v>
      </c>
      <c r="E216" s="11">
        <f>IFERROR(__xludf.DUMMYFUNCTION("SPLIT(J208, "","")"),0.361)</f>
        <v>0.361</v>
      </c>
      <c r="F216" s="9">
        <f>IFERROR(__xludf.DUMMYFUNCTION("""COMPUTED_VALUE"""),0.325)</f>
        <v>0.325</v>
      </c>
      <c r="G216" s="9">
        <f>IFERROR(__xludf.DUMMYFUNCTION("""COMPUTED_VALUE"""),0.425)</f>
        <v>0.425</v>
      </c>
      <c r="I216" s="9">
        <f>IFERROR(__xludf.DUMMYFUNCTION("SPLIT(K208, "","")"),0.36)</f>
        <v>0.36</v>
      </c>
      <c r="J216" s="9">
        <f>IFERROR(__xludf.DUMMYFUNCTION("""COMPUTED_VALUE"""),0.288)</f>
        <v>0.288</v>
      </c>
      <c r="K216" s="9">
        <f>IFERROR(__xludf.DUMMYFUNCTION("""COMPUTED_VALUE"""),0.488)</f>
        <v>0.488</v>
      </c>
      <c r="M216" s="9">
        <f>IFERROR(__xludf.DUMMYFUNCTION("SPLIT(L208, "","")"),0.363)</f>
        <v>0.363</v>
      </c>
      <c r="N216" s="9">
        <f>IFERROR(__xludf.DUMMYFUNCTION("""COMPUTED_VALUE"""),0.327)</f>
        <v>0.327</v>
      </c>
      <c r="O216" s="9">
        <f>IFERROR(__xludf.DUMMYFUNCTION("""COMPUTED_VALUE"""),0.427)</f>
        <v>0.427</v>
      </c>
      <c r="Q216" s="9">
        <f>IFERROR(__xludf.DUMMYFUNCTION("SPLIT(M208, "","")"),0.377)</f>
        <v>0.377</v>
      </c>
      <c r="R216" s="9">
        <f>IFERROR(__xludf.DUMMYFUNCTION("""COMPUTED_VALUE"""),0.301)</f>
        <v>0.301</v>
      </c>
      <c r="S216" s="9">
        <f>IFERROR(__xludf.DUMMYFUNCTION("""COMPUTED_VALUE"""),0.501)</f>
        <v>0.501</v>
      </c>
      <c r="U216" s="9">
        <f>IFERROR(__xludf.DUMMYFUNCTION("SPLIT(N208, "","")"),0.351)</f>
        <v>0.351</v>
      </c>
      <c r="V216" s="9">
        <f>IFERROR(__xludf.DUMMYFUNCTION("""COMPUTED_VALUE"""),0.316)</f>
        <v>0.316</v>
      </c>
      <c r="W216" s="9">
        <f>IFERROR(__xludf.DUMMYFUNCTION("""COMPUTED_VALUE"""),0.416)</f>
        <v>0.416</v>
      </c>
      <c r="Y216" s="9">
        <f>IFERROR(__xludf.DUMMYFUNCTION("SPLIT(O208, "","")"),0.375)</f>
        <v>0.375</v>
      </c>
      <c r="Z216" s="9">
        <f>IFERROR(__xludf.DUMMYFUNCTION("""COMPUTED_VALUE"""),0.3)</f>
        <v>0.3</v>
      </c>
      <c r="AA216" s="9">
        <f>IFERROR(__xludf.DUMMYFUNCTION("""COMPUTED_VALUE"""),0.5)</f>
        <v>0.5</v>
      </c>
    </row>
    <row r="217">
      <c r="A217" s="9">
        <f>IFERROR(__xludf.DUMMYFUNCTION("SPLIT(I209, "","")"),0.42)</f>
        <v>0.42</v>
      </c>
      <c r="B217" s="9">
        <f>IFERROR(__xludf.DUMMYFUNCTION("""COMPUTED_VALUE"""),0.42)</f>
        <v>0.42</v>
      </c>
      <c r="C217" s="9">
        <f>IFERROR(__xludf.DUMMYFUNCTION("""COMPUTED_VALUE"""),0.42)</f>
        <v>0.42</v>
      </c>
      <c r="E217" s="11">
        <f>IFERROR(__xludf.DUMMYFUNCTION("SPLIT(J209, "","")"),0.44)</f>
        <v>0.44</v>
      </c>
      <c r="F217" s="9">
        <f>IFERROR(__xludf.DUMMYFUNCTION("""COMPUTED_VALUE"""),0.396)</f>
        <v>0.396</v>
      </c>
      <c r="G217" s="9">
        <f>IFERROR(__xludf.DUMMYFUNCTION("""COMPUTED_VALUE"""),0.496)</f>
        <v>0.496</v>
      </c>
      <c r="I217" s="9">
        <f>IFERROR(__xludf.DUMMYFUNCTION("SPLIT(K209, "","")"),0.451)</f>
        <v>0.451</v>
      </c>
      <c r="J217" s="9">
        <f>IFERROR(__xludf.DUMMYFUNCTION("""COMPUTED_VALUE"""),0.361)</f>
        <v>0.361</v>
      </c>
      <c r="K217" s="9">
        <f>IFERROR(__xludf.DUMMYFUNCTION("""COMPUTED_VALUE"""),0.561)</f>
        <v>0.561</v>
      </c>
      <c r="M217" s="9">
        <f>IFERROR(__xludf.DUMMYFUNCTION("SPLIT(L209, "","")"),0.425)</f>
        <v>0.425</v>
      </c>
      <c r="N217" s="9">
        <f>IFERROR(__xludf.DUMMYFUNCTION("""COMPUTED_VALUE"""),0.383)</f>
        <v>0.383</v>
      </c>
      <c r="O217" s="9">
        <f>IFERROR(__xludf.DUMMYFUNCTION("""COMPUTED_VALUE"""),0.483)</f>
        <v>0.483</v>
      </c>
      <c r="Q217" s="9">
        <f>IFERROR(__xludf.DUMMYFUNCTION("SPLIT(M209, "","")"),0.424)</f>
        <v>0.424</v>
      </c>
      <c r="R217" s="9">
        <f>IFERROR(__xludf.DUMMYFUNCTION("""COMPUTED_VALUE"""),0.339)</f>
        <v>0.339</v>
      </c>
      <c r="S217" s="9">
        <f>IFERROR(__xludf.DUMMYFUNCTION("""COMPUTED_VALUE"""),0.539)</f>
        <v>0.539</v>
      </c>
      <c r="U217" s="9">
        <f>IFERROR(__xludf.DUMMYFUNCTION("SPLIT(N209, "","")"),0.418)</f>
        <v>0.418</v>
      </c>
      <c r="V217" s="9">
        <f>IFERROR(__xludf.DUMMYFUNCTION("""COMPUTED_VALUE"""),0.376)</f>
        <v>0.376</v>
      </c>
      <c r="W217" s="9">
        <f>IFERROR(__xludf.DUMMYFUNCTION("""COMPUTED_VALUE"""),0.476)</f>
        <v>0.476</v>
      </c>
      <c r="Y217" s="9">
        <f>IFERROR(__xludf.DUMMYFUNCTION("SPLIT(O209, "","")"),0.419)</f>
        <v>0.419</v>
      </c>
      <c r="Z217" s="9">
        <f>IFERROR(__xludf.DUMMYFUNCTION("""COMPUTED_VALUE"""),0.335)</f>
        <v>0.335</v>
      </c>
      <c r="AA217" s="9">
        <f>IFERROR(__xludf.DUMMYFUNCTION("""COMPUTED_VALUE"""),0.535)</f>
        <v>0.535</v>
      </c>
    </row>
    <row r="218">
      <c r="A218" s="9">
        <f>IFERROR(__xludf.DUMMYFUNCTION("SPLIT(I210, "","")"),0.375)</f>
        <v>0.375</v>
      </c>
      <c r="B218" s="9">
        <f>IFERROR(__xludf.DUMMYFUNCTION("""COMPUTED_VALUE"""),0.375)</f>
        <v>0.375</v>
      </c>
      <c r="C218" s="9">
        <f>IFERROR(__xludf.DUMMYFUNCTION("""COMPUTED_VALUE"""),0.375)</f>
        <v>0.375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"","")"),0.402)</f>
        <v>0.402</v>
      </c>
      <c r="J218" s="9">
        <f>IFERROR(__xludf.DUMMYFUNCTION("""COMPUTED_VALUE"""),0.322)</f>
        <v>0.322</v>
      </c>
      <c r="K218" s="9">
        <f>IFERROR(__xludf.DUMMYFUNCTION("""COMPUTED_VALUE"""),0.522)</f>
        <v>0.522</v>
      </c>
      <c r="M218" s="9">
        <f>IFERROR(__xludf.DUMMYFUNCTION("SPLIT(L210, "","")"),0.402)</f>
        <v>0.402</v>
      </c>
      <c r="N218" s="9">
        <f>IFERROR(__xludf.DUMMYFUNCTION("""COMPUTED_VALUE"""),0.362)</f>
        <v>0.362</v>
      </c>
      <c r="O218" s="9">
        <f>IFERROR(__xludf.DUMMYFUNCTION("""COMPUTED_VALUE"""),0.462)</f>
        <v>0.462</v>
      </c>
      <c r="Q218" s="9">
        <f>IFERROR(__xludf.DUMMYFUNCTION("SPLIT(M210, "","")"),0.428)</f>
        <v>0.428</v>
      </c>
      <c r="R218" s="9">
        <f>IFERROR(__xludf.DUMMYFUNCTION("""COMPUTED_VALUE"""),0.343)</f>
        <v>0.343</v>
      </c>
      <c r="S218" s="9">
        <f>IFERROR(__xludf.DUMMYFUNCTION("""COMPUTED_VALUE"""),0.543)</f>
        <v>0.543</v>
      </c>
      <c r="U218" s="9">
        <f>IFERROR(__xludf.DUMMYFUNCTION("SPLIT(N210, "","")"),0.394)</f>
        <v>0.394</v>
      </c>
      <c r="V218" s="9">
        <f>IFERROR(__xludf.DUMMYFUNCTION("""COMPUTED_VALUE"""),0.354)</f>
        <v>0.354</v>
      </c>
      <c r="W218" s="9">
        <f>IFERROR(__xludf.DUMMYFUNCTION("""COMPUTED_VALUE"""),0.454)</f>
        <v>0.454</v>
      </c>
      <c r="Y218" s="9">
        <f>IFERROR(__xludf.DUMMYFUNCTION("SPLIT(O210, "","")"),0.423)</f>
        <v>0.423</v>
      </c>
      <c r="Z218" s="9">
        <f>IFERROR(__xludf.DUMMYFUNCTION("""COMPUTED_VALUE"""),0.338)</f>
        <v>0.338</v>
      </c>
      <c r="AA218" s="9">
        <f>IFERROR(__xludf.DUMMYFUNCTION("""COMPUTED_VALUE"""),0.538)</f>
        <v>0.538</v>
      </c>
    </row>
    <row r="219">
      <c r="A219" s="9">
        <f>IFERROR(__xludf.DUMMYFUNCTION("SPLIT(I211, "","")"),0.359)</f>
        <v>0.359</v>
      </c>
      <c r="B219" s="9">
        <f>IFERROR(__xludf.DUMMYFUNCTION("""COMPUTED_VALUE"""),0.359)</f>
        <v>0.359</v>
      </c>
      <c r="C219" s="9">
        <f>IFERROR(__xludf.DUMMYFUNCTION("""COMPUTED_VALUE"""),0.359)</f>
        <v>0.359</v>
      </c>
      <c r="E219" s="11">
        <f>IFERROR(__xludf.DUMMYFUNCTION("SPLIT(J211, "","")"),0.374)</f>
        <v>0.374</v>
      </c>
      <c r="F219" s="9">
        <f>IFERROR(__xludf.DUMMYFUNCTION("""COMPUTED_VALUE"""),0.337)</f>
        <v>0.337</v>
      </c>
      <c r="G219" s="9">
        <f>IFERROR(__xludf.DUMMYFUNCTION("""COMPUTED_VALUE"""),0.437)</f>
        <v>0.437</v>
      </c>
      <c r="I219" s="9">
        <f>IFERROR(__xludf.DUMMYFUNCTION("SPLIT(K211, "","")"),0.377)</f>
        <v>0.377</v>
      </c>
      <c r="J219" s="9">
        <f>IFERROR(__xludf.DUMMYFUNCTION("""COMPUTED_VALUE"""),0.301)</f>
        <v>0.301</v>
      </c>
      <c r="K219" s="9">
        <f>IFERROR(__xludf.DUMMYFUNCTION("""COMPUTED_VALUE"""),0.501)</f>
        <v>0.501</v>
      </c>
      <c r="M219" s="9">
        <f>IFERROR(__xludf.DUMMYFUNCTION("SPLIT(L211, "","")"),0.358)</f>
        <v>0.358</v>
      </c>
      <c r="N219" s="9">
        <f>IFERROR(__xludf.DUMMYFUNCTION("""COMPUTED_VALUE"""),0.322)</f>
        <v>0.322</v>
      </c>
      <c r="O219" s="9">
        <f>IFERROR(__xludf.DUMMYFUNCTION("""COMPUTED_VALUE"""),0.422)</f>
        <v>0.422</v>
      </c>
      <c r="Q219" s="9">
        <f>IFERROR(__xludf.DUMMYFUNCTION("SPLIT(M211, "","")"),0.364)</f>
        <v>0.364</v>
      </c>
      <c r="R219" s="9">
        <f>IFERROR(__xludf.DUMMYFUNCTION("""COMPUTED_VALUE"""),0.291)</f>
        <v>0.291</v>
      </c>
      <c r="S219" s="9">
        <f>IFERROR(__xludf.DUMMYFUNCTION("""COMPUTED_VALUE"""),0.491)</f>
        <v>0.491</v>
      </c>
      <c r="U219" s="9">
        <f>IFERROR(__xludf.DUMMYFUNCTION("SPLIT(N211, "","")"),0.359)</f>
        <v>0.359</v>
      </c>
      <c r="V219" s="9">
        <f>IFERROR(__xludf.DUMMYFUNCTION("""COMPUTED_VALUE"""),0.323)</f>
        <v>0.323</v>
      </c>
      <c r="W219" s="9">
        <f>IFERROR(__xludf.DUMMYFUNCTION("""COMPUTED_VALUE"""),0.423)</f>
        <v>0.423</v>
      </c>
      <c r="Y219" s="9">
        <f>IFERROR(__xludf.DUMMYFUNCTION("SPLIT(O211, "","")"),0.363)</f>
        <v>0.363</v>
      </c>
      <c r="Z219" s="9">
        <f>IFERROR(__xludf.DUMMYFUNCTION("""COMPUTED_VALUE"""),0.29)</f>
        <v>0.29</v>
      </c>
      <c r="AA219" s="9">
        <f>IFERROR(__xludf.DUMMYFUNCTION("""COMPUTED_VALUE"""),0.49)</f>
        <v>0.49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0.304</v>
      </c>
      <c r="D223" s="7">
        <f t="shared" ref="D223:D229" si="263">E213</f>
        <v>0.319</v>
      </c>
      <c r="E223" s="7">
        <f t="shared" ref="E223:E229" si="264">I213</f>
        <v>0.329</v>
      </c>
      <c r="F223" s="7">
        <f t="shared" ref="F223:G223" si="258">N213</f>
        <v>0.294</v>
      </c>
      <c r="G223" s="12">
        <f t="shared" si="258"/>
        <v>0.394</v>
      </c>
      <c r="H223" s="7">
        <f t="shared" ref="H223:I223" si="259">R213</f>
        <v>0.274</v>
      </c>
      <c r="I223" s="12">
        <f t="shared" si="259"/>
        <v>0.474</v>
      </c>
      <c r="J223" s="7">
        <f t="shared" ref="J223:K223" si="260">V213</f>
        <v>0.281</v>
      </c>
      <c r="K223" s="12">
        <f t="shared" si="260"/>
        <v>0.381</v>
      </c>
      <c r="L223" s="7">
        <f t="shared" ref="L223:M223" si="261">Z213</f>
        <v>0.268</v>
      </c>
      <c r="M223" s="7">
        <f t="shared" si="261"/>
        <v>0.468</v>
      </c>
    </row>
    <row r="224">
      <c r="B224" s="6" t="s">
        <v>5</v>
      </c>
      <c r="C224" s="7">
        <f t="shared" si="262"/>
        <v>0.336</v>
      </c>
      <c r="D224" s="7">
        <f t="shared" si="263"/>
        <v>0.357</v>
      </c>
      <c r="E224" s="7">
        <f t="shared" si="264"/>
        <v>0.361</v>
      </c>
      <c r="F224" s="7">
        <f t="shared" ref="F224:G224" si="265">N214</f>
        <v>0.328</v>
      </c>
      <c r="G224" s="12">
        <f t="shared" si="265"/>
        <v>0.428</v>
      </c>
      <c r="H224" s="7">
        <f t="shared" ref="H224:I224" si="266">R214</f>
        <v>0.311</v>
      </c>
      <c r="I224" s="12">
        <f t="shared" si="266"/>
        <v>0.511</v>
      </c>
      <c r="J224" s="7">
        <f t="shared" ref="J224:K224" si="267">V214</f>
        <v>0.318</v>
      </c>
      <c r="K224" s="12">
        <f t="shared" si="267"/>
        <v>0.418</v>
      </c>
      <c r="L224" s="7">
        <f t="shared" ref="L224:M224" si="268">Z214</f>
        <v>0.309</v>
      </c>
      <c r="M224" s="7">
        <f t="shared" si="268"/>
        <v>0.509</v>
      </c>
    </row>
    <row r="225">
      <c r="B225" s="6" t="s">
        <v>6</v>
      </c>
      <c r="C225" s="7">
        <f t="shared" si="262"/>
        <v>0.306</v>
      </c>
      <c r="D225" s="7">
        <f t="shared" si="263"/>
        <v>0.319</v>
      </c>
      <c r="E225" s="7">
        <f t="shared" si="264"/>
        <v>0.334</v>
      </c>
      <c r="F225" s="7">
        <f t="shared" ref="F225:G225" si="269">N215</f>
        <v>0.294</v>
      </c>
      <c r="G225" s="12">
        <f t="shared" si="269"/>
        <v>0.394</v>
      </c>
      <c r="H225" s="7">
        <f t="shared" ref="H225:I225" si="270">R215</f>
        <v>0.276</v>
      </c>
      <c r="I225" s="12">
        <f t="shared" si="270"/>
        <v>0.476</v>
      </c>
      <c r="J225" s="7">
        <f t="shared" ref="J225:K225" si="271">V215</f>
        <v>0.285</v>
      </c>
      <c r="K225" s="12">
        <f t="shared" si="271"/>
        <v>0.385</v>
      </c>
      <c r="L225" s="7">
        <f t="shared" ref="L225:M225" si="272">Z215</f>
        <v>0.269</v>
      </c>
      <c r="M225" s="7">
        <f t="shared" si="272"/>
        <v>0.469</v>
      </c>
    </row>
    <row r="226">
      <c r="B226" s="6" t="s">
        <v>7</v>
      </c>
      <c r="C226" s="7">
        <f t="shared" si="262"/>
        <v>0.341</v>
      </c>
      <c r="D226" s="7">
        <f t="shared" si="263"/>
        <v>0.361</v>
      </c>
      <c r="E226" s="7">
        <f t="shared" si="264"/>
        <v>0.36</v>
      </c>
      <c r="F226" s="7">
        <f t="shared" ref="F226:G226" si="273">N216</f>
        <v>0.327</v>
      </c>
      <c r="G226" s="12">
        <f t="shared" si="273"/>
        <v>0.427</v>
      </c>
      <c r="H226" s="7">
        <f t="shared" ref="H226:I226" si="274">R216</f>
        <v>0.301</v>
      </c>
      <c r="I226" s="12">
        <f t="shared" si="274"/>
        <v>0.501</v>
      </c>
      <c r="J226" s="7">
        <f t="shared" ref="J226:K226" si="275">V216</f>
        <v>0.316</v>
      </c>
      <c r="K226" s="12">
        <f t="shared" si="275"/>
        <v>0.416</v>
      </c>
      <c r="L226" s="7">
        <f t="shared" ref="L226:M226" si="276">Z216</f>
        <v>0.3</v>
      </c>
      <c r="M226" s="7">
        <f t="shared" si="276"/>
        <v>0.5</v>
      </c>
    </row>
    <row r="227">
      <c r="B227" s="6" t="s">
        <v>8</v>
      </c>
      <c r="C227" s="7">
        <f t="shared" si="262"/>
        <v>0.42</v>
      </c>
      <c r="D227" s="7">
        <f t="shared" si="263"/>
        <v>0.44</v>
      </c>
      <c r="E227" s="7">
        <f t="shared" si="264"/>
        <v>0.451</v>
      </c>
      <c r="F227" s="7">
        <f t="shared" ref="F227:G227" si="277">N217</f>
        <v>0.383</v>
      </c>
      <c r="G227" s="12">
        <f t="shared" si="277"/>
        <v>0.483</v>
      </c>
      <c r="H227" s="7">
        <f t="shared" ref="H227:I227" si="278">R217</f>
        <v>0.339</v>
      </c>
      <c r="I227" s="12">
        <f t="shared" si="278"/>
        <v>0.539</v>
      </c>
      <c r="J227" s="7">
        <f t="shared" ref="J227:K227" si="279">V217</f>
        <v>0.376</v>
      </c>
      <c r="K227" s="12">
        <f t="shared" si="279"/>
        <v>0.476</v>
      </c>
      <c r="L227" s="7">
        <f t="shared" ref="L227:M227" si="280">Z217</f>
        <v>0.335</v>
      </c>
      <c r="M227" s="7">
        <f t="shared" si="280"/>
        <v>0.535</v>
      </c>
    </row>
    <row r="228">
      <c r="B228" s="6" t="s">
        <v>9</v>
      </c>
      <c r="C228" s="7">
        <f t="shared" si="262"/>
        <v>0.375</v>
      </c>
      <c r="D228" s="7">
        <f t="shared" si="263"/>
        <v>0.397</v>
      </c>
      <c r="E228" s="7">
        <f t="shared" si="264"/>
        <v>0.402</v>
      </c>
      <c r="F228" s="7">
        <f t="shared" ref="F228:G228" si="281">N218</f>
        <v>0.362</v>
      </c>
      <c r="G228" s="12">
        <f t="shared" si="281"/>
        <v>0.462</v>
      </c>
      <c r="H228" s="7">
        <f t="shared" ref="H228:I228" si="282">R218</f>
        <v>0.343</v>
      </c>
      <c r="I228" s="12">
        <f t="shared" si="282"/>
        <v>0.543</v>
      </c>
      <c r="J228" s="7">
        <f t="shared" ref="J228:K228" si="283">V218</f>
        <v>0.354</v>
      </c>
      <c r="K228" s="12">
        <f t="shared" si="283"/>
        <v>0.454</v>
      </c>
      <c r="L228" s="7">
        <f t="shared" ref="L228:M228" si="284">Z218</f>
        <v>0.338</v>
      </c>
      <c r="M228" s="7">
        <f t="shared" si="284"/>
        <v>0.538</v>
      </c>
    </row>
    <row r="229">
      <c r="B229" s="6" t="s">
        <v>10</v>
      </c>
      <c r="C229" s="7">
        <f t="shared" si="262"/>
        <v>0.359</v>
      </c>
      <c r="D229" s="7">
        <f t="shared" si="263"/>
        <v>0.374</v>
      </c>
      <c r="E229" s="7">
        <f t="shared" si="264"/>
        <v>0.377</v>
      </c>
      <c r="F229" s="7">
        <f t="shared" ref="F229:G229" si="285">N219</f>
        <v>0.322</v>
      </c>
      <c r="G229" s="12">
        <f t="shared" si="285"/>
        <v>0.422</v>
      </c>
      <c r="H229" s="7">
        <f t="shared" ref="H229:I229" si="286">R219</f>
        <v>0.291</v>
      </c>
      <c r="I229" s="12">
        <f t="shared" si="286"/>
        <v>0.491</v>
      </c>
      <c r="J229" s="7">
        <f t="shared" ref="J229:K229" si="287">V219</f>
        <v>0.323</v>
      </c>
      <c r="K229" s="12">
        <f t="shared" si="287"/>
        <v>0.423</v>
      </c>
      <c r="L229" s="7">
        <f t="shared" ref="L229:M229" si="288">Z219</f>
        <v>0.29</v>
      </c>
      <c r="M229" s="7">
        <f t="shared" si="288"/>
        <v>0.49</v>
      </c>
    </row>
    <row r="231">
      <c r="A231" s="8" t="s">
        <v>259</v>
      </c>
      <c r="B231" s="8" t="s">
        <v>260</v>
      </c>
      <c r="C231" s="8" t="s">
        <v>261</v>
      </c>
      <c r="D231" s="8" t="s">
        <v>262</v>
      </c>
      <c r="E231" s="8" t="s">
        <v>263</v>
      </c>
      <c r="F231" s="8" t="s">
        <v>264</v>
      </c>
      <c r="G231" s="8" t="s">
        <v>265</v>
      </c>
      <c r="I231" s="9" t="str">
        <f t="shared" ref="I231:O231" si="289">substitute(SUBSTITUTE(A231, "(", ""), ")", "")</f>
        <v>0.167, 0.167, 0.167</v>
      </c>
      <c r="J231" s="9" t="str">
        <f t="shared" si="289"/>
        <v>0.177, 0.160, 0.260</v>
      </c>
      <c r="K231" s="9" t="str">
        <f t="shared" si="289"/>
        <v>0.185, 0.148, 0.348</v>
      </c>
      <c r="L231" s="9" t="str">
        <f t="shared" si="289"/>
        <v>0.188, 0.170, 0.270</v>
      </c>
      <c r="M231" s="9" t="str">
        <f t="shared" si="289"/>
        <v>0.211, 0.169, 0.369</v>
      </c>
      <c r="N231" s="9" t="str">
        <f t="shared" si="289"/>
        <v>0.185, 0.166, 0.266</v>
      </c>
      <c r="O231" s="9" t="str">
        <f t="shared" si="289"/>
        <v>0.208, 0.166, 0.366</v>
      </c>
      <c r="T231" s="6"/>
    </row>
    <row r="232">
      <c r="A232" s="8" t="s">
        <v>266</v>
      </c>
      <c r="B232" s="8" t="s">
        <v>267</v>
      </c>
      <c r="C232" s="8" t="s">
        <v>268</v>
      </c>
      <c r="D232" s="8" t="s">
        <v>269</v>
      </c>
      <c r="E232" s="8" t="s">
        <v>270</v>
      </c>
      <c r="F232" s="8" t="s">
        <v>271</v>
      </c>
      <c r="G232" s="8" t="s">
        <v>272</v>
      </c>
      <c r="I232" s="9" t="str">
        <f t="shared" ref="I232:O232" si="290">substitute(SUBSTITUTE(A232, "(", ""), ")", "")</f>
        <v>0.192, 0.192, 0.192</v>
      </c>
      <c r="J232" s="9" t="str">
        <f t="shared" si="290"/>
        <v>0.204, 0.184, 0.284</v>
      </c>
      <c r="K232" s="9" t="str">
        <f t="shared" si="290"/>
        <v>0.210, 0.168, 0.368</v>
      </c>
      <c r="L232" s="9" t="str">
        <f t="shared" si="290"/>
        <v>0.216, 0.194, 0.294</v>
      </c>
      <c r="M232" s="9" t="str">
        <f t="shared" si="290"/>
        <v>0.241, 0.193, 0.393</v>
      </c>
      <c r="N232" s="9" t="str">
        <f t="shared" si="290"/>
        <v>0.213, 0.191, 0.291</v>
      </c>
      <c r="O232" s="9" t="str">
        <f t="shared" si="290"/>
        <v>0.238, 0.190, 0.390</v>
      </c>
    </row>
    <row r="233">
      <c r="A233" s="8" t="s">
        <v>273</v>
      </c>
      <c r="B233" s="8" t="s">
        <v>274</v>
      </c>
      <c r="C233" s="8" t="s">
        <v>275</v>
      </c>
      <c r="D233" s="8" t="s">
        <v>276</v>
      </c>
      <c r="E233" s="8" t="s">
        <v>277</v>
      </c>
      <c r="F233" s="8" t="s">
        <v>278</v>
      </c>
      <c r="G233" s="8" t="s">
        <v>279</v>
      </c>
      <c r="I233" s="9" t="str">
        <f t="shared" ref="I233:O233" si="291">substitute(SUBSTITUTE(A233, "(", ""), ")", "")</f>
        <v>0.199, 0.199, 0.199</v>
      </c>
      <c r="J233" s="9" t="str">
        <f t="shared" si="291"/>
        <v>0.208, 0.187, 0.287</v>
      </c>
      <c r="K233" s="9" t="str">
        <f t="shared" si="291"/>
        <v>0.218, 0.175, 0.375</v>
      </c>
      <c r="L233" s="9" t="str">
        <f t="shared" si="291"/>
        <v>0.225, 0.202, 0.302</v>
      </c>
      <c r="M233" s="9" t="str">
        <f t="shared" si="291"/>
        <v>0.253, 0.202, 0.402</v>
      </c>
      <c r="N233" s="9" t="str">
        <f t="shared" si="291"/>
        <v>0.221, 0.199, 0.299</v>
      </c>
      <c r="O233" s="9" t="str">
        <f t="shared" si="291"/>
        <v>0.249, 0.199, 0.399</v>
      </c>
    </row>
    <row r="234">
      <c r="A234" s="8" t="s">
        <v>280</v>
      </c>
      <c r="B234" s="8" t="s">
        <v>281</v>
      </c>
      <c r="C234" s="8" t="s">
        <v>282</v>
      </c>
      <c r="D234" s="8" t="s">
        <v>283</v>
      </c>
      <c r="E234" s="8" t="s">
        <v>284</v>
      </c>
      <c r="F234" s="8" t="s">
        <v>285</v>
      </c>
      <c r="G234" s="8" t="s">
        <v>286</v>
      </c>
      <c r="I234" s="9" t="str">
        <f t="shared" ref="I234:O234" si="292">substitute(SUBSTITUTE(A234, "(", ""), ")", "")</f>
        <v>0.139, 0.139, 0.139</v>
      </c>
      <c r="J234" s="9" t="str">
        <f t="shared" si="292"/>
        <v>0.149, 0.134, 0.234</v>
      </c>
      <c r="K234" s="9" t="str">
        <f t="shared" si="292"/>
        <v>0.153, 0.122, 0.322</v>
      </c>
      <c r="L234" s="9" t="str">
        <f t="shared" si="292"/>
        <v>0.156, 0.140, 0.240</v>
      </c>
      <c r="M234" s="9" t="str">
        <f t="shared" si="292"/>
        <v>0.169, 0.135, 0.335</v>
      </c>
      <c r="N234" s="9" t="str">
        <f t="shared" si="292"/>
        <v>0.148, 0.133, 0.233</v>
      </c>
      <c r="O234" s="9" t="str">
        <f t="shared" si="292"/>
        <v>0.164, 0.131, 0.331</v>
      </c>
    </row>
    <row r="235">
      <c r="A235" s="8" t="s">
        <v>287</v>
      </c>
      <c r="B235" s="8" t="s">
        <v>288</v>
      </c>
      <c r="C235" s="8" t="s">
        <v>289</v>
      </c>
      <c r="D235" s="8" t="s">
        <v>290</v>
      </c>
      <c r="E235" s="8" t="s">
        <v>291</v>
      </c>
      <c r="F235" s="8" t="s">
        <v>292</v>
      </c>
      <c r="G235" s="8" t="s">
        <v>293</v>
      </c>
      <c r="I235" s="9" t="str">
        <f t="shared" ref="I235:O235" si="293">substitute(SUBSTITUTE(A235, "(", ""), ")", "")</f>
        <v>0.315, 0.315, 0.315</v>
      </c>
      <c r="J235" s="9" t="str">
        <f t="shared" si="293"/>
        <v>0.336, 0.303, 0.403</v>
      </c>
      <c r="K235" s="9" t="str">
        <f t="shared" si="293"/>
        <v>0.350, 0.280, 0.480</v>
      </c>
      <c r="L235" s="9" t="str">
        <f t="shared" si="293"/>
        <v>0.255, 0.229, 0.329</v>
      </c>
      <c r="M235" s="9" t="str">
        <f t="shared" si="293"/>
        <v>0.189, 0.151, 0.351</v>
      </c>
      <c r="N235" s="9" t="str">
        <f t="shared" si="293"/>
        <v>0.261, 0.235, 0.335</v>
      </c>
      <c r="O235" s="9" t="str">
        <f t="shared" si="293"/>
        <v>0.196, 0.157, 0.357</v>
      </c>
    </row>
    <row r="236">
      <c r="A236" s="8" t="s">
        <v>294</v>
      </c>
      <c r="B236" s="8" t="s">
        <v>295</v>
      </c>
      <c r="C236" s="8" t="s">
        <v>296</v>
      </c>
      <c r="D236" s="8" t="s">
        <v>73</v>
      </c>
      <c r="E236" s="8" t="s">
        <v>297</v>
      </c>
      <c r="F236" s="8" t="s">
        <v>298</v>
      </c>
      <c r="G236" s="8" t="s">
        <v>299</v>
      </c>
      <c r="I236" s="9" t="str">
        <f t="shared" ref="I236:O236" si="294">substitute(SUBSTITUTE(A236, "(", ""), ")", "")</f>
        <v>0.174, 0.174, 0.174</v>
      </c>
      <c r="J236" s="9" t="str">
        <f t="shared" si="294"/>
        <v>0.186, 0.167, 0.267</v>
      </c>
      <c r="K236" s="9" t="str">
        <f t="shared" si="294"/>
        <v>0.192, 0.153, 0.353</v>
      </c>
      <c r="L236" s="9" t="str">
        <f t="shared" si="294"/>
        <v>0.184, 0.166, 0.266</v>
      </c>
      <c r="M236" s="9" t="str">
        <f t="shared" si="294"/>
        <v>0.192, 0.154, 0.354</v>
      </c>
      <c r="N236" s="9" t="str">
        <f t="shared" si="294"/>
        <v>0.178, 0.160, 0.260</v>
      </c>
      <c r="O236" s="9" t="str">
        <f t="shared" si="294"/>
        <v>0.188, 0.150, 0.350</v>
      </c>
    </row>
    <row r="237">
      <c r="A237" s="8" t="s">
        <v>300</v>
      </c>
      <c r="B237" s="8" t="s">
        <v>301</v>
      </c>
      <c r="C237" s="8" t="s">
        <v>302</v>
      </c>
      <c r="D237" s="8" t="s">
        <v>303</v>
      </c>
      <c r="E237" s="8" t="s">
        <v>304</v>
      </c>
      <c r="F237" s="8" t="s">
        <v>305</v>
      </c>
      <c r="G237" s="8" t="s">
        <v>306</v>
      </c>
      <c r="I237" s="9" t="str">
        <f t="shared" ref="I237:O237" si="295">substitute(SUBSTITUTE(A237, "(", ""), ")", "")</f>
        <v>0.235, 0.235, 0.235</v>
      </c>
      <c r="J237" s="9" t="str">
        <f t="shared" si="295"/>
        <v>0.248, 0.223, 0.323</v>
      </c>
      <c r="K237" s="9" t="str">
        <f t="shared" si="295"/>
        <v>0.261, 0.209, 0.409</v>
      </c>
      <c r="L237" s="9" t="str">
        <f t="shared" si="295"/>
        <v>0.232, 0.209, 0.309</v>
      </c>
      <c r="M237" s="9" t="str">
        <f t="shared" si="295"/>
        <v>0.235, 0.188, 0.388</v>
      </c>
      <c r="N237" s="9" t="str">
        <f t="shared" si="295"/>
        <v>0.229, 0.206, 0.306</v>
      </c>
      <c r="O237" s="9" t="str">
        <f t="shared" si="295"/>
        <v>0.231, 0.185, 0.385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"","")"),0.167)</f>
        <v>0.167</v>
      </c>
      <c r="B239" s="9">
        <f>IFERROR(__xludf.DUMMYFUNCTION("""COMPUTED_VALUE"""),0.167)</f>
        <v>0.167</v>
      </c>
      <c r="C239" s="9">
        <f>IFERROR(__xludf.DUMMYFUNCTION("""COMPUTED_VALUE"""),0.167)</f>
        <v>0.167</v>
      </c>
      <c r="E239" s="11">
        <f>IFERROR(__xludf.DUMMYFUNCTION("SPLIT(J231, "","")"),0.177)</f>
        <v>0.177</v>
      </c>
      <c r="F239" s="9">
        <f>IFERROR(__xludf.DUMMYFUNCTION("""COMPUTED_VALUE"""),0.16)</f>
        <v>0.16</v>
      </c>
      <c r="G239" s="9">
        <f>IFERROR(__xludf.DUMMYFUNCTION("""COMPUTED_VALUE"""),0.26)</f>
        <v>0.26</v>
      </c>
      <c r="I239" s="9">
        <f>IFERROR(__xludf.DUMMYFUNCTION("SPLIT(K231, "","")"),0.185)</f>
        <v>0.185</v>
      </c>
      <c r="J239" s="9">
        <f>IFERROR(__xludf.DUMMYFUNCTION("""COMPUTED_VALUE"""),0.148)</f>
        <v>0.148</v>
      </c>
      <c r="K239" s="9">
        <f>IFERROR(__xludf.DUMMYFUNCTION("""COMPUTED_VALUE"""),0.348)</f>
        <v>0.348</v>
      </c>
      <c r="M239" s="9">
        <f>IFERROR(__xludf.DUMMYFUNCTION("SPLIT(L231, "","")"),0.188)</f>
        <v>0.188</v>
      </c>
      <c r="N239" s="9">
        <f>IFERROR(__xludf.DUMMYFUNCTION("""COMPUTED_VALUE"""),0.17)</f>
        <v>0.17</v>
      </c>
      <c r="O239" s="9">
        <f>IFERROR(__xludf.DUMMYFUNCTION("""COMPUTED_VALUE"""),0.27)</f>
        <v>0.27</v>
      </c>
      <c r="Q239" s="9">
        <f>IFERROR(__xludf.DUMMYFUNCTION("SPLIT(M231, "","")"),0.211)</f>
        <v>0.211</v>
      </c>
      <c r="R239" s="9">
        <f>IFERROR(__xludf.DUMMYFUNCTION("""COMPUTED_VALUE"""),0.169)</f>
        <v>0.169</v>
      </c>
      <c r="S239" s="9">
        <f>IFERROR(__xludf.DUMMYFUNCTION("""COMPUTED_VALUE"""),0.369)</f>
        <v>0.369</v>
      </c>
      <c r="U239" s="9">
        <f>IFERROR(__xludf.DUMMYFUNCTION("SPLIT(N231, "","")"),0.185)</f>
        <v>0.185</v>
      </c>
      <c r="V239" s="9">
        <f>IFERROR(__xludf.DUMMYFUNCTION("""COMPUTED_VALUE"""),0.166)</f>
        <v>0.166</v>
      </c>
      <c r="W239" s="9">
        <f>IFERROR(__xludf.DUMMYFUNCTION("""COMPUTED_VALUE"""),0.266)</f>
        <v>0.266</v>
      </c>
      <c r="Y239" s="9">
        <f>IFERROR(__xludf.DUMMYFUNCTION("SPLIT(O231, "","")"),0.208)</f>
        <v>0.208</v>
      </c>
      <c r="Z239" s="9">
        <f>IFERROR(__xludf.DUMMYFUNCTION("""COMPUTED_VALUE"""),0.166)</f>
        <v>0.166</v>
      </c>
      <c r="AA239" s="9">
        <f>IFERROR(__xludf.DUMMYFUNCTION("""COMPUTED_VALUE"""),0.366)</f>
        <v>0.366</v>
      </c>
    </row>
    <row r="240">
      <c r="A240" s="9">
        <f>IFERROR(__xludf.DUMMYFUNCTION("SPLIT(I232, "","")"),0.192)</f>
        <v>0.192</v>
      </c>
      <c r="B240" s="9">
        <f>IFERROR(__xludf.DUMMYFUNCTION("""COMPUTED_VALUE"""),0.192)</f>
        <v>0.192</v>
      </c>
      <c r="C240" s="9">
        <f>IFERROR(__xludf.DUMMYFUNCTION("""COMPUTED_VALUE"""),0.192)</f>
        <v>0.192</v>
      </c>
      <c r="E240" s="11">
        <f>IFERROR(__xludf.DUMMYFUNCTION("SPLIT(J232, "","")"),0.204)</f>
        <v>0.204</v>
      </c>
      <c r="F240" s="9">
        <f>IFERROR(__xludf.DUMMYFUNCTION("""COMPUTED_VALUE"""),0.184)</f>
        <v>0.184</v>
      </c>
      <c r="G240" s="9">
        <f>IFERROR(__xludf.DUMMYFUNCTION("""COMPUTED_VALUE"""),0.284)</f>
        <v>0.284</v>
      </c>
      <c r="I240" s="9">
        <f>IFERROR(__xludf.DUMMYFUNCTION("SPLIT(K232, "","")"),0.21)</f>
        <v>0.21</v>
      </c>
      <c r="J240" s="9">
        <f>IFERROR(__xludf.DUMMYFUNCTION("""COMPUTED_VALUE"""),0.168)</f>
        <v>0.168</v>
      </c>
      <c r="K240" s="9">
        <f>IFERROR(__xludf.DUMMYFUNCTION("""COMPUTED_VALUE"""),0.368)</f>
        <v>0.368</v>
      </c>
      <c r="M240" s="9">
        <f>IFERROR(__xludf.DUMMYFUNCTION("SPLIT(L232, "","")"),0.216)</f>
        <v>0.216</v>
      </c>
      <c r="N240" s="9">
        <f>IFERROR(__xludf.DUMMYFUNCTION("""COMPUTED_VALUE"""),0.194)</f>
        <v>0.194</v>
      </c>
      <c r="O240" s="9">
        <f>IFERROR(__xludf.DUMMYFUNCTION("""COMPUTED_VALUE"""),0.294)</f>
        <v>0.294</v>
      </c>
      <c r="Q240" s="9">
        <f>IFERROR(__xludf.DUMMYFUNCTION("SPLIT(M232, "","")"),0.241)</f>
        <v>0.241</v>
      </c>
      <c r="R240" s="9">
        <f>IFERROR(__xludf.DUMMYFUNCTION("""COMPUTED_VALUE"""),0.193)</f>
        <v>0.193</v>
      </c>
      <c r="S240" s="9">
        <f>IFERROR(__xludf.DUMMYFUNCTION("""COMPUTED_VALUE"""),0.393)</f>
        <v>0.393</v>
      </c>
      <c r="U240" s="9">
        <f>IFERROR(__xludf.DUMMYFUNCTION("SPLIT(N232, "","")"),0.213)</f>
        <v>0.213</v>
      </c>
      <c r="V240" s="9">
        <f>IFERROR(__xludf.DUMMYFUNCTION("""COMPUTED_VALUE"""),0.191)</f>
        <v>0.191</v>
      </c>
      <c r="W240" s="9">
        <f>IFERROR(__xludf.DUMMYFUNCTION("""COMPUTED_VALUE"""),0.291)</f>
        <v>0.291</v>
      </c>
      <c r="Y240" s="9">
        <f>IFERROR(__xludf.DUMMYFUNCTION("SPLIT(O232, "","")"),0.238)</f>
        <v>0.238</v>
      </c>
      <c r="Z240" s="9">
        <f>IFERROR(__xludf.DUMMYFUNCTION("""COMPUTED_VALUE"""),0.19)</f>
        <v>0.19</v>
      </c>
      <c r="AA240" s="9">
        <f>IFERROR(__xludf.DUMMYFUNCTION("""COMPUTED_VALUE"""),0.39)</f>
        <v>0.39</v>
      </c>
    </row>
    <row r="241">
      <c r="A241" s="9">
        <f>IFERROR(__xludf.DUMMYFUNCTION("SPLIT(I233, "","")"),0.199)</f>
        <v>0.199</v>
      </c>
      <c r="B241" s="9">
        <f>IFERROR(__xludf.DUMMYFUNCTION("""COMPUTED_VALUE"""),0.199)</f>
        <v>0.199</v>
      </c>
      <c r="C241" s="9">
        <f>IFERROR(__xludf.DUMMYFUNCTION("""COMPUTED_VALUE"""),0.199)</f>
        <v>0.199</v>
      </c>
      <c r="E241" s="11">
        <f>IFERROR(__xludf.DUMMYFUNCTION("SPLIT(J233, "","")"),0.208)</f>
        <v>0.208</v>
      </c>
      <c r="F241" s="9">
        <f>IFERROR(__xludf.DUMMYFUNCTION("""COMPUTED_VALUE"""),0.187)</f>
        <v>0.187</v>
      </c>
      <c r="G241" s="9">
        <f>IFERROR(__xludf.DUMMYFUNCTION("""COMPUTED_VALUE"""),0.287)</f>
        <v>0.287</v>
      </c>
      <c r="I241" s="9">
        <f>IFERROR(__xludf.DUMMYFUNCTION("SPLIT(K233, "","")"),0.218)</f>
        <v>0.218</v>
      </c>
      <c r="J241" s="9">
        <f>IFERROR(__xludf.DUMMYFUNCTION("""COMPUTED_VALUE"""),0.175)</f>
        <v>0.175</v>
      </c>
      <c r="K241" s="9">
        <f>IFERROR(__xludf.DUMMYFUNCTION("""COMPUTED_VALUE"""),0.375)</f>
        <v>0.375</v>
      </c>
      <c r="M241" s="9">
        <f>IFERROR(__xludf.DUMMYFUNCTION("SPLIT(L233, "","")"),0.225)</f>
        <v>0.225</v>
      </c>
      <c r="N241" s="9">
        <f>IFERROR(__xludf.DUMMYFUNCTION("""COMPUTED_VALUE"""),0.202)</f>
        <v>0.202</v>
      </c>
      <c r="O241" s="9">
        <f>IFERROR(__xludf.DUMMYFUNCTION("""COMPUTED_VALUE"""),0.302)</f>
        <v>0.302</v>
      </c>
      <c r="Q241" s="9">
        <f>IFERROR(__xludf.DUMMYFUNCTION("SPLIT(M233, "","")"),0.253)</f>
        <v>0.253</v>
      </c>
      <c r="R241" s="9">
        <f>IFERROR(__xludf.DUMMYFUNCTION("""COMPUTED_VALUE"""),0.202)</f>
        <v>0.202</v>
      </c>
      <c r="S241" s="9">
        <f>IFERROR(__xludf.DUMMYFUNCTION("""COMPUTED_VALUE"""),0.402)</f>
        <v>0.402</v>
      </c>
      <c r="U241" s="9">
        <f>IFERROR(__xludf.DUMMYFUNCTION("SPLIT(N233, "","")"),0.221)</f>
        <v>0.221</v>
      </c>
      <c r="V241" s="9">
        <f>IFERROR(__xludf.DUMMYFUNCTION("""COMPUTED_VALUE"""),0.199)</f>
        <v>0.199</v>
      </c>
      <c r="W241" s="9">
        <f>IFERROR(__xludf.DUMMYFUNCTION("""COMPUTED_VALUE"""),0.299)</f>
        <v>0.299</v>
      </c>
      <c r="Y241" s="9">
        <f>IFERROR(__xludf.DUMMYFUNCTION("SPLIT(O233, "","")"),0.249)</f>
        <v>0.249</v>
      </c>
      <c r="Z241" s="9">
        <f>IFERROR(__xludf.DUMMYFUNCTION("""COMPUTED_VALUE"""),0.199)</f>
        <v>0.199</v>
      </c>
      <c r="AA241" s="9">
        <f>IFERROR(__xludf.DUMMYFUNCTION("""COMPUTED_VALUE"""),0.399)</f>
        <v>0.399</v>
      </c>
    </row>
    <row r="242">
      <c r="A242" s="9">
        <f>IFERROR(__xludf.DUMMYFUNCTION("SPLIT(I234, "","")"),0.139)</f>
        <v>0.139</v>
      </c>
      <c r="B242" s="9">
        <f>IFERROR(__xludf.DUMMYFUNCTION("""COMPUTED_VALUE"""),0.139)</f>
        <v>0.139</v>
      </c>
      <c r="C242" s="9">
        <f>IFERROR(__xludf.DUMMYFUNCTION("""COMPUTED_VALUE"""),0.139)</f>
        <v>0.139</v>
      </c>
      <c r="E242" s="11">
        <f>IFERROR(__xludf.DUMMYFUNCTION("SPLIT(J234, "","")"),0.149)</f>
        <v>0.149</v>
      </c>
      <c r="F242" s="9">
        <f>IFERROR(__xludf.DUMMYFUNCTION("""COMPUTED_VALUE"""),0.134)</f>
        <v>0.134</v>
      </c>
      <c r="G242" s="9">
        <f>IFERROR(__xludf.DUMMYFUNCTION("""COMPUTED_VALUE"""),0.234)</f>
        <v>0.234</v>
      </c>
      <c r="I242" s="9">
        <f>IFERROR(__xludf.DUMMYFUNCTION("SPLIT(K234, "","")"),0.153)</f>
        <v>0.153</v>
      </c>
      <c r="J242" s="9">
        <f>IFERROR(__xludf.DUMMYFUNCTION("""COMPUTED_VALUE"""),0.122)</f>
        <v>0.122</v>
      </c>
      <c r="K242" s="9">
        <f>IFERROR(__xludf.DUMMYFUNCTION("""COMPUTED_VALUE"""),0.322)</f>
        <v>0.322</v>
      </c>
      <c r="M242" s="9">
        <f>IFERROR(__xludf.DUMMYFUNCTION("SPLIT(L234, "","")"),0.156)</f>
        <v>0.156</v>
      </c>
      <c r="N242" s="9">
        <f>IFERROR(__xludf.DUMMYFUNCTION("""COMPUTED_VALUE"""),0.14)</f>
        <v>0.14</v>
      </c>
      <c r="O242" s="9">
        <f>IFERROR(__xludf.DUMMYFUNCTION("""COMPUTED_VALUE"""),0.24)</f>
        <v>0.24</v>
      </c>
      <c r="Q242" s="9">
        <f>IFERROR(__xludf.DUMMYFUNCTION("SPLIT(M234, "","")"),0.169)</f>
        <v>0.169</v>
      </c>
      <c r="R242" s="9">
        <f>IFERROR(__xludf.DUMMYFUNCTION("""COMPUTED_VALUE"""),0.135)</f>
        <v>0.135</v>
      </c>
      <c r="S242" s="9">
        <f>IFERROR(__xludf.DUMMYFUNCTION("""COMPUTED_VALUE"""),0.335)</f>
        <v>0.335</v>
      </c>
      <c r="U242" s="9">
        <f>IFERROR(__xludf.DUMMYFUNCTION("SPLIT(N234, "","")"),0.148)</f>
        <v>0.148</v>
      </c>
      <c r="V242" s="9">
        <f>IFERROR(__xludf.DUMMYFUNCTION("""COMPUTED_VALUE"""),0.133)</f>
        <v>0.133</v>
      </c>
      <c r="W242" s="9">
        <f>IFERROR(__xludf.DUMMYFUNCTION("""COMPUTED_VALUE"""),0.233)</f>
        <v>0.233</v>
      </c>
      <c r="Y242" s="9">
        <f>IFERROR(__xludf.DUMMYFUNCTION("SPLIT(O234, "","")"),0.164)</f>
        <v>0.164</v>
      </c>
      <c r="Z242" s="9">
        <f>IFERROR(__xludf.DUMMYFUNCTION("""COMPUTED_VALUE"""),0.131)</f>
        <v>0.131</v>
      </c>
      <c r="AA242" s="9">
        <f>IFERROR(__xludf.DUMMYFUNCTION("""COMPUTED_VALUE"""),0.331)</f>
        <v>0.331</v>
      </c>
    </row>
    <row r="243">
      <c r="A243" s="9">
        <f>IFERROR(__xludf.DUMMYFUNCTION("SPLIT(I235, "","")"),0.315)</f>
        <v>0.315</v>
      </c>
      <c r="B243" s="9">
        <f>IFERROR(__xludf.DUMMYFUNCTION("""COMPUTED_VALUE"""),0.315)</f>
        <v>0.315</v>
      </c>
      <c r="C243" s="9">
        <f>IFERROR(__xludf.DUMMYFUNCTION("""COMPUTED_VALUE"""),0.315)</f>
        <v>0.315</v>
      </c>
      <c r="E243" s="11">
        <f>IFERROR(__xludf.DUMMYFUNCTION("SPLIT(J235, "","")"),0.336)</f>
        <v>0.336</v>
      </c>
      <c r="F243" s="9">
        <f>IFERROR(__xludf.DUMMYFUNCTION("""COMPUTED_VALUE"""),0.303)</f>
        <v>0.303</v>
      </c>
      <c r="G243" s="9">
        <f>IFERROR(__xludf.DUMMYFUNCTION("""COMPUTED_VALUE"""),0.403)</f>
        <v>0.403</v>
      </c>
      <c r="I243" s="9">
        <f>IFERROR(__xludf.DUMMYFUNCTION("SPLIT(K235, "","")"),0.35)</f>
        <v>0.35</v>
      </c>
      <c r="J243" s="9">
        <f>IFERROR(__xludf.DUMMYFUNCTION("""COMPUTED_VALUE"""),0.28)</f>
        <v>0.28</v>
      </c>
      <c r="K243" s="9">
        <f>IFERROR(__xludf.DUMMYFUNCTION("""COMPUTED_VALUE"""),0.48)</f>
        <v>0.48</v>
      </c>
      <c r="M243" s="9">
        <f>IFERROR(__xludf.DUMMYFUNCTION("SPLIT(L235, "","")"),0.255)</f>
        <v>0.255</v>
      </c>
      <c r="N243" s="9">
        <f>IFERROR(__xludf.DUMMYFUNCTION("""COMPUTED_VALUE"""),0.229)</f>
        <v>0.229</v>
      </c>
      <c r="O243" s="9">
        <f>IFERROR(__xludf.DUMMYFUNCTION("""COMPUTED_VALUE"""),0.329)</f>
        <v>0.329</v>
      </c>
      <c r="Q243" s="9">
        <f>IFERROR(__xludf.DUMMYFUNCTION("SPLIT(M235, "","")"),0.189)</f>
        <v>0.189</v>
      </c>
      <c r="R243" s="9">
        <f>IFERROR(__xludf.DUMMYFUNCTION("""COMPUTED_VALUE"""),0.151)</f>
        <v>0.151</v>
      </c>
      <c r="S243" s="9">
        <f>IFERROR(__xludf.DUMMYFUNCTION("""COMPUTED_VALUE"""),0.351)</f>
        <v>0.351</v>
      </c>
      <c r="U243" s="9">
        <f>IFERROR(__xludf.DUMMYFUNCTION("SPLIT(N235, "","")"),0.261)</f>
        <v>0.261</v>
      </c>
      <c r="V243" s="9">
        <f>IFERROR(__xludf.DUMMYFUNCTION("""COMPUTED_VALUE"""),0.235)</f>
        <v>0.235</v>
      </c>
      <c r="W243" s="9">
        <f>IFERROR(__xludf.DUMMYFUNCTION("""COMPUTED_VALUE"""),0.335)</f>
        <v>0.335</v>
      </c>
      <c r="Y243" s="9">
        <f>IFERROR(__xludf.DUMMYFUNCTION("SPLIT(O235, "","")"),0.196)</f>
        <v>0.196</v>
      </c>
      <c r="Z243" s="9">
        <f>IFERROR(__xludf.DUMMYFUNCTION("""COMPUTED_VALUE"""),0.157)</f>
        <v>0.157</v>
      </c>
      <c r="AA243" s="9">
        <f>IFERROR(__xludf.DUMMYFUNCTION("""COMPUTED_VALUE"""),0.357)</f>
        <v>0.357</v>
      </c>
    </row>
    <row r="244">
      <c r="A244" s="9">
        <f>IFERROR(__xludf.DUMMYFUNCTION("SPLIT(I236, "","")"),0.174)</f>
        <v>0.174</v>
      </c>
      <c r="B244" s="9">
        <f>IFERROR(__xludf.DUMMYFUNCTION("""COMPUTED_VALUE"""),0.174)</f>
        <v>0.174</v>
      </c>
      <c r="C244" s="9">
        <f>IFERROR(__xludf.DUMMYFUNCTION("""COMPUTED_VALUE"""),0.174)</f>
        <v>0.174</v>
      </c>
      <c r="E244" s="11">
        <f>IFERROR(__xludf.DUMMYFUNCTION("SPLIT(J236, "","")"),0.186)</f>
        <v>0.186</v>
      </c>
      <c r="F244" s="9">
        <f>IFERROR(__xludf.DUMMYFUNCTION("""COMPUTED_VALUE"""),0.167)</f>
        <v>0.167</v>
      </c>
      <c r="G244" s="9">
        <f>IFERROR(__xludf.DUMMYFUNCTION("""COMPUTED_VALUE"""),0.267)</f>
        <v>0.267</v>
      </c>
      <c r="I244" s="9">
        <f>IFERROR(__xludf.DUMMYFUNCTION("SPLIT(K236, "","")"),0.192)</f>
        <v>0.192</v>
      </c>
      <c r="J244" s="9">
        <f>IFERROR(__xludf.DUMMYFUNCTION("""COMPUTED_VALUE"""),0.153)</f>
        <v>0.153</v>
      </c>
      <c r="K244" s="9">
        <f>IFERROR(__xludf.DUMMYFUNCTION("""COMPUTED_VALUE"""),0.353)</f>
        <v>0.353</v>
      </c>
      <c r="M244" s="9">
        <f>IFERROR(__xludf.DUMMYFUNCTION("SPLIT(L236, "","")"),0.184)</f>
        <v>0.184</v>
      </c>
      <c r="N244" s="9">
        <f>IFERROR(__xludf.DUMMYFUNCTION("""COMPUTED_VALUE"""),0.166)</f>
        <v>0.166</v>
      </c>
      <c r="O244" s="9">
        <f>IFERROR(__xludf.DUMMYFUNCTION("""COMPUTED_VALUE"""),0.266)</f>
        <v>0.266</v>
      </c>
      <c r="Q244" s="9">
        <f>IFERROR(__xludf.DUMMYFUNCTION("SPLIT(M236, "","")"),0.192)</f>
        <v>0.192</v>
      </c>
      <c r="R244" s="9">
        <f>IFERROR(__xludf.DUMMYFUNCTION("""COMPUTED_VALUE"""),0.154)</f>
        <v>0.154</v>
      </c>
      <c r="S244" s="9">
        <f>IFERROR(__xludf.DUMMYFUNCTION("""COMPUTED_VALUE"""),0.354)</f>
        <v>0.354</v>
      </c>
      <c r="U244" s="9">
        <f>IFERROR(__xludf.DUMMYFUNCTION("SPLIT(N236, "","")"),0.178)</f>
        <v>0.178</v>
      </c>
      <c r="V244" s="9">
        <f>IFERROR(__xludf.DUMMYFUNCTION("""COMPUTED_VALUE"""),0.16)</f>
        <v>0.16</v>
      </c>
      <c r="W244" s="9">
        <f>IFERROR(__xludf.DUMMYFUNCTION("""COMPUTED_VALUE"""),0.26)</f>
        <v>0.26</v>
      </c>
      <c r="Y244" s="9">
        <f>IFERROR(__xludf.DUMMYFUNCTION("SPLIT(O236, "","")"),0.188)</f>
        <v>0.188</v>
      </c>
      <c r="Z244" s="9">
        <f>IFERROR(__xludf.DUMMYFUNCTION("""COMPUTED_VALUE"""),0.15)</f>
        <v>0.15</v>
      </c>
      <c r="AA244" s="9">
        <f>IFERROR(__xludf.DUMMYFUNCTION("""COMPUTED_VALUE"""),0.35)</f>
        <v>0.35</v>
      </c>
    </row>
    <row r="245">
      <c r="A245" s="9">
        <f>IFERROR(__xludf.DUMMYFUNCTION("SPLIT(I237, "","")"),0.235)</f>
        <v>0.235</v>
      </c>
      <c r="B245" s="9">
        <f>IFERROR(__xludf.DUMMYFUNCTION("""COMPUTED_VALUE"""),0.235)</f>
        <v>0.235</v>
      </c>
      <c r="C245" s="9">
        <f>IFERROR(__xludf.DUMMYFUNCTION("""COMPUTED_VALUE"""),0.235)</f>
        <v>0.235</v>
      </c>
      <c r="E245" s="11">
        <f>IFERROR(__xludf.DUMMYFUNCTION("SPLIT(J237, "","")"),0.248)</f>
        <v>0.248</v>
      </c>
      <c r="F245" s="9">
        <f>IFERROR(__xludf.DUMMYFUNCTION("""COMPUTED_VALUE"""),0.223)</f>
        <v>0.223</v>
      </c>
      <c r="G245" s="9">
        <f>IFERROR(__xludf.DUMMYFUNCTION("""COMPUTED_VALUE"""),0.323)</f>
        <v>0.323</v>
      </c>
      <c r="I245" s="9">
        <f>IFERROR(__xludf.DUMMYFUNCTION("SPLIT(K237, "","")"),0.261)</f>
        <v>0.261</v>
      </c>
      <c r="J245" s="9">
        <f>IFERROR(__xludf.DUMMYFUNCTION("""COMPUTED_VALUE"""),0.209)</f>
        <v>0.209</v>
      </c>
      <c r="K245" s="9">
        <f>IFERROR(__xludf.DUMMYFUNCTION("""COMPUTED_VALUE"""),0.409)</f>
        <v>0.409</v>
      </c>
      <c r="M245" s="9">
        <f>IFERROR(__xludf.DUMMYFUNCTION("SPLIT(L237, "","")"),0.232)</f>
        <v>0.232</v>
      </c>
      <c r="N245" s="9">
        <f>IFERROR(__xludf.DUMMYFUNCTION("""COMPUTED_VALUE"""),0.209)</f>
        <v>0.209</v>
      </c>
      <c r="O245" s="9">
        <f>IFERROR(__xludf.DUMMYFUNCTION("""COMPUTED_VALUE"""),0.309)</f>
        <v>0.309</v>
      </c>
      <c r="Q245" s="9">
        <f>IFERROR(__xludf.DUMMYFUNCTION("SPLIT(M237, "","")"),0.235)</f>
        <v>0.235</v>
      </c>
      <c r="R245" s="9">
        <f>IFERROR(__xludf.DUMMYFUNCTION("""COMPUTED_VALUE"""),0.188)</f>
        <v>0.188</v>
      </c>
      <c r="S245" s="9">
        <f>IFERROR(__xludf.DUMMYFUNCTION("""COMPUTED_VALUE"""),0.388)</f>
        <v>0.388</v>
      </c>
      <c r="U245" s="9">
        <f>IFERROR(__xludf.DUMMYFUNCTION("SPLIT(N237, "","")"),0.229)</f>
        <v>0.229</v>
      </c>
      <c r="V245" s="9">
        <f>IFERROR(__xludf.DUMMYFUNCTION("""COMPUTED_VALUE"""),0.206)</f>
        <v>0.206</v>
      </c>
      <c r="W245" s="9">
        <f>IFERROR(__xludf.DUMMYFUNCTION("""COMPUTED_VALUE"""),0.306)</f>
        <v>0.306</v>
      </c>
      <c r="Y245" s="9">
        <f>IFERROR(__xludf.DUMMYFUNCTION("SPLIT(O237, "","")"),0.231)</f>
        <v>0.231</v>
      </c>
      <c r="Z245" s="9">
        <f>IFERROR(__xludf.DUMMYFUNCTION("""COMPUTED_VALUE"""),0.185)</f>
        <v>0.185</v>
      </c>
      <c r="AA245" s="9">
        <f>IFERROR(__xludf.DUMMYFUNCTION("""COMPUTED_VALUE"""),0.385)</f>
        <v>0.385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0.167</v>
      </c>
      <c r="D249" s="7">
        <f t="shared" ref="D249:D255" si="302">E239</f>
        <v>0.177</v>
      </c>
      <c r="E249" s="7">
        <f t="shared" ref="E249:E255" si="303">I239</f>
        <v>0.185</v>
      </c>
      <c r="F249" s="7">
        <f t="shared" ref="F249:G249" si="296">N239</f>
        <v>0.17</v>
      </c>
      <c r="G249" s="12">
        <f t="shared" si="296"/>
        <v>0.27</v>
      </c>
      <c r="H249" s="7">
        <f t="shared" ref="H249:I249" si="297">R239</f>
        <v>0.169</v>
      </c>
      <c r="I249" s="12">
        <f t="shared" si="297"/>
        <v>0.369</v>
      </c>
      <c r="J249" s="7">
        <f t="shared" ref="J249:K249" si="298">V239</f>
        <v>0.166</v>
      </c>
      <c r="K249" s="12">
        <f t="shared" si="298"/>
        <v>0.266</v>
      </c>
      <c r="L249" s="7">
        <f t="shared" ref="L249:M249" si="299">Z239</f>
        <v>0.166</v>
      </c>
      <c r="M249" s="7">
        <f t="shared" si="299"/>
        <v>0.366</v>
      </c>
      <c r="P249" s="6" t="s">
        <v>4</v>
      </c>
      <c r="Q249" s="7">
        <f t="shared" ref="Q249:AA249" si="300">C249-$C$249</f>
        <v>0</v>
      </c>
      <c r="R249" s="7">
        <f t="shared" si="300"/>
        <v>0.01</v>
      </c>
      <c r="S249" s="7">
        <f t="shared" si="300"/>
        <v>0.018</v>
      </c>
      <c r="T249" s="7">
        <f t="shared" si="300"/>
        <v>0.003</v>
      </c>
      <c r="U249" s="7">
        <f t="shared" si="300"/>
        <v>0.103</v>
      </c>
      <c r="V249" s="7">
        <f t="shared" si="300"/>
        <v>0.002</v>
      </c>
      <c r="W249" s="7">
        <f t="shared" si="300"/>
        <v>0.202</v>
      </c>
      <c r="X249" s="7">
        <f t="shared" si="300"/>
        <v>-0.001</v>
      </c>
      <c r="Y249" s="7">
        <f t="shared" si="300"/>
        <v>0.099</v>
      </c>
      <c r="Z249" s="7">
        <f t="shared" si="300"/>
        <v>-0.001</v>
      </c>
      <c r="AA249" s="7">
        <f t="shared" si="300"/>
        <v>0.199</v>
      </c>
    </row>
    <row r="250">
      <c r="B250" s="6" t="s">
        <v>5</v>
      </c>
      <c r="C250" s="7">
        <f t="shared" si="301"/>
        <v>0.192</v>
      </c>
      <c r="D250" s="7">
        <f t="shared" si="302"/>
        <v>0.204</v>
      </c>
      <c r="E250" s="7">
        <f t="shared" si="303"/>
        <v>0.21</v>
      </c>
      <c r="F250" s="7">
        <f t="shared" ref="F250:G250" si="304">N240</f>
        <v>0.194</v>
      </c>
      <c r="G250" s="12">
        <f t="shared" si="304"/>
        <v>0.294</v>
      </c>
      <c r="H250" s="7">
        <f t="shared" ref="H250:I250" si="305">R240</f>
        <v>0.193</v>
      </c>
      <c r="I250" s="12">
        <f t="shared" si="305"/>
        <v>0.393</v>
      </c>
      <c r="J250" s="7">
        <f t="shared" ref="J250:K250" si="306">V240</f>
        <v>0.191</v>
      </c>
      <c r="K250" s="12">
        <f t="shared" si="306"/>
        <v>0.291</v>
      </c>
      <c r="L250" s="7">
        <f t="shared" ref="L250:M250" si="307">Z240</f>
        <v>0.19</v>
      </c>
      <c r="M250" s="7">
        <f t="shared" si="307"/>
        <v>0.39</v>
      </c>
      <c r="P250" s="6" t="s">
        <v>5</v>
      </c>
      <c r="Q250" s="7">
        <f t="shared" ref="Q250:AA250" si="308">C250-$C$249</f>
        <v>0.025</v>
      </c>
      <c r="R250" s="7">
        <f t="shared" si="308"/>
        <v>0.037</v>
      </c>
      <c r="S250" s="7">
        <f t="shared" si="308"/>
        <v>0.043</v>
      </c>
      <c r="T250" s="7">
        <f t="shared" si="308"/>
        <v>0.027</v>
      </c>
      <c r="U250" s="7">
        <f t="shared" si="308"/>
        <v>0.127</v>
      </c>
      <c r="V250" s="7">
        <f t="shared" si="308"/>
        <v>0.026</v>
      </c>
      <c r="W250" s="7">
        <f t="shared" si="308"/>
        <v>0.226</v>
      </c>
      <c r="X250" s="7">
        <f t="shared" si="308"/>
        <v>0.024</v>
      </c>
      <c r="Y250" s="7">
        <f t="shared" si="308"/>
        <v>0.124</v>
      </c>
      <c r="Z250" s="7">
        <f t="shared" si="308"/>
        <v>0.023</v>
      </c>
      <c r="AA250" s="7">
        <f t="shared" si="308"/>
        <v>0.223</v>
      </c>
    </row>
    <row r="251">
      <c r="B251" s="6" t="s">
        <v>6</v>
      </c>
      <c r="C251" s="7">
        <f t="shared" si="301"/>
        <v>0.199</v>
      </c>
      <c r="D251" s="7">
        <f t="shared" si="302"/>
        <v>0.208</v>
      </c>
      <c r="E251" s="7">
        <f t="shared" si="303"/>
        <v>0.218</v>
      </c>
      <c r="F251" s="7">
        <f t="shared" ref="F251:G251" si="309">N241</f>
        <v>0.202</v>
      </c>
      <c r="G251" s="12">
        <f t="shared" si="309"/>
        <v>0.302</v>
      </c>
      <c r="H251" s="7">
        <f t="shared" ref="H251:I251" si="310">R241</f>
        <v>0.202</v>
      </c>
      <c r="I251" s="12">
        <f t="shared" si="310"/>
        <v>0.402</v>
      </c>
      <c r="J251" s="7">
        <f t="shared" ref="J251:K251" si="311">V241</f>
        <v>0.199</v>
      </c>
      <c r="K251" s="12">
        <f t="shared" si="311"/>
        <v>0.299</v>
      </c>
      <c r="L251" s="7">
        <f t="shared" ref="L251:M251" si="312">Z241</f>
        <v>0.199</v>
      </c>
      <c r="M251" s="7">
        <f t="shared" si="312"/>
        <v>0.399</v>
      </c>
      <c r="P251" s="6" t="s">
        <v>6</v>
      </c>
      <c r="Q251" s="7">
        <f t="shared" ref="Q251:AA251" si="313">C251-$C$249</f>
        <v>0.032</v>
      </c>
      <c r="R251" s="7">
        <f t="shared" si="313"/>
        <v>0.041</v>
      </c>
      <c r="S251" s="7">
        <f t="shared" si="313"/>
        <v>0.051</v>
      </c>
      <c r="T251" s="7">
        <f t="shared" si="313"/>
        <v>0.035</v>
      </c>
      <c r="U251" s="7">
        <f t="shared" si="313"/>
        <v>0.135</v>
      </c>
      <c r="V251" s="7">
        <f t="shared" si="313"/>
        <v>0.035</v>
      </c>
      <c r="W251" s="7">
        <f t="shared" si="313"/>
        <v>0.235</v>
      </c>
      <c r="X251" s="7">
        <f t="shared" si="313"/>
        <v>0.032</v>
      </c>
      <c r="Y251" s="7">
        <f t="shared" si="313"/>
        <v>0.132</v>
      </c>
      <c r="Z251" s="7">
        <f t="shared" si="313"/>
        <v>0.032</v>
      </c>
      <c r="AA251" s="7">
        <f t="shared" si="313"/>
        <v>0.232</v>
      </c>
    </row>
    <row r="252">
      <c r="B252" s="6" t="s">
        <v>7</v>
      </c>
      <c r="C252" s="7">
        <f t="shared" si="301"/>
        <v>0.139</v>
      </c>
      <c r="D252" s="7">
        <f t="shared" si="302"/>
        <v>0.149</v>
      </c>
      <c r="E252" s="7">
        <f t="shared" si="303"/>
        <v>0.153</v>
      </c>
      <c r="F252" s="7">
        <f t="shared" ref="F252:G252" si="314">N242</f>
        <v>0.14</v>
      </c>
      <c r="G252" s="12">
        <f t="shared" si="314"/>
        <v>0.24</v>
      </c>
      <c r="H252" s="7">
        <f t="shared" ref="H252:I252" si="315">R242</f>
        <v>0.135</v>
      </c>
      <c r="I252" s="12">
        <f t="shared" si="315"/>
        <v>0.335</v>
      </c>
      <c r="J252" s="7">
        <f t="shared" ref="J252:K252" si="316">V242</f>
        <v>0.133</v>
      </c>
      <c r="K252" s="12">
        <f t="shared" si="316"/>
        <v>0.233</v>
      </c>
      <c r="L252" s="7">
        <f t="shared" ref="L252:M252" si="317">Z242</f>
        <v>0.131</v>
      </c>
      <c r="M252" s="7">
        <f t="shared" si="317"/>
        <v>0.331</v>
      </c>
      <c r="P252" s="6" t="s">
        <v>7</v>
      </c>
      <c r="Q252" s="7">
        <f t="shared" ref="Q252:AA252" si="318">C252-$C$249</f>
        <v>-0.028</v>
      </c>
      <c r="R252" s="7">
        <f t="shared" si="318"/>
        <v>-0.018</v>
      </c>
      <c r="S252" s="7">
        <f t="shared" si="318"/>
        <v>-0.014</v>
      </c>
      <c r="T252" s="7">
        <f t="shared" si="318"/>
        <v>-0.027</v>
      </c>
      <c r="U252" s="7">
        <f t="shared" si="318"/>
        <v>0.073</v>
      </c>
      <c r="V252" s="7">
        <f t="shared" si="318"/>
        <v>-0.032</v>
      </c>
      <c r="W252" s="7">
        <f t="shared" si="318"/>
        <v>0.168</v>
      </c>
      <c r="X252" s="7">
        <f t="shared" si="318"/>
        <v>-0.034</v>
      </c>
      <c r="Y252" s="7">
        <f t="shared" si="318"/>
        <v>0.066</v>
      </c>
      <c r="Z252" s="7">
        <f t="shared" si="318"/>
        <v>-0.036</v>
      </c>
      <c r="AA252" s="7">
        <f t="shared" si="318"/>
        <v>0.164</v>
      </c>
    </row>
    <row r="253">
      <c r="B253" s="6" t="s">
        <v>8</v>
      </c>
      <c r="C253" s="7">
        <f t="shared" si="301"/>
        <v>0.315</v>
      </c>
      <c r="D253" s="7">
        <f t="shared" si="302"/>
        <v>0.336</v>
      </c>
      <c r="E253" s="7">
        <f t="shared" si="303"/>
        <v>0.35</v>
      </c>
      <c r="F253" s="7">
        <f t="shared" ref="F253:G253" si="319">N243</f>
        <v>0.229</v>
      </c>
      <c r="G253" s="12">
        <f t="shared" si="319"/>
        <v>0.329</v>
      </c>
      <c r="H253" s="7">
        <f t="shared" ref="H253:I253" si="320">R243</f>
        <v>0.151</v>
      </c>
      <c r="I253" s="12">
        <f t="shared" si="320"/>
        <v>0.351</v>
      </c>
      <c r="J253" s="7">
        <f t="shared" ref="J253:K253" si="321">V243</f>
        <v>0.235</v>
      </c>
      <c r="K253" s="12">
        <f t="shared" si="321"/>
        <v>0.335</v>
      </c>
      <c r="L253" s="7">
        <f t="shared" ref="L253:M253" si="322">Z243</f>
        <v>0.157</v>
      </c>
      <c r="M253" s="7">
        <f t="shared" si="322"/>
        <v>0.357</v>
      </c>
      <c r="P253" s="6" t="s">
        <v>8</v>
      </c>
      <c r="Q253" s="7">
        <f t="shared" ref="Q253:AA253" si="323">C253-$C$249</f>
        <v>0.148</v>
      </c>
      <c r="R253" s="7">
        <f t="shared" si="323"/>
        <v>0.169</v>
      </c>
      <c r="S253" s="7">
        <f t="shared" si="323"/>
        <v>0.183</v>
      </c>
      <c r="T253" s="7">
        <f t="shared" si="323"/>
        <v>0.062</v>
      </c>
      <c r="U253" s="7">
        <f t="shared" si="323"/>
        <v>0.162</v>
      </c>
      <c r="V253" s="7">
        <f t="shared" si="323"/>
        <v>-0.016</v>
      </c>
      <c r="W253" s="7">
        <f t="shared" si="323"/>
        <v>0.184</v>
      </c>
      <c r="X253" s="7">
        <f t="shared" si="323"/>
        <v>0.068</v>
      </c>
      <c r="Y253" s="7">
        <f t="shared" si="323"/>
        <v>0.168</v>
      </c>
      <c r="Z253" s="7">
        <f t="shared" si="323"/>
        <v>-0.01</v>
      </c>
      <c r="AA253" s="7">
        <f t="shared" si="323"/>
        <v>0.19</v>
      </c>
    </row>
    <row r="254">
      <c r="B254" s="6" t="s">
        <v>9</v>
      </c>
      <c r="C254" s="7">
        <f t="shared" si="301"/>
        <v>0.174</v>
      </c>
      <c r="D254" s="7">
        <f t="shared" si="302"/>
        <v>0.186</v>
      </c>
      <c r="E254" s="7">
        <f t="shared" si="303"/>
        <v>0.192</v>
      </c>
      <c r="F254" s="7">
        <f t="shared" ref="F254:G254" si="324">N244</f>
        <v>0.166</v>
      </c>
      <c r="G254" s="12">
        <f t="shared" si="324"/>
        <v>0.266</v>
      </c>
      <c r="H254" s="7">
        <f t="shared" ref="H254:I254" si="325">R244</f>
        <v>0.154</v>
      </c>
      <c r="I254" s="12">
        <f t="shared" si="325"/>
        <v>0.354</v>
      </c>
      <c r="J254" s="7">
        <f t="shared" ref="J254:K254" si="326">V244</f>
        <v>0.16</v>
      </c>
      <c r="K254" s="12">
        <f t="shared" si="326"/>
        <v>0.26</v>
      </c>
      <c r="L254" s="7">
        <f t="shared" ref="L254:M254" si="327">Z244</f>
        <v>0.15</v>
      </c>
      <c r="M254" s="7">
        <f t="shared" si="327"/>
        <v>0.35</v>
      </c>
      <c r="P254" s="6" t="s">
        <v>9</v>
      </c>
      <c r="Q254" s="7">
        <f t="shared" ref="Q254:AA254" si="328">C254-$C$249</f>
        <v>0.007</v>
      </c>
      <c r="R254" s="7">
        <f t="shared" si="328"/>
        <v>0.019</v>
      </c>
      <c r="S254" s="7">
        <f t="shared" si="328"/>
        <v>0.025</v>
      </c>
      <c r="T254" s="7">
        <f t="shared" si="328"/>
        <v>-0.001</v>
      </c>
      <c r="U254" s="7">
        <f t="shared" si="328"/>
        <v>0.099</v>
      </c>
      <c r="V254" s="7">
        <f t="shared" si="328"/>
        <v>-0.013</v>
      </c>
      <c r="W254" s="7">
        <f t="shared" si="328"/>
        <v>0.187</v>
      </c>
      <c r="X254" s="7">
        <f t="shared" si="328"/>
        <v>-0.007</v>
      </c>
      <c r="Y254" s="7">
        <f t="shared" si="328"/>
        <v>0.093</v>
      </c>
      <c r="Z254" s="7">
        <f t="shared" si="328"/>
        <v>-0.017</v>
      </c>
      <c r="AA254" s="7">
        <f t="shared" si="328"/>
        <v>0.183</v>
      </c>
    </row>
    <row r="255">
      <c r="B255" s="6" t="s">
        <v>10</v>
      </c>
      <c r="C255" s="7">
        <f t="shared" si="301"/>
        <v>0.235</v>
      </c>
      <c r="D255" s="7">
        <f t="shared" si="302"/>
        <v>0.248</v>
      </c>
      <c r="E255" s="7">
        <f t="shared" si="303"/>
        <v>0.261</v>
      </c>
      <c r="F255" s="7">
        <f t="shared" ref="F255:G255" si="329">N245</f>
        <v>0.209</v>
      </c>
      <c r="G255" s="12">
        <f t="shared" si="329"/>
        <v>0.309</v>
      </c>
      <c r="H255" s="7">
        <f t="shared" ref="H255:I255" si="330">R245</f>
        <v>0.188</v>
      </c>
      <c r="I255" s="12">
        <f t="shared" si="330"/>
        <v>0.388</v>
      </c>
      <c r="J255" s="7">
        <f t="shared" ref="J255:K255" si="331">V245</f>
        <v>0.206</v>
      </c>
      <c r="K255" s="12">
        <f t="shared" si="331"/>
        <v>0.306</v>
      </c>
      <c r="L255" s="7">
        <f t="shared" ref="L255:M255" si="332">Z245</f>
        <v>0.185</v>
      </c>
      <c r="M255" s="7">
        <f t="shared" si="332"/>
        <v>0.385</v>
      </c>
      <c r="P255" s="6" t="s">
        <v>10</v>
      </c>
      <c r="Q255" s="7">
        <f t="shared" ref="Q255:AA255" si="333">C255-$C$249</f>
        <v>0.068</v>
      </c>
      <c r="R255" s="7">
        <f t="shared" si="333"/>
        <v>0.081</v>
      </c>
      <c r="S255" s="7">
        <f t="shared" si="333"/>
        <v>0.094</v>
      </c>
      <c r="T255" s="7">
        <f t="shared" si="333"/>
        <v>0.042</v>
      </c>
      <c r="U255" s="7">
        <f t="shared" si="333"/>
        <v>0.142</v>
      </c>
      <c r="V255" s="7">
        <f t="shared" si="333"/>
        <v>0.021</v>
      </c>
      <c r="W255" s="7">
        <f t="shared" si="333"/>
        <v>0.221</v>
      </c>
      <c r="X255" s="7">
        <f t="shared" si="333"/>
        <v>0.039</v>
      </c>
      <c r="Y255" s="7">
        <f t="shared" si="333"/>
        <v>0.139</v>
      </c>
      <c r="Z255" s="7">
        <f t="shared" si="333"/>
        <v>0.018</v>
      </c>
      <c r="AA255" s="7">
        <f t="shared" si="333"/>
        <v>0.218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0.241</v>
      </c>
      <c r="D259" s="7">
        <f t="shared" si="334"/>
        <v>0.2465</v>
      </c>
      <c r="E259" s="7">
        <f t="shared" si="334"/>
        <v>0.2605</v>
      </c>
      <c r="F259" s="7">
        <f t="shared" si="334"/>
        <v>0.2175</v>
      </c>
      <c r="G259" s="7">
        <f t="shared" si="334"/>
        <v>0.317</v>
      </c>
      <c r="H259" s="7">
        <f t="shared" si="334"/>
        <v>0.2015</v>
      </c>
      <c r="I259" s="7">
        <f t="shared" si="334"/>
        <v>0.4015</v>
      </c>
      <c r="J259" s="7">
        <f t="shared" si="334"/>
        <v>0.21</v>
      </c>
      <c r="K259" s="7">
        <f t="shared" si="334"/>
        <v>0.31</v>
      </c>
      <c r="L259" s="7">
        <f t="shared" si="334"/>
        <v>0.1865</v>
      </c>
      <c r="M259" s="7">
        <f t="shared" si="334"/>
        <v>0.386</v>
      </c>
      <c r="P259" s="6" t="s">
        <v>4</v>
      </c>
      <c r="Q259" s="7">
        <f t="shared" ref="Q259:AA259" si="335">C259-$C$259</f>
        <v>0</v>
      </c>
      <c r="R259" s="7">
        <f t="shared" si="335"/>
        <v>0.0055</v>
      </c>
      <c r="S259" s="7">
        <f t="shared" si="335"/>
        <v>0.0195</v>
      </c>
      <c r="T259" s="7">
        <f t="shared" si="335"/>
        <v>-0.0235</v>
      </c>
      <c r="U259" s="7">
        <f t="shared" si="335"/>
        <v>0.076</v>
      </c>
      <c r="V259" s="7">
        <f t="shared" si="335"/>
        <v>-0.0395</v>
      </c>
      <c r="W259" s="7">
        <f t="shared" si="335"/>
        <v>0.1605</v>
      </c>
      <c r="X259" s="7">
        <f t="shared" si="335"/>
        <v>-0.031</v>
      </c>
      <c r="Y259" s="7">
        <f t="shared" si="335"/>
        <v>0.069</v>
      </c>
      <c r="Z259" s="7">
        <f t="shared" si="335"/>
        <v>-0.0545</v>
      </c>
      <c r="AA259" s="7">
        <f t="shared" si="335"/>
        <v>0.145</v>
      </c>
    </row>
    <row r="260">
      <c r="B260" s="6" t="s">
        <v>5</v>
      </c>
      <c r="C260" s="7">
        <f t="shared" ref="C260:M260" si="336">AVERAGE(C120, C146)</f>
        <v>0.264</v>
      </c>
      <c r="D260" s="7">
        <f t="shared" si="336"/>
        <v>0.268</v>
      </c>
      <c r="E260" s="7">
        <f t="shared" si="336"/>
        <v>0.281</v>
      </c>
      <c r="F260" s="7">
        <f t="shared" si="336"/>
        <v>0.2495</v>
      </c>
      <c r="G260" s="7">
        <f t="shared" si="336"/>
        <v>0.349</v>
      </c>
      <c r="H260" s="7">
        <f t="shared" si="336"/>
        <v>0.2305</v>
      </c>
      <c r="I260" s="7">
        <f t="shared" si="336"/>
        <v>0.4305</v>
      </c>
      <c r="J260" s="7">
        <f t="shared" si="336"/>
        <v>0.2405</v>
      </c>
      <c r="K260" s="7">
        <f t="shared" si="336"/>
        <v>0.341</v>
      </c>
      <c r="L260" s="7">
        <f t="shared" si="336"/>
        <v>0.2235</v>
      </c>
      <c r="M260" s="7">
        <f t="shared" si="336"/>
        <v>0.4235</v>
      </c>
      <c r="P260" s="6" t="s">
        <v>5</v>
      </c>
      <c r="Q260" s="7">
        <f t="shared" ref="Q260:AA260" si="337">C260-$C$259</f>
        <v>0.023</v>
      </c>
      <c r="R260" s="7">
        <f t="shared" si="337"/>
        <v>0.027</v>
      </c>
      <c r="S260" s="7">
        <f t="shared" si="337"/>
        <v>0.04</v>
      </c>
      <c r="T260" s="7">
        <f t="shared" si="337"/>
        <v>0.0085</v>
      </c>
      <c r="U260" s="7">
        <f t="shared" si="337"/>
        <v>0.108</v>
      </c>
      <c r="V260" s="7">
        <f t="shared" si="337"/>
        <v>-0.0105</v>
      </c>
      <c r="W260" s="7">
        <f t="shared" si="337"/>
        <v>0.1895</v>
      </c>
      <c r="X260" s="7">
        <f t="shared" si="337"/>
        <v>-0.0005</v>
      </c>
      <c r="Y260" s="7">
        <f t="shared" si="337"/>
        <v>0.1</v>
      </c>
      <c r="Z260" s="7">
        <f t="shared" si="337"/>
        <v>-0.0175</v>
      </c>
      <c r="AA260" s="7">
        <f t="shared" si="337"/>
        <v>0.1825</v>
      </c>
    </row>
    <row r="261">
      <c r="B261" s="6" t="s">
        <v>6</v>
      </c>
      <c r="C261" s="7">
        <f t="shared" ref="C261:M261" si="338">AVERAGE(C121, C147)</f>
        <v>0.288</v>
      </c>
      <c r="D261" s="7">
        <f t="shared" si="338"/>
        <v>0.2925</v>
      </c>
      <c r="E261" s="7">
        <f t="shared" si="338"/>
        <v>0.31</v>
      </c>
      <c r="F261" s="7">
        <f t="shared" si="338"/>
        <v>0.271</v>
      </c>
      <c r="G261" s="7">
        <f t="shared" si="338"/>
        <v>0.371</v>
      </c>
      <c r="H261" s="7">
        <f t="shared" si="338"/>
        <v>0.252</v>
      </c>
      <c r="I261" s="7">
        <f t="shared" si="338"/>
        <v>0.452</v>
      </c>
      <c r="J261" s="7">
        <f t="shared" si="338"/>
        <v>0.257</v>
      </c>
      <c r="K261" s="7">
        <f t="shared" si="338"/>
        <v>0.357</v>
      </c>
      <c r="L261" s="7">
        <f t="shared" si="338"/>
        <v>0.237</v>
      </c>
      <c r="M261" s="7">
        <f t="shared" si="338"/>
        <v>0.437</v>
      </c>
      <c r="P261" s="6" t="s">
        <v>6</v>
      </c>
      <c r="Q261" s="7">
        <f t="shared" ref="Q261:AA261" si="339">C261-$C$259</f>
        <v>0.047</v>
      </c>
      <c r="R261" s="7">
        <f t="shared" si="339"/>
        <v>0.0515</v>
      </c>
      <c r="S261" s="7">
        <f t="shared" si="339"/>
        <v>0.069</v>
      </c>
      <c r="T261" s="7">
        <f t="shared" si="339"/>
        <v>0.03</v>
      </c>
      <c r="U261" s="7">
        <f t="shared" si="339"/>
        <v>0.13</v>
      </c>
      <c r="V261" s="7">
        <f t="shared" si="339"/>
        <v>0.011</v>
      </c>
      <c r="W261" s="7">
        <f t="shared" si="339"/>
        <v>0.211</v>
      </c>
      <c r="X261" s="7">
        <f t="shared" si="339"/>
        <v>0.016</v>
      </c>
      <c r="Y261" s="7">
        <f t="shared" si="339"/>
        <v>0.116</v>
      </c>
      <c r="Z261" s="7">
        <f t="shared" si="339"/>
        <v>-0.004</v>
      </c>
      <c r="AA261" s="7">
        <f t="shared" si="339"/>
        <v>0.196</v>
      </c>
    </row>
    <row r="262">
      <c r="B262" s="6" t="s">
        <v>7</v>
      </c>
      <c r="C262" s="7">
        <f t="shared" ref="C262:M262" si="340">AVERAGE(C122, C148)</f>
        <v>0.2585</v>
      </c>
      <c r="D262" s="7">
        <f t="shared" si="340"/>
        <v>0.2625</v>
      </c>
      <c r="E262" s="7">
        <f t="shared" si="340"/>
        <v>0.275</v>
      </c>
      <c r="F262" s="7">
        <f t="shared" si="340"/>
        <v>0.2345</v>
      </c>
      <c r="G262" s="7">
        <f t="shared" si="340"/>
        <v>0.335</v>
      </c>
      <c r="H262" s="7">
        <f t="shared" si="340"/>
        <v>0.2095</v>
      </c>
      <c r="I262" s="7">
        <f t="shared" si="340"/>
        <v>0.4095</v>
      </c>
      <c r="J262" s="7">
        <f t="shared" si="340"/>
        <v>0.229</v>
      </c>
      <c r="K262" s="7">
        <f t="shared" si="340"/>
        <v>0.3295</v>
      </c>
      <c r="L262" s="7">
        <f t="shared" si="340"/>
        <v>0.205</v>
      </c>
      <c r="M262" s="7">
        <f t="shared" si="340"/>
        <v>0.405</v>
      </c>
      <c r="P262" s="6" t="s">
        <v>7</v>
      </c>
      <c r="Q262" s="7">
        <f t="shared" ref="Q262:AA262" si="341">C262-$C$259</f>
        <v>0.0175</v>
      </c>
      <c r="R262" s="7">
        <f t="shared" si="341"/>
        <v>0.0215</v>
      </c>
      <c r="S262" s="7">
        <f t="shared" si="341"/>
        <v>0.034</v>
      </c>
      <c r="T262" s="7">
        <f t="shared" si="341"/>
        <v>-0.0065</v>
      </c>
      <c r="U262" s="7">
        <f t="shared" si="341"/>
        <v>0.094</v>
      </c>
      <c r="V262" s="7">
        <f t="shared" si="341"/>
        <v>-0.0315</v>
      </c>
      <c r="W262" s="7">
        <f t="shared" si="341"/>
        <v>0.1685</v>
      </c>
      <c r="X262" s="7">
        <f t="shared" si="341"/>
        <v>-0.012</v>
      </c>
      <c r="Y262" s="7">
        <f t="shared" si="341"/>
        <v>0.0885</v>
      </c>
      <c r="Z262" s="7">
        <f t="shared" si="341"/>
        <v>-0.036</v>
      </c>
      <c r="AA262" s="7">
        <f t="shared" si="341"/>
        <v>0.164</v>
      </c>
    </row>
    <row r="263">
      <c r="B263" s="6" t="s">
        <v>8</v>
      </c>
      <c r="C263" s="7">
        <f t="shared" ref="C263:M263" si="342">AVERAGE(C123, C149)</f>
        <v>0.2735</v>
      </c>
      <c r="D263" s="7">
        <f t="shared" si="342"/>
        <v>0.2775</v>
      </c>
      <c r="E263" s="7">
        <f t="shared" si="342"/>
        <v>0.289</v>
      </c>
      <c r="F263" s="7">
        <f t="shared" si="342"/>
        <v>0.2445</v>
      </c>
      <c r="G263" s="7">
        <f t="shared" si="342"/>
        <v>0.3445</v>
      </c>
      <c r="H263" s="7">
        <f t="shared" si="342"/>
        <v>0.2185</v>
      </c>
      <c r="I263" s="7">
        <f t="shared" si="342"/>
        <v>0.4195</v>
      </c>
      <c r="J263" s="7">
        <f t="shared" si="342"/>
        <v>0.2375</v>
      </c>
      <c r="K263" s="7">
        <f t="shared" si="342"/>
        <v>0.3375</v>
      </c>
      <c r="L263" s="7">
        <f t="shared" si="342"/>
        <v>0.2085</v>
      </c>
      <c r="M263" s="7">
        <f t="shared" si="342"/>
        <v>0.4085</v>
      </c>
      <c r="P263" s="6" t="s">
        <v>8</v>
      </c>
      <c r="Q263" s="7">
        <f t="shared" ref="Q263:AA263" si="343">C263-$C$259</f>
        <v>0.0325</v>
      </c>
      <c r="R263" s="7">
        <f t="shared" si="343"/>
        <v>0.0365</v>
      </c>
      <c r="S263" s="7">
        <f t="shared" si="343"/>
        <v>0.048</v>
      </c>
      <c r="T263" s="7">
        <f t="shared" si="343"/>
        <v>0.0035</v>
      </c>
      <c r="U263" s="7">
        <f t="shared" si="343"/>
        <v>0.1035</v>
      </c>
      <c r="V263" s="7">
        <f t="shared" si="343"/>
        <v>-0.0225</v>
      </c>
      <c r="W263" s="7">
        <f t="shared" si="343"/>
        <v>0.1785</v>
      </c>
      <c r="X263" s="7">
        <f t="shared" si="343"/>
        <v>-0.0035</v>
      </c>
      <c r="Y263" s="7">
        <f t="shared" si="343"/>
        <v>0.0965</v>
      </c>
      <c r="Z263" s="7">
        <f t="shared" si="343"/>
        <v>-0.0325</v>
      </c>
      <c r="AA263" s="7">
        <f t="shared" si="343"/>
        <v>0.1675</v>
      </c>
    </row>
    <row r="264">
      <c r="B264" s="6" t="s">
        <v>9</v>
      </c>
      <c r="C264" s="7">
        <f t="shared" ref="C264:M264" si="344">AVERAGE(C124, C150)</f>
        <v>0.2615</v>
      </c>
      <c r="D264" s="7">
        <f t="shared" si="344"/>
        <v>0.2675</v>
      </c>
      <c r="E264" s="7">
        <f t="shared" si="344"/>
        <v>0.2795</v>
      </c>
      <c r="F264" s="7">
        <f t="shared" si="344"/>
        <v>0.2395</v>
      </c>
      <c r="G264" s="7">
        <f t="shared" si="344"/>
        <v>0.34</v>
      </c>
      <c r="H264" s="7">
        <f t="shared" si="344"/>
        <v>0.2095</v>
      </c>
      <c r="I264" s="7">
        <f t="shared" si="344"/>
        <v>0.41</v>
      </c>
      <c r="J264" s="7">
        <f t="shared" si="344"/>
        <v>0.2275</v>
      </c>
      <c r="K264" s="7">
        <f t="shared" si="344"/>
        <v>0.3275</v>
      </c>
      <c r="L264" s="7">
        <f t="shared" si="344"/>
        <v>0.1965</v>
      </c>
      <c r="M264" s="7">
        <f t="shared" si="344"/>
        <v>0.3975</v>
      </c>
      <c r="P264" s="6" t="s">
        <v>9</v>
      </c>
      <c r="Q264" s="7">
        <f t="shared" ref="Q264:AA264" si="345">C264-$C$259</f>
        <v>0.0205</v>
      </c>
      <c r="R264" s="7">
        <f t="shared" si="345"/>
        <v>0.0265</v>
      </c>
      <c r="S264" s="7">
        <f t="shared" si="345"/>
        <v>0.0385</v>
      </c>
      <c r="T264" s="7">
        <f t="shared" si="345"/>
        <v>-0.0015</v>
      </c>
      <c r="U264" s="7">
        <f t="shared" si="345"/>
        <v>0.099</v>
      </c>
      <c r="V264" s="7">
        <f t="shared" si="345"/>
        <v>-0.0315</v>
      </c>
      <c r="W264" s="7">
        <f t="shared" si="345"/>
        <v>0.169</v>
      </c>
      <c r="X264" s="7">
        <f t="shared" si="345"/>
        <v>-0.0135</v>
      </c>
      <c r="Y264" s="7">
        <f t="shared" si="345"/>
        <v>0.0865</v>
      </c>
      <c r="Z264" s="7">
        <f t="shared" si="345"/>
        <v>-0.0445</v>
      </c>
      <c r="AA264" s="7">
        <f t="shared" si="345"/>
        <v>0.1565</v>
      </c>
    </row>
    <row r="265">
      <c r="B265" s="6" t="s">
        <v>10</v>
      </c>
      <c r="C265" s="7">
        <f t="shared" ref="C265:M265" si="346">AVERAGE(C125, C151)</f>
        <v>0.268</v>
      </c>
      <c r="D265" s="7">
        <f t="shared" si="346"/>
        <v>0.271</v>
      </c>
      <c r="E265" s="7">
        <f t="shared" si="346"/>
        <v>0.2865</v>
      </c>
      <c r="F265" s="7">
        <f t="shared" si="346"/>
        <v>0.2455</v>
      </c>
      <c r="G265" s="7">
        <f t="shared" si="346"/>
        <v>0.3455</v>
      </c>
      <c r="H265" s="7">
        <f t="shared" si="346"/>
        <v>0.2295</v>
      </c>
      <c r="I265" s="7">
        <f t="shared" si="346"/>
        <v>0.43</v>
      </c>
      <c r="J265" s="7">
        <f t="shared" si="346"/>
        <v>0.239</v>
      </c>
      <c r="K265" s="7">
        <f t="shared" si="346"/>
        <v>0.3385</v>
      </c>
      <c r="L265" s="7">
        <f t="shared" si="346"/>
        <v>0.21</v>
      </c>
      <c r="M265" s="7">
        <f t="shared" si="346"/>
        <v>0.41</v>
      </c>
      <c r="P265" s="6" t="s">
        <v>10</v>
      </c>
      <c r="Q265" s="7">
        <f t="shared" ref="Q265:AA265" si="347">C265-$C$259</f>
        <v>0.027</v>
      </c>
      <c r="R265" s="7">
        <f t="shared" si="347"/>
        <v>0.03</v>
      </c>
      <c r="S265" s="7">
        <f t="shared" si="347"/>
        <v>0.0455</v>
      </c>
      <c r="T265" s="7">
        <f t="shared" si="347"/>
        <v>0.0045</v>
      </c>
      <c r="U265" s="7">
        <f t="shared" si="347"/>
        <v>0.1045</v>
      </c>
      <c r="V265" s="7">
        <f t="shared" si="347"/>
        <v>-0.0115</v>
      </c>
      <c r="W265" s="7">
        <f t="shared" si="347"/>
        <v>0.189</v>
      </c>
      <c r="X265" s="7">
        <f t="shared" si="347"/>
        <v>-0.002</v>
      </c>
      <c r="Y265" s="7">
        <f t="shared" si="347"/>
        <v>0.0975</v>
      </c>
      <c r="Z265" s="7">
        <f t="shared" si="347"/>
        <v>-0.031</v>
      </c>
      <c r="AA265" s="7">
        <f t="shared" si="347"/>
        <v>0.169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0.4485</v>
      </c>
      <c r="D269" s="7">
        <f t="shared" si="348"/>
        <v>0.445</v>
      </c>
      <c r="E269" s="7">
        <f t="shared" si="348"/>
        <v>0.4535</v>
      </c>
      <c r="F269" s="7">
        <f t="shared" si="348"/>
        <v>0.429</v>
      </c>
      <c r="G269" s="7">
        <f t="shared" si="348"/>
        <v>0.529</v>
      </c>
      <c r="H269" s="7">
        <f t="shared" si="348"/>
        <v>0.4155</v>
      </c>
      <c r="I269" s="7">
        <f t="shared" si="348"/>
        <v>0.6155</v>
      </c>
      <c r="J269" s="7">
        <f t="shared" si="348"/>
        <v>0.4275</v>
      </c>
      <c r="K269" s="7">
        <f t="shared" si="348"/>
        <v>0.5275</v>
      </c>
      <c r="L269" s="7">
        <f t="shared" si="348"/>
        <v>0.4115</v>
      </c>
      <c r="M269" s="7">
        <f t="shared" si="348"/>
        <v>0.6115</v>
      </c>
      <c r="P269" s="6" t="s">
        <v>4</v>
      </c>
      <c r="Q269" s="7">
        <f t="shared" ref="Q269:AA269" si="349">C269-$C$269</f>
        <v>0</v>
      </c>
      <c r="R269" s="7">
        <f t="shared" si="349"/>
        <v>-0.0035</v>
      </c>
      <c r="S269" s="7">
        <f t="shared" si="349"/>
        <v>0.005</v>
      </c>
      <c r="T269" s="7">
        <f t="shared" si="349"/>
        <v>-0.0195</v>
      </c>
      <c r="U269" s="7">
        <f t="shared" si="349"/>
        <v>0.0805</v>
      </c>
      <c r="V269" s="7">
        <f t="shared" si="349"/>
        <v>-0.033</v>
      </c>
      <c r="W269" s="7">
        <f t="shared" si="349"/>
        <v>0.167</v>
      </c>
      <c r="X269" s="7">
        <f t="shared" si="349"/>
        <v>-0.021</v>
      </c>
      <c r="Y269" s="7">
        <f t="shared" si="349"/>
        <v>0.079</v>
      </c>
      <c r="Z269" s="7">
        <f t="shared" si="349"/>
        <v>-0.037</v>
      </c>
      <c r="AA269" s="7">
        <f t="shared" si="349"/>
        <v>0.163</v>
      </c>
    </row>
    <row r="270">
      <c r="B270" s="6" t="s">
        <v>5</v>
      </c>
      <c r="C270" s="7">
        <f t="shared" ref="C270:M270" si="350">AVERAGE(C172, C198)</f>
        <v>0.4585</v>
      </c>
      <c r="D270" s="7">
        <f t="shared" si="350"/>
        <v>0.456</v>
      </c>
      <c r="E270" s="7">
        <f t="shared" si="350"/>
        <v>0.4655</v>
      </c>
      <c r="F270" s="7">
        <f t="shared" si="350"/>
        <v>0.431</v>
      </c>
      <c r="G270" s="7">
        <f t="shared" si="350"/>
        <v>0.531</v>
      </c>
      <c r="H270" s="7">
        <f t="shared" si="350"/>
        <v>0.408</v>
      </c>
      <c r="I270" s="7">
        <f t="shared" si="350"/>
        <v>0.608</v>
      </c>
      <c r="J270" s="7">
        <f t="shared" si="350"/>
        <v>0.425</v>
      </c>
      <c r="K270" s="7">
        <f t="shared" si="350"/>
        <v>0.525</v>
      </c>
      <c r="L270" s="7">
        <f t="shared" si="350"/>
        <v>0.405</v>
      </c>
      <c r="M270" s="7">
        <f t="shared" si="350"/>
        <v>0.605</v>
      </c>
      <c r="P270" s="6" t="s">
        <v>5</v>
      </c>
      <c r="Q270" s="7">
        <f t="shared" ref="Q270:AA270" si="351">C270-$C$269</f>
        <v>0.01</v>
      </c>
      <c r="R270" s="7">
        <f t="shared" si="351"/>
        <v>0.0075</v>
      </c>
      <c r="S270" s="7">
        <f t="shared" si="351"/>
        <v>0.017</v>
      </c>
      <c r="T270" s="7">
        <f t="shared" si="351"/>
        <v>-0.0175</v>
      </c>
      <c r="U270" s="7">
        <f t="shared" si="351"/>
        <v>0.0825</v>
      </c>
      <c r="V270" s="7">
        <f t="shared" si="351"/>
        <v>-0.0405</v>
      </c>
      <c r="W270" s="7">
        <f t="shared" si="351"/>
        <v>0.1595</v>
      </c>
      <c r="X270" s="7">
        <f t="shared" si="351"/>
        <v>-0.0235</v>
      </c>
      <c r="Y270" s="7">
        <f t="shared" si="351"/>
        <v>0.0765</v>
      </c>
      <c r="Z270" s="7">
        <f t="shared" si="351"/>
        <v>-0.0435</v>
      </c>
      <c r="AA270" s="7">
        <f t="shared" si="351"/>
        <v>0.1565</v>
      </c>
    </row>
    <row r="271">
      <c r="B271" s="6" t="s">
        <v>6</v>
      </c>
      <c r="C271" s="7">
        <f t="shared" ref="C271:M271" si="352">AVERAGE(C173, C199)</f>
        <v>0.4555</v>
      </c>
      <c r="D271" s="7">
        <f t="shared" si="352"/>
        <v>0.451</v>
      </c>
      <c r="E271" s="7">
        <f t="shared" si="352"/>
        <v>0.459</v>
      </c>
      <c r="F271" s="7">
        <f t="shared" si="352"/>
        <v>0.4305</v>
      </c>
      <c r="G271" s="7">
        <f t="shared" si="352"/>
        <v>0.5305</v>
      </c>
      <c r="H271" s="7">
        <f t="shared" si="352"/>
        <v>0.415</v>
      </c>
      <c r="I271" s="7">
        <f t="shared" si="352"/>
        <v>0.615</v>
      </c>
      <c r="J271" s="7">
        <f t="shared" si="352"/>
        <v>0.431</v>
      </c>
      <c r="K271" s="7">
        <f t="shared" si="352"/>
        <v>0.531</v>
      </c>
      <c r="L271" s="7">
        <f t="shared" si="352"/>
        <v>0.3995</v>
      </c>
      <c r="M271" s="7">
        <f t="shared" si="352"/>
        <v>0.5995</v>
      </c>
      <c r="P271" s="6" t="s">
        <v>6</v>
      </c>
      <c r="Q271" s="7">
        <f t="shared" ref="Q271:AA271" si="353">C271-$C$269</f>
        <v>0.007</v>
      </c>
      <c r="R271" s="7">
        <f t="shared" si="353"/>
        <v>0.0025</v>
      </c>
      <c r="S271" s="7">
        <f t="shared" si="353"/>
        <v>0.0105</v>
      </c>
      <c r="T271" s="7">
        <f t="shared" si="353"/>
        <v>-0.018</v>
      </c>
      <c r="U271" s="7">
        <f t="shared" si="353"/>
        <v>0.082</v>
      </c>
      <c r="V271" s="7">
        <f t="shared" si="353"/>
        <v>-0.0335</v>
      </c>
      <c r="W271" s="7">
        <f t="shared" si="353"/>
        <v>0.1665</v>
      </c>
      <c r="X271" s="7">
        <f t="shared" si="353"/>
        <v>-0.0175</v>
      </c>
      <c r="Y271" s="7">
        <f t="shared" si="353"/>
        <v>0.0825</v>
      </c>
      <c r="Z271" s="7">
        <f t="shared" si="353"/>
        <v>-0.049</v>
      </c>
      <c r="AA271" s="7">
        <f t="shared" si="353"/>
        <v>0.151</v>
      </c>
    </row>
    <row r="272">
      <c r="B272" s="6" t="s">
        <v>7</v>
      </c>
      <c r="C272" s="7">
        <f t="shared" ref="C272:M272" si="354">AVERAGE(C174, C200)</f>
        <v>0.456</v>
      </c>
      <c r="D272" s="7">
        <f t="shared" si="354"/>
        <v>0.451</v>
      </c>
      <c r="E272" s="7">
        <f t="shared" si="354"/>
        <v>0.4575</v>
      </c>
      <c r="F272" s="7">
        <f t="shared" si="354"/>
        <v>0.4255</v>
      </c>
      <c r="G272" s="7">
        <f t="shared" si="354"/>
        <v>0.5255</v>
      </c>
      <c r="H272" s="7">
        <f t="shared" si="354"/>
        <v>0.4</v>
      </c>
      <c r="I272" s="7">
        <f t="shared" si="354"/>
        <v>0.6</v>
      </c>
      <c r="J272" s="7">
        <f t="shared" si="354"/>
        <v>0.4285</v>
      </c>
      <c r="K272" s="7">
        <f t="shared" si="354"/>
        <v>0.5285</v>
      </c>
      <c r="L272" s="7">
        <f t="shared" si="354"/>
        <v>0.3975</v>
      </c>
      <c r="M272" s="7">
        <f t="shared" si="354"/>
        <v>0.5975</v>
      </c>
      <c r="P272" s="6" t="s">
        <v>7</v>
      </c>
      <c r="Q272" s="7">
        <f t="shared" ref="Q272:AA272" si="355">C272-$C$269</f>
        <v>0.0075</v>
      </c>
      <c r="R272" s="7">
        <f t="shared" si="355"/>
        <v>0.0025</v>
      </c>
      <c r="S272" s="7">
        <f t="shared" si="355"/>
        <v>0.009</v>
      </c>
      <c r="T272" s="7">
        <f t="shared" si="355"/>
        <v>-0.023</v>
      </c>
      <c r="U272" s="7">
        <f t="shared" si="355"/>
        <v>0.077</v>
      </c>
      <c r="V272" s="7">
        <f t="shared" si="355"/>
        <v>-0.0485</v>
      </c>
      <c r="W272" s="7">
        <f t="shared" si="355"/>
        <v>0.1515</v>
      </c>
      <c r="X272" s="7">
        <f t="shared" si="355"/>
        <v>-0.02</v>
      </c>
      <c r="Y272" s="7">
        <f t="shared" si="355"/>
        <v>0.08</v>
      </c>
      <c r="Z272" s="7">
        <f t="shared" si="355"/>
        <v>-0.051</v>
      </c>
      <c r="AA272" s="7">
        <f t="shared" si="355"/>
        <v>0.149</v>
      </c>
    </row>
    <row r="273">
      <c r="B273" s="6" t="s">
        <v>8</v>
      </c>
      <c r="C273" s="7">
        <f t="shared" ref="C273:M273" si="356">AVERAGE(C175, C201)</f>
        <v>0.4665</v>
      </c>
      <c r="D273" s="7">
        <f t="shared" si="356"/>
        <v>0.4645</v>
      </c>
      <c r="E273" s="7">
        <f t="shared" si="356"/>
        <v>0.468</v>
      </c>
      <c r="F273" s="7">
        <f t="shared" si="356"/>
        <v>0.436</v>
      </c>
      <c r="G273" s="7">
        <f t="shared" si="356"/>
        <v>0.536</v>
      </c>
      <c r="H273" s="7">
        <f t="shared" si="356"/>
        <v>0.403</v>
      </c>
      <c r="I273" s="7">
        <f t="shared" si="356"/>
        <v>0.603</v>
      </c>
      <c r="J273" s="7">
        <f t="shared" si="356"/>
        <v>0.4335</v>
      </c>
      <c r="K273" s="7">
        <f t="shared" si="356"/>
        <v>0.5335</v>
      </c>
      <c r="L273" s="7">
        <f t="shared" si="356"/>
        <v>0.4065</v>
      </c>
      <c r="M273" s="7">
        <f t="shared" si="356"/>
        <v>0.6065</v>
      </c>
      <c r="P273" s="6" t="s">
        <v>8</v>
      </c>
      <c r="Q273" s="7">
        <f t="shared" ref="Q273:AA273" si="357">C273-$C$269</f>
        <v>0.018</v>
      </c>
      <c r="R273" s="7">
        <f t="shared" si="357"/>
        <v>0.016</v>
      </c>
      <c r="S273" s="7">
        <f t="shared" si="357"/>
        <v>0.0195</v>
      </c>
      <c r="T273" s="7">
        <f t="shared" si="357"/>
        <v>-0.0125</v>
      </c>
      <c r="U273" s="7">
        <f t="shared" si="357"/>
        <v>0.0875</v>
      </c>
      <c r="V273" s="7">
        <f t="shared" si="357"/>
        <v>-0.0455</v>
      </c>
      <c r="W273" s="7">
        <f t="shared" si="357"/>
        <v>0.1545</v>
      </c>
      <c r="X273" s="7">
        <f t="shared" si="357"/>
        <v>-0.015</v>
      </c>
      <c r="Y273" s="7">
        <f t="shared" si="357"/>
        <v>0.085</v>
      </c>
      <c r="Z273" s="7">
        <f t="shared" si="357"/>
        <v>-0.042</v>
      </c>
      <c r="AA273" s="7">
        <f t="shared" si="357"/>
        <v>0.158</v>
      </c>
    </row>
    <row r="274">
      <c r="B274" s="6" t="s">
        <v>9</v>
      </c>
      <c r="C274" s="7">
        <f t="shared" ref="C274:M274" si="358">AVERAGE(C176, C202)</f>
        <v>0.4565</v>
      </c>
      <c r="D274" s="7">
        <f t="shared" si="358"/>
        <v>0.452</v>
      </c>
      <c r="E274" s="7">
        <f t="shared" si="358"/>
        <v>0.4595</v>
      </c>
      <c r="F274" s="7">
        <f t="shared" si="358"/>
        <v>0.4365</v>
      </c>
      <c r="G274" s="7">
        <f t="shared" si="358"/>
        <v>0.5365</v>
      </c>
      <c r="H274" s="7">
        <f t="shared" si="358"/>
        <v>0.418</v>
      </c>
      <c r="I274" s="7">
        <f t="shared" si="358"/>
        <v>0.618</v>
      </c>
      <c r="J274" s="7">
        <f t="shared" si="358"/>
        <v>0.435</v>
      </c>
      <c r="K274" s="7">
        <f t="shared" si="358"/>
        <v>0.535</v>
      </c>
      <c r="L274" s="7">
        <f t="shared" si="358"/>
        <v>0.417</v>
      </c>
      <c r="M274" s="7">
        <f t="shared" si="358"/>
        <v>0.617</v>
      </c>
      <c r="P274" s="6" t="s">
        <v>9</v>
      </c>
      <c r="Q274" s="7">
        <f t="shared" ref="Q274:AA274" si="359">C274-$C$269</f>
        <v>0.008</v>
      </c>
      <c r="R274" s="7">
        <f t="shared" si="359"/>
        <v>0.0035</v>
      </c>
      <c r="S274" s="7">
        <f t="shared" si="359"/>
        <v>0.011</v>
      </c>
      <c r="T274" s="7">
        <f t="shared" si="359"/>
        <v>-0.012</v>
      </c>
      <c r="U274" s="7">
        <f t="shared" si="359"/>
        <v>0.088</v>
      </c>
      <c r="V274" s="7">
        <f t="shared" si="359"/>
        <v>-0.0305</v>
      </c>
      <c r="W274" s="7">
        <f t="shared" si="359"/>
        <v>0.1695</v>
      </c>
      <c r="X274" s="7">
        <f t="shared" si="359"/>
        <v>-0.0135</v>
      </c>
      <c r="Y274" s="7">
        <f t="shared" si="359"/>
        <v>0.0865</v>
      </c>
      <c r="Z274" s="7">
        <f t="shared" si="359"/>
        <v>-0.0315</v>
      </c>
      <c r="AA274" s="7">
        <f t="shared" si="359"/>
        <v>0.1685</v>
      </c>
    </row>
    <row r="275">
      <c r="B275" s="6" t="s">
        <v>10</v>
      </c>
      <c r="C275" s="7">
        <f t="shared" ref="C275:M275" si="360">AVERAGE(C177, C203)</f>
        <v>0.4765</v>
      </c>
      <c r="D275" s="7">
        <f t="shared" si="360"/>
        <v>0.476</v>
      </c>
      <c r="E275" s="7">
        <f t="shared" si="360"/>
        <v>0.476</v>
      </c>
      <c r="F275" s="7">
        <f t="shared" si="360"/>
        <v>0.445</v>
      </c>
      <c r="G275" s="7">
        <f t="shared" si="360"/>
        <v>0.545</v>
      </c>
      <c r="H275" s="7">
        <f t="shared" si="360"/>
        <v>0.413</v>
      </c>
      <c r="I275" s="7">
        <f t="shared" si="360"/>
        <v>0.613</v>
      </c>
      <c r="J275" s="7">
        <f t="shared" si="360"/>
        <v>0.4495</v>
      </c>
      <c r="K275" s="7">
        <f t="shared" si="360"/>
        <v>0.5495</v>
      </c>
      <c r="L275" s="7">
        <f t="shared" si="360"/>
        <v>0.4115</v>
      </c>
      <c r="M275" s="7">
        <f t="shared" si="360"/>
        <v>0.6115</v>
      </c>
      <c r="P275" s="6" t="s">
        <v>10</v>
      </c>
      <c r="Q275" s="7">
        <f t="shared" ref="Q275:AA275" si="361">C275-$C$269</f>
        <v>0.028</v>
      </c>
      <c r="R275" s="7">
        <f t="shared" si="361"/>
        <v>0.0275</v>
      </c>
      <c r="S275" s="7">
        <f t="shared" si="361"/>
        <v>0.0275</v>
      </c>
      <c r="T275" s="7">
        <f t="shared" si="361"/>
        <v>-0.0035</v>
      </c>
      <c r="U275" s="7">
        <f t="shared" si="361"/>
        <v>0.0965</v>
      </c>
      <c r="V275" s="7">
        <f t="shared" si="361"/>
        <v>-0.0355</v>
      </c>
      <c r="W275" s="7">
        <f t="shared" si="361"/>
        <v>0.1645</v>
      </c>
      <c r="X275" s="7">
        <f t="shared" si="361"/>
        <v>0.001</v>
      </c>
      <c r="Y275" s="7">
        <f t="shared" si="361"/>
        <v>0.101</v>
      </c>
      <c r="Z275" s="7">
        <f t="shared" si="361"/>
        <v>-0.037</v>
      </c>
      <c r="AA275" s="7">
        <f t="shared" si="361"/>
        <v>0.163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0.2355</v>
      </c>
      <c r="D279" s="7">
        <f t="shared" si="362"/>
        <v>0.248</v>
      </c>
      <c r="E279" s="7">
        <f t="shared" si="362"/>
        <v>0.257</v>
      </c>
      <c r="F279" s="7">
        <f t="shared" si="362"/>
        <v>0.232</v>
      </c>
      <c r="G279" s="7">
        <f t="shared" si="362"/>
        <v>0.332</v>
      </c>
      <c r="H279" s="7">
        <f t="shared" si="362"/>
        <v>0.2215</v>
      </c>
      <c r="I279" s="7">
        <f t="shared" si="362"/>
        <v>0.4215</v>
      </c>
      <c r="J279" s="7">
        <f t="shared" si="362"/>
        <v>0.2235</v>
      </c>
      <c r="K279" s="7">
        <f t="shared" si="362"/>
        <v>0.3235</v>
      </c>
      <c r="L279" s="7">
        <f t="shared" si="362"/>
        <v>0.217</v>
      </c>
      <c r="M279" s="7">
        <f t="shared" si="362"/>
        <v>0.417</v>
      </c>
      <c r="P279" s="6" t="s">
        <v>4</v>
      </c>
      <c r="Q279" s="7">
        <f t="shared" ref="Q279:AA279" si="363">C279-$C$279</f>
        <v>0</v>
      </c>
      <c r="R279" s="7">
        <f t="shared" si="363"/>
        <v>0.0125</v>
      </c>
      <c r="S279" s="7">
        <f t="shared" si="363"/>
        <v>0.0215</v>
      </c>
      <c r="T279" s="7">
        <f t="shared" si="363"/>
        <v>-0.0035</v>
      </c>
      <c r="U279" s="7">
        <f t="shared" si="363"/>
        <v>0.0965</v>
      </c>
      <c r="V279" s="7">
        <f t="shared" si="363"/>
        <v>-0.014</v>
      </c>
      <c r="W279" s="7">
        <f t="shared" si="363"/>
        <v>0.186</v>
      </c>
      <c r="X279" s="7">
        <f t="shared" si="363"/>
        <v>-0.012</v>
      </c>
      <c r="Y279" s="7">
        <f t="shared" si="363"/>
        <v>0.088</v>
      </c>
      <c r="Z279" s="7">
        <f t="shared" si="363"/>
        <v>-0.0185</v>
      </c>
      <c r="AA279" s="7">
        <f t="shared" si="363"/>
        <v>0.1815</v>
      </c>
    </row>
    <row r="280">
      <c r="B280" s="6" t="s">
        <v>5</v>
      </c>
      <c r="C280" s="7">
        <f t="shared" ref="C280:M280" si="364">AVERAGE(C224, C250)</f>
        <v>0.264</v>
      </c>
      <c r="D280" s="7">
        <f t="shared" si="364"/>
        <v>0.2805</v>
      </c>
      <c r="E280" s="7">
        <f t="shared" si="364"/>
        <v>0.2855</v>
      </c>
      <c r="F280" s="7">
        <f t="shared" si="364"/>
        <v>0.261</v>
      </c>
      <c r="G280" s="7">
        <f t="shared" si="364"/>
        <v>0.361</v>
      </c>
      <c r="H280" s="7">
        <f t="shared" si="364"/>
        <v>0.252</v>
      </c>
      <c r="I280" s="7">
        <f t="shared" si="364"/>
        <v>0.452</v>
      </c>
      <c r="J280" s="7">
        <f t="shared" si="364"/>
        <v>0.2545</v>
      </c>
      <c r="K280" s="7">
        <f t="shared" si="364"/>
        <v>0.3545</v>
      </c>
      <c r="L280" s="7">
        <f t="shared" si="364"/>
        <v>0.2495</v>
      </c>
      <c r="M280" s="7">
        <f t="shared" si="364"/>
        <v>0.4495</v>
      </c>
      <c r="P280" s="6" t="s">
        <v>5</v>
      </c>
      <c r="Q280" s="7">
        <f t="shared" ref="Q280:AA280" si="365">C280-$C$279</f>
        <v>0.0285</v>
      </c>
      <c r="R280" s="7">
        <f t="shared" si="365"/>
        <v>0.045</v>
      </c>
      <c r="S280" s="7">
        <f t="shared" si="365"/>
        <v>0.05</v>
      </c>
      <c r="T280" s="7">
        <f t="shared" si="365"/>
        <v>0.0255</v>
      </c>
      <c r="U280" s="7">
        <f t="shared" si="365"/>
        <v>0.1255</v>
      </c>
      <c r="V280" s="7">
        <f t="shared" si="365"/>
        <v>0.0165</v>
      </c>
      <c r="W280" s="7">
        <f t="shared" si="365"/>
        <v>0.2165</v>
      </c>
      <c r="X280" s="7">
        <f t="shared" si="365"/>
        <v>0.019</v>
      </c>
      <c r="Y280" s="7">
        <f t="shared" si="365"/>
        <v>0.119</v>
      </c>
      <c r="Z280" s="7">
        <f t="shared" si="365"/>
        <v>0.014</v>
      </c>
      <c r="AA280" s="7">
        <f t="shared" si="365"/>
        <v>0.214</v>
      </c>
    </row>
    <row r="281">
      <c r="B281" s="6" t="s">
        <v>6</v>
      </c>
      <c r="C281" s="7">
        <f t="shared" ref="C281:M281" si="366">AVERAGE(C225, C251)</f>
        <v>0.2525</v>
      </c>
      <c r="D281" s="7">
        <f t="shared" si="366"/>
        <v>0.2635</v>
      </c>
      <c r="E281" s="7">
        <f t="shared" si="366"/>
        <v>0.276</v>
      </c>
      <c r="F281" s="7">
        <f t="shared" si="366"/>
        <v>0.248</v>
      </c>
      <c r="G281" s="7">
        <f t="shared" si="366"/>
        <v>0.348</v>
      </c>
      <c r="H281" s="7">
        <f t="shared" si="366"/>
        <v>0.239</v>
      </c>
      <c r="I281" s="7">
        <f t="shared" si="366"/>
        <v>0.439</v>
      </c>
      <c r="J281" s="7">
        <f t="shared" si="366"/>
        <v>0.242</v>
      </c>
      <c r="K281" s="7">
        <f t="shared" si="366"/>
        <v>0.342</v>
      </c>
      <c r="L281" s="7">
        <f t="shared" si="366"/>
        <v>0.234</v>
      </c>
      <c r="M281" s="7">
        <f t="shared" si="366"/>
        <v>0.434</v>
      </c>
      <c r="P281" s="6" t="s">
        <v>6</v>
      </c>
      <c r="Q281" s="7">
        <f t="shared" ref="Q281:AA281" si="367">C281-$C$279</f>
        <v>0.017</v>
      </c>
      <c r="R281" s="7">
        <f t="shared" si="367"/>
        <v>0.028</v>
      </c>
      <c r="S281" s="7">
        <f t="shared" si="367"/>
        <v>0.0405</v>
      </c>
      <c r="T281" s="7">
        <f t="shared" si="367"/>
        <v>0.0125</v>
      </c>
      <c r="U281" s="7">
        <f t="shared" si="367"/>
        <v>0.1125</v>
      </c>
      <c r="V281" s="7">
        <f t="shared" si="367"/>
        <v>0.0035</v>
      </c>
      <c r="W281" s="7">
        <f t="shared" si="367"/>
        <v>0.2035</v>
      </c>
      <c r="X281" s="7">
        <f t="shared" si="367"/>
        <v>0.0065</v>
      </c>
      <c r="Y281" s="7">
        <f t="shared" si="367"/>
        <v>0.1065</v>
      </c>
      <c r="Z281" s="7">
        <f t="shared" si="367"/>
        <v>-0.0015</v>
      </c>
      <c r="AA281" s="7">
        <f t="shared" si="367"/>
        <v>0.1985</v>
      </c>
    </row>
    <row r="282">
      <c r="B282" s="6" t="s">
        <v>7</v>
      </c>
      <c r="C282" s="7">
        <f t="shared" ref="C282:M282" si="368">AVERAGE(C226, C252)</f>
        <v>0.24</v>
      </c>
      <c r="D282" s="7">
        <f t="shared" si="368"/>
        <v>0.255</v>
      </c>
      <c r="E282" s="7">
        <f t="shared" si="368"/>
        <v>0.2565</v>
      </c>
      <c r="F282" s="7">
        <f t="shared" si="368"/>
        <v>0.2335</v>
      </c>
      <c r="G282" s="7">
        <f t="shared" si="368"/>
        <v>0.3335</v>
      </c>
      <c r="H282" s="7">
        <f t="shared" si="368"/>
        <v>0.218</v>
      </c>
      <c r="I282" s="7">
        <f t="shared" si="368"/>
        <v>0.418</v>
      </c>
      <c r="J282" s="7">
        <f t="shared" si="368"/>
        <v>0.2245</v>
      </c>
      <c r="K282" s="7">
        <f t="shared" si="368"/>
        <v>0.3245</v>
      </c>
      <c r="L282" s="7">
        <f t="shared" si="368"/>
        <v>0.2155</v>
      </c>
      <c r="M282" s="7">
        <f t="shared" si="368"/>
        <v>0.4155</v>
      </c>
      <c r="P282" s="6" t="s">
        <v>7</v>
      </c>
      <c r="Q282" s="7">
        <f t="shared" ref="Q282:AA282" si="369">C282-$C$279</f>
        <v>0.0045</v>
      </c>
      <c r="R282" s="7">
        <f t="shared" si="369"/>
        <v>0.0195</v>
      </c>
      <c r="S282" s="7">
        <f t="shared" si="369"/>
        <v>0.021</v>
      </c>
      <c r="T282" s="7">
        <f t="shared" si="369"/>
        <v>-0.002</v>
      </c>
      <c r="U282" s="7">
        <f t="shared" si="369"/>
        <v>0.098</v>
      </c>
      <c r="V282" s="7">
        <f t="shared" si="369"/>
        <v>-0.0175</v>
      </c>
      <c r="W282" s="7">
        <f t="shared" si="369"/>
        <v>0.1825</v>
      </c>
      <c r="X282" s="7">
        <f t="shared" si="369"/>
        <v>-0.011</v>
      </c>
      <c r="Y282" s="7">
        <f t="shared" si="369"/>
        <v>0.089</v>
      </c>
      <c r="Z282" s="7">
        <f t="shared" si="369"/>
        <v>-0.02</v>
      </c>
      <c r="AA282" s="7">
        <f t="shared" si="369"/>
        <v>0.18</v>
      </c>
    </row>
    <row r="283">
      <c r="B283" s="6" t="s">
        <v>8</v>
      </c>
      <c r="C283" s="7">
        <f t="shared" ref="C283:M283" si="370">AVERAGE(C227, C253)</f>
        <v>0.3675</v>
      </c>
      <c r="D283" s="7">
        <f t="shared" si="370"/>
        <v>0.388</v>
      </c>
      <c r="E283" s="7">
        <f t="shared" si="370"/>
        <v>0.4005</v>
      </c>
      <c r="F283" s="7">
        <f t="shared" si="370"/>
        <v>0.306</v>
      </c>
      <c r="G283" s="7">
        <f t="shared" si="370"/>
        <v>0.406</v>
      </c>
      <c r="H283" s="7">
        <f t="shared" si="370"/>
        <v>0.245</v>
      </c>
      <c r="I283" s="7">
        <f t="shared" si="370"/>
        <v>0.445</v>
      </c>
      <c r="J283" s="7">
        <f t="shared" si="370"/>
        <v>0.3055</v>
      </c>
      <c r="K283" s="7">
        <f t="shared" si="370"/>
        <v>0.4055</v>
      </c>
      <c r="L283" s="7">
        <f t="shared" si="370"/>
        <v>0.246</v>
      </c>
      <c r="M283" s="7">
        <f t="shared" si="370"/>
        <v>0.446</v>
      </c>
      <c r="P283" s="6" t="s">
        <v>8</v>
      </c>
      <c r="Q283" s="7">
        <f t="shared" ref="Q283:AA283" si="371">C283-$C$279</f>
        <v>0.132</v>
      </c>
      <c r="R283" s="7">
        <f t="shared" si="371"/>
        <v>0.1525</v>
      </c>
      <c r="S283" s="7">
        <f t="shared" si="371"/>
        <v>0.165</v>
      </c>
      <c r="T283" s="7">
        <f t="shared" si="371"/>
        <v>0.0705</v>
      </c>
      <c r="U283" s="7">
        <f t="shared" si="371"/>
        <v>0.1705</v>
      </c>
      <c r="V283" s="7">
        <f t="shared" si="371"/>
        <v>0.0095</v>
      </c>
      <c r="W283" s="7">
        <f t="shared" si="371"/>
        <v>0.2095</v>
      </c>
      <c r="X283" s="7">
        <f t="shared" si="371"/>
        <v>0.07</v>
      </c>
      <c r="Y283" s="7">
        <f t="shared" si="371"/>
        <v>0.17</v>
      </c>
      <c r="Z283" s="7">
        <f t="shared" si="371"/>
        <v>0.0105</v>
      </c>
      <c r="AA283" s="7">
        <f t="shared" si="371"/>
        <v>0.2105</v>
      </c>
    </row>
    <row r="284">
      <c r="B284" s="6" t="s">
        <v>9</v>
      </c>
      <c r="C284" s="7">
        <f t="shared" ref="C284:M284" si="372">AVERAGE(C228, C254)</f>
        <v>0.2745</v>
      </c>
      <c r="D284" s="7">
        <f t="shared" si="372"/>
        <v>0.2915</v>
      </c>
      <c r="E284" s="7">
        <f t="shared" si="372"/>
        <v>0.297</v>
      </c>
      <c r="F284" s="7">
        <f t="shared" si="372"/>
        <v>0.264</v>
      </c>
      <c r="G284" s="7">
        <f t="shared" si="372"/>
        <v>0.364</v>
      </c>
      <c r="H284" s="7">
        <f t="shared" si="372"/>
        <v>0.2485</v>
      </c>
      <c r="I284" s="7">
        <f t="shared" si="372"/>
        <v>0.4485</v>
      </c>
      <c r="J284" s="7">
        <f t="shared" si="372"/>
        <v>0.257</v>
      </c>
      <c r="K284" s="7">
        <f t="shared" si="372"/>
        <v>0.357</v>
      </c>
      <c r="L284" s="7">
        <f t="shared" si="372"/>
        <v>0.244</v>
      </c>
      <c r="M284" s="7">
        <f t="shared" si="372"/>
        <v>0.444</v>
      </c>
      <c r="P284" s="6" t="s">
        <v>9</v>
      </c>
      <c r="Q284" s="7">
        <f t="shared" ref="Q284:AA284" si="373">C284-$C$279</f>
        <v>0.039</v>
      </c>
      <c r="R284" s="7">
        <f t="shared" si="373"/>
        <v>0.056</v>
      </c>
      <c r="S284" s="7">
        <f t="shared" si="373"/>
        <v>0.0615</v>
      </c>
      <c r="T284" s="7">
        <f t="shared" si="373"/>
        <v>0.0285</v>
      </c>
      <c r="U284" s="7">
        <f t="shared" si="373"/>
        <v>0.1285</v>
      </c>
      <c r="V284" s="7">
        <f t="shared" si="373"/>
        <v>0.013</v>
      </c>
      <c r="W284" s="7">
        <f t="shared" si="373"/>
        <v>0.213</v>
      </c>
      <c r="X284" s="7">
        <f t="shared" si="373"/>
        <v>0.0215</v>
      </c>
      <c r="Y284" s="7">
        <f t="shared" si="373"/>
        <v>0.1215</v>
      </c>
      <c r="Z284" s="7">
        <f t="shared" si="373"/>
        <v>0.0085</v>
      </c>
      <c r="AA284" s="7">
        <f t="shared" si="373"/>
        <v>0.2085</v>
      </c>
    </row>
    <row r="285">
      <c r="B285" s="6" t="s">
        <v>10</v>
      </c>
      <c r="C285" s="7">
        <f t="shared" ref="C285:M285" si="374">AVERAGE(C229, C255)</f>
        <v>0.297</v>
      </c>
      <c r="D285" s="7">
        <f t="shared" si="374"/>
        <v>0.311</v>
      </c>
      <c r="E285" s="7">
        <f t="shared" si="374"/>
        <v>0.319</v>
      </c>
      <c r="F285" s="7">
        <f t="shared" si="374"/>
        <v>0.2655</v>
      </c>
      <c r="G285" s="7">
        <f t="shared" si="374"/>
        <v>0.3655</v>
      </c>
      <c r="H285" s="7">
        <f t="shared" si="374"/>
        <v>0.2395</v>
      </c>
      <c r="I285" s="7">
        <f t="shared" si="374"/>
        <v>0.4395</v>
      </c>
      <c r="J285" s="7">
        <f t="shared" si="374"/>
        <v>0.2645</v>
      </c>
      <c r="K285" s="7">
        <f t="shared" si="374"/>
        <v>0.3645</v>
      </c>
      <c r="L285" s="7">
        <f t="shared" si="374"/>
        <v>0.2375</v>
      </c>
      <c r="M285" s="7">
        <f t="shared" si="374"/>
        <v>0.4375</v>
      </c>
      <c r="P285" s="6" t="s">
        <v>10</v>
      </c>
      <c r="Q285" s="7">
        <f t="shared" ref="Q285:AA285" si="375">C285-$C$279</f>
        <v>0.0615</v>
      </c>
      <c r="R285" s="7">
        <f t="shared" si="375"/>
        <v>0.0755</v>
      </c>
      <c r="S285" s="7">
        <f t="shared" si="375"/>
        <v>0.0835</v>
      </c>
      <c r="T285" s="7">
        <f t="shared" si="375"/>
        <v>0.03</v>
      </c>
      <c r="U285" s="7">
        <f t="shared" si="375"/>
        <v>0.13</v>
      </c>
      <c r="V285" s="7">
        <f t="shared" si="375"/>
        <v>0.004</v>
      </c>
      <c r="W285" s="7">
        <f t="shared" si="375"/>
        <v>0.204</v>
      </c>
      <c r="X285" s="7">
        <f t="shared" si="375"/>
        <v>0.029</v>
      </c>
      <c r="Y285" s="7">
        <f t="shared" si="375"/>
        <v>0.129</v>
      </c>
      <c r="Z285" s="7">
        <f t="shared" si="375"/>
        <v>0.002</v>
      </c>
      <c r="AA285" s="7">
        <f t="shared" si="375"/>
        <v>0.202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0.3083333333</v>
      </c>
      <c r="D289" s="7">
        <f t="shared" si="376"/>
        <v>0.3131666667</v>
      </c>
      <c r="E289" s="7">
        <f t="shared" si="376"/>
        <v>0.3236666667</v>
      </c>
      <c r="F289" s="7">
        <f t="shared" si="376"/>
        <v>0.2928333333</v>
      </c>
      <c r="G289" s="7">
        <f t="shared" si="376"/>
        <v>0.3926666667</v>
      </c>
      <c r="H289" s="7">
        <f t="shared" si="376"/>
        <v>0.2795</v>
      </c>
      <c r="I289" s="7">
        <f t="shared" si="376"/>
        <v>0.4795</v>
      </c>
      <c r="J289" s="7">
        <f t="shared" si="376"/>
        <v>0.287</v>
      </c>
      <c r="K289" s="7">
        <f t="shared" si="376"/>
        <v>0.387</v>
      </c>
      <c r="L289" s="7">
        <f t="shared" si="376"/>
        <v>0.2716666667</v>
      </c>
      <c r="M289" s="7">
        <f t="shared" si="376"/>
        <v>0.4715</v>
      </c>
      <c r="P289" s="6" t="s">
        <v>4</v>
      </c>
      <c r="Q289" s="7">
        <f t="shared" ref="Q289:AA289" si="377">C289-$C$289</f>
        <v>0</v>
      </c>
      <c r="R289" s="7">
        <f t="shared" si="377"/>
        <v>0.004833333333</v>
      </c>
      <c r="S289" s="7">
        <f t="shared" si="377"/>
        <v>0.01533333333</v>
      </c>
      <c r="T289" s="7">
        <f t="shared" si="377"/>
        <v>-0.0155</v>
      </c>
      <c r="U289" s="7">
        <f t="shared" si="377"/>
        <v>0.08433333333</v>
      </c>
      <c r="V289" s="7">
        <f t="shared" si="377"/>
        <v>-0.02883333333</v>
      </c>
      <c r="W289" s="7">
        <f t="shared" si="377"/>
        <v>0.1711666667</v>
      </c>
      <c r="X289" s="7">
        <f t="shared" si="377"/>
        <v>-0.02133333333</v>
      </c>
      <c r="Y289" s="7">
        <f t="shared" si="377"/>
        <v>0.07866666667</v>
      </c>
      <c r="Z289" s="7">
        <f t="shared" si="377"/>
        <v>-0.03666666667</v>
      </c>
      <c r="AA289" s="7">
        <f t="shared" si="377"/>
        <v>0.1631666667</v>
      </c>
    </row>
    <row r="290">
      <c r="B290" s="6" t="s">
        <v>5</v>
      </c>
      <c r="C290" s="7">
        <f t="shared" ref="C290:M290" si="378">AVERAGE(C260, C270, C280)</f>
        <v>0.3288333333</v>
      </c>
      <c r="D290" s="7">
        <f t="shared" si="378"/>
        <v>0.3348333333</v>
      </c>
      <c r="E290" s="7">
        <f t="shared" si="378"/>
        <v>0.344</v>
      </c>
      <c r="F290" s="7">
        <f t="shared" si="378"/>
        <v>0.3138333333</v>
      </c>
      <c r="G290" s="7">
        <f t="shared" si="378"/>
        <v>0.4136666667</v>
      </c>
      <c r="H290" s="7">
        <f t="shared" si="378"/>
        <v>0.2968333333</v>
      </c>
      <c r="I290" s="7">
        <f t="shared" si="378"/>
        <v>0.4968333333</v>
      </c>
      <c r="J290" s="7">
        <f t="shared" si="378"/>
        <v>0.3066666667</v>
      </c>
      <c r="K290" s="7">
        <f t="shared" si="378"/>
        <v>0.4068333333</v>
      </c>
      <c r="L290" s="7">
        <f t="shared" si="378"/>
        <v>0.2926666667</v>
      </c>
      <c r="M290" s="7">
        <f t="shared" si="378"/>
        <v>0.4926666667</v>
      </c>
      <c r="P290" s="6" t="s">
        <v>5</v>
      </c>
      <c r="Q290" s="7">
        <f t="shared" ref="Q290:AA290" si="379">C290-$C$289</f>
        <v>0.0205</v>
      </c>
      <c r="R290" s="7">
        <f t="shared" si="379"/>
        <v>0.0265</v>
      </c>
      <c r="S290" s="7">
        <f t="shared" si="379"/>
        <v>0.03566666667</v>
      </c>
      <c r="T290" s="7">
        <f t="shared" si="379"/>
        <v>0.0055</v>
      </c>
      <c r="U290" s="7">
        <f t="shared" si="379"/>
        <v>0.1053333333</v>
      </c>
      <c r="V290" s="7">
        <f t="shared" si="379"/>
        <v>-0.0115</v>
      </c>
      <c r="W290" s="7">
        <f t="shared" si="379"/>
        <v>0.1885</v>
      </c>
      <c r="X290" s="7">
        <f t="shared" si="379"/>
        <v>-0.001666666667</v>
      </c>
      <c r="Y290" s="7">
        <f t="shared" si="379"/>
        <v>0.0985</v>
      </c>
      <c r="Z290" s="7">
        <f t="shared" si="379"/>
        <v>-0.01566666667</v>
      </c>
      <c r="AA290" s="7">
        <f t="shared" si="379"/>
        <v>0.1843333333</v>
      </c>
    </row>
    <row r="291">
      <c r="B291" s="6" t="s">
        <v>6</v>
      </c>
      <c r="C291" s="7">
        <f t="shared" ref="C291:M291" si="380">AVERAGE(C261, C271, C281)</f>
        <v>0.332</v>
      </c>
      <c r="D291" s="7">
        <f t="shared" si="380"/>
        <v>0.3356666667</v>
      </c>
      <c r="E291" s="7">
        <f t="shared" si="380"/>
        <v>0.3483333333</v>
      </c>
      <c r="F291" s="7">
        <f t="shared" si="380"/>
        <v>0.3165</v>
      </c>
      <c r="G291" s="7">
        <f t="shared" si="380"/>
        <v>0.4165</v>
      </c>
      <c r="H291" s="7">
        <f t="shared" si="380"/>
        <v>0.302</v>
      </c>
      <c r="I291" s="7">
        <f t="shared" si="380"/>
        <v>0.502</v>
      </c>
      <c r="J291" s="7">
        <f t="shared" si="380"/>
        <v>0.31</v>
      </c>
      <c r="K291" s="7">
        <f t="shared" si="380"/>
        <v>0.41</v>
      </c>
      <c r="L291" s="7">
        <f t="shared" si="380"/>
        <v>0.2901666667</v>
      </c>
      <c r="M291" s="7">
        <f t="shared" si="380"/>
        <v>0.4901666667</v>
      </c>
      <c r="P291" s="6" t="s">
        <v>6</v>
      </c>
      <c r="Q291" s="7">
        <f t="shared" ref="Q291:AA291" si="381">C291-$C$289</f>
        <v>0.02366666667</v>
      </c>
      <c r="R291" s="7">
        <f t="shared" si="381"/>
        <v>0.02733333333</v>
      </c>
      <c r="S291" s="7">
        <f t="shared" si="381"/>
        <v>0.04</v>
      </c>
      <c r="T291" s="7">
        <f t="shared" si="381"/>
        <v>0.008166666667</v>
      </c>
      <c r="U291" s="7">
        <f t="shared" si="381"/>
        <v>0.1081666667</v>
      </c>
      <c r="V291" s="7">
        <f t="shared" si="381"/>
        <v>-0.006333333333</v>
      </c>
      <c r="W291" s="7">
        <f t="shared" si="381"/>
        <v>0.1936666667</v>
      </c>
      <c r="X291" s="7">
        <f t="shared" si="381"/>
        <v>0.001666666667</v>
      </c>
      <c r="Y291" s="7">
        <f t="shared" si="381"/>
        <v>0.1016666667</v>
      </c>
      <c r="Z291" s="7">
        <f t="shared" si="381"/>
        <v>-0.01816666667</v>
      </c>
      <c r="AA291" s="7">
        <f t="shared" si="381"/>
        <v>0.1818333333</v>
      </c>
    </row>
    <row r="292">
      <c r="B292" s="6" t="s">
        <v>7</v>
      </c>
      <c r="C292" s="7">
        <f t="shared" ref="C292:M292" si="382">AVERAGE(C262, C272, C282)</f>
        <v>0.3181666667</v>
      </c>
      <c r="D292" s="7">
        <f t="shared" si="382"/>
        <v>0.3228333333</v>
      </c>
      <c r="E292" s="7">
        <f t="shared" si="382"/>
        <v>0.3296666667</v>
      </c>
      <c r="F292" s="7">
        <f t="shared" si="382"/>
        <v>0.2978333333</v>
      </c>
      <c r="G292" s="7">
        <f t="shared" si="382"/>
        <v>0.398</v>
      </c>
      <c r="H292" s="7">
        <f t="shared" si="382"/>
        <v>0.2758333333</v>
      </c>
      <c r="I292" s="7">
        <f t="shared" si="382"/>
        <v>0.4758333333</v>
      </c>
      <c r="J292" s="7">
        <f t="shared" si="382"/>
        <v>0.294</v>
      </c>
      <c r="K292" s="7">
        <f t="shared" si="382"/>
        <v>0.3941666667</v>
      </c>
      <c r="L292" s="7">
        <f t="shared" si="382"/>
        <v>0.2726666667</v>
      </c>
      <c r="M292" s="7">
        <f t="shared" si="382"/>
        <v>0.4726666667</v>
      </c>
      <c r="P292" s="6" t="s">
        <v>7</v>
      </c>
      <c r="Q292" s="7">
        <f t="shared" ref="Q292:AA292" si="383">C292-$C$289</f>
        <v>0.009833333333</v>
      </c>
      <c r="R292" s="7">
        <f t="shared" si="383"/>
        <v>0.0145</v>
      </c>
      <c r="S292" s="7">
        <f t="shared" si="383"/>
        <v>0.02133333333</v>
      </c>
      <c r="T292" s="7">
        <f t="shared" si="383"/>
        <v>-0.0105</v>
      </c>
      <c r="U292" s="7">
        <f t="shared" si="383"/>
        <v>0.08966666667</v>
      </c>
      <c r="V292" s="7">
        <f t="shared" si="383"/>
        <v>-0.0325</v>
      </c>
      <c r="W292" s="7">
        <f t="shared" si="383"/>
        <v>0.1675</v>
      </c>
      <c r="X292" s="7">
        <f t="shared" si="383"/>
        <v>-0.01433333333</v>
      </c>
      <c r="Y292" s="7">
        <f t="shared" si="383"/>
        <v>0.08583333333</v>
      </c>
      <c r="Z292" s="7">
        <f t="shared" si="383"/>
        <v>-0.03566666667</v>
      </c>
      <c r="AA292" s="7">
        <f t="shared" si="383"/>
        <v>0.1643333333</v>
      </c>
    </row>
    <row r="293">
      <c r="B293" s="6" t="s">
        <v>8</v>
      </c>
      <c r="C293" s="7">
        <f t="shared" ref="C293:M293" si="384">AVERAGE(C263, C273, C283)</f>
        <v>0.3691666667</v>
      </c>
      <c r="D293" s="7">
        <f t="shared" si="384"/>
        <v>0.3766666667</v>
      </c>
      <c r="E293" s="7">
        <f t="shared" si="384"/>
        <v>0.3858333333</v>
      </c>
      <c r="F293" s="7">
        <f t="shared" si="384"/>
        <v>0.3288333333</v>
      </c>
      <c r="G293" s="7">
        <f t="shared" si="384"/>
        <v>0.4288333333</v>
      </c>
      <c r="H293" s="7">
        <f t="shared" si="384"/>
        <v>0.2888333333</v>
      </c>
      <c r="I293" s="7">
        <f t="shared" si="384"/>
        <v>0.4891666667</v>
      </c>
      <c r="J293" s="7">
        <f t="shared" si="384"/>
        <v>0.3255</v>
      </c>
      <c r="K293" s="7">
        <f t="shared" si="384"/>
        <v>0.4255</v>
      </c>
      <c r="L293" s="7">
        <f t="shared" si="384"/>
        <v>0.287</v>
      </c>
      <c r="M293" s="7">
        <f t="shared" si="384"/>
        <v>0.487</v>
      </c>
      <c r="P293" s="6" t="s">
        <v>8</v>
      </c>
      <c r="Q293" s="7">
        <f t="shared" ref="Q293:AA293" si="385">C293-$C$289</f>
        <v>0.06083333333</v>
      </c>
      <c r="R293" s="7">
        <f t="shared" si="385"/>
        <v>0.06833333333</v>
      </c>
      <c r="S293" s="7">
        <f t="shared" si="385"/>
        <v>0.0775</v>
      </c>
      <c r="T293" s="7">
        <f t="shared" si="385"/>
        <v>0.0205</v>
      </c>
      <c r="U293" s="7">
        <f t="shared" si="385"/>
        <v>0.1205</v>
      </c>
      <c r="V293" s="7">
        <f t="shared" si="385"/>
        <v>-0.0195</v>
      </c>
      <c r="W293" s="7">
        <f t="shared" si="385"/>
        <v>0.1808333333</v>
      </c>
      <c r="X293" s="7">
        <f t="shared" si="385"/>
        <v>0.01716666667</v>
      </c>
      <c r="Y293" s="7">
        <f t="shared" si="385"/>
        <v>0.1171666667</v>
      </c>
      <c r="Z293" s="7">
        <f t="shared" si="385"/>
        <v>-0.02133333333</v>
      </c>
      <c r="AA293" s="7">
        <f t="shared" si="385"/>
        <v>0.1786666667</v>
      </c>
    </row>
    <row r="294">
      <c r="B294" s="6" t="s">
        <v>9</v>
      </c>
      <c r="C294" s="7">
        <f t="shared" ref="C294:M294" si="386">AVERAGE(C264, C274, C284)</f>
        <v>0.3308333333</v>
      </c>
      <c r="D294" s="7">
        <f t="shared" si="386"/>
        <v>0.337</v>
      </c>
      <c r="E294" s="7">
        <f t="shared" si="386"/>
        <v>0.3453333333</v>
      </c>
      <c r="F294" s="7">
        <f t="shared" si="386"/>
        <v>0.3133333333</v>
      </c>
      <c r="G294" s="7">
        <f t="shared" si="386"/>
        <v>0.4135</v>
      </c>
      <c r="H294" s="7">
        <f t="shared" si="386"/>
        <v>0.292</v>
      </c>
      <c r="I294" s="7">
        <f t="shared" si="386"/>
        <v>0.4921666667</v>
      </c>
      <c r="J294" s="7">
        <f t="shared" si="386"/>
        <v>0.3065</v>
      </c>
      <c r="K294" s="7">
        <f t="shared" si="386"/>
        <v>0.4065</v>
      </c>
      <c r="L294" s="7">
        <f t="shared" si="386"/>
        <v>0.2858333333</v>
      </c>
      <c r="M294" s="7">
        <f t="shared" si="386"/>
        <v>0.4861666667</v>
      </c>
      <c r="P294" s="6" t="s">
        <v>9</v>
      </c>
      <c r="Q294" s="7">
        <f t="shared" ref="Q294:AA294" si="387">C294-$C$289</f>
        <v>0.0225</v>
      </c>
      <c r="R294" s="7">
        <f t="shared" si="387"/>
        <v>0.02866666667</v>
      </c>
      <c r="S294" s="7">
        <f t="shared" si="387"/>
        <v>0.037</v>
      </c>
      <c r="T294" s="7">
        <f t="shared" si="387"/>
        <v>0.005</v>
      </c>
      <c r="U294" s="7">
        <f t="shared" si="387"/>
        <v>0.1051666667</v>
      </c>
      <c r="V294" s="7">
        <f t="shared" si="387"/>
        <v>-0.01633333333</v>
      </c>
      <c r="W294" s="7">
        <f t="shared" si="387"/>
        <v>0.1838333333</v>
      </c>
      <c r="X294" s="7">
        <f t="shared" si="387"/>
        <v>-0.001833333333</v>
      </c>
      <c r="Y294" s="7">
        <f t="shared" si="387"/>
        <v>0.09816666667</v>
      </c>
      <c r="Z294" s="7">
        <f t="shared" si="387"/>
        <v>-0.0225</v>
      </c>
      <c r="AA294" s="7">
        <f t="shared" si="387"/>
        <v>0.1778333333</v>
      </c>
    </row>
    <row r="295">
      <c r="B295" s="6" t="s">
        <v>10</v>
      </c>
      <c r="C295" s="7">
        <f t="shared" ref="C295:M295" si="388">AVERAGE(C265, C275, C285)</f>
        <v>0.3471666667</v>
      </c>
      <c r="D295" s="7">
        <f t="shared" si="388"/>
        <v>0.3526666667</v>
      </c>
      <c r="E295" s="7">
        <f t="shared" si="388"/>
        <v>0.3605</v>
      </c>
      <c r="F295" s="7">
        <f t="shared" si="388"/>
        <v>0.3186666667</v>
      </c>
      <c r="G295" s="7">
        <f t="shared" si="388"/>
        <v>0.4186666667</v>
      </c>
      <c r="H295" s="7">
        <f t="shared" si="388"/>
        <v>0.294</v>
      </c>
      <c r="I295" s="7">
        <f t="shared" si="388"/>
        <v>0.4941666667</v>
      </c>
      <c r="J295" s="7">
        <f t="shared" si="388"/>
        <v>0.3176666667</v>
      </c>
      <c r="K295" s="7">
        <f t="shared" si="388"/>
        <v>0.4175</v>
      </c>
      <c r="L295" s="7">
        <f t="shared" si="388"/>
        <v>0.2863333333</v>
      </c>
      <c r="M295" s="7">
        <f t="shared" si="388"/>
        <v>0.4863333333</v>
      </c>
      <c r="P295" s="6" t="s">
        <v>10</v>
      </c>
      <c r="Q295" s="7">
        <f t="shared" ref="Q295:AA295" si="389">C295-$C$289</f>
        <v>0.03883333333</v>
      </c>
      <c r="R295" s="7">
        <f t="shared" si="389"/>
        <v>0.04433333333</v>
      </c>
      <c r="S295" s="7">
        <f t="shared" si="389"/>
        <v>0.05216666667</v>
      </c>
      <c r="T295" s="7">
        <f t="shared" si="389"/>
        <v>0.01033333333</v>
      </c>
      <c r="U295" s="7">
        <f t="shared" si="389"/>
        <v>0.1103333333</v>
      </c>
      <c r="V295" s="7">
        <f t="shared" si="389"/>
        <v>-0.01433333333</v>
      </c>
      <c r="W295" s="7">
        <f t="shared" si="389"/>
        <v>0.1858333333</v>
      </c>
      <c r="X295" s="7">
        <f t="shared" si="389"/>
        <v>0.009333333333</v>
      </c>
      <c r="Y295" s="7">
        <f t="shared" si="389"/>
        <v>0.1091666667</v>
      </c>
      <c r="Z295" s="7">
        <f t="shared" si="389"/>
        <v>-0.022</v>
      </c>
      <c r="AA295" s="7">
        <f t="shared" si="389"/>
        <v>0.178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0.87</v>
      </c>
      <c r="D299" s="20">
        <v>0.83</v>
      </c>
      <c r="E299" s="20"/>
      <c r="G299" s="19" t="s">
        <v>4</v>
      </c>
      <c r="H299" s="20">
        <v>0.82</v>
      </c>
      <c r="I299" s="20">
        <v>0.88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0.74</v>
      </c>
      <c r="D300" s="20">
        <v>0.82</v>
      </c>
      <c r="E300" s="20"/>
      <c r="G300" s="19" t="s">
        <v>5</v>
      </c>
      <c r="H300" s="20">
        <v>0.85</v>
      </c>
      <c r="I300" s="20">
        <v>0.7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0.7</v>
      </c>
      <c r="D301" s="20">
        <v>0.74</v>
      </c>
      <c r="E301" s="20"/>
      <c r="G301" s="19" t="s">
        <v>6</v>
      </c>
      <c r="H301" s="20">
        <v>0.77</v>
      </c>
      <c r="I301" s="20">
        <v>0.67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0.78</v>
      </c>
      <c r="D302" s="20">
        <v>0.79</v>
      </c>
      <c r="E302" s="20"/>
      <c r="G302" s="19" t="s">
        <v>7</v>
      </c>
      <c r="H302" s="20">
        <v>0.74</v>
      </c>
      <c r="I302" s="20">
        <v>0.82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0.69</v>
      </c>
      <c r="D303" s="20">
        <v>0.78</v>
      </c>
      <c r="E303" s="20"/>
      <c r="G303" s="19" t="s">
        <v>8</v>
      </c>
      <c r="H303" s="20">
        <v>0.65</v>
      </c>
      <c r="I303" s="20">
        <v>0.81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0.82</v>
      </c>
      <c r="D304" s="20">
        <v>0.79</v>
      </c>
      <c r="E304" s="20"/>
      <c r="G304" s="19" t="s">
        <v>9</v>
      </c>
      <c r="H304" s="20">
        <v>0.72</v>
      </c>
      <c r="I304" s="20">
        <v>0.86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0.72</v>
      </c>
      <c r="D305" s="20">
        <v>0.82</v>
      </c>
      <c r="E305" s="20"/>
      <c r="G305" s="19" t="s">
        <v>10</v>
      </c>
      <c r="H305" s="20">
        <v>0.75</v>
      </c>
      <c r="I305" s="20">
        <v>0.8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0.83</v>
      </c>
      <c r="D309" s="20">
        <v>0.64</v>
      </c>
      <c r="E309" s="22">
        <v>0.58</v>
      </c>
      <c r="F309" s="22">
        <v>0.58</v>
      </c>
      <c r="G309" s="22">
        <v>0.7</v>
      </c>
      <c r="H309" s="16"/>
      <c r="J309" s="19" t="s">
        <v>4</v>
      </c>
      <c r="K309" s="20">
        <v>0.82</v>
      </c>
      <c r="L309" s="20">
        <v>0.66</v>
      </c>
      <c r="M309" s="22">
        <v>0.59</v>
      </c>
      <c r="N309" s="22">
        <v>0.53</v>
      </c>
      <c r="O309" s="22">
        <v>0.74</v>
      </c>
      <c r="P309" s="16"/>
      <c r="Q309" s="16"/>
    </row>
    <row r="310">
      <c r="B310" s="19" t="s">
        <v>5</v>
      </c>
      <c r="C310" s="20">
        <v>0.79</v>
      </c>
      <c r="D310" s="20">
        <v>0.61</v>
      </c>
      <c r="E310" s="22">
        <v>0.57</v>
      </c>
      <c r="F310" s="22">
        <v>0.55</v>
      </c>
      <c r="G310" s="22">
        <v>0.7</v>
      </c>
      <c r="H310" s="16"/>
      <c r="J310" s="19" t="s">
        <v>5</v>
      </c>
      <c r="K310" s="20">
        <v>0.75</v>
      </c>
      <c r="L310" s="20">
        <v>0.63</v>
      </c>
      <c r="M310" s="22">
        <v>0.56</v>
      </c>
      <c r="N310" s="22">
        <v>0.55</v>
      </c>
      <c r="O310" s="22">
        <v>0.7</v>
      </c>
      <c r="P310" s="16"/>
      <c r="Q310" s="16"/>
    </row>
    <row r="311">
      <c r="B311" s="19" t="s">
        <v>6</v>
      </c>
      <c r="C311" s="20">
        <v>0.77</v>
      </c>
      <c r="D311" s="20">
        <v>0.58</v>
      </c>
      <c r="E311" s="22">
        <v>0.53</v>
      </c>
      <c r="F311" s="22">
        <v>0.46</v>
      </c>
      <c r="G311" s="22">
        <v>0.61</v>
      </c>
      <c r="H311" s="16"/>
      <c r="J311" s="19" t="s">
        <v>6</v>
      </c>
      <c r="K311" s="20">
        <v>0.67</v>
      </c>
      <c r="L311" s="20">
        <v>0.57</v>
      </c>
      <c r="M311" s="22">
        <v>0.51</v>
      </c>
      <c r="N311" s="22">
        <v>0.49</v>
      </c>
      <c r="O311" s="22">
        <v>0.69</v>
      </c>
      <c r="P311" s="16"/>
      <c r="Q311" s="16"/>
    </row>
    <row r="312">
      <c r="B312" s="19" t="s">
        <v>7</v>
      </c>
      <c r="C312" s="20">
        <v>0.78</v>
      </c>
      <c r="D312" s="20">
        <v>0.68</v>
      </c>
      <c r="E312" s="22">
        <v>0.61</v>
      </c>
      <c r="F312" s="22">
        <v>0.43</v>
      </c>
      <c r="G312" s="22">
        <v>0.71</v>
      </c>
      <c r="H312" s="16"/>
      <c r="J312" s="19" t="s">
        <v>7</v>
      </c>
      <c r="K312" s="20">
        <v>0.86</v>
      </c>
      <c r="L312" s="20">
        <v>0.47</v>
      </c>
      <c r="M312" s="22">
        <v>0.62</v>
      </c>
      <c r="N312" s="22">
        <v>0.54</v>
      </c>
      <c r="O312" s="22">
        <v>0.75</v>
      </c>
      <c r="P312" s="16"/>
      <c r="Q312" s="16"/>
    </row>
    <row r="313">
      <c r="B313" s="19" t="s">
        <v>8</v>
      </c>
      <c r="C313" s="20">
        <v>0.71</v>
      </c>
      <c r="D313" s="20">
        <v>0.71</v>
      </c>
      <c r="E313" s="22">
        <v>0.62</v>
      </c>
      <c r="F313" s="22">
        <v>0.31</v>
      </c>
      <c r="G313" s="22">
        <v>0.75</v>
      </c>
      <c r="H313" s="16"/>
      <c r="J313" s="19" t="s">
        <v>8</v>
      </c>
      <c r="K313" s="20">
        <v>0.93</v>
      </c>
      <c r="L313" s="20">
        <v>0.3</v>
      </c>
      <c r="M313" s="22">
        <v>0.64</v>
      </c>
      <c r="N313" s="22">
        <v>0.59</v>
      </c>
      <c r="O313" s="22">
        <v>0.76</v>
      </c>
      <c r="P313" s="16"/>
      <c r="Q313" s="16"/>
    </row>
    <row r="314">
      <c r="B314" s="19" t="s">
        <v>9</v>
      </c>
      <c r="C314" s="20">
        <v>0.77</v>
      </c>
      <c r="D314" s="20">
        <v>0.68</v>
      </c>
      <c r="E314" s="22">
        <v>0.6</v>
      </c>
      <c r="F314" s="22">
        <v>0.44</v>
      </c>
      <c r="G314" s="22">
        <v>0.75</v>
      </c>
      <c r="H314" s="16"/>
      <c r="J314" s="19" t="s">
        <v>9</v>
      </c>
      <c r="K314" s="20">
        <v>0.87</v>
      </c>
      <c r="L314" s="20">
        <v>0.44</v>
      </c>
      <c r="M314" s="22">
        <v>0.62</v>
      </c>
      <c r="N314" s="22">
        <v>0.57</v>
      </c>
      <c r="O314" s="22">
        <v>0.75</v>
      </c>
      <c r="P314" s="16"/>
      <c r="Q314" s="16"/>
    </row>
    <row r="315">
      <c r="B315" s="19" t="s">
        <v>10</v>
      </c>
      <c r="C315" s="20">
        <v>0.71</v>
      </c>
      <c r="D315" s="20">
        <v>0.71</v>
      </c>
      <c r="E315" s="22">
        <v>0.6</v>
      </c>
      <c r="F315" s="22">
        <v>0.31</v>
      </c>
      <c r="G315" s="22">
        <v>0.77</v>
      </c>
      <c r="H315" s="16"/>
      <c r="J315" s="19" t="s">
        <v>10</v>
      </c>
      <c r="K315" s="20">
        <v>0.89</v>
      </c>
      <c r="L315" s="20">
        <v>0.31</v>
      </c>
      <c r="M315" s="22">
        <v>0.63</v>
      </c>
      <c r="N315" s="22">
        <v>0.7</v>
      </c>
      <c r="O315" s="22">
        <v>0.67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0.64</v>
      </c>
      <c r="D319" s="20">
        <v>0.41</v>
      </c>
      <c r="E319" s="20"/>
      <c r="G319" s="19" t="s">
        <v>4</v>
      </c>
      <c r="H319" s="20">
        <v>0.65</v>
      </c>
      <c r="I319" s="20">
        <v>0.39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0.62</v>
      </c>
      <c r="D320" s="20">
        <v>0.4</v>
      </c>
      <c r="E320" s="20"/>
      <c r="G320" s="19" t="s">
        <v>5</v>
      </c>
      <c r="H320" s="20">
        <v>0.62</v>
      </c>
      <c r="I320" s="20">
        <v>0.4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0.43</v>
      </c>
      <c r="E321" s="20"/>
      <c r="G321" s="19" t="s">
        <v>6</v>
      </c>
      <c r="H321" s="20">
        <v>0.64</v>
      </c>
      <c r="I321" s="20">
        <v>0.4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0.58</v>
      </c>
      <c r="D322" s="20">
        <v>0.45</v>
      </c>
      <c r="E322" s="20"/>
      <c r="G322" s="19" t="s">
        <v>7</v>
      </c>
      <c r="H322" s="20">
        <v>0.54</v>
      </c>
      <c r="I322" s="20">
        <v>0.5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0.54</v>
      </c>
      <c r="D323" s="20">
        <v>0.5</v>
      </c>
      <c r="E323" s="20"/>
      <c r="G323" s="19" t="s">
        <v>8</v>
      </c>
      <c r="H323" s="20">
        <v>0.51</v>
      </c>
      <c r="I323" s="20">
        <v>0.53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0.59</v>
      </c>
      <c r="D324" s="20">
        <v>0.46</v>
      </c>
      <c r="E324" s="20"/>
      <c r="G324" s="19" t="s">
        <v>9</v>
      </c>
      <c r="H324" s="20">
        <v>0.6</v>
      </c>
      <c r="I324" s="20">
        <v>0.44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0.53</v>
      </c>
      <c r="D325" s="20">
        <v>0.49</v>
      </c>
      <c r="E325" s="20"/>
      <c r="G325" s="19" t="s">
        <v>10</v>
      </c>
      <c r="H325" s="20">
        <v>0.55</v>
      </c>
      <c r="I325" s="20">
        <v>0.47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0.55</v>
      </c>
      <c r="D329" s="20">
        <v>0.55</v>
      </c>
      <c r="E329" s="20"/>
      <c r="G329" s="19" t="s">
        <v>4</v>
      </c>
      <c r="H329" s="20">
        <v>0.04</v>
      </c>
      <c r="I329" s="20">
        <v>0.97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0.49</v>
      </c>
      <c r="D330" s="20">
        <v>0.56</v>
      </c>
      <c r="E330" s="20"/>
      <c r="G330" s="19" t="s">
        <v>5</v>
      </c>
      <c r="H330" s="20">
        <v>0.22</v>
      </c>
      <c r="I330" s="20">
        <v>0.81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0.48</v>
      </c>
      <c r="D331" s="20">
        <v>0.53</v>
      </c>
      <c r="E331" s="20"/>
      <c r="G331" s="19" t="s">
        <v>6</v>
      </c>
      <c r="H331" s="20">
        <v>0.13</v>
      </c>
      <c r="I331" s="20">
        <v>0.87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0.58</v>
      </c>
      <c r="D332" s="20">
        <v>0.56</v>
      </c>
      <c r="E332" s="20"/>
      <c r="G332" s="19" t="s">
        <v>7</v>
      </c>
      <c r="H332" s="20">
        <v>0.14</v>
      </c>
      <c r="I332" s="20">
        <v>0.92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0.61</v>
      </c>
      <c r="D333" s="20">
        <v>0.45</v>
      </c>
      <c r="E333" s="20"/>
      <c r="G333" s="19" t="s">
        <v>8</v>
      </c>
      <c r="H333" s="20">
        <v>0.15</v>
      </c>
      <c r="I333" s="20">
        <v>0.88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0.5</v>
      </c>
      <c r="D334" s="20">
        <v>0.5</v>
      </c>
      <c r="E334" s="20"/>
      <c r="G334" s="19" t="s">
        <v>9</v>
      </c>
      <c r="H334" s="20">
        <v>0.02</v>
      </c>
      <c r="I334" s="20">
        <v>0.98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0.56</v>
      </c>
      <c r="D335" s="20">
        <v>0.45</v>
      </c>
      <c r="E335" s="20"/>
      <c r="G335" s="19" t="s">
        <v>10</v>
      </c>
      <c r="H335" s="20">
        <v>0.16</v>
      </c>
      <c r="I335" s="20">
        <v>0.84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0.71</v>
      </c>
      <c r="D339" s="20">
        <v>0.96</v>
      </c>
      <c r="E339" s="22">
        <v>0.61</v>
      </c>
      <c r="F339" s="22">
        <v>0.71</v>
      </c>
      <c r="G339" s="22">
        <v>0.62</v>
      </c>
      <c r="H339" s="22">
        <v>0.69</v>
      </c>
      <c r="I339" s="16"/>
      <c r="K339" s="19" t="s">
        <v>4</v>
      </c>
      <c r="L339" s="20">
        <v>0.4</v>
      </c>
      <c r="M339" s="20">
        <v>0.67</v>
      </c>
      <c r="N339" s="22">
        <v>0.82</v>
      </c>
      <c r="O339" s="22">
        <v>0.65</v>
      </c>
      <c r="P339" s="22">
        <v>0.7</v>
      </c>
      <c r="Q339" s="22">
        <v>0.92</v>
      </c>
    </row>
    <row r="340">
      <c r="B340" s="19" t="s">
        <v>5</v>
      </c>
      <c r="C340" s="20">
        <v>0.68</v>
      </c>
      <c r="D340" s="20">
        <v>0.91</v>
      </c>
      <c r="E340" s="22">
        <v>0.48</v>
      </c>
      <c r="F340" s="22">
        <v>0.72</v>
      </c>
      <c r="G340" s="22">
        <v>0.55</v>
      </c>
      <c r="H340" s="22">
        <v>0.69</v>
      </c>
      <c r="I340" s="16"/>
      <c r="K340" s="19" t="s">
        <v>5</v>
      </c>
      <c r="L340" s="20">
        <v>0.49</v>
      </c>
      <c r="M340" s="20">
        <v>0.57</v>
      </c>
      <c r="N340" s="22">
        <v>0.59</v>
      </c>
      <c r="O340" s="22">
        <v>0.66</v>
      </c>
      <c r="P340" s="22">
        <v>0.62</v>
      </c>
      <c r="Q340" s="22">
        <v>0.77</v>
      </c>
    </row>
    <row r="341">
      <c r="B341" s="19" t="s">
        <v>6</v>
      </c>
      <c r="C341" s="20">
        <v>0.58</v>
      </c>
      <c r="D341" s="20">
        <v>0.8</v>
      </c>
      <c r="E341" s="22">
        <v>0.6</v>
      </c>
      <c r="F341" s="22">
        <v>0.61</v>
      </c>
      <c r="G341" s="22">
        <v>0.57</v>
      </c>
      <c r="H341" s="22">
        <v>0.66</v>
      </c>
      <c r="I341" s="16"/>
      <c r="K341" s="19" t="s">
        <v>6</v>
      </c>
      <c r="L341" s="20">
        <v>0.43</v>
      </c>
      <c r="M341" s="20">
        <v>0.68</v>
      </c>
      <c r="N341" s="22">
        <v>0.71</v>
      </c>
      <c r="O341" s="22">
        <v>0.52</v>
      </c>
      <c r="P341" s="22">
        <v>0.61</v>
      </c>
      <c r="Q341" s="22">
        <v>0.84</v>
      </c>
    </row>
    <row r="342">
      <c r="B342" s="19" t="s">
        <v>7</v>
      </c>
      <c r="C342" s="20">
        <v>0.58</v>
      </c>
      <c r="D342" s="20">
        <v>0.94</v>
      </c>
      <c r="E342" s="22">
        <v>0.75</v>
      </c>
      <c r="F342" s="22">
        <v>0.53</v>
      </c>
      <c r="G342" s="22">
        <v>0.44</v>
      </c>
      <c r="H342" s="22">
        <v>0.7</v>
      </c>
      <c r="I342" s="16"/>
      <c r="K342" s="19" t="s">
        <v>7</v>
      </c>
      <c r="L342" s="20">
        <v>0.51</v>
      </c>
      <c r="M342" s="20">
        <v>0.34</v>
      </c>
      <c r="N342" s="22">
        <v>0.61</v>
      </c>
      <c r="O342" s="22">
        <v>0.72</v>
      </c>
      <c r="P342" s="22">
        <v>0.59</v>
      </c>
      <c r="Q342" s="22">
        <v>0.93</v>
      </c>
    </row>
    <row r="343">
      <c r="B343" s="19" t="s">
        <v>8</v>
      </c>
      <c r="C343" s="20">
        <v>0.42</v>
      </c>
      <c r="D343" s="20">
        <v>0.87</v>
      </c>
      <c r="E343" s="22">
        <v>0.48</v>
      </c>
      <c r="F343" s="22">
        <v>0.73</v>
      </c>
      <c r="G343" s="22">
        <v>0.29</v>
      </c>
      <c r="H343" s="22">
        <v>0.72</v>
      </c>
      <c r="I343" s="16"/>
      <c r="K343" s="19" t="s">
        <v>8</v>
      </c>
      <c r="L343" s="20">
        <v>0.73</v>
      </c>
      <c r="M343" s="20">
        <v>0.26</v>
      </c>
      <c r="N343" s="22">
        <v>0.52</v>
      </c>
      <c r="O343" s="22">
        <v>0.61</v>
      </c>
      <c r="P343" s="22">
        <v>0.16</v>
      </c>
      <c r="Q343" s="22">
        <v>0.88</v>
      </c>
    </row>
    <row r="344">
      <c r="B344" s="19" t="s">
        <v>9</v>
      </c>
      <c r="C344" s="20">
        <v>0.46</v>
      </c>
      <c r="D344" s="20">
        <v>0.91</v>
      </c>
      <c r="E344" s="22">
        <v>0.48</v>
      </c>
      <c r="F344" s="22">
        <v>0.77</v>
      </c>
      <c r="G344" s="22">
        <v>0.49</v>
      </c>
      <c r="H344" s="22">
        <v>0.75</v>
      </c>
      <c r="I344" s="16"/>
      <c r="K344" s="19" t="s">
        <v>9</v>
      </c>
      <c r="L344" s="20">
        <v>0.46</v>
      </c>
      <c r="M344" s="20">
        <v>0.28</v>
      </c>
      <c r="N344" s="22">
        <v>0.64</v>
      </c>
      <c r="O344" s="22">
        <v>0.57</v>
      </c>
      <c r="P344" s="22">
        <v>0.69</v>
      </c>
      <c r="Q344" s="22">
        <v>0.91</v>
      </c>
    </row>
    <row r="345">
      <c r="B345" s="19" t="s">
        <v>10</v>
      </c>
      <c r="C345" s="20">
        <v>0.48</v>
      </c>
      <c r="D345" s="20">
        <v>0.95</v>
      </c>
      <c r="E345" s="22">
        <v>0.57</v>
      </c>
      <c r="F345" s="22">
        <v>0.73</v>
      </c>
      <c r="G345" s="22">
        <v>0.36</v>
      </c>
      <c r="H345" s="22">
        <v>0.64</v>
      </c>
      <c r="I345" s="16"/>
      <c r="K345" s="19" t="s">
        <v>10</v>
      </c>
      <c r="L345" s="20">
        <v>0.68</v>
      </c>
      <c r="M345" s="20">
        <v>0.55</v>
      </c>
      <c r="N345" s="22">
        <v>0.52</v>
      </c>
      <c r="O345" s="22">
        <v>0.56</v>
      </c>
      <c r="P345" s="22">
        <v>0.33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0.82</v>
      </c>
      <c r="D349" s="20">
        <v>0.86</v>
      </c>
      <c r="E349" s="22">
        <v>0.83</v>
      </c>
      <c r="F349" s="22">
        <v>0.79</v>
      </c>
      <c r="G349" s="22">
        <v>0.72</v>
      </c>
      <c r="H349" s="22">
        <v>0.99</v>
      </c>
      <c r="I349" s="16"/>
      <c r="K349" s="19" t="s">
        <v>4</v>
      </c>
      <c r="L349" s="20">
        <v>0.86</v>
      </c>
      <c r="M349" s="20">
        <v>0.71</v>
      </c>
      <c r="N349" s="22">
        <v>0.89</v>
      </c>
      <c r="O349" s="22">
        <v>0.68</v>
      </c>
      <c r="P349" s="22">
        <v>0.86</v>
      </c>
      <c r="Q349" s="22">
        <v>0.99</v>
      </c>
    </row>
    <row r="350">
      <c r="B350" s="19" t="s">
        <v>5</v>
      </c>
      <c r="C350" s="20">
        <v>0.65</v>
      </c>
      <c r="D350" s="20">
        <v>0.76</v>
      </c>
      <c r="E350" s="22">
        <v>0.83</v>
      </c>
      <c r="F350" s="22">
        <v>0.79</v>
      </c>
      <c r="G350" s="22">
        <v>0.68</v>
      </c>
      <c r="H350" s="22">
        <v>0.96</v>
      </c>
      <c r="I350" s="16"/>
      <c r="K350" s="19" t="s">
        <v>5</v>
      </c>
      <c r="L350" s="20">
        <v>0.81</v>
      </c>
      <c r="M350" s="20">
        <v>0.67</v>
      </c>
      <c r="N350" s="22">
        <v>0.65</v>
      </c>
      <c r="O350" s="22">
        <v>0.61</v>
      </c>
      <c r="P350" s="22">
        <v>0.87</v>
      </c>
      <c r="Q350" s="22">
        <v>0.93</v>
      </c>
    </row>
    <row r="351">
      <c r="B351" s="19" t="s">
        <v>6</v>
      </c>
      <c r="C351" s="20">
        <v>0.7</v>
      </c>
      <c r="D351" s="20">
        <v>0.71</v>
      </c>
      <c r="E351" s="22">
        <v>0.8</v>
      </c>
      <c r="F351" s="22">
        <v>0.71</v>
      </c>
      <c r="G351" s="22">
        <v>0.62</v>
      </c>
      <c r="H351" s="22">
        <v>0.86</v>
      </c>
      <c r="I351" s="16"/>
      <c r="K351" s="19" t="s">
        <v>6</v>
      </c>
      <c r="L351" s="20">
        <v>0.71</v>
      </c>
      <c r="M351" s="20">
        <v>0.7</v>
      </c>
      <c r="N351" s="22">
        <v>0.64</v>
      </c>
      <c r="O351" s="22">
        <v>0.56</v>
      </c>
      <c r="P351" s="22">
        <v>0.8</v>
      </c>
      <c r="Q351" s="22">
        <v>0.91</v>
      </c>
    </row>
    <row r="352">
      <c r="B352" s="19" t="s">
        <v>7</v>
      </c>
      <c r="C352" s="20">
        <v>0.83</v>
      </c>
      <c r="D352" s="20">
        <v>0.9</v>
      </c>
      <c r="E352" s="22">
        <v>0.88</v>
      </c>
      <c r="F352" s="22">
        <v>0.8</v>
      </c>
      <c r="G352" s="22">
        <v>0.79</v>
      </c>
      <c r="H352" s="22">
        <v>0.7</v>
      </c>
      <c r="I352" s="16"/>
      <c r="K352" s="19" t="s">
        <v>7</v>
      </c>
      <c r="L352" s="20">
        <v>0.91</v>
      </c>
      <c r="M352" s="20">
        <v>0.78</v>
      </c>
      <c r="N352" s="22">
        <v>0.63</v>
      </c>
      <c r="O352" s="22">
        <v>0.76</v>
      </c>
      <c r="P352" s="22">
        <v>0.87</v>
      </c>
      <c r="Q352" s="22">
        <v>0.96</v>
      </c>
    </row>
    <row r="353">
      <c r="B353" s="19" t="s">
        <v>8</v>
      </c>
      <c r="C353" s="20">
        <v>0.75</v>
      </c>
      <c r="D353" s="20">
        <v>0.86</v>
      </c>
      <c r="E353" s="22">
        <v>0.73</v>
      </c>
      <c r="F353" s="22">
        <v>0.82</v>
      </c>
      <c r="G353" s="22">
        <v>0.71</v>
      </c>
      <c r="H353" s="22">
        <v>0.43</v>
      </c>
      <c r="I353" s="16"/>
      <c r="K353" s="19" t="s">
        <v>8</v>
      </c>
      <c r="L353" s="20">
        <v>0.94</v>
      </c>
      <c r="M353" s="20">
        <v>0.73</v>
      </c>
      <c r="N353" s="22">
        <v>0.79</v>
      </c>
      <c r="O353" s="22">
        <v>0.76</v>
      </c>
      <c r="P353" s="22">
        <v>0.71</v>
      </c>
      <c r="Q353" s="22">
        <v>0.8</v>
      </c>
    </row>
    <row r="354">
      <c r="B354" s="19" t="s">
        <v>9</v>
      </c>
      <c r="C354" s="20">
        <v>0.8</v>
      </c>
      <c r="D354" s="20">
        <v>0.87</v>
      </c>
      <c r="E354" s="22">
        <v>0.79</v>
      </c>
      <c r="F354" s="22">
        <v>0.84</v>
      </c>
      <c r="G354" s="22">
        <v>0.74</v>
      </c>
      <c r="H354" s="22">
        <v>0.73</v>
      </c>
      <c r="I354" s="16"/>
      <c r="K354" s="19" t="s">
        <v>9</v>
      </c>
      <c r="L354" s="20">
        <v>0.9</v>
      </c>
      <c r="M354" s="20">
        <v>0.69</v>
      </c>
      <c r="N354" s="22">
        <v>0.72</v>
      </c>
      <c r="O354" s="22">
        <v>0.66</v>
      </c>
      <c r="P354" s="22">
        <v>0.9</v>
      </c>
      <c r="Q354" s="22">
        <v>0.9</v>
      </c>
    </row>
    <row r="355">
      <c r="B355" s="19" t="s">
        <v>10</v>
      </c>
      <c r="C355" s="20">
        <v>0.75</v>
      </c>
      <c r="D355" s="20">
        <v>0.75</v>
      </c>
      <c r="E355" s="22">
        <v>0.81</v>
      </c>
      <c r="F355" s="22">
        <v>0.77</v>
      </c>
      <c r="G355" s="22">
        <v>0.72</v>
      </c>
      <c r="H355" s="22">
        <v>0.45</v>
      </c>
      <c r="I355" s="16"/>
      <c r="K355" s="19" t="s">
        <v>10</v>
      </c>
      <c r="L355" s="20">
        <v>0.91</v>
      </c>
      <c r="M355" s="20">
        <v>0.6</v>
      </c>
      <c r="N355" s="22">
        <v>0.51</v>
      </c>
      <c r="O355" s="22">
        <v>0.73</v>
      </c>
      <c r="P355" s="22">
        <v>0.89</v>
      </c>
      <c r="Q355" s="22">
        <v>0.73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0.243</v>
      </c>
      <c r="D3" s="7">
        <v>0.27</v>
      </c>
      <c r="E3" s="7">
        <v>0.294</v>
      </c>
      <c r="F3" s="7">
        <v>0.259</v>
      </c>
      <c r="G3" s="7">
        <v>0.269</v>
      </c>
      <c r="H3" s="7">
        <v>0.24</v>
      </c>
      <c r="I3" s="7">
        <v>0.256</v>
      </c>
      <c r="J3" s="3"/>
      <c r="L3" s="6" t="s">
        <v>4</v>
      </c>
      <c r="M3" s="7">
        <f t="shared" ref="M3:S3" si="1">C3-$C$3</f>
        <v>0</v>
      </c>
      <c r="N3" s="7">
        <f t="shared" si="1"/>
        <v>0.027</v>
      </c>
      <c r="O3" s="7">
        <f t="shared" si="1"/>
        <v>0.051</v>
      </c>
      <c r="P3" s="7">
        <f t="shared" si="1"/>
        <v>0.016</v>
      </c>
      <c r="Q3" s="7">
        <f t="shared" si="1"/>
        <v>0.026</v>
      </c>
      <c r="R3" s="7">
        <f t="shared" si="1"/>
        <v>-0.003</v>
      </c>
      <c r="S3" s="7">
        <f t="shared" si="1"/>
        <v>0.013</v>
      </c>
    </row>
    <row r="4">
      <c r="B4" s="6" t="s">
        <v>5</v>
      </c>
      <c r="C4" s="7">
        <v>0.254</v>
      </c>
      <c r="D4" s="7">
        <v>0.281</v>
      </c>
      <c r="E4" s="7">
        <v>0.293</v>
      </c>
      <c r="F4" s="7">
        <v>0.262</v>
      </c>
      <c r="G4" s="7">
        <v>0.29</v>
      </c>
      <c r="H4" s="7">
        <v>0.262</v>
      </c>
      <c r="I4" s="7">
        <v>0.271</v>
      </c>
      <c r="J4" s="3"/>
      <c r="L4" s="6" t="s">
        <v>5</v>
      </c>
      <c r="M4" s="7">
        <f t="shared" ref="M4:S4" si="2">C4-$C$3</f>
        <v>0.011</v>
      </c>
      <c r="N4" s="7">
        <f t="shared" si="2"/>
        <v>0.038</v>
      </c>
      <c r="O4" s="7">
        <f t="shared" si="2"/>
        <v>0.05</v>
      </c>
      <c r="P4" s="7">
        <f t="shared" si="2"/>
        <v>0.019</v>
      </c>
      <c r="Q4" s="7">
        <f t="shared" si="2"/>
        <v>0.047</v>
      </c>
      <c r="R4" s="7">
        <f t="shared" si="2"/>
        <v>0.019</v>
      </c>
      <c r="S4" s="7">
        <f t="shared" si="2"/>
        <v>0.028</v>
      </c>
    </row>
    <row r="5">
      <c r="B5" s="6" t="s">
        <v>6</v>
      </c>
      <c r="C5" s="7">
        <v>0.285</v>
      </c>
      <c r="D5" s="7">
        <v>0.308</v>
      </c>
      <c r="E5" s="7">
        <v>0.317</v>
      </c>
      <c r="F5" s="7">
        <v>0.294</v>
      </c>
      <c r="G5" s="7">
        <v>0.311</v>
      </c>
      <c r="H5" s="7">
        <v>0.278</v>
      </c>
      <c r="I5" s="7">
        <v>0.279</v>
      </c>
      <c r="J5" s="3"/>
      <c r="L5" s="6" t="s">
        <v>6</v>
      </c>
      <c r="M5" s="7">
        <f t="shared" ref="M5:S5" si="3">C5-$C$3</f>
        <v>0.042</v>
      </c>
      <c r="N5" s="7">
        <f t="shared" si="3"/>
        <v>0.065</v>
      </c>
      <c r="O5" s="7">
        <f t="shared" si="3"/>
        <v>0.074</v>
      </c>
      <c r="P5" s="7">
        <f t="shared" si="3"/>
        <v>0.051</v>
      </c>
      <c r="Q5" s="7">
        <f t="shared" si="3"/>
        <v>0.068</v>
      </c>
      <c r="R5" s="7">
        <f t="shared" si="3"/>
        <v>0.035</v>
      </c>
      <c r="S5" s="7">
        <f t="shared" si="3"/>
        <v>0.036</v>
      </c>
    </row>
    <row r="6">
      <c r="B6" s="6" t="s">
        <v>7</v>
      </c>
      <c r="C6" s="7">
        <v>0.26</v>
      </c>
      <c r="D6" s="7">
        <v>0.284</v>
      </c>
      <c r="E6" s="7">
        <v>0.305</v>
      </c>
      <c r="F6" s="7">
        <v>0.263</v>
      </c>
      <c r="G6" s="7">
        <v>0.281</v>
      </c>
      <c r="H6" s="7">
        <v>0.255</v>
      </c>
      <c r="I6" s="7">
        <v>0.261</v>
      </c>
      <c r="J6" s="3"/>
      <c r="L6" s="6" t="s">
        <v>7</v>
      </c>
      <c r="M6" s="7">
        <f t="shared" ref="M6:S6" si="4">C6-$C$3</f>
        <v>0.017</v>
      </c>
      <c r="N6" s="7">
        <f t="shared" si="4"/>
        <v>0.041</v>
      </c>
      <c r="O6" s="7">
        <f t="shared" si="4"/>
        <v>0.062</v>
      </c>
      <c r="P6" s="7">
        <f t="shared" si="4"/>
        <v>0.02</v>
      </c>
      <c r="Q6" s="7">
        <f t="shared" si="4"/>
        <v>0.038</v>
      </c>
      <c r="R6" s="7">
        <f t="shared" si="4"/>
        <v>0.012</v>
      </c>
      <c r="S6" s="7">
        <f t="shared" si="4"/>
        <v>0.018</v>
      </c>
    </row>
    <row r="7">
      <c r="B7" s="6" t="s">
        <v>8</v>
      </c>
      <c r="C7" s="7">
        <v>0.264</v>
      </c>
      <c r="D7" s="7">
        <v>0.283</v>
      </c>
      <c r="E7" s="7">
        <v>0.308</v>
      </c>
      <c r="F7" s="7">
        <v>0.277</v>
      </c>
      <c r="G7" s="7">
        <v>0.291</v>
      </c>
      <c r="H7" s="7">
        <v>0.268</v>
      </c>
      <c r="I7" s="7">
        <v>0.274</v>
      </c>
      <c r="J7" s="3"/>
      <c r="L7" s="6" t="s">
        <v>8</v>
      </c>
      <c r="M7" s="7">
        <f t="shared" ref="M7:S7" si="5">C7-$C$3</f>
        <v>0.021</v>
      </c>
      <c r="N7" s="7">
        <f t="shared" si="5"/>
        <v>0.04</v>
      </c>
      <c r="O7" s="7">
        <f t="shared" si="5"/>
        <v>0.065</v>
      </c>
      <c r="P7" s="7">
        <f t="shared" si="5"/>
        <v>0.034</v>
      </c>
      <c r="Q7" s="7">
        <f t="shared" si="5"/>
        <v>0.048</v>
      </c>
      <c r="R7" s="7">
        <f t="shared" si="5"/>
        <v>0.025</v>
      </c>
      <c r="S7" s="7">
        <f t="shared" si="5"/>
        <v>0.031</v>
      </c>
    </row>
    <row r="8">
      <c r="B8" s="6" t="s">
        <v>9</v>
      </c>
      <c r="C8" s="7">
        <v>0.239</v>
      </c>
      <c r="D8" s="7">
        <v>0.264</v>
      </c>
      <c r="E8" s="7">
        <v>0.285</v>
      </c>
      <c r="F8" s="7">
        <v>0.257</v>
      </c>
      <c r="G8" s="7">
        <v>0.261</v>
      </c>
      <c r="H8" s="7">
        <v>0.233</v>
      </c>
      <c r="I8" s="7">
        <v>0.251</v>
      </c>
      <c r="J8" s="3"/>
      <c r="L8" s="6" t="s">
        <v>9</v>
      </c>
      <c r="M8" s="7">
        <f t="shared" ref="M8:S8" si="6">C8-$C$3</f>
        <v>-0.004</v>
      </c>
      <c r="N8" s="7">
        <f t="shared" si="6"/>
        <v>0.021</v>
      </c>
      <c r="O8" s="7">
        <f t="shared" si="6"/>
        <v>0.042</v>
      </c>
      <c r="P8" s="7">
        <f t="shared" si="6"/>
        <v>0.014</v>
      </c>
      <c r="Q8" s="7">
        <f t="shared" si="6"/>
        <v>0.018</v>
      </c>
      <c r="R8" s="7">
        <f t="shared" si="6"/>
        <v>-0.01</v>
      </c>
      <c r="S8" s="7">
        <f t="shared" si="6"/>
        <v>0.008</v>
      </c>
    </row>
    <row r="9">
      <c r="B9" s="6" t="s">
        <v>10</v>
      </c>
      <c r="C9" s="7">
        <v>0.26</v>
      </c>
      <c r="D9" s="7">
        <v>0.277</v>
      </c>
      <c r="E9" s="7">
        <v>0.311</v>
      </c>
      <c r="F9" s="7">
        <v>0.274</v>
      </c>
      <c r="G9" s="7">
        <v>0.272</v>
      </c>
      <c r="H9" s="7">
        <v>0.259</v>
      </c>
      <c r="I9" s="7">
        <v>0.259</v>
      </c>
      <c r="J9" s="3"/>
      <c r="L9" s="6" t="s">
        <v>10</v>
      </c>
      <c r="M9" s="7">
        <f t="shared" ref="M9:S9" si="7">C9-$C$3</f>
        <v>0.017</v>
      </c>
      <c r="N9" s="7">
        <f t="shared" si="7"/>
        <v>0.034</v>
      </c>
      <c r="O9" s="7">
        <f t="shared" si="7"/>
        <v>0.068</v>
      </c>
      <c r="P9" s="7">
        <f t="shared" si="7"/>
        <v>0.031</v>
      </c>
      <c r="Q9" s="7">
        <f t="shared" si="7"/>
        <v>0.029</v>
      </c>
      <c r="R9" s="7">
        <f t="shared" si="7"/>
        <v>0.016</v>
      </c>
      <c r="S9" s="7">
        <f t="shared" si="7"/>
        <v>0.016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0.357</v>
      </c>
      <c r="D13" s="7">
        <v>0.381</v>
      </c>
      <c r="E13" s="7">
        <v>0.411</v>
      </c>
      <c r="F13" s="7">
        <v>0.385</v>
      </c>
      <c r="G13" s="7">
        <v>0.409</v>
      </c>
      <c r="H13" s="7">
        <v>0.383</v>
      </c>
      <c r="I13" s="7">
        <v>0.406</v>
      </c>
      <c r="J13" s="3"/>
      <c r="L13" s="6" t="s">
        <v>4</v>
      </c>
      <c r="M13" s="7">
        <f t="shared" ref="M13:S13" si="8">C13-$C$13</f>
        <v>0</v>
      </c>
      <c r="N13" s="7">
        <f t="shared" si="8"/>
        <v>0.024</v>
      </c>
      <c r="O13" s="7">
        <f t="shared" si="8"/>
        <v>0.054</v>
      </c>
      <c r="P13" s="7">
        <f t="shared" si="8"/>
        <v>0.028</v>
      </c>
      <c r="Q13" s="7">
        <f t="shared" si="8"/>
        <v>0.052</v>
      </c>
      <c r="R13" s="7">
        <f t="shared" si="8"/>
        <v>0.026</v>
      </c>
      <c r="S13" s="7">
        <f t="shared" si="8"/>
        <v>0.049</v>
      </c>
    </row>
    <row r="14">
      <c r="B14" s="6" t="s">
        <v>5</v>
      </c>
      <c r="C14" s="7">
        <v>0.376</v>
      </c>
      <c r="D14" s="7">
        <v>0.4</v>
      </c>
      <c r="E14" s="7">
        <v>0.43</v>
      </c>
      <c r="F14" s="7">
        <v>0.402</v>
      </c>
      <c r="G14" s="7">
        <v>0.427</v>
      </c>
      <c r="H14" s="7">
        <v>0.402</v>
      </c>
      <c r="I14" s="7">
        <v>0.424</v>
      </c>
      <c r="J14" s="3"/>
      <c r="L14" s="6" t="s">
        <v>5</v>
      </c>
      <c r="M14" s="7">
        <f t="shared" ref="M14:S14" si="9">C14-$C$13</f>
        <v>0.019</v>
      </c>
      <c r="N14" s="7">
        <f t="shared" si="9"/>
        <v>0.043</v>
      </c>
      <c r="O14" s="7">
        <f t="shared" si="9"/>
        <v>0.073</v>
      </c>
      <c r="P14" s="7">
        <f t="shared" si="9"/>
        <v>0.045</v>
      </c>
      <c r="Q14" s="7">
        <f t="shared" si="9"/>
        <v>0.07</v>
      </c>
      <c r="R14" s="7">
        <f t="shared" si="9"/>
        <v>0.045</v>
      </c>
      <c r="S14" s="7">
        <f t="shared" si="9"/>
        <v>0.067</v>
      </c>
    </row>
    <row r="15">
      <c r="B15" s="6" t="s">
        <v>6</v>
      </c>
      <c r="C15" s="7">
        <v>0.387</v>
      </c>
      <c r="D15" s="7">
        <v>0.409</v>
      </c>
      <c r="E15" s="7">
        <v>0.432</v>
      </c>
      <c r="F15" s="7">
        <v>0.41</v>
      </c>
      <c r="G15" s="7">
        <v>0.429</v>
      </c>
      <c r="H15" s="7">
        <v>0.408</v>
      </c>
      <c r="I15" s="7">
        <v>0.427</v>
      </c>
      <c r="J15" s="3"/>
      <c r="L15" s="6" t="s">
        <v>6</v>
      </c>
      <c r="M15" s="7">
        <f t="shared" ref="M15:S15" si="10">C15-$C$13</f>
        <v>0.03</v>
      </c>
      <c r="N15" s="7">
        <f t="shared" si="10"/>
        <v>0.052</v>
      </c>
      <c r="O15" s="7">
        <f t="shared" si="10"/>
        <v>0.075</v>
      </c>
      <c r="P15" s="7">
        <f t="shared" si="10"/>
        <v>0.053</v>
      </c>
      <c r="Q15" s="7">
        <f t="shared" si="10"/>
        <v>0.072</v>
      </c>
      <c r="R15" s="7">
        <f t="shared" si="10"/>
        <v>0.051</v>
      </c>
      <c r="S15" s="7">
        <f t="shared" si="10"/>
        <v>0.07</v>
      </c>
    </row>
    <row r="16">
      <c r="B16" s="6" t="s">
        <v>7</v>
      </c>
      <c r="C16" s="7">
        <v>0.406</v>
      </c>
      <c r="D16" s="7">
        <v>0.43</v>
      </c>
      <c r="E16" s="7">
        <v>0.455</v>
      </c>
      <c r="F16" s="7">
        <v>0.431</v>
      </c>
      <c r="G16" s="7">
        <v>0.454</v>
      </c>
      <c r="H16" s="7">
        <v>0.429</v>
      </c>
      <c r="I16" s="7">
        <v>0.451</v>
      </c>
      <c r="J16" s="3"/>
      <c r="L16" s="6" t="s">
        <v>7</v>
      </c>
      <c r="M16" s="7">
        <f t="shared" ref="M16:S16" si="11">C16-$C$13</f>
        <v>0.049</v>
      </c>
      <c r="N16" s="7">
        <f t="shared" si="11"/>
        <v>0.073</v>
      </c>
      <c r="O16" s="7">
        <f t="shared" si="11"/>
        <v>0.098</v>
      </c>
      <c r="P16" s="7">
        <f t="shared" si="11"/>
        <v>0.074</v>
      </c>
      <c r="Q16" s="7">
        <f t="shared" si="11"/>
        <v>0.097</v>
      </c>
      <c r="R16" s="7">
        <f t="shared" si="11"/>
        <v>0.072</v>
      </c>
      <c r="S16" s="7">
        <f t="shared" si="11"/>
        <v>0.094</v>
      </c>
    </row>
    <row r="17">
      <c r="B17" s="6" t="s">
        <v>8</v>
      </c>
      <c r="C17" s="7">
        <v>0.418</v>
      </c>
      <c r="D17" s="7">
        <v>0.438</v>
      </c>
      <c r="E17" s="7">
        <v>0.463</v>
      </c>
      <c r="F17" s="7">
        <v>0.443</v>
      </c>
      <c r="G17" s="7">
        <v>0.469</v>
      </c>
      <c r="H17" s="7">
        <v>0.441</v>
      </c>
      <c r="I17" s="7">
        <v>0.463</v>
      </c>
      <c r="J17" s="3"/>
      <c r="L17" s="6" t="s">
        <v>8</v>
      </c>
      <c r="M17" s="7">
        <f t="shared" ref="M17:S17" si="12">C17-$C$13</f>
        <v>0.061</v>
      </c>
      <c r="N17" s="7">
        <f t="shared" si="12"/>
        <v>0.081</v>
      </c>
      <c r="O17" s="7">
        <f t="shared" si="12"/>
        <v>0.106</v>
      </c>
      <c r="P17" s="7">
        <f t="shared" si="12"/>
        <v>0.086</v>
      </c>
      <c r="Q17" s="7">
        <f t="shared" si="12"/>
        <v>0.112</v>
      </c>
      <c r="R17" s="7">
        <f t="shared" si="12"/>
        <v>0.084</v>
      </c>
      <c r="S17" s="7">
        <f t="shared" si="12"/>
        <v>0.106</v>
      </c>
    </row>
    <row r="18">
      <c r="B18" s="6" t="s">
        <v>9</v>
      </c>
      <c r="C18" s="7">
        <v>0.38</v>
      </c>
      <c r="D18" s="7">
        <v>0.402</v>
      </c>
      <c r="E18" s="7">
        <v>0.432</v>
      </c>
      <c r="F18" s="7">
        <v>0.409</v>
      </c>
      <c r="G18" s="7">
        <v>0.435</v>
      </c>
      <c r="H18" s="7">
        <v>0.409</v>
      </c>
      <c r="I18" s="7">
        <v>0.434</v>
      </c>
      <c r="J18" s="3"/>
      <c r="L18" s="6" t="s">
        <v>9</v>
      </c>
      <c r="M18" s="7">
        <f t="shared" ref="M18:S18" si="13">C18-$C$13</f>
        <v>0.023</v>
      </c>
      <c r="N18" s="7">
        <f t="shared" si="13"/>
        <v>0.045</v>
      </c>
      <c r="O18" s="7">
        <f t="shared" si="13"/>
        <v>0.075</v>
      </c>
      <c r="P18" s="7">
        <f t="shared" si="13"/>
        <v>0.052</v>
      </c>
      <c r="Q18" s="7">
        <f t="shared" si="13"/>
        <v>0.078</v>
      </c>
      <c r="R18" s="7">
        <f t="shared" si="13"/>
        <v>0.052</v>
      </c>
      <c r="S18" s="7">
        <f t="shared" si="13"/>
        <v>0.077</v>
      </c>
    </row>
    <row r="19">
      <c r="B19" s="6" t="s">
        <v>10</v>
      </c>
      <c r="C19" s="7">
        <v>0.396</v>
      </c>
      <c r="D19" s="7">
        <v>0.418</v>
      </c>
      <c r="E19" s="7">
        <v>0.445</v>
      </c>
      <c r="F19" s="7">
        <v>0.419</v>
      </c>
      <c r="G19" s="7">
        <v>0.44</v>
      </c>
      <c r="H19" s="7">
        <v>0.417</v>
      </c>
      <c r="I19" s="7">
        <v>0.438</v>
      </c>
      <c r="J19" s="3"/>
      <c r="L19" s="6" t="s">
        <v>10</v>
      </c>
      <c r="M19" s="7">
        <f t="shared" ref="M19:S19" si="14">C19-$C$13</f>
        <v>0.039</v>
      </c>
      <c r="N19" s="7">
        <f t="shared" si="14"/>
        <v>0.061</v>
      </c>
      <c r="O19" s="7">
        <f t="shared" si="14"/>
        <v>0.088</v>
      </c>
      <c r="P19" s="7">
        <f t="shared" si="14"/>
        <v>0.062</v>
      </c>
      <c r="Q19" s="7">
        <f t="shared" si="14"/>
        <v>0.083</v>
      </c>
      <c r="R19" s="7">
        <f t="shared" si="14"/>
        <v>0.06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0.465</v>
      </c>
      <c r="D23" s="7">
        <v>0.469</v>
      </c>
      <c r="E23" s="7">
        <v>0.473</v>
      </c>
      <c r="F23" s="7">
        <v>0.474</v>
      </c>
      <c r="G23" s="7">
        <v>0.482</v>
      </c>
      <c r="H23" s="7">
        <v>0.471</v>
      </c>
      <c r="I23" s="7">
        <v>0.477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0.004</v>
      </c>
      <c r="O23" s="7">
        <f t="shared" si="15"/>
        <v>0.008</v>
      </c>
      <c r="P23" s="7">
        <f t="shared" si="15"/>
        <v>0.009</v>
      </c>
      <c r="Q23" s="7">
        <f t="shared" si="15"/>
        <v>0.017</v>
      </c>
      <c r="R23" s="7">
        <f t="shared" si="15"/>
        <v>0.006</v>
      </c>
      <c r="S23" s="7">
        <f t="shared" si="15"/>
        <v>0.012</v>
      </c>
    </row>
    <row r="24">
      <c r="B24" s="6" t="s">
        <v>5</v>
      </c>
      <c r="C24" s="7">
        <v>0.457</v>
      </c>
      <c r="D24" s="7">
        <v>0.46</v>
      </c>
      <c r="E24" s="7">
        <v>0.466</v>
      </c>
      <c r="F24" s="7">
        <v>0.474</v>
      </c>
      <c r="G24" s="7">
        <v>0.488</v>
      </c>
      <c r="H24" s="7">
        <v>0.469</v>
      </c>
      <c r="I24" s="7">
        <v>0.481</v>
      </c>
      <c r="J24" s="3"/>
      <c r="L24" s="6" t="s">
        <v>5</v>
      </c>
      <c r="M24" s="7">
        <f t="shared" ref="M24:S24" si="16">C24-$C$23</f>
        <v>-0.008</v>
      </c>
      <c r="N24" s="7">
        <f t="shared" si="16"/>
        <v>-0.005</v>
      </c>
      <c r="O24" s="7">
        <f t="shared" si="16"/>
        <v>0.001</v>
      </c>
      <c r="P24" s="7">
        <f t="shared" si="16"/>
        <v>0.009</v>
      </c>
      <c r="Q24" s="7">
        <f t="shared" si="16"/>
        <v>0.023</v>
      </c>
      <c r="R24" s="7">
        <f t="shared" si="16"/>
        <v>0.004</v>
      </c>
      <c r="S24" s="7">
        <f t="shared" si="16"/>
        <v>0.016</v>
      </c>
    </row>
    <row r="25">
      <c r="B25" s="6" t="s">
        <v>6</v>
      </c>
      <c r="C25" s="7">
        <v>0.467</v>
      </c>
      <c r="D25" s="7">
        <v>0.471</v>
      </c>
      <c r="E25" s="7">
        <v>0.474</v>
      </c>
      <c r="F25" s="7">
        <v>0.474</v>
      </c>
      <c r="G25" s="7">
        <v>0.484</v>
      </c>
      <c r="H25" s="7">
        <v>0.474</v>
      </c>
      <c r="I25" s="7">
        <v>0.481</v>
      </c>
      <c r="J25" s="3"/>
      <c r="L25" s="6" t="s">
        <v>6</v>
      </c>
      <c r="M25" s="7">
        <f t="shared" ref="M25:S25" si="17">C25-$C$23</f>
        <v>0.002</v>
      </c>
      <c r="N25" s="7">
        <f t="shared" si="17"/>
        <v>0.006</v>
      </c>
      <c r="O25" s="7">
        <f t="shared" si="17"/>
        <v>0.009</v>
      </c>
      <c r="P25" s="7">
        <f t="shared" si="17"/>
        <v>0.009</v>
      </c>
      <c r="Q25" s="7">
        <f t="shared" si="17"/>
        <v>0.019</v>
      </c>
      <c r="R25" s="7">
        <f t="shared" si="17"/>
        <v>0.009</v>
      </c>
      <c r="S25" s="7">
        <f t="shared" si="17"/>
        <v>0.016</v>
      </c>
    </row>
    <row r="26">
      <c r="B26" s="6" t="s">
        <v>7</v>
      </c>
      <c r="C26" s="7">
        <v>0.475</v>
      </c>
      <c r="D26" s="7">
        <v>0.478</v>
      </c>
      <c r="E26" s="7">
        <v>0.478</v>
      </c>
      <c r="F26" s="7">
        <v>0.479</v>
      </c>
      <c r="G26" s="7">
        <v>0.48</v>
      </c>
      <c r="H26" s="7">
        <v>0.479</v>
      </c>
      <c r="I26" s="7">
        <v>0.479</v>
      </c>
      <c r="J26" s="3"/>
      <c r="L26" s="6" t="s">
        <v>7</v>
      </c>
      <c r="M26" s="7">
        <f t="shared" ref="M26:S26" si="18">C26-$C$23</f>
        <v>0.01</v>
      </c>
      <c r="N26" s="7">
        <f t="shared" si="18"/>
        <v>0.013</v>
      </c>
      <c r="O26" s="7">
        <f t="shared" si="18"/>
        <v>0.013</v>
      </c>
      <c r="P26" s="7">
        <f t="shared" si="18"/>
        <v>0.014</v>
      </c>
      <c r="Q26" s="7">
        <f t="shared" si="18"/>
        <v>0.015</v>
      </c>
      <c r="R26" s="7">
        <f t="shared" si="18"/>
        <v>0.014</v>
      </c>
      <c r="S26" s="7">
        <f t="shared" si="18"/>
        <v>0.014</v>
      </c>
    </row>
    <row r="27">
      <c r="B27" s="6" t="s">
        <v>8</v>
      </c>
      <c r="C27" s="7">
        <v>0.487</v>
      </c>
      <c r="D27" s="7">
        <v>0.49</v>
      </c>
      <c r="E27" s="7">
        <v>0.488</v>
      </c>
      <c r="F27" s="7">
        <v>0.488</v>
      </c>
      <c r="G27" s="7">
        <v>0.488</v>
      </c>
      <c r="H27" s="7">
        <v>0.49</v>
      </c>
      <c r="I27" s="7">
        <v>0.489</v>
      </c>
      <c r="J27" s="3"/>
      <c r="L27" s="6" t="s">
        <v>8</v>
      </c>
      <c r="M27" s="7">
        <f t="shared" ref="M27:S27" si="19">C27-$C$23</f>
        <v>0.022</v>
      </c>
      <c r="N27" s="7">
        <f t="shared" si="19"/>
        <v>0.025</v>
      </c>
      <c r="O27" s="7">
        <f t="shared" si="19"/>
        <v>0.023</v>
      </c>
      <c r="P27" s="7">
        <f t="shared" si="19"/>
        <v>0.023</v>
      </c>
      <c r="Q27" s="7">
        <f t="shared" si="19"/>
        <v>0.023</v>
      </c>
      <c r="R27" s="7">
        <f t="shared" si="19"/>
        <v>0.025</v>
      </c>
      <c r="S27" s="7">
        <f t="shared" si="19"/>
        <v>0.024</v>
      </c>
    </row>
    <row r="28">
      <c r="B28" s="6" t="s">
        <v>9</v>
      </c>
      <c r="C28" s="7">
        <v>0.478</v>
      </c>
      <c r="D28" s="7">
        <v>0.479</v>
      </c>
      <c r="E28" s="7">
        <v>0.484</v>
      </c>
      <c r="F28" s="7">
        <v>0.486</v>
      </c>
      <c r="G28" s="7">
        <v>0.488</v>
      </c>
      <c r="H28" s="7">
        <v>0.484</v>
      </c>
      <c r="I28" s="7">
        <v>0.481</v>
      </c>
      <c r="J28" s="3"/>
      <c r="L28" s="6" t="s">
        <v>9</v>
      </c>
      <c r="M28" s="7">
        <f t="shared" ref="M28:S28" si="20">C28-$C$23</f>
        <v>0.013</v>
      </c>
      <c r="N28" s="7">
        <f t="shared" si="20"/>
        <v>0.014</v>
      </c>
      <c r="O28" s="7">
        <f t="shared" si="20"/>
        <v>0.019</v>
      </c>
      <c r="P28" s="7">
        <f t="shared" si="20"/>
        <v>0.021</v>
      </c>
      <c r="Q28" s="7">
        <f t="shared" si="20"/>
        <v>0.023</v>
      </c>
      <c r="R28" s="7">
        <f t="shared" si="20"/>
        <v>0.019</v>
      </c>
      <c r="S28" s="7">
        <f t="shared" si="20"/>
        <v>0.016</v>
      </c>
    </row>
    <row r="29">
      <c r="B29" s="6" t="s">
        <v>10</v>
      </c>
      <c r="C29" s="7">
        <v>0.486</v>
      </c>
      <c r="D29" s="7">
        <v>0.487</v>
      </c>
      <c r="E29" s="7">
        <v>0.489</v>
      </c>
      <c r="F29" s="7">
        <v>0.485</v>
      </c>
      <c r="G29" s="7">
        <v>0.481</v>
      </c>
      <c r="H29" s="7">
        <v>0.485</v>
      </c>
      <c r="I29" s="7">
        <v>0.483</v>
      </c>
      <c r="J29" s="3"/>
      <c r="L29" s="6" t="s">
        <v>10</v>
      </c>
      <c r="M29" s="7">
        <f t="shared" ref="M29:S29" si="21">C29-$C$23</f>
        <v>0.021</v>
      </c>
      <c r="N29" s="7">
        <f t="shared" si="21"/>
        <v>0.022</v>
      </c>
      <c r="O29" s="7">
        <f t="shared" si="21"/>
        <v>0.024</v>
      </c>
      <c r="P29" s="7">
        <f t="shared" si="21"/>
        <v>0.02</v>
      </c>
      <c r="Q29" s="7">
        <f t="shared" si="21"/>
        <v>0.016</v>
      </c>
      <c r="R29" s="7">
        <f t="shared" si="21"/>
        <v>0.02</v>
      </c>
      <c r="S29" s="7">
        <f t="shared" si="21"/>
        <v>0.018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0.461</v>
      </c>
      <c r="D33" s="7">
        <v>0.462</v>
      </c>
      <c r="E33" s="7">
        <v>0.484</v>
      </c>
      <c r="F33" s="7">
        <v>0.494</v>
      </c>
      <c r="G33" s="7">
        <v>0.516</v>
      </c>
      <c r="H33" s="7">
        <v>0.497</v>
      </c>
      <c r="I33" s="7">
        <v>0.527</v>
      </c>
      <c r="J33" s="3"/>
      <c r="L33" s="6" t="s">
        <v>4</v>
      </c>
      <c r="M33" s="7">
        <f t="shared" ref="M33:S33" si="22">C33-$C$33</f>
        <v>0</v>
      </c>
      <c r="N33" s="7">
        <f t="shared" si="22"/>
        <v>0.001</v>
      </c>
      <c r="O33" s="7">
        <f t="shared" si="22"/>
        <v>0.023</v>
      </c>
      <c r="P33" s="7">
        <f t="shared" si="22"/>
        <v>0.033</v>
      </c>
      <c r="Q33" s="7">
        <f t="shared" si="22"/>
        <v>0.055</v>
      </c>
      <c r="R33" s="7">
        <f t="shared" si="22"/>
        <v>0.036</v>
      </c>
      <c r="S33" s="7">
        <f t="shared" si="22"/>
        <v>0.066</v>
      </c>
    </row>
    <row r="34">
      <c r="B34" s="6" t="s">
        <v>5</v>
      </c>
      <c r="C34" s="7">
        <v>0.45</v>
      </c>
      <c r="D34" s="7">
        <v>0.448</v>
      </c>
      <c r="E34" s="7">
        <v>0.467</v>
      </c>
      <c r="F34" s="7">
        <v>0.496</v>
      </c>
      <c r="G34" s="7">
        <v>0.547</v>
      </c>
      <c r="H34" s="7">
        <v>0.499</v>
      </c>
      <c r="I34" s="7">
        <v>0.548</v>
      </c>
      <c r="J34" s="3"/>
      <c r="L34" s="6" t="s">
        <v>5</v>
      </c>
      <c r="M34" s="7">
        <f t="shared" ref="M34:S34" si="23">C34-$C$33</f>
        <v>-0.011</v>
      </c>
      <c r="N34" s="7">
        <f t="shared" si="23"/>
        <v>-0.013</v>
      </c>
      <c r="O34" s="7">
        <f t="shared" si="23"/>
        <v>0.006</v>
      </c>
      <c r="P34" s="7">
        <f t="shared" si="23"/>
        <v>0.035</v>
      </c>
      <c r="Q34" s="7">
        <f t="shared" si="23"/>
        <v>0.086</v>
      </c>
      <c r="R34" s="7">
        <f t="shared" si="23"/>
        <v>0.038</v>
      </c>
      <c r="S34" s="7">
        <f t="shared" si="23"/>
        <v>0.087</v>
      </c>
    </row>
    <row r="35">
      <c r="B35" s="6" t="s">
        <v>6</v>
      </c>
      <c r="C35" s="7">
        <v>0.467</v>
      </c>
      <c r="D35" s="7">
        <v>0.469</v>
      </c>
      <c r="E35" s="7">
        <v>0.487</v>
      </c>
      <c r="F35" s="7">
        <v>0.491</v>
      </c>
      <c r="G35" s="7">
        <v>0.522</v>
      </c>
      <c r="H35" s="7">
        <v>0.49</v>
      </c>
      <c r="I35" s="7">
        <v>0.514</v>
      </c>
      <c r="J35" s="3"/>
      <c r="L35" s="6" t="s">
        <v>6</v>
      </c>
      <c r="M35" s="7">
        <f t="shared" ref="M35:S35" si="24">C35-$C$33</f>
        <v>0.006</v>
      </c>
      <c r="N35" s="7">
        <f t="shared" si="24"/>
        <v>0.008</v>
      </c>
      <c r="O35" s="7">
        <f t="shared" si="24"/>
        <v>0.026</v>
      </c>
      <c r="P35" s="7">
        <f t="shared" si="24"/>
        <v>0.03</v>
      </c>
      <c r="Q35" s="7">
        <f t="shared" si="24"/>
        <v>0.061</v>
      </c>
      <c r="R35" s="7">
        <f t="shared" si="24"/>
        <v>0.029</v>
      </c>
      <c r="S35" s="7">
        <f t="shared" si="24"/>
        <v>0.053</v>
      </c>
    </row>
    <row r="36">
      <c r="B36" s="6" t="s">
        <v>7</v>
      </c>
      <c r="C36" s="7">
        <v>0.456</v>
      </c>
      <c r="D36" s="7">
        <v>0.457</v>
      </c>
      <c r="E36" s="7">
        <v>0.474</v>
      </c>
      <c r="F36" s="7">
        <v>0.492</v>
      </c>
      <c r="G36" s="7">
        <v>0.522</v>
      </c>
      <c r="H36" s="7">
        <v>0.48</v>
      </c>
      <c r="I36" s="7">
        <v>0.52</v>
      </c>
      <c r="J36" s="3"/>
      <c r="L36" s="6" t="s">
        <v>7</v>
      </c>
      <c r="M36" s="7">
        <f t="shared" ref="M36:S36" si="25">C36-$C$33</f>
        <v>-0.005</v>
      </c>
      <c r="N36" s="7">
        <f t="shared" si="25"/>
        <v>-0.004</v>
      </c>
      <c r="O36" s="7">
        <f t="shared" si="25"/>
        <v>0.013</v>
      </c>
      <c r="P36" s="7">
        <f t="shared" si="25"/>
        <v>0.031</v>
      </c>
      <c r="Q36" s="7">
        <f t="shared" si="25"/>
        <v>0.061</v>
      </c>
      <c r="R36" s="7">
        <f t="shared" si="25"/>
        <v>0.019</v>
      </c>
      <c r="S36" s="7">
        <f t="shared" si="25"/>
        <v>0.059</v>
      </c>
    </row>
    <row r="37">
      <c r="B37" s="6" t="s">
        <v>8</v>
      </c>
      <c r="C37" s="7">
        <v>0.465</v>
      </c>
      <c r="D37" s="7">
        <v>0.461</v>
      </c>
      <c r="E37" s="7">
        <v>0.477</v>
      </c>
      <c r="F37" s="7">
        <v>0.496</v>
      </c>
      <c r="G37" s="7">
        <v>0.535</v>
      </c>
      <c r="H37" s="7">
        <v>0.493</v>
      </c>
      <c r="I37" s="7">
        <v>0.524</v>
      </c>
      <c r="J37" s="3"/>
      <c r="L37" s="6" t="s">
        <v>8</v>
      </c>
      <c r="M37" s="7">
        <f t="shared" ref="M37:S37" si="26">C37-$C$33</f>
        <v>0.004</v>
      </c>
      <c r="N37" s="7">
        <f t="shared" si="26"/>
        <v>0</v>
      </c>
      <c r="O37" s="7">
        <f t="shared" si="26"/>
        <v>0.016</v>
      </c>
      <c r="P37" s="7">
        <f t="shared" si="26"/>
        <v>0.035</v>
      </c>
      <c r="Q37" s="7">
        <f t="shared" si="26"/>
        <v>0.074</v>
      </c>
      <c r="R37" s="7">
        <f t="shared" si="26"/>
        <v>0.032</v>
      </c>
      <c r="S37" s="7">
        <f t="shared" si="26"/>
        <v>0.063</v>
      </c>
    </row>
    <row r="38">
      <c r="B38" s="6" t="s">
        <v>9</v>
      </c>
      <c r="C38" s="7">
        <v>0.491</v>
      </c>
      <c r="D38" s="7">
        <v>0.49</v>
      </c>
      <c r="E38" s="7">
        <v>0.499</v>
      </c>
      <c r="F38" s="7">
        <v>0.52</v>
      </c>
      <c r="G38" s="7">
        <v>0.537</v>
      </c>
      <c r="H38" s="7">
        <v>0.517</v>
      </c>
      <c r="I38" s="7">
        <v>0.54</v>
      </c>
      <c r="J38" s="3"/>
      <c r="L38" s="6" t="s">
        <v>9</v>
      </c>
      <c r="M38" s="7">
        <f t="shared" ref="M38:S38" si="27">C38-$C$33</f>
        <v>0.03</v>
      </c>
      <c r="N38" s="7">
        <f t="shared" si="27"/>
        <v>0.029</v>
      </c>
      <c r="O38" s="7">
        <f t="shared" si="27"/>
        <v>0.038</v>
      </c>
      <c r="P38" s="7">
        <f t="shared" si="27"/>
        <v>0.059</v>
      </c>
      <c r="Q38" s="7">
        <f t="shared" si="27"/>
        <v>0.076</v>
      </c>
      <c r="R38" s="7">
        <f t="shared" si="27"/>
        <v>0.056</v>
      </c>
      <c r="S38" s="7">
        <f t="shared" si="27"/>
        <v>0.079</v>
      </c>
    </row>
    <row r="39">
      <c r="B39" s="6" t="s">
        <v>10</v>
      </c>
      <c r="C39" s="7">
        <v>0.456</v>
      </c>
      <c r="D39" s="7">
        <v>0.456</v>
      </c>
      <c r="E39" s="7">
        <v>0.467</v>
      </c>
      <c r="F39" s="7">
        <v>0.474</v>
      </c>
      <c r="G39" s="7">
        <v>0.509</v>
      </c>
      <c r="H39" s="7">
        <v>0.474</v>
      </c>
      <c r="I39" s="7">
        <v>0.509</v>
      </c>
      <c r="J39" s="3"/>
      <c r="L39" s="6" t="s">
        <v>10</v>
      </c>
      <c r="M39" s="7">
        <f t="shared" ref="M39:S39" si="28">C39-$C$33</f>
        <v>-0.005</v>
      </c>
      <c r="N39" s="7">
        <f t="shared" si="28"/>
        <v>-0.005</v>
      </c>
      <c r="O39" s="7">
        <f t="shared" si="28"/>
        <v>0.006</v>
      </c>
      <c r="P39" s="7">
        <f t="shared" si="28"/>
        <v>0.013</v>
      </c>
      <c r="Q39" s="7">
        <f t="shared" si="28"/>
        <v>0.048</v>
      </c>
      <c r="R39" s="7">
        <f t="shared" si="28"/>
        <v>0.013</v>
      </c>
      <c r="S39" s="7">
        <f t="shared" si="28"/>
        <v>0.048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0.358</v>
      </c>
      <c r="D43" s="7">
        <v>0.388</v>
      </c>
      <c r="E43" s="7">
        <v>0.412</v>
      </c>
      <c r="F43" s="7">
        <v>0.394</v>
      </c>
      <c r="G43" s="7">
        <v>0.427</v>
      </c>
      <c r="H43" s="7">
        <v>0.382</v>
      </c>
      <c r="I43" s="7">
        <v>0.418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</v>
      </c>
      <c r="O43" s="7">
        <f t="shared" si="29"/>
        <v>0.054</v>
      </c>
      <c r="P43" s="7">
        <f t="shared" si="29"/>
        <v>0.036</v>
      </c>
      <c r="Q43" s="7">
        <f t="shared" si="29"/>
        <v>0.069</v>
      </c>
      <c r="R43" s="7">
        <f t="shared" si="29"/>
        <v>0.024</v>
      </c>
      <c r="S43" s="7">
        <f t="shared" si="29"/>
        <v>0.06</v>
      </c>
    </row>
    <row r="44">
      <c r="B44" s="6" t="s">
        <v>5</v>
      </c>
      <c r="C44" s="7">
        <v>0.322</v>
      </c>
      <c r="D44" s="7">
        <v>0.351</v>
      </c>
      <c r="E44" s="7">
        <v>0.386</v>
      </c>
      <c r="F44" s="7">
        <v>0.359</v>
      </c>
      <c r="G44" s="7">
        <v>0.389</v>
      </c>
      <c r="H44" s="7">
        <v>0.347</v>
      </c>
      <c r="I44" s="7">
        <v>0.38</v>
      </c>
      <c r="J44" s="3"/>
      <c r="L44" s="6" t="s">
        <v>5</v>
      </c>
      <c r="M44" s="7">
        <f t="shared" ref="M44:S44" si="30">C44-$C$43</f>
        <v>-0.036</v>
      </c>
      <c r="N44" s="7">
        <f t="shared" si="30"/>
        <v>-0.007</v>
      </c>
      <c r="O44" s="7">
        <f t="shared" si="30"/>
        <v>0.028</v>
      </c>
      <c r="P44" s="7">
        <f t="shared" si="30"/>
        <v>0.001</v>
      </c>
      <c r="Q44" s="7">
        <f t="shared" si="30"/>
        <v>0.031</v>
      </c>
      <c r="R44" s="7">
        <f t="shared" si="30"/>
        <v>-0.011</v>
      </c>
      <c r="S44" s="7">
        <f t="shared" si="30"/>
        <v>0.022</v>
      </c>
    </row>
    <row r="45">
      <c r="B45" s="6" t="s">
        <v>6</v>
      </c>
      <c r="C45" s="7">
        <v>0.298</v>
      </c>
      <c r="D45" s="7">
        <v>0.329</v>
      </c>
      <c r="E45" s="7">
        <v>0.352</v>
      </c>
      <c r="F45" s="7">
        <v>0.338</v>
      </c>
      <c r="G45" s="7">
        <v>0.368</v>
      </c>
      <c r="H45" s="7">
        <v>0.324</v>
      </c>
      <c r="I45" s="7">
        <v>0.361</v>
      </c>
      <c r="J45" s="3"/>
      <c r="L45" s="6" t="s">
        <v>6</v>
      </c>
      <c r="M45" s="7">
        <f t="shared" ref="M45:S45" si="31">C45-$C$43</f>
        <v>-0.06</v>
      </c>
      <c r="N45" s="7">
        <f t="shared" si="31"/>
        <v>-0.029</v>
      </c>
      <c r="O45" s="7">
        <f t="shared" si="31"/>
        <v>-0.006</v>
      </c>
      <c r="P45" s="7">
        <f t="shared" si="31"/>
        <v>-0.02</v>
      </c>
      <c r="Q45" s="7">
        <f t="shared" si="31"/>
        <v>0.01</v>
      </c>
      <c r="R45" s="7">
        <f t="shared" si="31"/>
        <v>-0.034</v>
      </c>
      <c r="S45" s="7">
        <f t="shared" si="31"/>
        <v>0.003</v>
      </c>
    </row>
    <row r="46">
      <c r="B46" s="6" t="s">
        <v>7</v>
      </c>
      <c r="C46" s="7">
        <v>0.286</v>
      </c>
      <c r="D46" s="7">
        <v>0.322</v>
      </c>
      <c r="E46" s="7">
        <v>0.35</v>
      </c>
      <c r="F46" s="7">
        <v>0.319</v>
      </c>
      <c r="G46" s="7">
        <v>0.352</v>
      </c>
      <c r="H46" s="7">
        <v>0.31</v>
      </c>
      <c r="I46" s="7">
        <v>0.341</v>
      </c>
      <c r="J46" s="3"/>
      <c r="L46" s="6" t="s">
        <v>7</v>
      </c>
      <c r="M46" s="7">
        <f t="shared" ref="M46:S46" si="32">C46-$C$43</f>
        <v>-0.072</v>
      </c>
      <c r="N46" s="7">
        <f t="shared" si="32"/>
        <v>-0.036</v>
      </c>
      <c r="O46" s="7">
        <f t="shared" si="32"/>
        <v>-0.008</v>
      </c>
      <c r="P46" s="7">
        <f t="shared" si="32"/>
        <v>-0.039</v>
      </c>
      <c r="Q46" s="7">
        <f t="shared" si="32"/>
        <v>-0.006</v>
      </c>
      <c r="R46" s="7">
        <f t="shared" si="32"/>
        <v>-0.048</v>
      </c>
      <c r="S46" s="7">
        <f t="shared" si="32"/>
        <v>-0.017</v>
      </c>
    </row>
    <row r="47">
      <c r="B47" s="6" t="s">
        <v>8</v>
      </c>
      <c r="C47" s="7">
        <v>0.359</v>
      </c>
      <c r="D47" s="7">
        <v>0.381</v>
      </c>
      <c r="E47" s="7">
        <v>0.403</v>
      </c>
      <c r="F47" s="7">
        <v>0.367</v>
      </c>
      <c r="G47" s="7">
        <v>0.375</v>
      </c>
      <c r="H47" s="7">
        <v>0.366</v>
      </c>
      <c r="I47" s="7">
        <v>0.373</v>
      </c>
      <c r="J47" s="3"/>
      <c r="L47" s="6" t="s">
        <v>8</v>
      </c>
      <c r="M47" s="7">
        <f t="shared" ref="M47:S47" si="33">C47-$C$43</f>
        <v>0.001</v>
      </c>
      <c r="N47" s="7">
        <f t="shared" si="33"/>
        <v>0.023</v>
      </c>
      <c r="O47" s="7">
        <f t="shared" si="33"/>
        <v>0.045</v>
      </c>
      <c r="P47" s="7">
        <f t="shared" si="33"/>
        <v>0.009</v>
      </c>
      <c r="Q47" s="7">
        <f t="shared" si="33"/>
        <v>0.017</v>
      </c>
      <c r="R47" s="7">
        <f t="shared" si="33"/>
        <v>0.008</v>
      </c>
      <c r="S47" s="7">
        <f t="shared" si="33"/>
        <v>0.015</v>
      </c>
    </row>
    <row r="48">
      <c r="B48" s="6" t="s">
        <v>9</v>
      </c>
      <c r="C48" s="7">
        <v>0.379</v>
      </c>
      <c r="D48" s="7">
        <v>0.407</v>
      </c>
      <c r="E48" s="7">
        <v>0.431</v>
      </c>
      <c r="F48" s="7">
        <v>0.41</v>
      </c>
      <c r="G48" s="7">
        <v>0.436</v>
      </c>
      <c r="H48" s="7">
        <v>0.399</v>
      </c>
      <c r="I48" s="7">
        <v>0.427</v>
      </c>
      <c r="J48" s="3"/>
      <c r="L48" s="6" t="s">
        <v>9</v>
      </c>
      <c r="M48" s="7">
        <f t="shared" ref="M48:S48" si="34">C48-$C$43</f>
        <v>0.021</v>
      </c>
      <c r="N48" s="7">
        <f t="shared" si="34"/>
        <v>0.049</v>
      </c>
      <c r="O48" s="7">
        <f t="shared" si="34"/>
        <v>0.073</v>
      </c>
      <c r="P48" s="7">
        <f t="shared" si="34"/>
        <v>0.052</v>
      </c>
      <c r="Q48" s="7">
        <f t="shared" si="34"/>
        <v>0.078</v>
      </c>
      <c r="R48" s="7">
        <f t="shared" si="34"/>
        <v>0.041</v>
      </c>
      <c r="S48" s="7">
        <f t="shared" si="34"/>
        <v>0.069</v>
      </c>
    </row>
    <row r="49">
      <c r="B49" s="6" t="s">
        <v>10</v>
      </c>
      <c r="C49" s="7">
        <v>0.381</v>
      </c>
      <c r="D49" s="7">
        <v>0.407</v>
      </c>
      <c r="E49" s="7">
        <v>0.424</v>
      </c>
      <c r="F49" s="7">
        <v>0.384</v>
      </c>
      <c r="G49" s="7">
        <v>0.389</v>
      </c>
      <c r="H49" s="7">
        <v>0.385</v>
      </c>
      <c r="I49" s="7">
        <v>0.387</v>
      </c>
      <c r="J49" s="3"/>
      <c r="L49" s="6" t="s">
        <v>10</v>
      </c>
      <c r="M49" s="7">
        <f t="shared" ref="M49:S49" si="35">C49-$C$43</f>
        <v>0.023</v>
      </c>
      <c r="N49" s="7">
        <f t="shared" si="35"/>
        <v>0.049</v>
      </c>
      <c r="O49" s="7">
        <f t="shared" si="35"/>
        <v>0.066</v>
      </c>
      <c r="P49" s="7">
        <f t="shared" si="35"/>
        <v>0.026</v>
      </c>
      <c r="Q49" s="7">
        <f t="shared" si="35"/>
        <v>0.031</v>
      </c>
      <c r="R49" s="7">
        <f t="shared" si="35"/>
        <v>0.027</v>
      </c>
      <c r="S49" s="7">
        <f t="shared" si="35"/>
        <v>0.029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0.155</v>
      </c>
      <c r="D53" s="7">
        <v>0.199</v>
      </c>
      <c r="E53" s="7">
        <v>0.237</v>
      </c>
      <c r="F53" s="7">
        <v>0.202</v>
      </c>
      <c r="G53" s="7">
        <v>0.249</v>
      </c>
      <c r="H53" s="7">
        <v>0.202</v>
      </c>
      <c r="I53" s="7">
        <v>0.246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0.044</v>
      </c>
      <c r="O53" s="7">
        <f t="shared" si="36"/>
        <v>0.082</v>
      </c>
      <c r="P53" s="7">
        <f t="shared" si="36"/>
        <v>0.047</v>
      </c>
      <c r="Q53" s="7">
        <f t="shared" si="36"/>
        <v>0.094</v>
      </c>
      <c r="R53" s="7">
        <f t="shared" si="36"/>
        <v>0.047</v>
      </c>
      <c r="S53" s="7">
        <f t="shared" si="36"/>
        <v>0.091</v>
      </c>
    </row>
    <row r="54">
      <c r="B54" s="6" t="s">
        <v>5</v>
      </c>
      <c r="C54" s="7">
        <v>0.18</v>
      </c>
      <c r="D54" s="7">
        <v>0.221</v>
      </c>
      <c r="E54" s="7">
        <v>0.259</v>
      </c>
      <c r="F54" s="7">
        <v>0.233</v>
      </c>
      <c r="G54" s="7">
        <v>0.282</v>
      </c>
      <c r="H54" s="7">
        <v>0.23</v>
      </c>
      <c r="I54" s="7">
        <v>0.279</v>
      </c>
      <c r="J54" s="3"/>
      <c r="L54" s="6" t="s">
        <v>5</v>
      </c>
      <c r="M54" s="7">
        <f t="shared" ref="M54:S54" si="37">C54-$C$53</f>
        <v>0.025</v>
      </c>
      <c r="N54" s="7">
        <f t="shared" si="37"/>
        <v>0.066</v>
      </c>
      <c r="O54" s="7">
        <f t="shared" si="37"/>
        <v>0.104</v>
      </c>
      <c r="P54" s="7">
        <f t="shared" si="37"/>
        <v>0.078</v>
      </c>
      <c r="Q54" s="7">
        <f t="shared" si="37"/>
        <v>0.127</v>
      </c>
      <c r="R54" s="7">
        <f t="shared" si="37"/>
        <v>0.075</v>
      </c>
      <c r="S54" s="7">
        <f t="shared" si="37"/>
        <v>0.124</v>
      </c>
    </row>
    <row r="55">
      <c r="B55" s="6" t="s">
        <v>6</v>
      </c>
      <c r="C55" s="7">
        <v>0.206</v>
      </c>
      <c r="D55" s="7">
        <v>0.245</v>
      </c>
      <c r="E55" s="7">
        <v>0.283</v>
      </c>
      <c r="F55" s="7">
        <v>0.259</v>
      </c>
      <c r="G55" s="7">
        <v>0.308</v>
      </c>
      <c r="H55" s="7">
        <v>0.256</v>
      </c>
      <c r="I55" s="7">
        <v>0.305</v>
      </c>
      <c r="J55" s="3"/>
      <c r="L55" s="6" t="s">
        <v>6</v>
      </c>
      <c r="M55" s="7">
        <f t="shared" ref="M55:S55" si="38">C55-$C$53</f>
        <v>0.051</v>
      </c>
      <c r="N55" s="7">
        <f t="shared" si="38"/>
        <v>0.09</v>
      </c>
      <c r="O55" s="7">
        <f t="shared" si="38"/>
        <v>0.128</v>
      </c>
      <c r="P55" s="7">
        <f t="shared" si="38"/>
        <v>0.104</v>
      </c>
      <c r="Q55" s="7">
        <f t="shared" si="38"/>
        <v>0.153</v>
      </c>
      <c r="R55" s="7">
        <f t="shared" si="38"/>
        <v>0.101</v>
      </c>
      <c r="S55" s="7">
        <f t="shared" si="38"/>
        <v>0.15</v>
      </c>
    </row>
    <row r="56">
      <c r="B56" s="6" t="s">
        <v>7</v>
      </c>
      <c r="C56" s="7">
        <v>0.205</v>
      </c>
      <c r="D56" s="7">
        <v>0.245</v>
      </c>
      <c r="E56" s="7">
        <v>0.281</v>
      </c>
      <c r="F56" s="7">
        <v>0.249</v>
      </c>
      <c r="G56" s="7">
        <v>0.291</v>
      </c>
      <c r="H56" s="7">
        <v>0.249</v>
      </c>
      <c r="I56" s="7">
        <v>0.288</v>
      </c>
      <c r="J56" s="3"/>
      <c r="L56" s="6" t="s">
        <v>7</v>
      </c>
      <c r="M56" s="7">
        <f t="shared" ref="M56:S56" si="39">C56-$C$53</f>
        <v>0.05</v>
      </c>
      <c r="N56" s="7">
        <f t="shared" si="39"/>
        <v>0.09</v>
      </c>
      <c r="O56" s="7">
        <f t="shared" si="39"/>
        <v>0.126</v>
      </c>
      <c r="P56" s="7">
        <f t="shared" si="39"/>
        <v>0.094</v>
      </c>
      <c r="Q56" s="7">
        <f t="shared" si="39"/>
        <v>0.136</v>
      </c>
      <c r="R56" s="7">
        <f t="shared" si="39"/>
        <v>0.094</v>
      </c>
      <c r="S56" s="7">
        <f t="shared" si="39"/>
        <v>0.133</v>
      </c>
    </row>
    <row r="57">
      <c r="B57" s="6" t="s">
        <v>8</v>
      </c>
      <c r="C57" s="7">
        <v>0.337</v>
      </c>
      <c r="D57" s="7">
        <v>0.371</v>
      </c>
      <c r="E57" s="7">
        <v>0.397</v>
      </c>
      <c r="F57" s="7">
        <v>0.294</v>
      </c>
      <c r="G57" s="7">
        <v>0.254</v>
      </c>
      <c r="H57" s="7">
        <v>0.297</v>
      </c>
      <c r="I57" s="7">
        <v>0.26</v>
      </c>
      <c r="J57" s="3"/>
      <c r="L57" s="6" t="s">
        <v>8</v>
      </c>
      <c r="M57" s="7">
        <f t="shared" ref="M57:S57" si="40">C57-$C$53</f>
        <v>0.182</v>
      </c>
      <c r="N57" s="7">
        <f t="shared" si="40"/>
        <v>0.216</v>
      </c>
      <c r="O57" s="7">
        <f t="shared" si="40"/>
        <v>0.242</v>
      </c>
      <c r="P57" s="7">
        <f t="shared" si="40"/>
        <v>0.139</v>
      </c>
      <c r="Q57" s="7">
        <f t="shared" si="40"/>
        <v>0.099</v>
      </c>
      <c r="R57" s="7">
        <f t="shared" si="40"/>
        <v>0.142</v>
      </c>
      <c r="S57" s="7">
        <f t="shared" si="40"/>
        <v>0.105</v>
      </c>
    </row>
    <row r="58">
      <c r="B58" s="6" t="s">
        <v>9</v>
      </c>
      <c r="C58" s="7">
        <v>0.209</v>
      </c>
      <c r="D58" s="7">
        <v>0.251</v>
      </c>
      <c r="E58" s="7">
        <v>0.287</v>
      </c>
      <c r="F58" s="7">
        <v>0.25</v>
      </c>
      <c r="G58" s="7">
        <v>0.285</v>
      </c>
      <c r="H58" s="7">
        <v>0.247</v>
      </c>
      <c r="I58" s="7">
        <v>0.282</v>
      </c>
      <c r="J58" s="3"/>
      <c r="L58" s="6" t="s">
        <v>9</v>
      </c>
      <c r="M58" s="7">
        <f t="shared" ref="M58:S58" si="41">C58-$C$53</f>
        <v>0.054</v>
      </c>
      <c r="N58" s="7">
        <f t="shared" si="41"/>
        <v>0.096</v>
      </c>
      <c r="O58" s="7">
        <f t="shared" si="41"/>
        <v>0.132</v>
      </c>
      <c r="P58" s="7">
        <f t="shared" si="41"/>
        <v>0.095</v>
      </c>
      <c r="Q58" s="7">
        <f t="shared" si="41"/>
        <v>0.13</v>
      </c>
      <c r="R58" s="7">
        <f t="shared" si="41"/>
        <v>0.092</v>
      </c>
      <c r="S58" s="7">
        <f t="shared" si="41"/>
        <v>0.127</v>
      </c>
    </row>
    <row r="59">
      <c r="B59" s="6" t="s">
        <v>10</v>
      </c>
      <c r="C59" s="7">
        <v>0.221</v>
      </c>
      <c r="D59" s="7">
        <v>0.26</v>
      </c>
      <c r="E59" s="7">
        <v>0.296</v>
      </c>
      <c r="F59" s="7">
        <v>0.227</v>
      </c>
      <c r="G59" s="7">
        <v>0.245</v>
      </c>
      <c r="H59" s="7">
        <v>0.23</v>
      </c>
      <c r="I59" s="7">
        <v>0.244</v>
      </c>
      <c r="J59" s="3"/>
      <c r="L59" s="6" t="s">
        <v>10</v>
      </c>
      <c r="M59" s="7">
        <f t="shared" ref="M59:S59" si="42">C59-$C$53</f>
        <v>0.066</v>
      </c>
      <c r="N59" s="7">
        <f t="shared" si="42"/>
        <v>0.105</v>
      </c>
      <c r="O59" s="7">
        <f t="shared" si="42"/>
        <v>0.141</v>
      </c>
      <c r="P59" s="7">
        <f t="shared" si="42"/>
        <v>0.072</v>
      </c>
      <c r="Q59" s="7">
        <f t="shared" si="42"/>
        <v>0.09</v>
      </c>
      <c r="R59" s="7">
        <f t="shared" si="42"/>
        <v>0.075</v>
      </c>
      <c r="S59" s="7">
        <f t="shared" si="42"/>
        <v>0.089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0.03025</v>
      </c>
    </row>
    <row r="63">
      <c r="B63" s="6" t="s">
        <v>4</v>
      </c>
      <c r="C63" s="7">
        <f t="shared" ref="C63:I63" si="43">AVERAGE(C3, C13)</f>
        <v>0.3</v>
      </c>
      <c r="D63" s="7">
        <f t="shared" si="43"/>
        <v>0.3255</v>
      </c>
      <c r="E63" s="7">
        <f t="shared" si="43"/>
        <v>0.3525</v>
      </c>
      <c r="F63" s="7">
        <f t="shared" si="43"/>
        <v>0.322</v>
      </c>
      <c r="G63" s="7">
        <f t="shared" si="43"/>
        <v>0.339</v>
      </c>
      <c r="H63" s="7">
        <f t="shared" si="43"/>
        <v>0.3115</v>
      </c>
      <c r="I63" s="7">
        <f t="shared" si="43"/>
        <v>0.331</v>
      </c>
      <c r="J63" s="3"/>
      <c r="L63" s="6" t="s">
        <v>4</v>
      </c>
      <c r="M63" s="7">
        <f t="shared" ref="M63:S63" si="44">C63-$C$63</f>
        <v>0</v>
      </c>
      <c r="N63" s="7">
        <f t="shared" si="44"/>
        <v>0.0255</v>
      </c>
      <c r="O63" s="7">
        <f t="shared" si="44"/>
        <v>0.0525</v>
      </c>
      <c r="P63" s="7">
        <f t="shared" si="44"/>
        <v>0.022</v>
      </c>
      <c r="Q63" s="7">
        <f t="shared" si="44"/>
        <v>0.039</v>
      </c>
      <c r="R63" s="7">
        <f t="shared" si="44"/>
        <v>0.0115</v>
      </c>
      <c r="S63" s="7">
        <f t="shared" si="44"/>
        <v>0.031</v>
      </c>
      <c r="U63" s="8" t="s">
        <v>23</v>
      </c>
      <c r="V63" s="3">
        <f>average(M64:M69)</f>
        <v>0.02708333333</v>
      </c>
    </row>
    <row r="64">
      <c r="B64" s="6" t="s">
        <v>5</v>
      </c>
      <c r="C64" s="7">
        <f t="shared" ref="C64:I64" si="45">AVERAGE(C4, C14)</f>
        <v>0.315</v>
      </c>
      <c r="D64" s="7">
        <f t="shared" si="45"/>
        <v>0.3405</v>
      </c>
      <c r="E64" s="7">
        <f t="shared" si="45"/>
        <v>0.3615</v>
      </c>
      <c r="F64" s="7">
        <f t="shared" si="45"/>
        <v>0.332</v>
      </c>
      <c r="G64" s="7">
        <f t="shared" si="45"/>
        <v>0.3585</v>
      </c>
      <c r="H64" s="7">
        <f t="shared" si="45"/>
        <v>0.332</v>
      </c>
      <c r="I64" s="7">
        <f t="shared" si="45"/>
        <v>0.3475</v>
      </c>
      <c r="J64" s="3"/>
      <c r="L64" s="6" t="s">
        <v>5</v>
      </c>
      <c r="M64" s="7">
        <f t="shared" ref="M64:S64" si="46">C64-$C$63</f>
        <v>0.015</v>
      </c>
      <c r="N64" s="7">
        <f t="shared" si="46"/>
        <v>0.0405</v>
      </c>
      <c r="O64" s="7">
        <f t="shared" si="46"/>
        <v>0.0615</v>
      </c>
      <c r="P64" s="7">
        <f t="shared" si="46"/>
        <v>0.032</v>
      </c>
      <c r="Q64" s="7">
        <f t="shared" si="46"/>
        <v>0.0585</v>
      </c>
      <c r="R64" s="7">
        <f t="shared" si="46"/>
        <v>0.032</v>
      </c>
      <c r="S64" s="7">
        <f t="shared" si="46"/>
        <v>0.0475</v>
      </c>
      <c r="U64" s="8" t="s">
        <v>24</v>
      </c>
      <c r="V64" s="3">
        <f>AVERAGE(N64:S69)</f>
        <v>0.05366666667</v>
      </c>
    </row>
    <row r="65">
      <c r="B65" s="6" t="s">
        <v>6</v>
      </c>
      <c r="C65" s="7">
        <f t="shared" ref="C65:I65" si="47">AVERAGE(C5, C15)</f>
        <v>0.336</v>
      </c>
      <c r="D65" s="7">
        <f t="shared" si="47"/>
        <v>0.3585</v>
      </c>
      <c r="E65" s="7">
        <f t="shared" si="47"/>
        <v>0.3745</v>
      </c>
      <c r="F65" s="7">
        <f t="shared" si="47"/>
        <v>0.352</v>
      </c>
      <c r="G65" s="7">
        <f t="shared" si="47"/>
        <v>0.37</v>
      </c>
      <c r="H65" s="7">
        <f t="shared" si="47"/>
        <v>0.343</v>
      </c>
      <c r="I65" s="7">
        <f t="shared" si="47"/>
        <v>0.353</v>
      </c>
      <c r="J65" s="3"/>
      <c r="L65" s="6" t="s">
        <v>6</v>
      </c>
      <c r="M65" s="7">
        <f t="shared" ref="M65:S65" si="48">C65-$C$63</f>
        <v>0.036</v>
      </c>
      <c r="N65" s="7">
        <f t="shared" si="48"/>
        <v>0.0585</v>
      </c>
      <c r="O65" s="7">
        <f t="shared" si="48"/>
        <v>0.0745</v>
      </c>
      <c r="P65" s="7">
        <f t="shared" si="48"/>
        <v>0.052</v>
      </c>
      <c r="Q65" s="7">
        <f t="shared" si="48"/>
        <v>0.07</v>
      </c>
      <c r="R65" s="7">
        <f t="shared" si="48"/>
        <v>0.043</v>
      </c>
      <c r="S65" s="7">
        <f t="shared" si="48"/>
        <v>0.053</v>
      </c>
    </row>
    <row r="66">
      <c r="B66" s="6" t="s">
        <v>7</v>
      </c>
      <c r="C66" s="7">
        <f t="shared" ref="C66:I66" si="49">AVERAGE(C6, C16)</f>
        <v>0.333</v>
      </c>
      <c r="D66" s="7">
        <f t="shared" si="49"/>
        <v>0.357</v>
      </c>
      <c r="E66" s="7">
        <f t="shared" si="49"/>
        <v>0.38</v>
      </c>
      <c r="F66" s="7">
        <f t="shared" si="49"/>
        <v>0.347</v>
      </c>
      <c r="G66" s="7">
        <f t="shared" si="49"/>
        <v>0.3675</v>
      </c>
      <c r="H66" s="7">
        <f t="shared" si="49"/>
        <v>0.342</v>
      </c>
      <c r="I66" s="7">
        <f t="shared" si="49"/>
        <v>0.356</v>
      </c>
      <c r="J66" s="3"/>
      <c r="L66" s="6" t="s">
        <v>7</v>
      </c>
      <c r="M66" s="7">
        <f t="shared" ref="M66:S66" si="50">C66-$C$63</f>
        <v>0.033</v>
      </c>
      <c r="N66" s="7">
        <f t="shared" si="50"/>
        <v>0.057</v>
      </c>
      <c r="O66" s="7">
        <f t="shared" si="50"/>
        <v>0.08</v>
      </c>
      <c r="P66" s="7">
        <f t="shared" si="50"/>
        <v>0.047</v>
      </c>
      <c r="Q66" s="7">
        <f t="shared" si="50"/>
        <v>0.0675</v>
      </c>
      <c r="R66" s="7">
        <f t="shared" si="50"/>
        <v>0.042</v>
      </c>
      <c r="S66" s="7">
        <f t="shared" si="50"/>
        <v>0.056</v>
      </c>
    </row>
    <row r="67">
      <c r="B67" s="6" t="s">
        <v>8</v>
      </c>
      <c r="C67" s="7">
        <f t="shared" ref="C67:I67" si="51">AVERAGE(C7, C17)</f>
        <v>0.341</v>
      </c>
      <c r="D67" s="7">
        <f t="shared" si="51"/>
        <v>0.3605</v>
      </c>
      <c r="E67" s="7">
        <f t="shared" si="51"/>
        <v>0.3855</v>
      </c>
      <c r="F67" s="7">
        <f t="shared" si="51"/>
        <v>0.36</v>
      </c>
      <c r="G67" s="7">
        <f t="shared" si="51"/>
        <v>0.38</v>
      </c>
      <c r="H67" s="7">
        <f t="shared" si="51"/>
        <v>0.3545</v>
      </c>
      <c r="I67" s="7">
        <f t="shared" si="51"/>
        <v>0.3685</v>
      </c>
      <c r="J67" s="3"/>
      <c r="L67" s="6" t="s">
        <v>8</v>
      </c>
      <c r="M67" s="7">
        <f t="shared" ref="M67:S67" si="52">C67-$C$63</f>
        <v>0.041</v>
      </c>
      <c r="N67" s="7">
        <f t="shared" si="52"/>
        <v>0.0605</v>
      </c>
      <c r="O67" s="7">
        <f t="shared" si="52"/>
        <v>0.0855</v>
      </c>
      <c r="P67" s="7">
        <f t="shared" si="52"/>
        <v>0.06</v>
      </c>
      <c r="Q67" s="7">
        <f t="shared" si="52"/>
        <v>0.08</v>
      </c>
      <c r="R67" s="7">
        <f t="shared" si="52"/>
        <v>0.0545</v>
      </c>
      <c r="S67" s="7">
        <f t="shared" si="52"/>
        <v>0.0685</v>
      </c>
    </row>
    <row r="68">
      <c r="B68" s="6" t="s">
        <v>9</v>
      </c>
      <c r="C68" s="7">
        <f t="shared" ref="C68:I68" si="53">AVERAGE(C8, C18)</f>
        <v>0.3095</v>
      </c>
      <c r="D68" s="7">
        <f t="shared" si="53"/>
        <v>0.333</v>
      </c>
      <c r="E68" s="7">
        <f t="shared" si="53"/>
        <v>0.3585</v>
      </c>
      <c r="F68" s="7">
        <f t="shared" si="53"/>
        <v>0.333</v>
      </c>
      <c r="G68" s="7">
        <f t="shared" si="53"/>
        <v>0.348</v>
      </c>
      <c r="H68" s="7">
        <f t="shared" si="53"/>
        <v>0.321</v>
      </c>
      <c r="I68" s="7">
        <f t="shared" si="53"/>
        <v>0.3425</v>
      </c>
      <c r="J68" s="3"/>
      <c r="L68" s="6" t="s">
        <v>9</v>
      </c>
      <c r="M68" s="7">
        <f t="shared" ref="M68:S68" si="54">C68-$C$63</f>
        <v>0.0095</v>
      </c>
      <c r="N68" s="7">
        <f t="shared" si="54"/>
        <v>0.033</v>
      </c>
      <c r="O68" s="7">
        <f t="shared" si="54"/>
        <v>0.0585</v>
      </c>
      <c r="P68" s="7">
        <f t="shared" si="54"/>
        <v>0.033</v>
      </c>
      <c r="Q68" s="7">
        <f t="shared" si="54"/>
        <v>0.048</v>
      </c>
      <c r="R68" s="7">
        <f t="shared" si="54"/>
        <v>0.021</v>
      </c>
      <c r="S68" s="7">
        <f t="shared" si="54"/>
        <v>0.0425</v>
      </c>
    </row>
    <row r="69">
      <c r="B69" s="6" t="s">
        <v>10</v>
      </c>
      <c r="C69" s="7">
        <f t="shared" ref="C69:I69" si="55">AVERAGE(C9, C19)</f>
        <v>0.328</v>
      </c>
      <c r="D69" s="7">
        <f t="shared" si="55"/>
        <v>0.3475</v>
      </c>
      <c r="E69" s="7">
        <f t="shared" si="55"/>
        <v>0.378</v>
      </c>
      <c r="F69" s="7">
        <f t="shared" si="55"/>
        <v>0.3465</v>
      </c>
      <c r="G69" s="7">
        <f t="shared" si="55"/>
        <v>0.356</v>
      </c>
      <c r="H69" s="7">
        <f t="shared" si="55"/>
        <v>0.338</v>
      </c>
      <c r="I69" s="7">
        <f t="shared" si="55"/>
        <v>0.3485</v>
      </c>
      <c r="J69" s="3"/>
      <c r="L69" s="6" t="s">
        <v>10</v>
      </c>
      <c r="M69" s="7">
        <f t="shared" ref="M69:S69" si="56">C69-$C$63</f>
        <v>0.028</v>
      </c>
      <c r="N69" s="7">
        <f t="shared" si="56"/>
        <v>0.0475</v>
      </c>
      <c r="O69" s="7">
        <f t="shared" si="56"/>
        <v>0.078</v>
      </c>
      <c r="P69" s="7">
        <f t="shared" si="56"/>
        <v>0.0465</v>
      </c>
      <c r="Q69" s="7">
        <f t="shared" si="56"/>
        <v>0.056</v>
      </c>
      <c r="R69" s="7">
        <f t="shared" si="56"/>
        <v>0.038</v>
      </c>
      <c r="S69" s="7">
        <f t="shared" si="56"/>
        <v>0.0485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0.0225</v>
      </c>
    </row>
    <row r="73">
      <c r="B73" s="6" t="s">
        <v>4</v>
      </c>
      <c r="C73" s="7">
        <f t="shared" ref="C73:I73" si="57">AVERAGE(C23, C33)</f>
        <v>0.463</v>
      </c>
      <c r="D73" s="7">
        <f t="shared" si="57"/>
        <v>0.4655</v>
      </c>
      <c r="E73" s="7">
        <f t="shared" si="57"/>
        <v>0.4785</v>
      </c>
      <c r="F73" s="7">
        <f t="shared" si="57"/>
        <v>0.484</v>
      </c>
      <c r="G73" s="7">
        <f t="shared" si="57"/>
        <v>0.499</v>
      </c>
      <c r="H73" s="7">
        <f t="shared" si="57"/>
        <v>0.484</v>
      </c>
      <c r="I73" s="7">
        <f t="shared" si="57"/>
        <v>0.502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0.0025</v>
      </c>
      <c r="O73" s="7">
        <f t="shared" si="58"/>
        <v>0.0155</v>
      </c>
      <c r="P73" s="7">
        <f t="shared" si="58"/>
        <v>0.021</v>
      </c>
      <c r="Q73" s="7">
        <f t="shared" si="58"/>
        <v>0.036</v>
      </c>
      <c r="R73" s="7">
        <f t="shared" si="58"/>
        <v>0.021</v>
      </c>
      <c r="S73" s="7">
        <f t="shared" si="58"/>
        <v>0.039</v>
      </c>
      <c r="U73" s="8" t="s">
        <v>23</v>
      </c>
      <c r="V73" s="3">
        <f>average(M74:M79)</f>
        <v>0.006583333333</v>
      </c>
    </row>
    <row r="74">
      <c r="B74" s="6" t="s">
        <v>5</v>
      </c>
      <c r="C74" s="7">
        <f t="shared" ref="C74:I74" si="59">AVERAGE(C24, C34)</f>
        <v>0.4535</v>
      </c>
      <c r="D74" s="7">
        <f t="shared" si="59"/>
        <v>0.454</v>
      </c>
      <c r="E74" s="7">
        <f t="shared" si="59"/>
        <v>0.4665</v>
      </c>
      <c r="F74" s="7">
        <f t="shared" si="59"/>
        <v>0.485</v>
      </c>
      <c r="G74" s="7">
        <f t="shared" si="59"/>
        <v>0.5175</v>
      </c>
      <c r="H74" s="7">
        <f t="shared" si="59"/>
        <v>0.484</v>
      </c>
      <c r="I74" s="7">
        <f t="shared" si="59"/>
        <v>0.5145</v>
      </c>
      <c r="J74" s="3"/>
      <c r="L74" s="6" t="s">
        <v>5</v>
      </c>
      <c r="M74" s="7">
        <f t="shared" ref="M74:S74" si="60">C74-$C$73</f>
        <v>-0.0095</v>
      </c>
      <c r="N74" s="7">
        <f t="shared" si="60"/>
        <v>-0.009</v>
      </c>
      <c r="O74" s="7">
        <f t="shared" si="60"/>
        <v>0.0035</v>
      </c>
      <c r="P74" s="7">
        <f t="shared" si="60"/>
        <v>0.022</v>
      </c>
      <c r="Q74" s="7">
        <f t="shared" si="60"/>
        <v>0.0545</v>
      </c>
      <c r="R74" s="7">
        <f t="shared" si="60"/>
        <v>0.021</v>
      </c>
      <c r="S74" s="7">
        <f t="shared" si="60"/>
        <v>0.0515</v>
      </c>
      <c r="U74" s="8" t="s">
        <v>24</v>
      </c>
      <c r="V74" s="3">
        <f>AVERAGE(N74:S79)</f>
        <v>0.02609722222</v>
      </c>
    </row>
    <row r="75">
      <c r="B75" s="6" t="s">
        <v>6</v>
      </c>
      <c r="C75" s="7">
        <f t="shared" ref="C75:I75" si="61">AVERAGE(C25, C35)</f>
        <v>0.467</v>
      </c>
      <c r="D75" s="7">
        <f t="shared" si="61"/>
        <v>0.47</v>
      </c>
      <c r="E75" s="7">
        <f t="shared" si="61"/>
        <v>0.4805</v>
      </c>
      <c r="F75" s="7">
        <f t="shared" si="61"/>
        <v>0.4825</v>
      </c>
      <c r="G75" s="7">
        <f t="shared" si="61"/>
        <v>0.503</v>
      </c>
      <c r="H75" s="7">
        <f t="shared" si="61"/>
        <v>0.482</v>
      </c>
      <c r="I75" s="7">
        <f t="shared" si="61"/>
        <v>0.4975</v>
      </c>
      <c r="J75" s="3"/>
      <c r="L75" s="6" t="s">
        <v>6</v>
      </c>
      <c r="M75" s="7">
        <f t="shared" ref="M75:S75" si="62">C75-$C$73</f>
        <v>0.004</v>
      </c>
      <c r="N75" s="7">
        <f t="shared" si="62"/>
        <v>0.007</v>
      </c>
      <c r="O75" s="7">
        <f t="shared" si="62"/>
        <v>0.0175</v>
      </c>
      <c r="P75" s="7">
        <f t="shared" si="62"/>
        <v>0.0195</v>
      </c>
      <c r="Q75" s="7">
        <f t="shared" si="62"/>
        <v>0.04</v>
      </c>
      <c r="R75" s="7">
        <f t="shared" si="62"/>
        <v>0.019</v>
      </c>
      <c r="S75" s="7">
        <f t="shared" si="62"/>
        <v>0.0345</v>
      </c>
    </row>
    <row r="76">
      <c r="B76" s="6" t="s">
        <v>7</v>
      </c>
      <c r="C76" s="7">
        <f t="shared" ref="C76:I76" si="63">AVERAGE(C26, C36)</f>
        <v>0.4655</v>
      </c>
      <c r="D76" s="7">
        <f t="shared" si="63"/>
        <v>0.4675</v>
      </c>
      <c r="E76" s="7">
        <f t="shared" si="63"/>
        <v>0.476</v>
      </c>
      <c r="F76" s="7">
        <f t="shared" si="63"/>
        <v>0.4855</v>
      </c>
      <c r="G76" s="7">
        <f t="shared" si="63"/>
        <v>0.501</v>
      </c>
      <c r="H76" s="7">
        <f t="shared" si="63"/>
        <v>0.4795</v>
      </c>
      <c r="I76" s="7">
        <f t="shared" si="63"/>
        <v>0.4995</v>
      </c>
      <c r="J76" s="3"/>
      <c r="L76" s="6" t="s">
        <v>7</v>
      </c>
      <c r="M76" s="7">
        <f t="shared" ref="M76:S76" si="64">C76-$C$73</f>
        <v>0.0025</v>
      </c>
      <c r="N76" s="7">
        <f t="shared" si="64"/>
        <v>0.0045</v>
      </c>
      <c r="O76" s="7">
        <f t="shared" si="64"/>
        <v>0.013</v>
      </c>
      <c r="P76" s="7">
        <f t="shared" si="64"/>
        <v>0.0225</v>
      </c>
      <c r="Q76" s="7">
        <f t="shared" si="64"/>
        <v>0.038</v>
      </c>
      <c r="R76" s="7">
        <f t="shared" si="64"/>
        <v>0.0165</v>
      </c>
      <c r="S76" s="7">
        <f t="shared" si="64"/>
        <v>0.0365</v>
      </c>
    </row>
    <row r="77">
      <c r="B77" s="6" t="s">
        <v>8</v>
      </c>
      <c r="C77" s="7">
        <f t="shared" ref="C77:I77" si="65">AVERAGE(C27, C37)</f>
        <v>0.476</v>
      </c>
      <c r="D77" s="7">
        <f t="shared" si="65"/>
        <v>0.4755</v>
      </c>
      <c r="E77" s="7">
        <f t="shared" si="65"/>
        <v>0.4825</v>
      </c>
      <c r="F77" s="7">
        <f t="shared" si="65"/>
        <v>0.492</v>
      </c>
      <c r="G77" s="7">
        <f t="shared" si="65"/>
        <v>0.5115</v>
      </c>
      <c r="H77" s="7">
        <f t="shared" si="65"/>
        <v>0.4915</v>
      </c>
      <c r="I77" s="7">
        <f t="shared" si="65"/>
        <v>0.5065</v>
      </c>
      <c r="J77" s="3"/>
      <c r="L77" s="6" t="s">
        <v>8</v>
      </c>
      <c r="M77" s="7">
        <f t="shared" ref="M77:S77" si="66">C77-$C$73</f>
        <v>0.013</v>
      </c>
      <c r="N77" s="7">
        <f t="shared" si="66"/>
        <v>0.0125</v>
      </c>
      <c r="O77" s="7">
        <f t="shared" si="66"/>
        <v>0.0195</v>
      </c>
      <c r="P77" s="7">
        <f t="shared" si="66"/>
        <v>0.029</v>
      </c>
      <c r="Q77" s="7">
        <f t="shared" si="66"/>
        <v>0.0485</v>
      </c>
      <c r="R77" s="7">
        <f t="shared" si="66"/>
        <v>0.0285</v>
      </c>
      <c r="S77" s="7">
        <f t="shared" si="66"/>
        <v>0.0435</v>
      </c>
    </row>
    <row r="78">
      <c r="B78" s="6" t="s">
        <v>9</v>
      </c>
      <c r="C78" s="7">
        <f t="shared" ref="C78:I78" si="67">AVERAGE(C28, C38)</f>
        <v>0.4845</v>
      </c>
      <c r="D78" s="7">
        <f t="shared" si="67"/>
        <v>0.4845</v>
      </c>
      <c r="E78" s="7">
        <f t="shared" si="67"/>
        <v>0.4915</v>
      </c>
      <c r="F78" s="7">
        <f t="shared" si="67"/>
        <v>0.503</v>
      </c>
      <c r="G78" s="7">
        <f t="shared" si="67"/>
        <v>0.5125</v>
      </c>
      <c r="H78" s="7">
        <f t="shared" si="67"/>
        <v>0.5005</v>
      </c>
      <c r="I78" s="7">
        <f t="shared" si="67"/>
        <v>0.5105</v>
      </c>
      <c r="J78" s="3"/>
      <c r="L78" s="6" t="s">
        <v>9</v>
      </c>
      <c r="M78" s="7">
        <f t="shared" ref="M78:S78" si="68">C78-$C$73</f>
        <v>0.0215</v>
      </c>
      <c r="N78" s="7">
        <f t="shared" si="68"/>
        <v>0.0215</v>
      </c>
      <c r="O78" s="7">
        <f t="shared" si="68"/>
        <v>0.0285</v>
      </c>
      <c r="P78" s="7">
        <f t="shared" si="68"/>
        <v>0.04</v>
      </c>
      <c r="Q78" s="7">
        <f t="shared" si="68"/>
        <v>0.0495</v>
      </c>
      <c r="R78" s="7">
        <f t="shared" si="68"/>
        <v>0.0375</v>
      </c>
      <c r="S78" s="7">
        <f t="shared" si="68"/>
        <v>0.0475</v>
      </c>
    </row>
    <row r="79">
      <c r="B79" s="6" t="s">
        <v>10</v>
      </c>
      <c r="C79" s="7">
        <f t="shared" ref="C79:I79" si="69">AVERAGE(C29, C39)</f>
        <v>0.471</v>
      </c>
      <c r="D79" s="7">
        <f t="shared" si="69"/>
        <v>0.4715</v>
      </c>
      <c r="E79" s="7">
        <f t="shared" si="69"/>
        <v>0.478</v>
      </c>
      <c r="F79" s="7">
        <f t="shared" si="69"/>
        <v>0.4795</v>
      </c>
      <c r="G79" s="7">
        <f t="shared" si="69"/>
        <v>0.495</v>
      </c>
      <c r="H79" s="7">
        <f t="shared" si="69"/>
        <v>0.4795</v>
      </c>
      <c r="I79" s="7">
        <f t="shared" si="69"/>
        <v>0.496</v>
      </c>
      <c r="J79" s="3"/>
      <c r="L79" s="6" t="s">
        <v>10</v>
      </c>
      <c r="M79" s="7">
        <f t="shared" ref="M79:S79" si="70">C79-$C$73</f>
        <v>0.008</v>
      </c>
      <c r="N79" s="7">
        <f t="shared" si="70"/>
        <v>0.0085</v>
      </c>
      <c r="O79" s="7">
        <f t="shared" si="70"/>
        <v>0.015</v>
      </c>
      <c r="P79" s="7">
        <f t="shared" si="70"/>
        <v>0.0165</v>
      </c>
      <c r="Q79" s="7">
        <f t="shared" si="70"/>
        <v>0.032</v>
      </c>
      <c r="R79" s="7">
        <f t="shared" si="70"/>
        <v>0.0165</v>
      </c>
      <c r="S79" s="7">
        <f t="shared" si="70"/>
        <v>0.033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0.0565</v>
      </c>
    </row>
    <row r="83">
      <c r="B83" s="6" t="s">
        <v>4</v>
      </c>
      <c r="C83" s="7">
        <f t="shared" ref="C83:I83" si="71">AVERAGE(C43, C53)</f>
        <v>0.2565</v>
      </c>
      <c r="D83" s="7">
        <f t="shared" si="71"/>
        <v>0.2935</v>
      </c>
      <c r="E83" s="7">
        <f t="shared" si="71"/>
        <v>0.3245</v>
      </c>
      <c r="F83" s="7">
        <f t="shared" si="71"/>
        <v>0.298</v>
      </c>
      <c r="G83" s="7">
        <f t="shared" si="71"/>
        <v>0.338</v>
      </c>
      <c r="H83" s="7">
        <f t="shared" si="71"/>
        <v>0.292</v>
      </c>
      <c r="I83" s="7">
        <f t="shared" si="71"/>
        <v>0.332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0.037</v>
      </c>
      <c r="O83" s="7">
        <f t="shared" si="72"/>
        <v>0.068</v>
      </c>
      <c r="P83" s="7">
        <f t="shared" si="72"/>
        <v>0.0415</v>
      </c>
      <c r="Q83" s="7">
        <f t="shared" si="72"/>
        <v>0.0815</v>
      </c>
      <c r="R83" s="7">
        <f t="shared" si="72"/>
        <v>0.0355</v>
      </c>
      <c r="S83" s="7">
        <f t="shared" si="72"/>
        <v>0.0755</v>
      </c>
      <c r="U83" s="8" t="s">
        <v>23</v>
      </c>
      <c r="V83" s="3">
        <f>average(M84:M89)</f>
        <v>0.02541666667</v>
      </c>
    </row>
    <row r="84">
      <c r="B84" s="6" t="s">
        <v>5</v>
      </c>
      <c r="C84" s="7">
        <f t="shared" ref="C84:I84" si="73">AVERAGE(C44, C54)</f>
        <v>0.251</v>
      </c>
      <c r="D84" s="7">
        <f t="shared" si="73"/>
        <v>0.286</v>
      </c>
      <c r="E84" s="7">
        <f t="shared" si="73"/>
        <v>0.3225</v>
      </c>
      <c r="F84" s="7">
        <f t="shared" si="73"/>
        <v>0.296</v>
      </c>
      <c r="G84" s="7">
        <f t="shared" si="73"/>
        <v>0.3355</v>
      </c>
      <c r="H84" s="7">
        <f t="shared" si="73"/>
        <v>0.2885</v>
      </c>
      <c r="I84" s="7">
        <f t="shared" si="73"/>
        <v>0.3295</v>
      </c>
      <c r="J84" s="3"/>
      <c r="L84" s="6" t="s">
        <v>5</v>
      </c>
      <c r="M84" s="7">
        <f t="shared" ref="M84:S84" si="74">C84-$C$83</f>
        <v>-0.0055</v>
      </c>
      <c r="N84" s="7">
        <f t="shared" si="74"/>
        <v>0.0295</v>
      </c>
      <c r="O84" s="7">
        <f t="shared" si="74"/>
        <v>0.066</v>
      </c>
      <c r="P84" s="7">
        <f t="shared" si="74"/>
        <v>0.0395</v>
      </c>
      <c r="Q84" s="7">
        <f t="shared" si="74"/>
        <v>0.079</v>
      </c>
      <c r="R84" s="7">
        <f t="shared" si="74"/>
        <v>0.032</v>
      </c>
      <c r="S84" s="7">
        <f t="shared" si="74"/>
        <v>0.073</v>
      </c>
      <c r="U84" s="8" t="s">
        <v>24</v>
      </c>
      <c r="V84" s="3">
        <f>AVERAGE(N84:S89)</f>
        <v>0.06529166667</v>
      </c>
    </row>
    <row r="85">
      <c r="B85" s="6" t="s">
        <v>6</v>
      </c>
      <c r="C85" s="7">
        <f t="shared" ref="C85:I85" si="75">AVERAGE(C45, C55)</f>
        <v>0.252</v>
      </c>
      <c r="D85" s="7">
        <f t="shared" si="75"/>
        <v>0.287</v>
      </c>
      <c r="E85" s="7">
        <f t="shared" si="75"/>
        <v>0.3175</v>
      </c>
      <c r="F85" s="7">
        <f t="shared" si="75"/>
        <v>0.2985</v>
      </c>
      <c r="G85" s="7">
        <f t="shared" si="75"/>
        <v>0.338</v>
      </c>
      <c r="H85" s="7">
        <f t="shared" si="75"/>
        <v>0.29</v>
      </c>
      <c r="I85" s="7">
        <f t="shared" si="75"/>
        <v>0.333</v>
      </c>
      <c r="J85" s="3"/>
      <c r="L85" s="6" t="s">
        <v>6</v>
      </c>
      <c r="M85" s="7">
        <f t="shared" ref="M85:S85" si="76">C85-$C$83</f>
        <v>-0.0045</v>
      </c>
      <c r="N85" s="7">
        <f t="shared" si="76"/>
        <v>0.0305</v>
      </c>
      <c r="O85" s="7">
        <f t="shared" si="76"/>
        <v>0.061</v>
      </c>
      <c r="P85" s="7">
        <f t="shared" si="76"/>
        <v>0.042</v>
      </c>
      <c r="Q85" s="7">
        <f t="shared" si="76"/>
        <v>0.0815</v>
      </c>
      <c r="R85" s="7">
        <f t="shared" si="76"/>
        <v>0.0335</v>
      </c>
      <c r="S85" s="7">
        <f t="shared" si="76"/>
        <v>0.0765</v>
      </c>
    </row>
    <row r="86">
      <c r="B86" s="6" t="s">
        <v>7</v>
      </c>
      <c r="C86" s="7">
        <f t="shared" ref="C86:I86" si="77">AVERAGE(C46, C56)</f>
        <v>0.2455</v>
      </c>
      <c r="D86" s="7">
        <f t="shared" si="77"/>
        <v>0.2835</v>
      </c>
      <c r="E86" s="7">
        <f t="shared" si="77"/>
        <v>0.3155</v>
      </c>
      <c r="F86" s="7">
        <f t="shared" si="77"/>
        <v>0.284</v>
      </c>
      <c r="G86" s="7">
        <f t="shared" si="77"/>
        <v>0.3215</v>
      </c>
      <c r="H86" s="7">
        <f t="shared" si="77"/>
        <v>0.2795</v>
      </c>
      <c r="I86" s="7">
        <f t="shared" si="77"/>
        <v>0.3145</v>
      </c>
      <c r="J86" s="3"/>
      <c r="L86" s="6" t="s">
        <v>7</v>
      </c>
      <c r="M86" s="7">
        <f t="shared" ref="M86:S86" si="78">C86-$C$83</f>
        <v>-0.011</v>
      </c>
      <c r="N86" s="7">
        <f t="shared" si="78"/>
        <v>0.027</v>
      </c>
      <c r="O86" s="7">
        <f t="shared" si="78"/>
        <v>0.059</v>
      </c>
      <c r="P86" s="7">
        <f t="shared" si="78"/>
        <v>0.0275</v>
      </c>
      <c r="Q86" s="7">
        <f t="shared" si="78"/>
        <v>0.065</v>
      </c>
      <c r="R86" s="7">
        <f t="shared" si="78"/>
        <v>0.023</v>
      </c>
      <c r="S86" s="7">
        <f t="shared" si="78"/>
        <v>0.058</v>
      </c>
    </row>
    <row r="87">
      <c r="B87" s="6" t="s">
        <v>8</v>
      </c>
      <c r="C87" s="7">
        <f t="shared" ref="C87:I87" si="79">AVERAGE(C47, C57)</f>
        <v>0.348</v>
      </c>
      <c r="D87" s="7">
        <f t="shared" si="79"/>
        <v>0.376</v>
      </c>
      <c r="E87" s="7">
        <f t="shared" si="79"/>
        <v>0.4</v>
      </c>
      <c r="F87" s="7">
        <f t="shared" si="79"/>
        <v>0.3305</v>
      </c>
      <c r="G87" s="7">
        <f t="shared" si="79"/>
        <v>0.3145</v>
      </c>
      <c r="H87" s="7">
        <f t="shared" si="79"/>
        <v>0.3315</v>
      </c>
      <c r="I87" s="7">
        <f t="shared" si="79"/>
        <v>0.3165</v>
      </c>
      <c r="J87" s="3"/>
      <c r="L87" s="6" t="s">
        <v>8</v>
      </c>
      <c r="M87" s="7">
        <f t="shared" ref="M87:S87" si="80">C87-$C$83</f>
        <v>0.0915</v>
      </c>
      <c r="N87" s="7">
        <f t="shared" si="80"/>
        <v>0.1195</v>
      </c>
      <c r="O87" s="7">
        <f t="shared" si="80"/>
        <v>0.1435</v>
      </c>
      <c r="P87" s="7">
        <f t="shared" si="80"/>
        <v>0.074</v>
      </c>
      <c r="Q87" s="7">
        <f t="shared" si="80"/>
        <v>0.058</v>
      </c>
      <c r="R87" s="7">
        <f t="shared" si="80"/>
        <v>0.075</v>
      </c>
      <c r="S87" s="7">
        <f t="shared" si="80"/>
        <v>0.06</v>
      </c>
    </row>
    <row r="88">
      <c r="B88" s="6" t="s">
        <v>9</v>
      </c>
      <c r="C88" s="7">
        <f t="shared" ref="C88:I88" si="81">AVERAGE(C48, C58)</f>
        <v>0.294</v>
      </c>
      <c r="D88" s="7">
        <f t="shared" si="81"/>
        <v>0.329</v>
      </c>
      <c r="E88" s="7">
        <f t="shared" si="81"/>
        <v>0.359</v>
      </c>
      <c r="F88" s="7">
        <f t="shared" si="81"/>
        <v>0.33</v>
      </c>
      <c r="G88" s="7">
        <f t="shared" si="81"/>
        <v>0.3605</v>
      </c>
      <c r="H88" s="7">
        <f t="shared" si="81"/>
        <v>0.323</v>
      </c>
      <c r="I88" s="7">
        <f t="shared" si="81"/>
        <v>0.3545</v>
      </c>
      <c r="J88" s="3"/>
      <c r="L88" s="6" t="s">
        <v>9</v>
      </c>
      <c r="M88" s="7">
        <f t="shared" ref="M88:S88" si="82">C88-$C$83</f>
        <v>0.0375</v>
      </c>
      <c r="N88" s="7">
        <f t="shared" si="82"/>
        <v>0.0725</v>
      </c>
      <c r="O88" s="7">
        <f t="shared" si="82"/>
        <v>0.1025</v>
      </c>
      <c r="P88" s="7">
        <f t="shared" si="82"/>
        <v>0.0735</v>
      </c>
      <c r="Q88" s="7">
        <f t="shared" si="82"/>
        <v>0.104</v>
      </c>
      <c r="R88" s="7">
        <f t="shared" si="82"/>
        <v>0.0665</v>
      </c>
      <c r="S88" s="7">
        <f t="shared" si="82"/>
        <v>0.098</v>
      </c>
    </row>
    <row r="89">
      <c r="B89" s="6" t="s">
        <v>10</v>
      </c>
      <c r="C89" s="7">
        <f t="shared" ref="C89:I89" si="83">AVERAGE(C49, C59)</f>
        <v>0.301</v>
      </c>
      <c r="D89" s="7">
        <f t="shared" si="83"/>
        <v>0.3335</v>
      </c>
      <c r="E89" s="7">
        <f t="shared" si="83"/>
        <v>0.36</v>
      </c>
      <c r="F89" s="7">
        <f t="shared" si="83"/>
        <v>0.3055</v>
      </c>
      <c r="G89" s="7">
        <f t="shared" si="83"/>
        <v>0.317</v>
      </c>
      <c r="H89" s="7">
        <f t="shared" si="83"/>
        <v>0.3075</v>
      </c>
      <c r="I89" s="7">
        <f t="shared" si="83"/>
        <v>0.3155</v>
      </c>
      <c r="J89" s="3"/>
      <c r="L89" s="6" t="s">
        <v>10</v>
      </c>
      <c r="M89" s="7">
        <f t="shared" ref="M89:S89" si="84">C89-$C$83</f>
        <v>0.0445</v>
      </c>
      <c r="N89" s="7">
        <f t="shared" si="84"/>
        <v>0.077</v>
      </c>
      <c r="O89" s="7">
        <f t="shared" si="84"/>
        <v>0.1035</v>
      </c>
      <c r="P89" s="7">
        <f t="shared" si="84"/>
        <v>0.049</v>
      </c>
      <c r="Q89" s="7">
        <f t="shared" si="84"/>
        <v>0.0605</v>
      </c>
      <c r="R89" s="7">
        <f t="shared" si="84"/>
        <v>0.051</v>
      </c>
      <c r="S89" s="7">
        <f t="shared" si="84"/>
        <v>0.059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0.03641666667</v>
      </c>
    </row>
    <row r="93">
      <c r="B93" s="6" t="s">
        <v>4</v>
      </c>
      <c r="C93" s="7">
        <f t="shared" ref="C93:I93" si="85">AVERAGE(C63, C73, C83)</f>
        <v>0.3398333333</v>
      </c>
      <c r="D93" s="7">
        <f t="shared" si="85"/>
        <v>0.3615</v>
      </c>
      <c r="E93" s="7">
        <f t="shared" si="85"/>
        <v>0.3851666667</v>
      </c>
      <c r="F93" s="7">
        <f t="shared" si="85"/>
        <v>0.368</v>
      </c>
      <c r="G93" s="7">
        <f t="shared" si="85"/>
        <v>0.392</v>
      </c>
      <c r="H93" s="7">
        <f t="shared" si="85"/>
        <v>0.3625</v>
      </c>
      <c r="I93" s="7">
        <f t="shared" si="85"/>
        <v>0.3883333333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0.02166666667</v>
      </c>
      <c r="O93" s="7">
        <f t="shared" si="86"/>
        <v>0.04533333333</v>
      </c>
      <c r="P93" s="7">
        <f t="shared" si="86"/>
        <v>0.02816666667</v>
      </c>
      <c r="Q93" s="7">
        <f t="shared" si="86"/>
        <v>0.05216666667</v>
      </c>
      <c r="R93" s="7">
        <f t="shared" si="86"/>
        <v>0.02266666667</v>
      </c>
      <c r="S93" s="7">
        <f t="shared" si="86"/>
        <v>0.0485</v>
      </c>
      <c r="U93" s="8" t="s">
        <v>23</v>
      </c>
      <c r="V93" s="3">
        <f>average(M94:M99)</f>
        <v>0.01969444444</v>
      </c>
    </row>
    <row r="94">
      <c r="B94" s="6" t="s">
        <v>5</v>
      </c>
      <c r="C94" s="7">
        <f t="shared" ref="C94:I94" si="87">AVERAGE(C64, C74, C84)</f>
        <v>0.3398333333</v>
      </c>
      <c r="D94" s="7">
        <f t="shared" si="87"/>
        <v>0.3601666667</v>
      </c>
      <c r="E94" s="7">
        <f t="shared" si="87"/>
        <v>0.3835</v>
      </c>
      <c r="F94" s="7">
        <f t="shared" si="87"/>
        <v>0.371</v>
      </c>
      <c r="G94" s="7">
        <f t="shared" si="87"/>
        <v>0.4038333333</v>
      </c>
      <c r="H94" s="7">
        <f t="shared" si="87"/>
        <v>0.3681666667</v>
      </c>
      <c r="I94" s="7">
        <f t="shared" si="87"/>
        <v>0.3971666667</v>
      </c>
      <c r="J94" s="3"/>
      <c r="L94" s="6" t="s">
        <v>5</v>
      </c>
      <c r="M94" s="7">
        <f t="shared" ref="M94:S94" si="88">C94-$C$93</f>
        <v>0</v>
      </c>
      <c r="N94" s="7">
        <f t="shared" si="88"/>
        <v>0.02033333333</v>
      </c>
      <c r="O94" s="7">
        <f t="shared" si="88"/>
        <v>0.04366666667</v>
      </c>
      <c r="P94" s="7">
        <f t="shared" si="88"/>
        <v>0.03116666667</v>
      </c>
      <c r="Q94" s="7">
        <f t="shared" si="88"/>
        <v>0.064</v>
      </c>
      <c r="R94" s="7">
        <f t="shared" si="88"/>
        <v>0.02833333333</v>
      </c>
      <c r="S94" s="7">
        <f t="shared" si="88"/>
        <v>0.05733333333</v>
      </c>
      <c r="U94" s="8" t="s">
        <v>24</v>
      </c>
      <c r="V94" s="3">
        <f>AVERAGE(N94:S99)</f>
        <v>0.04835185185</v>
      </c>
    </row>
    <row r="95">
      <c r="B95" s="6" t="s">
        <v>6</v>
      </c>
      <c r="C95" s="7">
        <f t="shared" ref="C95:I95" si="89">AVERAGE(C65, C75, C85)</f>
        <v>0.3516666667</v>
      </c>
      <c r="D95" s="7">
        <f t="shared" si="89"/>
        <v>0.3718333333</v>
      </c>
      <c r="E95" s="7">
        <f t="shared" si="89"/>
        <v>0.3908333333</v>
      </c>
      <c r="F95" s="7">
        <f t="shared" si="89"/>
        <v>0.3776666667</v>
      </c>
      <c r="G95" s="7">
        <f t="shared" si="89"/>
        <v>0.4036666667</v>
      </c>
      <c r="H95" s="7">
        <f t="shared" si="89"/>
        <v>0.3716666667</v>
      </c>
      <c r="I95" s="7">
        <f t="shared" si="89"/>
        <v>0.3945</v>
      </c>
      <c r="J95" s="3"/>
      <c r="L95" s="6" t="s">
        <v>6</v>
      </c>
      <c r="M95" s="7">
        <f t="shared" ref="M95:S95" si="90">C95-$C$93</f>
        <v>0.01183333333</v>
      </c>
      <c r="N95" s="7">
        <f t="shared" si="90"/>
        <v>0.032</v>
      </c>
      <c r="O95" s="7">
        <f t="shared" si="90"/>
        <v>0.051</v>
      </c>
      <c r="P95" s="7">
        <f t="shared" si="90"/>
        <v>0.03783333333</v>
      </c>
      <c r="Q95" s="7">
        <f t="shared" si="90"/>
        <v>0.06383333333</v>
      </c>
      <c r="R95" s="7">
        <f t="shared" si="90"/>
        <v>0.03183333333</v>
      </c>
      <c r="S95" s="7">
        <f t="shared" si="90"/>
        <v>0.05466666667</v>
      </c>
    </row>
    <row r="96">
      <c r="B96" s="6" t="s">
        <v>7</v>
      </c>
      <c r="C96" s="7">
        <f t="shared" ref="C96:I96" si="91">AVERAGE(C66, C76, C86)</f>
        <v>0.348</v>
      </c>
      <c r="D96" s="7">
        <f t="shared" si="91"/>
        <v>0.3693333333</v>
      </c>
      <c r="E96" s="7">
        <f t="shared" si="91"/>
        <v>0.3905</v>
      </c>
      <c r="F96" s="7">
        <f t="shared" si="91"/>
        <v>0.3721666667</v>
      </c>
      <c r="G96" s="7">
        <f t="shared" si="91"/>
        <v>0.3966666667</v>
      </c>
      <c r="H96" s="7">
        <f t="shared" si="91"/>
        <v>0.367</v>
      </c>
      <c r="I96" s="7">
        <f t="shared" si="91"/>
        <v>0.39</v>
      </c>
      <c r="J96" s="3"/>
      <c r="L96" s="6" t="s">
        <v>7</v>
      </c>
      <c r="M96" s="7">
        <f t="shared" ref="M96:S96" si="92">C96-$C$93</f>
        <v>0.008166666667</v>
      </c>
      <c r="N96" s="7">
        <f t="shared" si="92"/>
        <v>0.0295</v>
      </c>
      <c r="O96" s="7">
        <f t="shared" si="92"/>
        <v>0.05066666667</v>
      </c>
      <c r="P96" s="7">
        <f t="shared" si="92"/>
        <v>0.03233333333</v>
      </c>
      <c r="Q96" s="7">
        <f t="shared" si="92"/>
        <v>0.05683333333</v>
      </c>
      <c r="R96" s="7">
        <f t="shared" si="92"/>
        <v>0.02716666667</v>
      </c>
      <c r="S96" s="7">
        <f t="shared" si="92"/>
        <v>0.05016666667</v>
      </c>
    </row>
    <row r="97">
      <c r="B97" s="6" t="s">
        <v>8</v>
      </c>
      <c r="C97" s="7">
        <f t="shared" ref="C97:I97" si="93">AVERAGE(C67, C77, C87)</f>
        <v>0.3883333333</v>
      </c>
      <c r="D97" s="7">
        <f t="shared" si="93"/>
        <v>0.404</v>
      </c>
      <c r="E97" s="7">
        <f t="shared" si="93"/>
        <v>0.4226666667</v>
      </c>
      <c r="F97" s="7">
        <f t="shared" si="93"/>
        <v>0.3941666667</v>
      </c>
      <c r="G97" s="7">
        <f t="shared" si="93"/>
        <v>0.402</v>
      </c>
      <c r="H97" s="7">
        <f t="shared" si="93"/>
        <v>0.3925</v>
      </c>
      <c r="I97" s="7">
        <f t="shared" si="93"/>
        <v>0.3971666667</v>
      </c>
      <c r="J97" s="3"/>
      <c r="L97" s="6" t="s">
        <v>8</v>
      </c>
      <c r="M97" s="7">
        <f t="shared" ref="M97:S97" si="94">C97-$C$93</f>
        <v>0.0485</v>
      </c>
      <c r="N97" s="7">
        <f t="shared" si="94"/>
        <v>0.06416666667</v>
      </c>
      <c r="O97" s="7">
        <f t="shared" si="94"/>
        <v>0.08283333333</v>
      </c>
      <c r="P97" s="7">
        <f t="shared" si="94"/>
        <v>0.05433333333</v>
      </c>
      <c r="Q97" s="7">
        <f t="shared" si="94"/>
        <v>0.06216666667</v>
      </c>
      <c r="R97" s="7">
        <f t="shared" si="94"/>
        <v>0.05266666667</v>
      </c>
      <c r="S97" s="7">
        <f t="shared" si="94"/>
        <v>0.05733333333</v>
      </c>
    </row>
    <row r="98">
      <c r="B98" s="6" t="s">
        <v>9</v>
      </c>
      <c r="C98" s="7">
        <f t="shared" ref="C98:I98" si="95">AVERAGE(C68, C78, C88)</f>
        <v>0.3626666667</v>
      </c>
      <c r="D98" s="7">
        <f t="shared" si="95"/>
        <v>0.3821666667</v>
      </c>
      <c r="E98" s="7">
        <f t="shared" si="95"/>
        <v>0.403</v>
      </c>
      <c r="F98" s="7">
        <f t="shared" si="95"/>
        <v>0.3886666667</v>
      </c>
      <c r="G98" s="7">
        <f t="shared" si="95"/>
        <v>0.407</v>
      </c>
      <c r="H98" s="7">
        <f t="shared" si="95"/>
        <v>0.3815</v>
      </c>
      <c r="I98" s="7">
        <f t="shared" si="95"/>
        <v>0.4025</v>
      </c>
      <c r="J98" s="3"/>
      <c r="L98" s="6" t="s">
        <v>9</v>
      </c>
      <c r="M98" s="7">
        <f t="shared" ref="M98:S98" si="96">C98-$C$93</f>
        <v>0.02283333333</v>
      </c>
      <c r="N98" s="7">
        <f t="shared" si="96"/>
        <v>0.04233333333</v>
      </c>
      <c r="O98" s="7">
        <f t="shared" si="96"/>
        <v>0.06316666667</v>
      </c>
      <c r="P98" s="7">
        <f t="shared" si="96"/>
        <v>0.04883333333</v>
      </c>
      <c r="Q98" s="7">
        <f t="shared" si="96"/>
        <v>0.06716666667</v>
      </c>
      <c r="R98" s="7">
        <f t="shared" si="96"/>
        <v>0.04166666667</v>
      </c>
      <c r="S98" s="7">
        <f t="shared" si="96"/>
        <v>0.06266666667</v>
      </c>
    </row>
    <row r="99">
      <c r="B99" s="6" t="s">
        <v>10</v>
      </c>
      <c r="C99" s="7">
        <f t="shared" ref="C99:I99" si="97">AVERAGE(C69, C79, C89)</f>
        <v>0.3666666667</v>
      </c>
      <c r="D99" s="7">
        <f t="shared" si="97"/>
        <v>0.3841666667</v>
      </c>
      <c r="E99" s="7">
        <f t="shared" si="97"/>
        <v>0.4053333333</v>
      </c>
      <c r="F99" s="7">
        <f t="shared" si="97"/>
        <v>0.3771666667</v>
      </c>
      <c r="G99" s="7">
        <f t="shared" si="97"/>
        <v>0.3893333333</v>
      </c>
      <c r="H99" s="7">
        <f t="shared" si="97"/>
        <v>0.375</v>
      </c>
      <c r="I99" s="7">
        <f t="shared" si="97"/>
        <v>0.3866666667</v>
      </c>
      <c r="J99" s="3"/>
      <c r="L99" s="6" t="s">
        <v>10</v>
      </c>
      <c r="M99" s="7">
        <f t="shared" ref="M99:S99" si="98">C99-$C$93</f>
        <v>0.02683333333</v>
      </c>
      <c r="N99" s="7">
        <f t="shared" si="98"/>
        <v>0.04433333333</v>
      </c>
      <c r="O99" s="7">
        <f t="shared" si="98"/>
        <v>0.0655</v>
      </c>
      <c r="P99" s="7">
        <f t="shared" si="98"/>
        <v>0.03733333333</v>
      </c>
      <c r="Q99" s="7">
        <f t="shared" si="98"/>
        <v>0.0495</v>
      </c>
      <c r="R99" s="7">
        <f t="shared" si="98"/>
        <v>0.03516666667</v>
      </c>
      <c r="S99" s="7">
        <f t="shared" si="98"/>
        <v>0.04683333333</v>
      </c>
    </row>
    <row r="101">
      <c r="A101" s="8" t="s">
        <v>335</v>
      </c>
      <c r="B101" s="8" t="s">
        <v>336</v>
      </c>
      <c r="C101" s="8" t="s">
        <v>337</v>
      </c>
      <c r="D101" s="8" t="s">
        <v>303</v>
      </c>
      <c r="E101" s="8" t="s">
        <v>263</v>
      </c>
      <c r="F101" s="8" t="s">
        <v>338</v>
      </c>
      <c r="G101" s="8" t="s">
        <v>339</v>
      </c>
      <c r="I101" s="9" t="str">
        <f t="shared" ref="I101:O101" si="99">substitute(SUBSTITUTE(A101, "(", ""), ")", "")</f>
        <v>0.243, 0.243, 0.243</v>
      </c>
      <c r="J101" s="9" t="str">
        <f t="shared" si="99"/>
        <v>0.244, 0.220, 0.320</v>
      </c>
      <c r="K101" s="9" t="str">
        <f t="shared" si="99"/>
        <v>0.243, 0.194, 0.394</v>
      </c>
      <c r="L101" s="9" t="str">
        <f t="shared" si="99"/>
        <v>0.232, 0.209, 0.309</v>
      </c>
      <c r="M101" s="9" t="str">
        <f t="shared" si="99"/>
        <v>0.211, 0.169, 0.369</v>
      </c>
      <c r="N101" s="9" t="str">
        <f t="shared" si="99"/>
        <v>0.211, 0.190, 0.290</v>
      </c>
      <c r="O101" s="9" t="str">
        <f t="shared" si="99"/>
        <v>0.195, 0.156, 0.356</v>
      </c>
      <c r="T101" s="6"/>
    </row>
    <row r="102">
      <c r="A102" s="8" t="s">
        <v>340</v>
      </c>
      <c r="B102" s="8" t="s">
        <v>341</v>
      </c>
      <c r="C102" s="8" t="s">
        <v>270</v>
      </c>
      <c r="D102" s="8" t="s">
        <v>342</v>
      </c>
      <c r="E102" s="8" t="s">
        <v>343</v>
      </c>
      <c r="F102" s="8" t="s">
        <v>342</v>
      </c>
      <c r="G102" s="8" t="s">
        <v>344</v>
      </c>
      <c r="I102" s="9" t="str">
        <f t="shared" ref="I102:O102" si="100">substitute(SUBSTITUTE(A102, "(", ""), ")", "")</f>
        <v>0.254, 0.254, 0.254</v>
      </c>
      <c r="J102" s="9" t="str">
        <f t="shared" si="100"/>
        <v>0.257, 0.231, 0.331</v>
      </c>
      <c r="K102" s="9" t="str">
        <f t="shared" si="100"/>
        <v>0.241, 0.193, 0.393</v>
      </c>
      <c r="L102" s="9" t="str">
        <f t="shared" si="100"/>
        <v>0.235, 0.212, 0.311</v>
      </c>
      <c r="M102" s="9" t="str">
        <f t="shared" si="100"/>
        <v>0.237, 0.190, 0.390</v>
      </c>
      <c r="N102" s="9" t="str">
        <f t="shared" si="100"/>
        <v>0.235, 0.212, 0.311</v>
      </c>
      <c r="O102" s="9" t="str">
        <f t="shared" si="100"/>
        <v>0.213, 0.171, 0.371</v>
      </c>
    </row>
    <row r="103">
      <c r="A103" s="8" t="s">
        <v>345</v>
      </c>
      <c r="B103" s="8" t="s">
        <v>346</v>
      </c>
      <c r="C103" s="8" t="s">
        <v>347</v>
      </c>
      <c r="D103" s="8" t="s">
        <v>348</v>
      </c>
      <c r="E103" s="8" t="s">
        <v>349</v>
      </c>
      <c r="F103" s="8" t="s">
        <v>350</v>
      </c>
      <c r="G103" s="8" t="s">
        <v>351</v>
      </c>
      <c r="I103" s="9" t="str">
        <f t="shared" ref="I103:O103" si="101">substitute(SUBSTITUTE(A103, "(", ""), ")", "")</f>
        <v>0.285, 0.285, 0.285</v>
      </c>
      <c r="J103" s="9" t="str">
        <f t="shared" si="101"/>
        <v>0.287, 0.259, 0.358</v>
      </c>
      <c r="K103" s="9" t="str">
        <f t="shared" si="101"/>
        <v>0.271, 0.216, 0.416</v>
      </c>
      <c r="L103" s="9" t="str">
        <f t="shared" si="101"/>
        <v>0.271, 0.244, 0.344</v>
      </c>
      <c r="M103" s="9" t="str">
        <f t="shared" si="101"/>
        <v>0.264, 0.211, 0.411</v>
      </c>
      <c r="N103" s="9" t="str">
        <f t="shared" si="101"/>
        <v>0.253, 0.228, 0.328</v>
      </c>
      <c r="O103" s="9" t="str">
        <f t="shared" si="101"/>
        <v>0.224, 0.179, 0.379</v>
      </c>
    </row>
    <row r="104">
      <c r="A104" s="8" t="s">
        <v>352</v>
      </c>
      <c r="B104" s="8" t="s">
        <v>353</v>
      </c>
      <c r="C104" s="8" t="s">
        <v>354</v>
      </c>
      <c r="D104" s="8" t="s">
        <v>355</v>
      </c>
      <c r="E104" s="8" t="s">
        <v>356</v>
      </c>
      <c r="F104" s="8" t="s">
        <v>48</v>
      </c>
      <c r="G104" s="8" t="s">
        <v>67</v>
      </c>
      <c r="I104" s="9" t="str">
        <f t="shared" ref="I104:O104" si="102">substitute(SUBSTITUTE(A104, "(", ""), ")", "")</f>
        <v>0.260, 0.260, 0.260</v>
      </c>
      <c r="J104" s="9" t="str">
        <f t="shared" si="102"/>
        <v>0.261, 0.234, 0.334</v>
      </c>
      <c r="K104" s="9" t="str">
        <f t="shared" si="102"/>
        <v>0.257, 0.205, 0.405</v>
      </c>
      <c r="L104" s="9" t="str">
        <f t="shared" si="102"/>
        <v>0.237, 0.213, 0.313</v>
      </c>
      <c r="M104" s="9" t="str">
        <f t="shared" si="102"/>
        <v>0.226, 0.181, 0.381</v>
      </c>
      <c r="N104" s="9" t="str">
        <f t="shared" si="102"/>
        <v>0.228, 0.205, 0.305</v>
      </c>
      <c r="O104" s="9" t="str">
        <f t="shared" si="102"/>
        <v>0.201, 0.161, 0.361</v>
      </c>
    </row>
    <row r="105">
      <c r="A105" s="8" t="s">
        <v>357</v>
      </c>
      <c r="B105" s="8" t="s">
        <v>358</v>
      </c>
      <c r="C105" s="8" t="s">
        <v>359</v>
      </c>
      <c r="D105" s="8" t="s">
        <v>360</v>
      </c>
      <c r="E105" s="8" t="s">
        <v>361</v>
      </c>
      <c r="F105" s="8" t="s">
        <v>362</v>
      </c>
      <c r="G105" s="8" t="s">
        <v>42</v>
      </c>
      <c r="I105" s="9" t="str">
        <f t="shared" ref="I105:O105" si="103">substitute(SUBSTITUTE(A105, "(", ""), ")", "")</f>
        <v>0.264, 0.264, 0.264</v>
      </c>
      <c r="J105" s="9" t="str">
        <f t="shared" si="103"/>
        <v>0.259, 0.233, 0.333</v>
      </c>
      <c r="K105" s="9" t="str">
        <f t="shared" si="103"/>
        <v>0.260, 0.208, 0.408</v>
      </c>
      <c r="L105" s="9" t="str">
        <f t="shared" si="103"/>
        <v>0.252, 0.227, 0.327</v>
      </c>
      <c r="M105" s="9" t="str">
        <f t="shared" si="103"/>
        <v>0.239, 0.191, 0.391</v>
      </c>
      <c r="N105" s="9" t="str">
        <f t="shared" si="103"/>
        <v>0.242, 0.218, 0.318</v>
      </c>
      <c r="O105" s="9" t="str">
        <f t="shared" si="103"/>
        <v>0.217, 0.174, 0.374</v>
      </c>
    </row>
    <row r="106">
      <c r="A106" s="8" t="s">
        <v>363</v>
      </c>
      <c r="B106" s="8" t="s">
        <v>364</v>
      </c>
      <c r="C106" s="8" t="s">
        <v>365</v>
      </c>
      <c r="D106" s="8" t="s">
        <v>366</v>
      </c>
      <c r="E106" s="8" t="s">
        <v>67</v>
      </c>
      <c r="F106" s="8" t="s">
        <v>367</v>
      </c>
      <c r="G106" s="8" t="s">
        <v>291</v>
      </c>
      <c r="I106" s="9" t="str">
        <f t="shared" ref="I106:O106" si="104">substitute(SUBSTITUTE(A106, "(", ""), ")", "")</f>
        <v>0.239, 0.239, 0.239</v>
      </c>
      <c r="J106" s="9" t="str">
        <f t="shared" si="104"/>
        <v>0.237, 0.214, 0.314</v>
      </c>
      <c r="K106" s="9" t="str">
        <f t="shared" si="104"/>
        <v>0.232, 0.185, 0.385</v>
      </c>
      <c r="L106" s="9" t="str">
        <f t="shared" si="104"/>
        <v>0.230, 0.207, 0.307</v>
      </c>
      <c r="M106" s="9" t="str">
        <f t="shared" si="104"/>
        <v>0.201, 0.161, 0.361</v>
      </c>
      <c r="N106" s="9" t="str">
        <f t="shared" si="104"/>
        <v>0.203, 0.183, 0.283</v>
      </c>
      <c r="O106" s="9" t="str">
        <f t="shared" si="104"/>
        <v>0.189, 0.151, 0.351</v>
      </c>
    </row>
    <row r="107">
      <c r="A107" s="8" t="s">
        <v>352</v>
      </c>
      <c r="B107" s="8" t="s">
        <v>360</v>
      </c>
      <c r="C107" s="8" t="s">
        <v>349</v>
      </c>
      <c r="D107" s="8" t="s">
        <v>368</v>
      </c>
      <c r="E107" s="8" t="s">
        <v>369</v>
      </c>
      <c r="F107" s="8" t="s">
        <v>303</v>
      </c>
      <c r="G107" s="8" t="s">
        <v>370</v>
      </c>
      <c r="I107" s="9" t="str">
        <f t="shared" ref="I107:O107" si="105">substitute(SUBSTITUTE(A107, "(", ""), ")", "")</f>
        <v>0.260, 0.260, 0.260</v>
      </c>
      <c r="J107" s="9" t="str">
        <f t="shared" si="105"/>
        <v>0.252, 0.227, 0.327</v>
      </c>
      <c r="K107" s="9" t="str">
        <f t="shared" si="105"/>
        <v>0.264, 0.211, 0.411</v>
      </c>
      <c r="L107" s="9" t="str">
        <f t="shared" si="105"/>
        <v>0.249, 0.224, 0.324</v>
      </c>
      <c r="M107" s="9" t="str">
        <f t="shared" si="105"/>
        <v>0.214, 0.172, 0.372</v>
      </c>
      <c r="N107" s="9" t="str">
        <f t="shared" si="105"/>
        <v>0.232, 0.209, 0.309</v>
      </c>
      <c r="O107" s="9" t="str">
        <f t="shared" si="105"/>
        <v>0.199, 0.159, 0.359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"","")"),0.243)</f>
        <v>0.243</v>
      </c>
      <c r="B109" s="9">
        <f>IFERROR(__xludf.DUMMYFUNCTION("""COMPUTED_VALUE"""),0.243)</f>
        <v>0.243</v>
      </c>
      <c r="C109" s="9">
        <f>IFERROR(__xludf.DUMMYFUNCTION("""COMPUTED_VALUE"""),0.243)</f>
        <v>0.243</v>
      </c>
      <c r="E109" s="11">
        <f>IFERROR(__xludf.DUMMYFUNCTION("SPLIT(J101, "","")"),0.244)</f>
        <v>0.244</v>
      </c>
      <c r="F109" s="9">
        <f>IFERROR(__xludf.DUMMYFUNCTION("""COMPUTED_VALUE"""),0.22)</f>
        <v>0.22</v>
      </c>
      <c r="G109" s="9">
        <f>IFERROR(__xludf.DUMMYFUNCTION("""COMPUTED_VALUE"""),0.32)</f>
        <v>0.32</v>
      </c>
      <c r="I109" s="9">
        <f>IFERROR(__xludf.DUMMYFUNCTION("SPLIT(K101, "","")"),0.243)</f>
        <v>0.243</v>
      </c>
      <c r="J109" s="9">
        <f>IFERROR(__xludf.DUMMYFUNCTION("""COMPUTED_VALUE"""),0.194)</f>
        <v>0.194</v>
      </c>
      <c r="K109" s="9">
        <f>IFERROR(__xludf.DUMMYFUNCTION("""COMPUTED_VALUE"""),0.394)</f>
        <v>0.394</v>
      </c>
      <c r="M109" s="9">
        <f>IFERROR(__xludf.DUMMYFUNCTION("SPLIT(L101, "","")"),0.232)</f>
        <v>0.232</v>
      </c>
      <c r="N109" s="9">
        <f>IFERROR(__xludf.DUMMYFUNCTION("""COMPUTED_VALUE"""),0.209)</f>
        <v>0.209</v>
      </c>
      <c r="O109" s="9">
        <f>IFERROR(__xludf.DUMMYFUNCTION("""COMPUTED_VALUE"""),0.309)</f>
        <v>0.309</v>
      </c>
      <c r="Q109" s="9">
        <f>IFERROR(__xludf.DUMMYFUNCTION("SPLIT(M101, "","")"),0.211)</f>
        <v>0.211</v>
      </c>
      <c r="R109" s="9">
        <f>IFERROR(__xludf.DUMMYFUNCTION("""COMPUTED_VALUE"""),0.169)</f>
        <v>0.169</v>
      </c>
      <c r="S109" s="9">
        <f>IFERROR(__xludf.DUMMYFUNCTION("""COMPUTED_VALUE"""),0.369)</f>
        <v>0.369</v>
      </c>
      <c r="U109" s="9">
        <f>IFERROR(__xludf.DUMMYFUNCTION("SPLIT(N101, "","")"),0.211)</f>
        <v>0.211</v>
      </c>
      <c r="V109" s="9">
        <f>IFERROR(__xludf.DUMMYFUNCTION("""COMPUTED_VALUE"""),0.19)</f>
        <v>0.19</v>
      </c>
      <c r="W109" s="9">
        <f>IFERROR(__xludf.DUMMYFUNCTION("""COMPUTED_VALUE"""),0.29)</f>
        <v>0.29</v>
      </c>
      <c r="Y109" s="9">
        <f>IFERROR(__xludf.DUMMYFUNCTION("SPLIT(O101, "","")"),0.195)</f>
        <v>0.195</v>
      </c>
      <c r="Z109" s="9">
        <f>IFERROR(__xludf.DUMMYFUNCTION("""COMPUTED_VALUE"""),0.156)</f>
        <v>0.156</v>
      </c>
      <c r="AA109" s="9">
        <f>IFERROR(__xludf.DUMMYFUNCTION("""COMPUTED_VALUE"""),0.356)</f>
        <v>0.356</v>
      </c>
    </row>
    <row r="110">
      <c r="A110" s="9">
        <f>IFERROR(__xludf.DUMMYFUNCTION("SPLIT(I102, "","")"),0.254)</f>
        <v>0.254</v>
      </c>
      <c r="B110" s="9">
        <f>IFERROR(__xludf.DUMMYFUNCTION("""COMPUTED_VALUE"""),0.254)</f>
        <v>0.254</v>
      </c>
      <c r="C110" s="9">
        <f>IFERROR(__xludf.DUMMYFUNCTION("""COMPUTED_VALUE"""),0.254)</f>
        <v>0.254</v>
      </c>
      <c r="E110" s="11">
        <f>IFERROR(__xludf.DUMMYFUNCTION("SPLIT(J102, "","")"),0.257)</f>
        <v>0.257</v>
      </c>
      <c r="F110" s="9">
        <f>IFERROR(__xludf.DUMMYFUNCTION("""COMPUTED_VALUE"""),0.231)</f>
        <v>0.231</v>
      </c>
      <c r="G110" s="9">
        <f>IFERROR(__xludf.DUMMYFUNCTION("""COMPUTED_VALUE"""),0.331)</f>
        <v>0.331</v>
      </c>
      <c r="I110" s="9">
        <f>IFERROR(__xludf.DUMMYFUNCTION("SPLIT(K102, "","")"),0.241)</f>
        <v>0.241</v>
      </c>
      <c r="J110" s="9">
        <f>IFERROR(__xludf.DUMMYFUNCTION("""COMPUTED_VALUE"""),0.193)</f>
        <v>0.193</v>
      </c>
      <c r="K110" s="9">
        <f>IFERROR(__xludf.DUMMYFUNCTION("""COMPUTED_VALUE"""),0.393)</f>
        <v>0.393</v>
      </c>
      <c r="M110" s="9">
        <f>IFERROR(__xludf.DUMMYFUNCTION("SPLIT(L102, "","")"),0.235)</f>
        <v>0.235</v>
      </c>
      <c r="N110" s="9">
        <f>IFERROR(__xludf.DUMMYFUNCTION("""COMPUTED_VALUE"""),0.212)</f>
        <v>0.212</v>
      </c>
      <c r="O110" s="9">
        <f>IFERROR(__xludf.DUMMYFUNCTION("""COMPUTED_VALUE"""),0.311)</f>
        <v>0.311</v>
      </c>
      <c r="Q110" s="9">
        <f>IFERROR(__xludf.DUMMYFUNCTION("SPLIT(M102, "","")"),0.237)</f>
        <v>0.237</v>
      </c>
      <c r="R110" s="9">
        <f>IFERROR(__xludf.DUMMYFUNCTION("""COMPUTED_VALUE"""),0.19)</f>
        <v>0.19</v>
      </c>
      <c r="S110" s="9">
        <f>IFERROR(__xludf.DUMMYFUNCTION("""COMPUTED_VALUE"""),0.39)</f>
        <v>0.39</v>
      </c>
      <c r="U110" s="9">
        <f>IFERROR(__xludf.DUMMYFUNCTION("SPLIT(N102, "","")"),0.235)</f>
        <v>0.235</v>
      </c>
      <c r="V110" s="9">
        <f>IFERROR(__xludf.DUMMYFUNCTION("""COMPUTED_VALUE"""),0.212)</f>
        <v>0.212</v>
      </c>
      <c r="W110" s="9">
        <f>IFERROR(__xludf.DUMMYFUNCTION("""COMPUTED_VALUE"""),0.311)</f>
        <v>0.311</v>
      </c>
      <c r="Y110" s="9">
        <f>IFERROR(__xludf.DUMMYFUNCTION("SPLIT(O102, "","")"),0.213)</f>
        <v>0.213</v>
      </c>
      <c r="Z110" s="9">
        <f>IFERROR(__xludf.DUMMYFUNCTION("""COMPUTED_VALUE"""),0.171)</f>
        <v>0.171</v>
      </c>
      <c r="AA110" s="9">
        <f>IFERROR(__xludf.DUMMYFUNCTION("""COMPUTED_VALUE"""),0.371)</f>
        <v>0.371</v>
      </c>
    </row>
    <row r="111">
      <c r="A111" s="9">
        <f>IFERROR(__xludf.DUMMYFUNCTION("SPLIT(I103, "","")"),0.285)</f>
        <v>0.285</v>
      </c>
      <c r="B111" s="9">
        <f>IFERROR(__xludf.DUMMYFUNCTION("""COMPUTED_VALUE"""),0.285)</f>
        <v>0.285</v>
      </c>
      <c r="C111" s="9">
        <f>IFERROR(__xludf.DUMMYFUNCTION("""COMPUTED_VALUE"""),0.285)</f>
        <v>0.285</v>
      </c>
      <c r="E111" s="11">
        <f>IFERROR(__xludf.DUMMYFUNCTION("SPLIT(J103, "","")"),0.287)</f>
        <v>0.287</v>
      </c>
      <c r="F111" s="9">
        <f>IFERROR(__xludf.DUMMYFUNCTION("""COMPUTED_VALUE"""),0.259)</f>
        <v>0.259</v>
      </c>
      <c r="G111" s="9">
        <f>IFERROR(__xludf.DUMMYFUNCTION("""COMPUTED_VALUE"""),0.358)</f>
        <v>0.358</v>
      </c>
      <c r="I111" s="9">
        <f>IFERROR(__xludf.DUMMYFUNCTION("SPLIT(K103, "","")"),0.271)</f>
        <v>0.271</v>
      </c>
      <c r="J111" s="9">
        <f>IFERROR(__xludf.DUMMYFUNCTION("""COMPUTED_VALUE"""),0.216)</f>
        <v>0.216</v>
      </c>
      <c r="K111" s="9">
        <f>IFERROR(__xludf.DUMMYFUNCTION("""COMPUTED_VALUE"""),0.416)</f>
        <v>0.416</v>
      </c>
      <c r="M111" s="9">
        <f>IFERROR(__xludf.DUMMYFUNCTION("SPLIT(L103, "","")"),0.271)</f>
        <v>0.271</v>
      </c>
      <c r="N111" s="9">
        <f>IFERROR(__xludf.DUMMYFUNCTION("""COMPUTED_VALUE"""),0.244)</f>
        <v>0.244</v>
      </c>
      <c r="O111" s="9">
        <f>IFERROR(__xludf.DUMMYFUNCTION("""COMPUTED_VALUE"""),0.344)</f>
        <v>0.344</v>
      </c>
      <c r="Q111" s="9">
        <f>IFERROR(__xludf.DUMMYFUNCTION("SPLIT(M103, "","")"),0.264)</f>
        <v>0.264</v>
      </c>
      <c r="R111" s="9">
        <f>IFERROR(__xludf.DUMMYFUNCTION("""COMPUTED_VALUE"""),0.211)</f>
        <v>0.211</v>
      </c>
      <c r="S111" s="9">
        <f>IFERROR(__xludf.DUMMYFUNCTION("""COMPUTED_VALUE"""),0.411)</f>
        <v>0.411</v>
      </c>
      <c r="U111" s="9">
        <f>IFERROR(__xludf.DUMMYFUNCTION("SPLIT(N103, "","")"),0.253)</f>
        <v>0.253</v>
      </c>
      <c r="V111" s="9">
        <f>IFERROR(__xludf.DUMMYFUNCTION("""COMPUTED_VALUE"""),0.228)</f>
        <v>0.228</v>
      </c>
      <c r="W111" s="9">
        <f>IFERROR(__xludf.DUMMYFUNCTION("""COMPUTED_VALUE"""),0.328)</f>
        <v>0.328</v>
      </c>
      <c r="Y111" s="9">
        <f>IFERROR(__xludf.DUMMYFUNCTION("SPLIT(O103, "","")"),0.224)</f>
        <v>0.224</v>
      </c>
      <c r="Z111" s="9">
        <f>IFERROR(__xludf.DUMMYFUNCTION("""COMPUTED_VALUE"""),0.179)</f>
        <v>0.179</v>
      </c>
      <c r="AA111" s="9">
        <f>IFERROR(__xludf.DUMMYFUNCTION("""COMPUTED_VALUE"""),0.379)</f>
        <v>0.379</v>
      </c>
    </row>
    <row r="112">
      <c r="A112" s="9">
        <f>IFERROR(__xludf.DUMMYFUNCTION("SPLIT(I104, "","")"),0.26)</f>
        <v>0.26</v>
      </c>
      <c r="B112" s="9">
        <f>IFERROR(__xludf.DUMMYFUNCTION("""COMPUTED_VALUE"""),0.26)</f>
        <v>0.26</v>
      </c>
      <c r="C112" s="9">
        <f>IFERROR(__xludf.DUMMYFUNCTION("""COMPUTED_VALUE"""),0.26)</f>
        <v>0.26</v>
      </c>
      <c r="E112" s="11">
        <f>IFERROR(__xludf.DUMMYFUNCTION("SPLIT(J104, "","")"),0.261)</f>
        <v>0.261</v>
      </c>
      <c r="F112" s="9">
        <f>IFERROR(__xludf.DUMMYFUNCTION("""COMPUTED_VALUE"""),0.234)</f>
        <v>0.234</v>
      </c>
      <c r="G112" s="9">
        <f>IFERROR(__xludf.DUMMYFUNCTION("""COMPUTED_VALUE"""),0.334)</f>
        <v>0.334</v>
      </c>
      <c r="I112" s="9">
        <f>IFERROR(__xludf.DUMMYFUNCTION("SPLIT(K104, "","")"),0.257)</f>
        <v>0.257</v>
      </c>
      <c r="J112" s="9">
        <f>IFERROR(__xludf.DUMMYFUNCTION("""COMPUTED_VALUE"""),0.205)</f>
        <v>0.205</v>
      </c>
      <c r="K112" s="9">
        <f>IFERROR(__xludf.DUMMYFUNCTION("""COMPUTED_VALUE"""),0.405)</f>
        <v>0.405</v>
      </c>
      <c r="M112" s="9">
        <f>IFERROR(__xludf.DUMMYFUNCTION("SPLIT(L104, "","")"),0.237)</f>
        <v>0.237</v>
      </c>
      <c r="N112" s="9">
        <f>IFERROR(__xludf.DUMMYFUNCTION("""COMPUTED_VALUE"""),0.213)</f>
        <v>0.213</v>
      </c>
      <c r="O112" s="9">
        <f>IFERROR(__xludf.DUMMYFUNCTION("""COMPUTED_VALUE"""),0.313)</f>
        <v>0.313</v>
      </c>
      <c r="Q112" s="9">
        <f>IFERROR(__xludf.DUMMYFUNCTION("SPLIT(M104, "","")"),0.226)</f>
        <v>0.226</v>
      </c>
      <c r="R112" s="9">
        <f>IFERROR(__xludf.DUMMYFUNCTION("""COMPUTED_VALUE"""),0.181)</f>
        <v>0.181</v>
      </c>
      <c r="S112" s="9">
        <f>IFERROR(__xludf.DUMMYFUNCTION("""COMPUTED_VALUE"""),0.381)</f>
        <v>0.381</v>
      </c>
      <c r="U112" s="9">
        <f>IFERROR(__xludf.DUMMYFUNCTION("SPLIT(N104, "","")"),0.228)</f>
        <v>0.228</v>
      </c>
      <c r="V112" s="9">
        <f>IFERROR(__xludf.DUMMYFUNCTION("""COMPUTED_VALUE"""),0.205)</f>
        <v>0.205</v>
      </c>
      <c r="W112" s="9">
        <f>IFERROR(__xludf.DUMMYFUNCTION("""COMPUTED_VALUE"""),0.305)</f>
        <v>0.305</v>
      </c>
      <c r="Y112" s="9">
        <f>IFERROR(__xludf.DUMMYFUNCTION("SPLIT(O104, "","")"),0.201)</f>
        <v>0.201</v>
      </c>
      <c r="Z112" s="9">
        <f>IFERROR(__xludf.DUMMYFUNCTION("""COMPUTED_VALUE"""),0.161)</f>
        <v>0.161</v>
      </c>
      <c r="AA112" s="9">
        <f>IFERROR(__xludf.DUMMYFUNCTION("""COMPUTED_VALUE"""),0.361)</f>
        <v>0.361</v>
      </c>
    </row>
    <row r="113">
      <c r="A113" s="9">
        <f>IFERROR(__xludf.DUMMYFUNCTION("SPLIT(I105, "","")"),0.264)</f>
        <v>0.264</v>
      </c>
      <c r="B113" s="9">
        <f>IFERROR(__xludf.DUMMYFUNCTION("""COMPUTED_VALUE"""),0.264)</f>
        <v>0.264</v>
      </c>
      <c r="C113" s="9">
        <f>IFERROR(__xludf.DUMMYFUNCTION("""COMPUTED_VALUE"""),0.264)</f>
        <v>0.264</v>
      </c>
      <c r="E113" s="11">
        <f>IFERROR(__xludf.DUMMYFUNCTION("SPLIT(J105, "","")"),0.259)</f>
        <v>0.259</v>
      </c>
      <c r="F113" s="9">
        <f>IFERROR(__xludf.DUMMYFUNCTION("""COMPUTED_VALUE"""),0.233)</f>
        <v>0.233</v>
      </c>
      <c r="G113" s="9">
        <f>IFERROR(__xludf.DUMMYFUNCTION("""COMPUTED_VALUE"""),0.333)</f>
        <v>0.333</v>
      </c>
      <c r="I113" s="9">
        <f>IFERROR(__xludf.DUMMYFUNCTION("SPLIT(K105, "","")"),0.26)</f>
        <v>0.26</v>
      </c>
      <c r="J113" s="9">
        <f>IFERROR(__xludf.DUMMYFUNCTION("""COMPUTED_VALUE"""),0.208)</f>
        <v>0.208</v>
      </c>
      <c r="K113" s="9">
        <f>IFERROR(__xludf.DUMMYFUNCTION("""COMPUTED_VALUE"""),0.408)</f>
        <v>0.408</v>
      </c>
      <c r="M113" s="9">
        <f>IFERROR(__xludf.DUMMYFUNCTION("SPLIT(L105, "","")"),0.252)</f>
        <v>0.252</v>
      </c>
      <c r="N113" s="9">
        <f>IFERROR(__xludf.DUMMYFUNCTION("""COMPUTED_VALUE"""),0.227)</f>
        <v>0.227</v>
      </c>
      <c r="O113" s="9">
        <f>IFERROR(__xludf.DUMMYFUNCTION("""COMPUTED_VALUE"""),0.327)</f>
        <v>0.327</v>
      </c>
      <c r="Q113" s="9">
        <f>IFERROR(__xludf.DUMMYFUNCTION("SPLIT(M105, "","")"),0.239)</f>
        <v>0.239</v>
      </c>
      <c r="R113" s="9">
        <f>IFERROR(__xludf.DUMMYFUNCTION("""COMPUTED_VALUE"""),0.191)</f>
        <v>0.191</v>
      </c>
      <c r="S113" s="9">
        <f>IFERROR(__xludf.DUMMYFUNCTION("""COMPUTED_VALUE"""),0.391)</f>
        <v>0.391</v>
      </c>
      <c r="U113" s="9">
        <f>IFERROR(__xludf.DUMMYFUNCTION("SPLIT(N105, "","")"),0.242)</f>
        <v>0.242</v>
      </c>
      <c r="V113" s="9">
        <f>IFERROR(__xludf.DUMMYFUNCTION("""COMPUTED_VALUE"""),0.218)</f>
        <v>0.218</v>
      </c>
      <c r="W113" s="9">
        <f>IFERROR(__xludf.DUMMYFUNCTION("""COMPUTED_VALUE"""),0.318)</f>
        <v>0.318</v>
      </c>
      <c r="Y113" s="9">
        <f>IFERROR(__xludf.DUMMYFUNCTION("SPLIT(O105, "","")"),0.217)</f>
        <v>0.217</v>
      </c>
      <c r="Z113" s="9">
        <f>IFERROR(__xludf.DUMMYFUNCTION("""COMPUTED_VALUE"""),0.174)</f>
        <v>0.174</v>
      </c>
      <c r="AA113" s="9">
        <f>IFERROR(__xludf.DUMMYFUNCTION("""COMPUTED_VALUE"""),0.374)</f>
        <v>0.374</v>
      </c>
    </row>
    <row r="114">
      <c r="A114" s="9">
        <f>IFERROR(__xludf.DUMMYFUNCTION("SPLIT(I106, "","")"),0.239)</f>
        <v>0.239</v>
      </c>
      <c r="B114" s="9">
        <f>IFERROR(__xludf.DUMMYFUNCTION("""COMPUTED_VALUE"""),0.239)</f>
        <v>0.239</v>
      </c>
      <c r="C114" s="9">
        <f>IFERROR(__xludf.DUMMYFUNCTION("""COMPUTED_VALUE"""),0.239)</f>
        <v>0.239</v>
      </c>
      <c r="E114" s="11">
        <f>IFERROR(__xludf.DUMMYFUNCTION("SPLIT(J106, "","")"),0.237)</f>
        <v>0.237</v>
      </c>
      <c r="F114" s="9">
        <f>IFERROR(__xludf.DUMMYFUNCTION("""COMPUTED_VALUE"""),0.214)</f>
        <v>0.214</v>
      </c>
      <c r="G114" s="9">
        <f>IFERROR(__xludf.DUMMYFUNCTION("""COMPUTED_VALUE"""),0.314)</f>
        <v>0.314</v>
      </c>
      <c r="I114" s="9">
        <f>IFERROR(__xludf.DUMMYFUNCTION("SPLIT(K106, "","")"),0.232)</f>
        <v>0.232</v>
      </c>
      <c r="J114" s="9">
        <f>IFERROR(__xludf.DUMMYFUNCTION("""COMPUTED_VALUE"""),0.185)</f>
        <v>0.185</v>
      </c>
      <c r="K114" s="9">
        <f>IFERROR(__xludf.DUMMYFUNCTION("""COMPUTED_VALUE"""),0.385)</f>
        <v>0.385</v>
      </c>
      <c r="M114" s="9">
        <f>IFERROR(__xludf.DUMMYFUNCTION("SPLIT(L106, "","")"),0.23)</f>
        <v>0.23</v>
      </c>
      <c r="N114" s="9">
        <f>IFERROR(__xludf.DUMMYFUNCTION("""COMPUTED_VALUE"""),0.207)</f>
        <v>0.207</v>
      </c>
      <c r="O114" s="9">
        <f>IFERROR(__xludf.DUMMYFUNCTION("""COMPUTED_VALUE"""),0.307)</f>
        <v>0.307</v>
      </c>
      <c r="Q114" s="9">
        <f>IFERROR(__xludf.DUMMYFUNCTION("SPLIT(M106, "","")"),0.201)</f>
        <v>0.201</v>
      </c>
      <c r="R114" s="9">
        <f>IFERROR(__xludf.DUMMYFUNCTION("""COMPUTED_VALUE"""),0.161)</f>
        <v>0.161</v>
      </c>
      <c r="S114" s="9">
        <f>IFERROR(__xludf.DUMMYFUNCTION("""COMPUTED_VALUE"""),0.361)</f>
        <v>0.361</v>
      </c>
      <c r="U114" s="9">
        <f>IFERROR(__xludf.DUMMYFUNCTION("SPLIT(N106, "","")"),0.203)</f>
        <v>0.203</v>
      </c>
      <c r="V114" s="9">
        <f>IFERROR(__xludf.DUMMYFUNCTION("""COMPUTED_VALUE"""),0.183)</f>
        <v>0.183</v>
      </c>
      <c r="W114" s="9">
        <f>IFERROR(__xludf.DUMMYFUNCTION("""COMPUTED_VALUE"""),0.283)</f>
        <v>0.283</v>
      </c>
      <c r="Y114" s="9">
        <f>IFERROR(__xludf.DUMMYFUNCTION("SPLIT(O106, "","")"),0.189)</f>
        <v>0.189</v>
      </c>
      <c r="Z114" s="9">
        <f>IFERROR(__xludf.DUMMYFUNCTION("""COMPUTED_VALUE"""),0.151)</f>
        <v>0.151</v>
      </c>
      <c r="AA114" s="9">
        <f>IFERROR(__xludf.DUMMYFUNCTION("""COMPUTED_VALUE"""),0.351)</f>
        <v>0.351</v>
      </c>
    </row>
    <row r="115">
      <c r="A115" s="9">
        <f>IFERROR(__xludf.DUMMYFUNCTION("SPLIT(I107, "","")"),0.26)</f>
        <v>0.26</v>
      </c>
      <c r="B115" s="9">
        <f>IFERROR(__xludf.DUMMYFUNCTION("""COMPUTED_VALUE"""),0.26)</f>
        <v>0.26</v>
      </c>
      <c r="C115" s="9">
        <f>IFERROR(__xludf.DUMMYFUNCTION("""COMPUTED_VALUE"""),0.26)</f>
        <v>0.26</v>
      </c>
      <c r="E115" s="11">
        <f>IFERROR(__xludf.DUMMYFUNCTION("SPLIT(J107, "","")"),0.252)</f>
        <v>0.252</v>
      </c>
      <c r="F115" s="9">
        <f>IFERROR(__xludf.DUMMYFUNCTION("""COMPUTED_VALUE"""),0.227)</f>
        <v>0.227</v>
      </c>
      <c r="G115" s="9">
        <f>IFERROR(__xludf.DUMMYFUNCTION("""COMPUTED_VALUE"""),0.327)</f>
        <v>0.327</v>
      </c>
      <c r="I115" s="9">
        <f>IFERROR(__xludf.DUMMYFUNCTION("SPLIT(K107, "","")"),0.264)</f>
        <v>0.264</v>
      </c>
      <c r="J115" s="9">
        <f>IFERROR(__xludf.DUMMYFUNCTION("""COMPUTED_VALUE"""),0.211)</f>
        <v>0.211</v>
      </c>
      <c r="K115" s="9">
        <f>IFERROR(__xludf.DUMMYFUNCTION("""COMPUTED_VALUE"""),0.411)</f>
        <v>0.411</v>
      </c>
      <c r="M115" s="9">
        <f>IFERROR(__xludf.DUMMYFUNCTION("SPLIT(L107, "","")"),0.249)</f>
        <v>0.249</v>
      </c>
      <c r="N115" s="9">
        <f>IFERROR(__xludf.DUMMYFUNCTION("""COMPUTED_VALUE"""),0.224)</f>
        <v>0.224</v>
      </c>
      <c r="O115" s="9">
        <f>IFERROR(__xludf.DUMMYFUNCTION("""COMPUTED_VALUE"""),0.324)</f>
        <v>0.324</v>
      </c>
      <c r="Q115" s="9">
        <f>IFERROR(__xludf.DUMMYFUNCTION("SPLIT(M107, "","")"),0.214)</f>
        <v>0.214</v>
      </c>
      <c r="R115" s="9">
        <f>IFERROR(__xludf.DUMMYFUNCTION("""COMPUTED_VALUE"""),0.172)</f>
        <v>0.172</v>
      </c>
      <c r="S115" s="9">
        <f>IFERROR(__xludf.DUMMYFUNCTION("""COMPUTED_VALUE"""),0.372)</f>
        <v>0.372</v>
      </c>
      <c r="U115" s="9">
        <f>IFERROR(__xludf.DUMMYFUNCTION("SPLIT(N107, "","")"),0.232)</f>
        <v>0.232</v>
      </c>
      <c r="V115" s="9">
        <f>IFERROR(__xludf.DUMMYFUNCTION("""COMPUTED_VALUE"""),0.209)</f>
        <v>0.209</v>
      </c>
      <c r="W115" s="9">
        <f>IFERROR(__xludf.DUMMYFUNCTION("""COMPUTED_VALUE"""),0.309)</f>
        <v>0.309</v>
      </c>
      <c r="Y115" s="9">
        <f>IFERROR(__xludf.DUMMYFUNCTION("SPLIT(O107, "","")"),0.199)</f>
        <v>0.199</v>
      </c>
      <c r="Z115" s="9">
        <f>IFERROR(__xludf.DUMMYFUNCTION("""COMPUTED_VALUE"""),0.159)</f>
        <v>0.159</v>
      </c>
      <c r="AA115" s="9">
        <f>IFERROR(__xludf.DUMMYFUNCTION("""COMPUTED_VALUE"""),0.359)</f>
        <v>0.359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0.243</v>
      </c>
      <c r="D119" s="7">
        <f t="shared" ref="D119:D125" si="111">E109</f>
        <v>0.244</v>
      </c>
      <c r="E119" s="7">
        <f t="shared" ref="E119:E125" si="112">I109</f>
        <v>0.243</v>
      </c>
      <c r="F119" s="7">
        <f t="shared" ref="F119:G119" si="106">N109</f>
        <v>0.209</v>
      </c>
      <c r="G119" s="12">
        <f t="shared" si="106"/>
        <v>0.309</v>
      </c>
      <c r="H119" s="7">
        <f t="shared" ref="H119:I119" si="107">R109</f>
        <v>0.169</v>
      </c>
      <c r="I119" s="12">
        <f t="shared" si="107"/>
        <v>0.369</v>
      </c>
      <c r="J119" s="7">
        <f t="shared" ref="J119:K119" si="108">V109</f>
        <v>0.19</v>
      </c>
      <c r="K119" s="12">
        <f t="shared" si="108"/>
        <v>0.29</v>
      </c>
      <c r="L119" s="7">
        <f t="shared" ref="L119:M119" si="109">Z109</f>
        <v>0.156</v>
      </c>
      <c r="M119" s="7">
        <f t="shared" si="109"/>
        <v>0.356</v>
      </c>
    </row>
    <row r="120">
      <c r="B120" s="6" t="s">
        <v>5</v>
      </c>
      <c r="C120" s="7">
        <f t="shared" si="110"/>
        <v>0.254</v>
      </c>
      <c r="D120" s="7">
        <f t="shared" si="111"/>
        <v>0.257</v>
      </c>
      <c r="E120" s="7">
        <f t="shared" si="112"/>
        <v>0.241</v>
      </c>
      <c r="F120" s="7">
        <f t="shared" ref="F120:G120" si="113">N110</f>
        <v>0.212</v>
      </c>
      <c r="G120" s="12">
        <f t="shared" si="113"/>
        <v>0.311</v>
      </c>
      <c r="H120" s="7">
        <f t="shared" ref="H120:I120" si="114">R110</f>
        <v>0.19</v>
      </c>
      <c r="I120" s="12">
        <f t="shared" si="114"/>
        <v>0.39</v>
      </c>
      <c r="J120" s="7">
        <f t="shared" ref="J120:K120" si="115">V110</f>
        <v>0.212</v>
      </c>
      <c r="K120" s="12">
        <f t="shared" si="115"/>
        <v>0.311</v>
      </c>
      <c r="L120" s="7">
        <f t="shared" ref="L120:M120" si="116">Z110</f>
        <v>0.171</v>
      </c>
      <c r="M120" s="7">
        <f t="shared" si="116"/>
        <v>0.371</v>
      </c>
    </row>
    <row r="121">
      <c r="B121" s="6" t="s">
        <v>6</v>
      </c>
      <c r="C121" s="7">
        <f t="shared" si="110"/>
        <v>0.285</v>
      </c>
      <c r="D121" s="7">
        <f t="shared" si="111"/>
        <v>0.287</v>
      </c>
      <c r="E121" s="7">
        <f t="shared" si="112"/>
        <v>0.271</v>
      </c>
      <c r="F121" s="7">
        <f t="shared" ref="F121:G121" si="117">N111</f>
        <v>0.244</v>
      </c>
      <c r="G121" s="12">
        <f t="shared" si="117"/>
        <v>0.344</v>
      </c>
      <c r="H121" s="7">
        <f t="shared" ref="H121:I121" si="118">R111</f>
        <v>0.211</v>
      </c>
      <c r="I121" s="12">
        <f t="shared" si="118"/>
        <v>0.411</v>
      </c>
      <c r="J121" s="7">
        <f t="shared" ref="J121:K121" si="119">V111</f>
        <v>0.228</v>
      </c>
      <c r="K121" s="12">
        <f t="shared" si="119"/>
        <v>0.328</v>
      </c>
      <c r="L121" s="7">
        <f t="shared" ref="L121:M121" si="120">Z111</f>
        <v>0.179</v>
      </c>
      <c r="M121" s="7">
        <f t="shared" si="120"/>
        <v>0.379</v>
      </c>
    </row>
    <row r="122">
      <c r="B122" s="6" t="s">
        <v>7</v>
      </c>
      <c r="C122" s="7">
        <f t="shared" si="110"/>
        <v>0.26</v>
      </c>
      <c r="D122" s="7">
        <f t="shared" si="111"/>
        <v>0.261</v>
      </c>
      <c r="E122" s="7">
        <f t="shared" si="112"/>
        <v>0.257</v>
      </c>
      <c r="F122" s="7">
        <f t="shared" ref="F122:G122" si="121">N112</f>
        <v>0.213</v>
      </c>
      <c r="G122" s="12">
        <f t="shared" si="121"/>
        <v>0.313</v>
      </c>
      <c r="H122" s="7">
        <f t="shared" ref="H122:I122" si="122">R112</f>
        <v>0.181</v>
      </c>
      <c r="I122" s="12">
        <f t="shared" si="122"/>
        <v>0.381</v>
      </c>
      <c r="J122" s="7">
        <f t="shared" ref="J122:K122" si="123">V112</f>
        <v>0.205</v>
      </c>
      <c r="K122" s="12">
        <f t="shared" si="123"/>
        <v>0.305</v>
      </c>
      <c r="L122" s="7">
        <f t="shared" ref="L122:M122" si="124">Z112</f>
        <v>0.161</v>
      </c>
      <c r="M122" s="7">
        <f t="shared" si="124"/>
        <v>0.361</v>
      </c>
    </row>
    <row r="123">
      <c r="B123" s="6" t="s">
        <v>8</v>
      </c>
      <c r="C123" s="7">
        <f t="shared" si="110"/>
        <v>0.264</v>
      </c>
      <c r="D123" s="7">
        <f t="shared" si="111"/>
        <v>0.259</v>
      </c>
      <c r="E123" s="7">
        <f t="shared" si="112"/>
        <v>0.26</v>
      </c>
      <c r="F123" s="7">
        <f t="shared" ref="F123:G123" si="125">N113</f>
        <v>0.227</v>
      </c>
      <c r="G123" s="12">
        <f t="shared" si="125"/>
        <v>0.327</v>
      </c>
      <c r="H123" s="7">
        <f t="shared" ref="H123:I123" si="126">R113</f>
        <v>0.191</v>
      </c>
      <c r="I123" s="12">
        <f t="shared" si="126"/>
        <v>0.391</v>
      </c>
      <c r="J123" s="7">
        <f t="shared" ref="J123:K123" si="127">V113</f>
        <v>0.218</v>
      </c>
      <c r="K123" s="12">
        <f t="shared" si="127"/>
        <v>0.318</v>
      </c>
      <c r="L123" s="7">
        <f t="shared" ref="L123:M123" si="128">Z113</f>
        <v>0.174</v>
      </c>
      <c r="M123" s="7">
        <f t="shared" si="128"/>
        <v>0.374</v>
      </c>
    </row>
    <row r="124">
      <c r="B124" s="6" t="s">
        <v>9</v>
      </c>
      <c r="C124" s="7">
        <f t="shared" si="110"/>
        <v>0.239</v>
      </c>
      <c r="D124" s="7">
        <f t="shared" si="111"/>
        <v>0.237</v>
      </c>
      <c r="E124" s="7">
        <f t="shared" si="112"/>
        <v>0.232</v>
      </c>
      <c r="F124" s="7">
        <f t="shared" ref="F124:G124" si="129">N114</f>
        <v>0.207</v>
      </c>
      <c r="G124" s="12">
        <f t="shared" si="129"/>
        <v>0.307</v>
      </c>
      <c r="H124" s="7">
        <f t="shared" ref="H124:I124" si="130">R114</f>
        <v>0.161</v>
      </c>
      <c r="I124" s="12">
        <f t="shared" si="130"/>
        <v>0.361</v>
      </c>
      <c r="J124" s="7">
        <f t="shared" ref="J124:K124" si="131">V114</f>
        <v>0.183</v>
      </c>
      <c r="K124" s="12">
        <f t="shared" si="131"/>
        <v>0.283</v>
      </c>
      <c r="L124" s="7">
        <f t="shared" ref="L124:M124" si="132">Z114</f>
        <v>0.151</v>
      </c>
      <c r="M124" s="7">
        <f t="shared" si="132"/>
        <v>0.351</v>
      </c>
    </row>
    <row r="125">
      <c r="B125" s="6" t="s">
        <v>10</v>
      </c>
      <c r="C125" s="7">
        <f t="shared" si="110"/>
        <v>0.26</v>
      </c>
      <c r="D125" s="7">
        <f t="shared" si="111"/>
        <v>0.252</v>
      </c>
      <c r="E125" s="7">
        <f t="shared" si="112"/>
        <v>0.264</v>
      </c>
      <c r="F125" s="7">
        <f t="shared" ref="F125:G125" si="133">N115</f>
        <v>0.224</v>
      </c>
      <c r="G125" s="12">
        <f t="shared" si="133"/>
        <v>0.324</v>
      </c>
      <c r="H125" s="7">
        <f t="shared" ref="H125:I125" si="134">R115</f>
        <v>0.172</v>
      </c>
      <c r="I125" s="12">
        <f t="shared" si="134"/>
        <v>0.372</v>
      </c>
      <c r="J125" s="7">
        <f t="shared" ref="J125:K125" si="135">V115</f>
        <v>0.209</v>
      </c>
      <c r="K125" s="12">
        <f t="shared" si="135"/>
        <v>0.309</v>
      </c>
      <c r="L125" s="7">
        <f t="shared" ref="L125:M125" si="136">Z115</f>
        <v>0.159</v>
      </c>
      <c r="M125" s="7">
        <f t="shared" si="136"/>
        <v>0.359</v>
      </c>
    </row>
    <row r="127">
      <c r="A127" s="8" t="s">
        <v>371</v>
      </c>
      <c r="B127" s="8" t="s">
        <v>372</v>
      </c>
      <c r="C127" s="8" t="s">
        <v>373</v>
      </c>
      <c r="D127" s="8" t="s">
        <v>374</v>
      </c>
      <c r="E127" s="8" t="s">
        <v>229</v>
      </c>
      <c r="F127" s="8" t="s">
        <v>375</v>
      </c>
      <c r="G127" s="8" t="s">
        <v>129</v>
      </c>
      <c r="I127" s="9" t="str">
        <f t="shared" ref="I127:O127" si="137">substitute(SUBSTITUTE(A127, "(", ""), ")", "")</f>
        <v>0.357, 0.357, 0.357</v>
      </c>
      <c r="J127" s="9" t="str">
        <f t="shared" si="137"/>
        <v>0.367, 0.331, 0.431</v>
      </c>
      <c r="K127" s="9" t="str">
        <f t="shared" si="137"/>
        <v>0.389, 0.311, 0.511</v>
      </c>
      <c r="L127" s="9" t="str">
        <f t="shared" si="137"/>
        <v>0.372, 0.335, 0.435</v>
      </c>
      <c r="M127" s="9" t="str">
        <f t="shared" si="137"/>
        <v>0.386, 0.309, 0.509</v>
      </c>
      <c r="N127" s="9" t="str">
        <f t="shared" si="137"/>
        <v>0.370, 0.333, 0.433</v>
      </c>
      <c r="O127" s="9" t="str">
        <f t="shared" si="137"/>
        <v>0.383, 0.306, 0.506</v>
      </c>
      <c r="T127" s="6"/>
    </row>
    <row r="128">
      <c r="A128" s="8" t="s">
        <v>376</v>
      </c>
      <c r="B128" s="8" t="s">
        <v>377</v>
      </c>
      <c r="C128" s="8" t="s">
        <v>378</v>
      </c>
      <c r="D128" s="8" t="s">
        <v>379</v>
      </c>
      <c r="E128" s="8" t="s">
        <v>380</v>
      </c>
      <c r="F128" s="8" t="s">
        <v>379</v>
      </c>
      <c r="G128" s="8" t="s">
        <v>381</v>
      </c>
      <c r="I128" s="9" t="str">
        <f t="shared" ref="I128:O128" si="138">substitute(SUBSTITUTE(A128, "(", ""), ")", "")</f>
        <v>0.376, 0.376, 0.376</v>
      </c>
      <c r="J128" s="9" t="str">
        <f t="shared" si="138"/>
        <v>0.388, 0.350, 0.450</v>
      </c>
      <c r="K128" s="9" t="str">
        <f t="shared" si="138"/>
        <v>0.413, 0.330, 0.530</v>
      </c>
      <c r="L128" s="9" t="str">
        <f t="shared" si="138"/>
        <v>0.391, 0.352, 0.452</v>
      </c>
      <c r="M128" s="9" t="str">
        <f t="shared" si="138"/>
        <v>0.409, 0.327, 0.527</v>
      </c>
      <c r="N128" s="9" t="str">
        <f t="shared" si="138"/>
        <v>0.391, 0.352, 0.452</v>
      </c>
      <c r="O128" s="9" t="str">
        <f t="shared" si="138"/>
        <v>0.405, 0.324, 0.524</v>
      </c>
    </row>
    <row r="129">
      <c r="A129" s="8" t="s">
        <v>382</v>
      </c>
      <c r="B129" s="8" t="s">
        <v>383</v>
      </c>
      <c r="C129" s="8" t="s">
        <v>384</v>
      </c>
      <c r="D129" s="8" t="s">
        <v>385</v>
      </c>
      <c r="E129" s="8" t="s">
        <v>386</v>
      </c>
      <c r="F129" s="8" t="s">
        <v>387</v>
      </c>
      <c r="G129" s="8" t="s">
        <v>388</v>
      </c>
      <c r="I129" s="9" t="str">
        <f t="shared" ref="I129:O129" si="139">substitute(SUBSTITUTE(A129, "(", ""), ")", "")</f>
        <v>0.387, 0.387, 0.387</v>
      </c>
      <c r="J129" s="9" t="str">
        <f t="shared" si="139"/>
        <v>0.399, 0.359, 0.459</v>
      </c>
      <c r="K129" s="9" t="str">
        <f t="shared" si="139"/>
        <v>0.415, 0.332, 0.532</v>
      </c>
      <c r="L129" s="9" t="str">
        <f t="shared" si="139"/>
        <v>0.400, 0.360, 0.460</v>
      </c>
      <c r="M129" s="9" t="str">
        <f t="shared" si="139"/>
        <v>0.412, 0.329, 0.529</v>
      </c>
      <c r="N129" s="9" t="str">
        <f t="shared" si="139"/>
        <v>0.398, 0.358, 0.458</v>
      </c>
      <c r="O129" s="9" t="str">
        <f t="shared" si="139"/>
        <v>0.408, 0.327, 0.527</v>
      </c>
    </row>
    <row r="130">
      <c r="A130" s="8" t="s">
        <v>389</v>
      </c>
      <c r="B130" s="8" t="s">
        <v>390</v>
      </c>
      <c r="C130" s="8" t="s">
        <v>391</v>
      </c>
      <c r="D130" s="8" t="s">
        <v>392</v>
      </c>
      <c r="E130" s="8" t="s">
        <v>393</v>
      </c>
      <c r="F130" s="8" t="s">
        <v>394</v>
      </c>
      <c r="G130" s="8" t="s">
        <v>395</v>
      </c>
      <c r="I130" s="9" t="str">
        <f t="shared" ref="I130:O130" si="140">substitute(SUBSTITUTE(A130, "(", ""), ")", "")</f>
        <v>0.406, 0.406, 0.406</v>
      </c>
      <c r="J130" s="9" t="str">
        <f t="shared" si="140"/>
        <v>0.422, 0.380, 0.480</v>
      </c>
      <c r="K130" s="9" t="str">
        <f t="shared" si="140"/>
        <v>0.444, 0.355, 0.555</v>
      </c>
      <c r="L130" s="9" t="str">
        <f t="shared" si="140"/>
        <v>0.424, 0.382, 0.481</v>
      </c>
      <c r="M130" s="9" t="str">
        <f t="shared" si="140"/>
        <v>0.442, 0.354, 0.554</v>
      </c>
      <c r="N130" s="9" t="str">
        <f t="shared" si="140"/>
        <v>0.422, 0.380, 0.479</v>
      </c>
      <c r="O130" s="9" t="str">
        <f t="shared" si="140"/>
        <v>0.438, 0.351, 0.550</v>
      </c>
    </row>
    <row r="131">
      <c r="A131" s="8" t="s">
        <v>396</v>
      </c>
      <c r="B131" s="8" t="s">
        <v>397</v>
      </c>
      <c r="C131" s="8" t="s">
        <v>398</v>
      </c>
      <c r="D131" s="8" t="s">
        <v>399</v>
      </c>
      <c r="E131" s="8" t="s">
        <v>400</v>
      </c>
      <c r="F131" s="8" t="s">
        <v>401</v>
      </c>
      <c r="G131" s="8" t="s">
        <v>398</v>
      </c>
      <c r="I131" s="9" t="str">
        <f t="shared" ref="I131:O131" si="141">substitute(SUBSTITUTE(A131, "(", ""), ")", "")</f>
        <v>0.418, 0.418, 0.418</v>
      </c>
      <c r="J131" s="9" t="str">
        <f t="shared" si="141"/>
        <v>0.431, 0.388, 0.488</v>
      </c>
      <c r="K131" s="9" t="str">
        <f t="shared" si="141"/>
        <v>0.454, 0.363, 0.563</v>
      </c>
      <c r="L131" s="9" t="str">
        <f t="shared" si="141"/>
        <v>0.437, 0.393, 0.493</v>
      </c>
      <c r="M131" s="9" t="str">
        <f t="shared" si="141"/>
        <v>0.461, 0.369, 0.569</v>
      </c>
      <c r="N131" s="9" t="str">
        <f t="shared" si="141"/>
        <v>0.434, 0.391, 0.491</v>
      </c>
      <c r="O131" s="9" t="str">
        <f t="shared" si="141"/>
        <v>0.454, 0.363, 0.563</v>
      </c>
    </row>
    <row r="132">
      <c r="A132" s="8" t="s">
        <v>402</v>
      </c>
      <c r="B132" s="8" t="s">
        <v>379</v>
      </c>
      <c r="C132" s="8" t="s">
        <v>384</v>
      </c>
      <c r="D132" s="8" t="s">
        <v>383</v>
      </c>
      <c r="E132" s="8" t="s">
        <v>245</v>
      </c>
      <c r="F132" s="8" t="s">
        <v>383</v>
      </c>
      <c r="G132" s="8" t="s">
        <v>403</v>
      </c>
      <c r="I132" s="9" t="str">
        <f t="shared" ref="I132:O132" si="142">substitute(SUBSTITUTE(A132, "(", ""), ")", "")</f>
        <v>0.380, 0.380, 0.380</v>
      </c>
      <c r="J132" s="9" t="str">
        <f t="shared" si="142"/>
        <v>0.391, 0.352, 0.452</v>
      </c>
      <c r="K132" s="9" t="str">
        <f t="shared" si="142"/>
        <v>0.415, 0.332, 0.532</v>
      </c>
      <c r="L132" s="9" t="str">
        <f t="shared" si="142"/>
        <v>0.399, 0.359, 0.459</v>
      </c>
      <c r="M132" s="9" t="str">
        <f t="shared" si="142"/>
        <v>0.419, 0.335, 0.535</v>
      </c>
      <c r="N132" s="9" t="str">
        <f t="shared" si="142"/>
        <v>0.399, 0.359, 0.459</v>
      </c>
      <c r="O132" s="9" t="str">
        <f t="shared" si="142"/>
        <v>0.418, 0.335, 0.534</v>
      </c>
    </row>
    <row r="133">
      <c r="A133" s="8" t="s">
        <v>404</v>
      </c>
      <c r="B133" s="8" t="s">
        <v>405</v>
      </c>
      <c r="C133" s="8" t="s">
        <v>406</v>
      </c>
      <c r="D133" s="8" t="s">
        <v>407</v>
      </c>
      <c r="E133" s="8" t="s">
        <v>408</v>
      </c>
      <c r="F133" s="8" t="s">
        <v>409</v>
      </c>
      <c r="G133" s="8" t="s">
        <v>410</v>
      </c>
      <c r="I133" s="9" t="str">
        <f t="shared" ref="I133:O133" si="143">substitute(SUBSTITUTE(A133, "(", ""), ")", "")</f>
        <v>0.396, 0.396, 0.396</v>
      </c>
      <c r="J133" s="9" t="str">
        <f t="shared" si="143"/>
        <v>0.409, 0.368, 0.468</v>
      </c>
      <c r="K133" s="9" t="str">
        <f t="shared" si="143"/>
        <v>0.431, 0.345, 0.545</v>
      </c>
      <c r="L133" s="9" t="str">
        <f t="shared" si="143"/>
        <v>0.410, 0.369, 0.469</v>
      </c>
      <c r="M133" s="9" t="str">
        <f t="shared" si="143"/>
        <v>0.425, 0.340, 0.540</v>
      </c>
      <c r="N133" s="9" t="str">
        <f t="shared" si="143"/>
        <v>0.407, 0.367, 0.467</v>
      </c>
      <c r="O133" s="9" t="str">
        <f t="shared" si="143"/>
        <v>0.422, 0.338, 0.538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"","")"),0.357)</f>
        <v>0.357</v>
      </c>
      <c r="B135" s="9">
        <f>IFERROR(__xludf.DUMMYFUNCTION("""COMPUTED_VALUE"""),0.357)</f>
        <v>0.357</v>
      </c>
      <c r="C135" s="9">
        <f>IFERROR(__xludf.DUMMYFUNCTION("""COMPUTED_VALUE"""),0.357)</f>
        <v>0.357</v>
      </c>
      <c r="E135" s="11">
        <f>IFERROR(__xludf.DUMMYFUNCTION("SPLIT(J127, "","")"),0.367)</f>
        <v>0.367</v>
      </c>
      <c r="F135" s="9">
        <f>IFERROR(__xludf.DUMMYFUNCTION("""COMPUTED_VALUE"""),0.331)</f>
        <v>0.331</v>
      </c>
      <c r="G135" s="9">
        <f>IFERROR(__xludf.DUMMYFUNCTION("""COMPUTED_VALUE"""),0.431)</f>
        <v>0.431</v>
      </c>
      <c r="I135" s="9">
        <f>IFERROR(__xludf.DUMMYFUNCTION("SPLIT(K127, "","")"),0.389)</f>
        <v>0.389</v>
      </c>
      <c r="J135" s="9">
        <f>IFERROR(__xludf.DUMMYFUNCTION("""COMPUTED_VALUE"""),0.311)</f>
        <v>0.311</v>
      </c>
      <c r="K135" s="9">
        <f>IFERROR(__xludf.DUMMYFUNCTION("""COMPUTED_VALUE"""),0.511)</f>
        <v>0.511</v>
      </c>
      <c r="M135" s="9">
        <f>IFERROR(__xludf.DUMMYFUNCTION("SPLIT(L127, "","")"),0.372)</f>
        <v>0.372</v>
      </c>
      <c r="N135" s="9">
        <f>IFERROR(__xludf.DUMMYFUNCTION("""COMPUTED_VALUE"""),0.335)</f>
        <v>0.335</v>
      </c>
      <c r="O135" s="9">
        <f>IFERROR(__xludf.DUMMYFUNCTION("""COMPUTED_VALUE"""),0.435)</f>
        <v>0.435</v>
      </c>
      <c r="Q135" s="9">
        <f>IFERROR(__xludf.DUMMYFUNCTION("SPLIT(M127, "","")"),0.386)</f>
        <v>0.386</v>
      </c>
      <c r="R135" s="9">
        <f>IFERROR(__xludf.DUMMYFUNCTION("""COMPUTED_VALUE"""),0.309)</f>
        <v>0.309</v>
      </c>
      <c r="S135" s="9">
        <f>IFERROR(__xludf.DUMMYFUNCTION("""COMPUTED_VALUE"""),0.509)</f>
        <v>0.509</v>
      </c>
      <c r="U135" s="9">
        <f>IFERROR(__xludf.DUMMYFUNCTION("SPLIT(N127, "","")"),0.37)</f>
        <v>0.37</v>
      </c>
      <c r="V135" s="9">
        <f>IFERROR(__xludf.DUMMYFUNCTION("""COMPUTED_VALUE"""),0.333)</f>
        <v>0.333</v>
      </c>
      <c r="W135" s="9">
        <f>IFERROR(__xludf.DUMMYFUNCTION("""COMPUTED_VALUE"""),0.433)</f>
        <v>0.433</v>
      </c>
      <c r="Y135" s="9">
        <f>IFERROR(__xludf.DUMMYFUNCTION("SPLIT(O127, "","")"),0.383)</f>
        <v>0.383</v>
      </c>
      <c r="Z135" s="9">
        <f>IFERROR(__xludf.DUMMYFUNCTION("""COMPUTED_VALUE"""),0.306)</f>
        <v>0.306</v>
      </c>
      <c r="AA135" s="9">
        <f>IFERROR(__xludf.DUMMYFUNCTION("""COMPUTED_VALUE"""),0.506)</f>
        <v>0.506</v>
      </c>
    </row>
    <row r="136">
      <c r="A136" s="9">
        <f>IFERROR(__xludf.DUMMYFUNCTION("SPLIT(I128, "","")"),0.376)</f>
        <v>0.376</v>
      </c>
      <c r="B136" s="9">
        <f>IFERROR(__xludf.DUMMYFUNCTION("""COMPUTED_VALUE"""),0.376)</f>
        <v>0.376</v>
      </c>
      <c r="C136" s="9">
        <f>IFERROR(__xludf.DUMMYFUNCTION("""COMPUTED_VALUE"""),0.376)</f>
        <v>0.376</v>
      </c>
      <c r="E136" s="11">
        <f>IFERROR(__xludf.DUMMYFUNCTION("SPLIT(J128, "","")"),0.388)</f>
        <v>0.388</v>
      </c>
      <c r="F136" s="9">
        <f>IFERROR(__xludf.DUMMYFUNCTION("""COMPUTED_VALUE"""),0.35)</f>
        <v>0.35</v>
      </c>
      <c r="G136" s="9">
        <f>IFERROR(__xludf.DUMMYFUNCTION("""COMPUTED_VALUE"""),0.45)</f>
        <v>0.45</v>
      </c>
      <c r="I136" s="9">
        <f>IFERROR(__xludf.DUMMYFUNCTION("SPLIT(K128, "","")"),0.413)</f>
        <v>0.413</v>
      </c>
      <c r="J136" s="9">
        <f>IFERROR(__xludf.DUMMYFUNCTION("""COMPUTED_VALUE"""),0.33)</f>
        <v>0.33</v>
      </c>
      <c r="K136" s="9">
        <f>IFERROR(__xludf.DUMMYFUNCTION("""COMPUTED_VALUE"""),0.53)</f>
        <v>0.53</v>
      </c>
      <c r="M136" s="9">
        <f>IFERROR(__xludf.DUMMYFUNCTION("SPLIT(L128, "","")"),0.391)</f>
        <v>0.391</v>
      </c>
      <c r="N136" s="9">
        <f>IFERROR(__xludf.DUMMYFUNCTION("""COMPUTED_VALUE"""),0.352)</f>
        <v>0.352</v>
      </c>
      <c r="O136" s="9">
        <f>IFERROR(__xludf.DUMMYFUNCTION("""COMPUTED_VALUE"""),0.452)</f>
        <v>0.452</v>
      </c>
      <c r="Q136" s="9">
        <f>IFERROR(__xludf.DUMMYFUNCTION("SPLIT(M128, "","")"),0.409)</f>
        <v>0.409</v>
      </c>
      <c r="R136" s="9">
        <f>IFERROR(__xludf.DUMMYFUNCTION("""COMPUTED_VALUE"""),0.327)</f>
        <v>0.327</v>
      </c>
      <c r="S136" s="9">
        <f>IFERROR(__xludf.DUMMYFUNCTION("""COMPUTED_VALUE"""),0.527)</f>
        <v>0.527</v>
      </c>
      <c r="U136" s="9">
        <f>IFERROR(__xludf.DUMMYFUNCTION("SPLIT(N128, "","")"),0.391)</f>
        <v>0.391</v>
      </c>
      <c r="V136" s="9">
        <f>IFERROR(__xludf.DUMMYFUNCTION("""COMPUTED_VALUE"""),0.352)</f>
        <v>0.352</v>
      </c>
      <c r="W136" s="9">
        <f>IFERROR(__xludf.DUMMYFUNCTION("""COMPUTED_VALUE"""),0.452)</f>
        <v>0.452</v>
      </c>
      <c r="Y136" s="9">
        <f>IFERROR(__xludf.DUMMYFUNCTION("SPLIT(O128, "","")"),0.405)</f>
        <v>0.405</v>
      </c>
      <c r="Z136" s="9">
        <f>IFERROR(__xludf.DUMMYFUNCTION("""COMPUTED_VALUE"""),0.324)</f>
        <v>0.324</v>
      </c>
      <c r="AA136" s="9">
        <f>IFERROR(__xludf.DUMMYFUNCTION("""COMPUTED_VALUE"""),0.524)</f>
        <v>0.524</v>
      </c>
    </row>
    <row r="137">
      <c r="A137" s="9">
        <f>IFERROR(__xludf.DUMMYFUNCTION("SPLIT(I129, "","")"),0.387)</f>
        <v>0.387</v>
      </c>
      <c r="B137" s="9">
        <f>IFERROR(__xludf.DUMMYFUNCTION("""COMPUTED_VALUE"""),0.387)</f>
        <v>0.387</v>
      </c>
      <c r="C137" s="9">
        <f>IFERROR(__xludf.DUMMYFUNCTION("""COMPUTED_VALUE"""),0.387)</f>
        <v>0.387</v>
      </c>
      <c r="E137" s="11">
        <f>IFERROR(__xludf.DUMMYFUNCTION("SPLIT(J129, "","")"),0.399)</f>
        <v>0.399</v>
      </c>
      <c r="F137" s="9">
        <f>IFERROR(__xludf.DUMMYFUNCTION("""COMPUTED_VALUE"""),0.359)</f>
        <v>0.359</v>
      </c>
      <c r="G137" s="9">
        <f>IFERROR(__xludf.DUMMYFUNCTION("""COMPUTED_VALUE"""),0.459)</f>
        <v>0.459</v>
      </c>
      <c r="I137" s="9">
        <f>IFERROR(__xludf.DUMMYFUNCTION("SPLIT(K129, "","")"),0.415)</f>
        <v>0.415</v>
      </c>
      <c r="J137" s="9">
        <f>IFERROR(__xludf.DUMMYFUNCTION("""COMPUTED_VALUE"""),0.332)</f>
        <v>0.332</v>
      </c>
      <c r="K137" s="9">
        <f>IFERROR(__xludf.DUMMYFUNCTION("""COMPUTED_VALUE"""),0.532)</f>
        <v>0.532</v>
      </c>
      <c r="M137" s="9">
        <f>IFERROR(__xludf.DUMMYFUNCTION("SPLIT(L129, "","")"),0.4)</f>
        <v>0.4</v>
      </c>
      <c r="N137" s="9">
        <f>IFERROR(__xludf.DUMMYFUNCTION("""COMPUTED_VALUE"""),0.36)</f>
        <v>0.36</v>
      </c>
      <c r="O137" s="9">
        <f>IFERROR(__xludf.DUMMYFUNCTION("""COMPUTED_VALUE"""),0.46)</f>
        <v>0.46</v>
      </c>
      <c r="Q137" s="9">
        <f>IFERROR(__xludf.DUMMYFUNCTION("SPLIT(M129, "","")"),0.412)</f>
        <v>0.412</v>
      </c>
      <c r="R137" s="9">
        <f>IFERROR(__xludf.DUMMYFUNCTION("""COMPUTED_VALUE"""),0.329)</f>
        <v>0.329</v>
      </c>
      <c r="S137" s="9">
        <f>IFERROR(__xludf.DUMMYFUNCTION("""COMPUTED_VALUE"""),0.529)</f>
        <v>0.529</v>
      </c>
      <c r="U137" s="9">
        <f>IFERROR(__xludf.DUMMYFUNCTION("SPLIT(N129, "","")"),0.398)</f>
        <v>0.398</v>
      </c>
      <c r="V137" s="9">
        <f>IFERROR(__xludf.DUMMYFUNCTION("""COMPUTED_VALUE"""),0.358)</f>
        <v>0.358</v>
      </c>
      <c r="W137" s="9">
        <f>IFERROR(__xludf.DUMMYFUNCTION("""COMPUTED_VALUE"""),0.458)</f>
        <v>0.458</v>
      </c>
      <c r="Y137" s="9">
        <f>IFERROR(__xludf.DUMMYFUNCTION("SPLIT(O129, "","")"),0.408)</f>
        <v>0.408</v>
      </c>
      <c r="Z137" s="9">
        <f>IFERROR(__xludf.DUMMYFUNCTION("""COMPUTED_VALUE"""),0.327)</f>
        <v>0.327</v>
      </c>
      <c r="AA137" s="9">
        <f>IFERROR(__xludf.DUMMYFUNCTION("""COMPUTED_VALUE"""),0.527)</f>
        <v>0.527</v>
      </c>
    </row>
    <row r="138">
      <c r="A138" s="9">
        <f>IFERROR(__xludf.DUMMYFUNCTION("SPLIT(I130, "","")"),0.406)</f>
        <v>0.406</v>
      </c>
      <c r="B138" s="9">
        <f>IFERROR(__xludf.DUMMYFUNCTION("""COMPUTED_VALUE"""),0.406)</f>
        <v>0.406</v>
      </c>
      <c r="C138" s="9">
        <f>IFERROR(__xludf.DUMMYFUNCTION("""COMPUTED_VALUE"""),0.406)</f>
        <v>0.406</v>
      </c>
      <c r="E138" s="11">
        <f>IFERROR(__xludf.DUMMYFUNCTION("SPLIT(J130, "","")"),0.422)</f>
        <v>0.422</v>
      </c>
      <c r="F138" s="9">
        <f>IFERROR(__xludf.DUMMYFUNCTION("""COMPUTED_VALUE"""),0.38)</f>
        <v>0.38</v>
      </c>
      <c r="G138" s="9">
        <f>IFERROR(__xludf.DUMMYFUNCTION("""COMPUTED_VALUE"""),0.48)</f>
        <v>0.48</v>
      </c>
      <c r="I138" s="9">
        <f>IFERROR(__xludf.DUMMYFUNCTION("SPLIT(K130, "","")"),0.444)</f>
        <v>0.444</v>
      </c>
      <c r="J138" s="9">
        <f>IFERROR(__xludf.DUMMYFUNCTION("""COMPUTED_VALUE"""),0.355)</f>
        <v>0.355</v>
      </c>
      <c r="K138" s="9">
        <f>IFERROR(__xludf.DUMMYFUNCTION("""COMPUTED_VALUE"""),0.555)</f>
        <v>0.555</v>
      </c>
      <c r="M138" s="9">
        <f>IFERROR(__xludf.DUMMYFUNCTION("SPLIT(L130, "","")"),0.424)</f>
        <v>0.424</v>
      </c>
      <c r="N138" s="9">
        <f>IFERROR(__xludf.DUMMYFUNCTION("""COMPUTED_VALUE"""),0.382)</f>
        <v>0.382</v>
      </c>
      <c r="O138" s="9">
        <f>IFERROR(__xludf.DUMMYFUNCTION("""COMPUTED_VALUE"""),0.481)</f>
        <v>0.481</v>
      </c>
      <c r="Q138" s="9">
        <f>IFERROR(__xludf.DUMMYFUNCTION("SPLIT(M130, "","")"),0.442)</f>
        <v>0.442</v>
      </c>
      <c r="R138" s="9">
        <f>IFERROR(__xludf.DUMMYFUNCTION("""COMPUTED_VALUE"""),0.354)</f>
        <v>0.354</v>
      </c>
      <c r="S138" s="9">
        <f>IFERROR(__xludf.DUMMYFUNCTION("""COMPUTED_VALUE"""),0.554)</f>
        <v>0.554</v>
      </c>
      <c r="U138" s="9">
        <f>IFERROR(__xludf.DUMMYFUNCTION("SPLIT(N130, "","")"),0.422)</f>
        <v>0.422</v>
      </c>
      <c r="V138" s="9">
        <f>IFERROR(__xludf.DUMMYFUNCTION("""COMPUTED_VALUE"""),0.38)</f>
        <v>0.38</v>
      </c>
      <c r="W138" s="9">
        <f>IFERROR(__xludf.DUMMYFUNCTION("""COMPUTED_VALUE"""),0.479)</f>
        <v>0.479</v>
      </c>
      <c r="Y138" s="9">
        <f>IFERROR(__xludf.DUMMYFUNCTION("SPLIT(O130, "","")"),0.438)</f>
        <v>0.438</v>
      </c>
      <c r="Z138" s="9">
        <f>IFERROR(__xludf.DUMMYFUNCTION("""COMPUTED_VALUE"""),0.351)</f>
        <v>0.351</v>
      </c>
      <c r="AA138" s="9">
        <f>IFERROR(__xludf.DUMMYFUNCTION("""COMPUTED_VALUE"""),0.55)</f>
        <v>0.55</v>
      </c>
    </row>
    <row r="139">
      <c r="A139" s="9">
        <f>IFERROR(__xludf.DUMMYFUNCTION("SPLIT(I131, "","")"),0.418)</f>
        <v>0.418</v>
      </c>
      <c r="B139" s="9">
        <f>IFERROR(__xludf.DUMMYFUNCTION("""COMPUTED_VALUE"""),0.418)</f>
        <v>0.418</v>
      </c>
      <c r="C139" s="9">
        <f>IFERROR(__xludf.DUMMYFUNCTION("""COMPUTED_VALUE"""),0.418)</f>
        <v>0.418</v>
      </c>
      <c r="E139" s="11">
        <f>IFERROR(__xludf.DUMMYFUNCTION("SPLIT(J131, "","")"),0.431)</f>
        <v>0.431</v>
      </c>
      <c r="F139" s="9">
        <f>IFERROR(__xludf.DUMMYFUNCTION("""COMPUTED_VALUE"""),0.388)</f>
        <v>0.388</v>
      </c>
      <c r="G139" s="9">
        <f>IFERROR(__xludf.DUMMYFUNCTION("""COMPUTED_VALUE"""),0.488)</f>
        <v>0.488</v>
      </c>
      <c r="I139" s="9">
        <f>IFERROR(__xludf.DUMMYFUNCTION("SPLIT(K131, "","")"),0.454)</f>
        <v>0.454</v>
      </c>
      <c r="J139" s="9">
        <f>IFERROR(__xludf.DUMMYFUNCTION("""COMPUTED_VALUE"""),0.363)</f>
        <v>0.363</v>
      </c>
      <c r="K139" s="9">
        <f>IFERROR(__xludf.DUMMYFUNCTION("""COMPUTED_VALUE"""),0.563)</f>
        <v>0.563</v>
      </c>
      <c r="M139" s="9">
        <f>IFERROR(__xludf.DUMMYFUNCTION("SPLIT(L131, "","")"),0.437)</f>
        <v>0.437</v>
      </c>
      <c r="N139" s="9">
        <f>IFERROR(__xludf.DUMMYFUNCTION("""COMPUTED_VALUE"""),0.393)</f>
        <v>0.393</v>
      </c>
      <c r="O139" s="9">
        <f>IFERROR(__xludf.DUMMYFUNCTION("""COMPUTED_VALUE"""),0.493)</f>
        <v>0.493</v>
      </c>
      <c r="Q139" s="9">
        <f>IFERROR(__xludf.DUMMYFUNCTION("SPLIT(M131, "","")"),0.461)</f>
        <v>0.461</v>
      </c>
      <c r="R139" s="9">
        <f>IFERROR(__xludf.DUMMYFUNCTION("""COMPUTED_VALUE"""),0.369)</f>
        <v>0.369</v>
      </c>
      <c r="S139" s="9">
        <f>IFERROR(__xludf.DUMMYFUNCTION("""COMPUTED_VALUE"""),0.569)</f>
        <v>0.569</v>
      </c>
      <c r="U139" s="9">
        <f>IFERROR(__xludf.DUMMYFUNCTION("SPLIT(N131, "","")"),0.434)</f>
        <v>0.434</v>
      </c>
      <c r="V139" s="9">
        <f>IFERROR(__xludf.DUMMYFUNCTION("""COMPUTED_VALUE"""),0.391)</f>
        <v>0.391</v>
      </c>
      <c r="W139" s="9">
        <f>IFERROR(__xludf.DUMMYFUNCTION("""COMPUTED_VALUE"""),0.491)</f>
        <v>0.491</v>
      </c>
      <c r="Y139" s="9">
        <f>IFERROR(__xludf.DUMMYFUNCTION("SPLIT(O131, "","")"),0.454)</f>
        <v>0.454</v>
      </c>
      <c r="Z139" s="9">
        <f>IFERROR(__xludf.DUMMYFUNCTION("""COMPUTED_VALUE"""),0.363)</f>
        <v>0.363</v>
      </c>
      <c r="AA139" s="9">
        <f>IFERROR(__xludf.DUMMYFUNCTION("""COMPUTED_VALUE"""),0.563)</f>
        <v>0.563</v>
      </c>
    </row>
    <row r="140">
      <c r="A140" s="9">
        <f>IFERROR(__xludf.DUMMYFUNCTION("SPLIT(I132, "","")"),0.38)</f>
        <v>0.38</v>
      </c>
      <c r="B140" s="9">
        <f>IFERROR(__xludf.DUMMYFUNCTION("""COMPUTED_VALUE"""),0.38)</f>
        <v>0.38</v>
      </c>
      <c r="C140" s="9">
        <f>IFERROR(__xludf.DUMMYFUNCTION("""COMPUTED_VALUE"""),0.38)</f>
        <v>0.38</v>
      </c>
      <c r="E140" s="11">
        <f>IFERROR(__xludf.DUMMYFUNCTION("SPLIT(J132, "","")"),0.391)</f>
        <v>0.391</v>
      </c>
      <c r="F140" s="9">
        <f>IFERROR(__xludf.DUMMYFUNCTION("""COMPUTED_VALUE"""),0.352)</f>
        <v>0.352</v>
      </c>
      <c r="G140" s="9">
        <f>IFERROR(__xludf.DUMMYFUNCTION("""COMPUTED_VALUE"""),0.452)</f>
        <v>0.452</v>
      </c>
      <c r="I140" s="9">
        <f>IFERROR(__xludf.DUMMYFUNCTION("SPLIT(K132, "","")"),0.415)</f>
        <v>0.415</v>
      </c>
      <c r="J140" s="9">
        <f>IFERROR(__xludf.DUMMYFUNCTION("""COMPUTED_VALUE"""),0.332)</f>
        <v>0.332</v>
      </c>
      <c r="K140" s="9">
        <f>IFERROR(__xludf.DUMMYFUNCTION("""COMPUTED_VALUE"""),0.532)</f>
        <v>0.532</v>
      </c>
      <c r="M140" s="9">
        <f>IFERROR(__xludf.DUMMYFUNCTION("SPLIT(L132, "","")"),0.399)</f>
        <v>0.399</v>
      </c>
      <c r="N140" s="9">
        <f>IFERROR(__xludf.DUMMYFUNCTION("""COMPUTED_VALUE"""),0.359)</f>
        <v>0.359</v>
      </c>
      <c r="O140" s="9">
        <f>IFERROR(__xludf.DUMMYFUNCTION("""COMPUTED_VALUE"""),0.459)</f>
        <v>0.459</v>
      </c>
      <c r="Q140" s="9">
        <f>IFERROR(__xludf.DUMMYFUNCTION("SPLIT(M132, "","")"),0.419)</f>
        <v>0.419</v>
      </c>
      <c r="R140" s="9">
        <f>IFERROR(__xludf.DUMMYFUNCTION("""COMPUTED_VALUE"""),0.335)</f>
        <v>0.335</v>
      </c>
      <c r="S140" s="9">
        <f>IFERROR(__xludf.DUMMYFUNCTION("""COMPUTED_VALUE"""),0.535)</f>
        <v>0.535</v>
      </c>
      <c r="U140" s="9">
        <f>IFERROR(__xludf.DUMMYFUNCTION("SPLIT(N132, "","")"),0.399)</f>
        <v>0.399</v>
      </c>
      <c r="V140" s="9">
        <f>IFERROR(__xludf.DUMMYFUNCTION("""COMPUTED_VALUE"""),0.359)</f>
        <v>0.359</v>
      </c>
      <c r="W140" s="9">
        <f>IFERROR(__xludf.DUMMYFUNCTION("""COMPUTED_VALUE"""),0.459)</f>
        <v>0.459</v>
      </c>
      <c r="Y140" s="9">
        <f>IFERROR(__xludf.DUMMYFUNCTION("SPLIT(O132, "","")"),0.418)</f>
        <v>0.418</v>
      </c>
      <c r="Z140" s="9">
        <f>IFERROR(__xludf.DUMMYFUNCTION("""COMPUTED_VALUE"""),0.335)</f>
        <v>0.335</v>
      </c>
      <c r="AA140" s="9">
        <f>IFERROR(__xludf.DUMMYFUNCTION("""COMPUTED_VALUE"""),0.534)</f>
        <v>0.534</v>
      </c>
    </row>
    <row r="141">
      <c r="A141" s="9">
        <f>IFERROR(__xludf.DUMMYFUNCTION("SPLIT(I133, "","")"),0.396)</f>
        <v>0.396</v>
      </c>
      <c r="B141" s="9">
        <f>IFERROR(__xludf.DUMMYFUNCTION("""COMPUTED_VALUE"""),0.396)</f>
        <v>0.396</v>
      </c>
      <c r="C141" s="9">
        <f>IFERROR(__xludf.DUMMYFUNCTION("""COMPUTED_VALUE"""),0.396)</f>
        <v>0.396</v>
      </c>
      <c r="E141" s="11">
        <f>IFERROR(__xludf.DUMMYFUNCTION("SPLIT(J133, "","")"),0.409)</f>
        <v>0.409</v>
      </c>
      <c r="F141" s="9">
        <f>IFERROR(__xludf.DUMMYFUNCTION("""COMPUTED_VALUE"""),0.368)</f>
        <v>0.368</v>
      </c>
      <c r="G141" s="9">
        <f>IFERROR(__xludf.DUMMYFUNCTION("""COMPUTED_VALUE"""),0.468)</f>
        <v>0.468</v>
      </c>
      <c r="I141" s="9">
        <f>IFERROR(__xludf.DUMMYFUNCTION("SPLIT(K133, "","")"),0.431)</f>
        <v>0.431</v>
      </c>
      <c r="J141" s="9">
        <f>IFERROR(__xludf.DUMMYFUNCTION("""COMPUTED_VALUE"""),0.345)</f>
        <v>0.345</v>
      </c>
      <c r="K141" s="9">
        <f>IFERROR(__xludf.DUMMYFUNCTION("""COMPUTED_VALUE"""),0.545)</f>
        <v>0.545</v>
      </c>
      <c r="M141" s="9">
        <f>IFERROR(__xludf.DUMMYFUNCTION("SPLIT(L133, "","")"),0.41)</f>
        <v>0.41</v>
      </c>
      <c r="N141" s="9">
        <f>IFERROR(__xludf.DUMMYFUNCTION("""COMPUTED_VALUE"""),0.369)</f>
        <v>0.369</v>
      </c>
      <c r="O141" s="9">
        <f>IFERROR(__xludf.DUMMYFUNCTION("""COMPUTED_VALUE"""),0.469)</f>
        <v>0.469</v>
      </c>
      <c r="Q141" s="9">
        <f>IFERROR(__xludf.DUMMYFUNCTION("SPLIT(M133, "","")"),0.425)</f>
        <v>0.425</v>
      </c>
      <c r="R141" s="9">
        <f>IFERROR(__xludf.DUMMYFUNCTION("""COMPUTED_VALUE"""),0.34)</f>
        <v>0.34</v>
      </c>
      <c r="S141" s="9">
        <f>IFERROR(__xludf.DUMMYFUNCTION("""COMPUTED_VALUE"""),0.54)</f>
        <v>0.54</v>
      </c>
      <c r="U141" s="9">
        <f>IFERROR(__xludf.DUMMYFUNCTION("SPLIT(N133, "","")"),0.407)</f>
        <v>0.407</v>
      </c>
      <c r="V141" s="9">
        <f>IFERROR(__xludf.DUMMYFUNCTION("""COMPUTED_VALUE"""),0.367)</f>
        <v>0.367</v>
      </c>
      <c r="W141" s="9">
        <f>IFERROR(__xludf.DUMMYFUNCTION("""COMPUTED_VALUE"""),0.467)</f>
        <v>0.467</v>
      </c>
      <c r="Y141" s="9">
        <f>IFERROR(__xludf.DUMMYFUNCTION("SPLIT(O133, "","")"),0.422)</f>
        <v>0.422</v>
      </c>
      <c r="Z141" s="9">
        <f>IFERROR(__xludf.DUMMYFUNCTION("""COMPUTED_VALUE"""),0.338)</f>
        <v>0.338</v>
      </c>
      <c r="AA141" s="9">
        <f>IFERROR(__xludf.DUMMYFUNCTION("""COMPUTED_VALUE"""),0.538)</f>
        <v>0.538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0.357</v>
      </c>
      <c r="D145" s="7">
        <f t="shared" ref="D145:D151" si="149">E135</f>
        <v>0.367</v>
      </c>
      <c r="E145" s="7">
        <f t="shared" ref="E145:E151" si="150">I135</f>
        <v>0.389</v>
      </c>
      <c r="F145" s="7">
        <f t="shared" ref="F145:G145" si="144">N135</f>
        <v>0.335</v>
      </c>
      <c r="G145" s="12">
        <f t="shared" si="144"/>
        <v>0.435</v>
      </c>
      <c r="H145" s="7">
        <f t="shared" ref="H145:I145" si="145">R135</f>
        <v>0.309</v>
      </c>
      <c r="I145" s="12">
        <f t="shared" si="145"/>
        <v>0.509</v>
      </c>
      <c r="J145" s="7">
        <f t="shared" ref="J145:K145" si="146">V135</f>
        <v>0.333</v>
      </c>
      <c r="K145" s="12">
        <f t="shared" si="146"/>
        <v>0.433</v>
      </c>
      <c r="L145" s="7">
        <f t="shared" ref="L145:M145" si="147">Z135</f>
        <v>0.306</v>
      </c>
      <c r="M145" s="7">
        <f t="shared" si="147"/>
        <v>0.506</v>
      </c>
    </row>
    <row r="146">
      <c r="B146" s="6" t="s">
        <v>5</v>
      </c>
      <c r="C146" s="7">
        <f t="shared" si="148"/>
        <v>0.376</v>
      </c>
      <c r="D146" s="7">
        <f t="shared" si="149"/>
        <v>0.388</v>
      </c>
      <c r="E146" s="7">
        <f t="shared" si="150"/>
        <v>0.413</v>
      </c>
      <c r="F146" s="7">
        <f t="shared" ref="F146:G146" si="151">N136</f>
        <v>0.352</v>
      </c>
      <c r="G146" s="12">
        <f t="shared" si="151"/>
        <v>0.452</v>
      </c>
      <c r="H146" s="7">
        <f t="shared" ref="H146:I146" si="152">R136</f>
        <v>0.327</v>
      </c>
      <c r="I146" s="12">
        <f t="shared" si="152"/>
        <v>0.527</v>
      </c>
      <c r="J146" s="7">
        <f t="shared" ref="J146:K146" si="153">V136</f>
        <v>0.352</v>
      </c>
      <c r="K146" s="12">
        <f t="shared" si="153"/>
        <v>0.452</v>
      </c>
      <c r="L146" s="7">
        <f t="shared" ref="L146:M146" si="154">Z136</f>
        <v>0.324</v>
      </c>
      <c r="M146" s="7">
        <f t="shared" si="154"/>
        <v>0.524</v>
      </c>
    </row>
    <row r="147">
      <c r="B147" s="6" t="s">
        <v>6</v>
      </c>
      <c r="C147" s="7">
        <f t="shared" si="148"/>
        <v>0.387</v>
      </c>
      <c r="D147" s="7">
        <f t="shared" si="149"/>
        <v>0.399</v>
      </c>
      <c r="E147" s="7">
        <f t="shared" si="150"/>
        <v>0.415</v>
      </c>
      <c r="F147" s="7">
        <f t="shared" ref="F147:G147" si="155">N137</f>
        <v>0.36</v>
      </c>
      <c r="G147" s="12">
        <f t="shared" si="155"/>
        <v>0.46</v>
      </c>
      <c r="H147" s="7">
        <f t="shared" ref="H147:I147" si="156">R137</f>
        <v>0.329</v>
      </c>
      <c r="I147" s="12">
        <f t="shared" si="156"/>
        <v>0.529</v>
      </c>
      <c r="J147" s="7">
        <f t="shared" ref="J147:K147" si="157">V137</f>
        <v>0.358</v>
      </c>
      <c r="K147" s="12">
        <f t="shared" si="157"/>
        <v>0.458</v>
      </c>
      <c r="L147" s="7">
        <f t="shared" ref="L147:M147" si="158">Z137</f>
        <v>0.327</v>
      </c>
      <c r="M147" s="7">
        <f t="shared" si="158"/>
        <v>0.527</v>
      </c>
    </row>
    <row r="148">
      <c r="B148" s="6" t="s">
        <v>7</v>
      </c>
      <c r="C148" s="7">
        <f t="shared" si="148"/>
        <v>0.406</v>
      </c>
      <c r="D148" s="7">
        <f t="shared" si="149"/>
        <v>0.422</v>
      </c>
      <c r="E148" s="7">
        <f t="shared" si="150"/>
        <v>0.444</v>
      </c>
      <c r="F148" s="7">
        <f t="shared" ref="F148:G148" si="159">N138</f>
        <v>0.382</v>
      </c>
      <c r="G148" s="12">
        <f t="shared" si="159"/>
        <v>0.481</v>
      </c>
      <c r="H148" s="7">
        <f t="shared" ref="H148:I148" si="160">R138</f>
        <v>0.354</v>
      </c>
      <c r="I148" s="12">
        <f t="shared" si="160"/>
        <v>0.554</v>
      </c>
      <c r="J148" s="7">
        <f t="shared" ref="J148:K148" si="161">V138</f>
        <v>0.38</v>
      </c>
      <c r="K148" s="12">
        <f t="shared" si="161"/>
        <v>0.479</v>
      </c>
      <c r="L148" s="7">
        <f t="shared" ref="L148:M148" si="162">Z138</f>
        <v>0.351</v>
      </c>
      <c r="M148" s="7">
        <f t="shared" si="162"/>
        <v>0.55</v>
      </c>
    </row>
    <row r="149">
      <c r="B149" s="6" t="s">
        <v>8</v>
      </c>
      <c r="C149" s="7">
        <f t="shared" si="148"/>
        <v>0.418</v>
      </c>
      <c r="D149" s="7">
        <f t="shared" si="149"/>
        <v>0.431</v>
      </c>
      <c r="E149" s="7">
        <f t="shared" si="150"/>
        <v>0.454</v>
      </c>
      <c r="F149" s="7">
        <f t="shared" ref="F149:G149" si="163">N139</f>
        <v>0.393</v>
      </c>
      <c r="G149" s="12">
        <f t="shared" si="163"/>
        <v>0.493</v>
      </c>
      <c r="H149" s="7">
        <f t="shared" ref="H149:I149" si="164">R139</f>
        <v>0.369</v>
      </c>
      <c r="I149" s="12">
        <f t="shared" si="164"/>
        <v>0.569</v>
      </c>
      <c r="J149" s="7">
        <f t="shared" ref="J149:K149" si="165">V139</f>
        <v>0.391</v>
      </c>
      <c r="K149" s="12">
        <f t="shared" si="165"/>
        <v>0.491</v>
      </c>
      <c r="L149" s="7">
        <f t="shared" ref="L149:M149" si="166">Z139</f>
        <v>0.363</v>
      </c>
      <c r="M149" s="7">
        <f t="shared" si="166"/>
        <v>0.563</v>
      </c>
    </row>
    <row r="150">
      <c r="B150" s="6" t="s">
        <v>9</v>
      </c>
      <c r="C150" s="7">
        <f t="shared" si="148"/>
        <v>0.38</v>
      </c>
      <c r="D150" s="7">
        <f t="shared" si="149"/>
        <v>0.391</v>
      </c>
      <c r="E150" s="7">
        <f t="shared" si="150"/>
        <v>0.415</v>
      </c>
      <c r="F150" s="7">
        <f t="shared" ref="F150:G150" si="167">N140</f>
        <v>0.359</v>
      </c>
      <c r="G150" s="12">
        <f t="shared" si="167"/>
        <v>0.459</v>
      </c>
      <c r="H150" s="7">
        <f t="shared" ref="H150:I150" si="168">R140</f>
        <v>0.335</v>
      </c>
      <c r="I150" s="12">
        <f t="shared" si="168"/>
        <v>0.535</v>
      </c>
      <c r="J150" s="7">
        <f t="shared" ref="J150:K150" si="169">V140</f>
        <v>0.359</v>
      </c>
      <c r="K150" s="12">
        <f t="shared" si="169"/>
        <v>0.459</v>
      </c>
      <c r="L150" s="7">
        <f t="shared" ref="L150:M150" si="170">Z140</f>
        <v>0.335</v>
      </c>
      <c r="M150" s="7">
        <f t="shared" si="170"/>
        <v>0.534</v>
      </c>
    </row>
    <row r="151">
      <c r="B151" s="6" t="s">
        <v>10</v>
      </c>
      <c r="C151" s="7">
        <f t="shared" si="148"/>
        <v>0.396</v>
      </c>
      <c r="D151" s="7">
        <f t="shared" si="149"/>
        <v>0.409</v>
      </c>
      <c r="E151" s="7">
        <f t="shared" si="150"/>
        <v>0.431</v>
      </c>
      <c r="F151" s="7">
        <f t="shared" ref="F151:G151" si="171">N141</f>
        <v>0.369</v>
      </c>
      <c r="G151" s="12">
        <f t="shared" si="171"/>
        <v>0.469</v>
      </c>
      <c r="H151" s="7">
        <f t="shared" ref="H151:I151" si="172">R141</f>
        <v>0.34</v>
      </c>
      <c r="I151" s="12">
        <f t="shared" si="172"/>
        <v>0.54</v>
      </c>
      <c r="J151" s="7">
        <f t="shared" ref="J151:K151" si="173">V141</f>
        <v>0.367</v>
      </c>
      <c r="K151" s="12">
        <f t="shared" si="173"/>
        <v>0.467</v>
      </c>
      <c r="L151" s="7">
        <f t="shared" ref="L151:M151" si="174">Z141</f>
        <v>0.338</v>
      </c>
      <c r="M151" s="7">
        <f t="shared" si="174"/>
        <v>0.538</v>
      </c>
    </row>
    <row r="153">
      <c r="A153" s="8" t="s">
        <v>411</v>
      </c>
      <c r="B153" s="8" t="s">
        <v>412</v>
      </c>
      <c r="C153" s="8" t="s">
        <v>413</v>
      </c>
      <c r="D153" s="8" t="s">
        <v>143</v>
      </c>
      <c r="E153" s="8" t="s">
        <v>414</v>
      </c>
      <c r="F153" s="8" t="s">
        <v>415</v>
      </c>
      <c r="G153" s="8" t="s">
        <v>416</v>
      </c>
      <c r="I153" s="9" t="str">
        <f t="shared" ref="I153:O153" si="175">substitute(SUBSTITUTE(A153, "(", ""), ")", "")</f>
        <v>0.465, 0.465, 0.465</v>
      </c>
      <c r="J153" s="9" t="str">
        <f t="shared" si="175"/>
        <v>0.465, 0.419, 0.519</v>
      </c>
      <c r="K153" s="9" t="str">
        <f t="shared" si="175"/>
        <v>0.466, 0.373, 0.573</v>
      </c>
      <c r="L153" s="9" t="str">
        <f t="shared" si="175"/>
        <v>0.471, 0.424, 0.524</v>
      </c>
      <c r="M153" s="9" t="str">
        <f t="shared" si="175"/>
        <v>0.477, 0.382, 0.582</v>
      </c>
      <c r="N153" s="9" t="str">
        <f t="shared" si="175"/>
        <v>0.467, 0.421, 0.521</v>
      </c>
      <c r="O153" s="9" t="str">
        <f t="shared" si="175"/>
        <v>0.471, 0.377, 0.577</v>
      </c>
      <c r="T153" s="6"/>
    </row>
    <row r="154">
      <c r="A154" s="8" t="s">
        <v>162</v>
      </c>
      <c r="B154" s="8" t="s">
        <v>417</v>
      </c>
      <c r="C154" s="8" t="s">
        <v>142</v>
      </c>
      <c r="D154" s="8" t="s">
        <v>143</v>
      </c>
      <c r="E154" s="8" t="s">
        <v>171</v>
      </c>
      <c r="F154" s="8" t="s">
        <v>412</v>
      </c>
      <c r="G154" s="8" t="s">
        <v>161</v>
      </c>
      <c r="I154" s="9" t="str">
        <f t="shared" ref="I154:O154" si="176">substitute(SUBSTITUTE(A154, "(", ""), ")", "")</f>
        <v>0.457, 0.457, 0.457</v>
      </c>
      <c r="J154" s="9" t="str">
        <f t="shared" si="176"/>
        <v>0.456, 0.410, 0.510</v>
      </c>
      <c r="K154" s="9" t="str">
        <f t="shared" si="176"/>
        <v>0.457, 0.366, 0.566</v>
      </c>
      <c r="L154" s="9" t="str">
        <f t="shared" si="176"/>
        <v>0.471, 0.424, 0.524</v>
      </c>
      <c r="M154" s="9" t="str">
        <f t="shared" si="176"/>
        <v>0.485, 0.388, 0.588</v>
      </c>
      <c r="N154" s="9" t="str">
        <f t="shared" si="176"/>
        <v>0.465, 0.419, 0.519</v>
      </c>
      <c r="O154" s="9" t="str">
        <f t="shared" si="176"/>
        <v>0.476, 0.381, 0.581</v>
      </c>
    </row>
    <row r="155">
      <c r="A155" s="8" t="s">
        <v>418</v>
      </c>
      <c r="B155" s="8" t="s">
        <v>212</v>
      </c>
      <c r="C155" s="8" t="s">
        <v>419</v>
      </c>
      <c r="D155" s="8" t="s">
        <v>143</v>
      </c>
      <c r="E155" s="8" t="s">
        <v>151</v>
      </c>
      <c r="F155" s="8" t="s">
        <v>143</v>
      </c>
      <c r="G155" s="8" t="s">
        <v>161</v>
      </c>
      <c r="I155" s="9" t="str">
        <f t="shared" ref="I155:O155" si="177">substitute(SUBSTITUTE(A155, "(", ""), ")", "")</f>
        <v>0.467, 0.467, 0.467</v>
      </c>
      <c r="J155" s="9" t="str">
        <f t="shared" si="177"/>
        <v>0.468, 0.421, 0.521</v>
      </c>
      <c r="K155" s="9" t="str">
        <f t="shared" si="177"/>
        <v>0.467, 0.374, 0.574</v>
      </c>
      <c r="L155" s="9" t="str">
        <f t="shared" si="177"/>
        <v>0.471, 0.424, 0.524</v>
      </c>
      <c r="M155" s="9" t="str">
        <f t="shared" si="177"/>
        <v>0.480, 0.384, 0.584</v>
      </c>
      <c r="N155" s="9" t="str">
        <f t="shared" si="177"/>
        <v>0.471, 0.424, 0.524</v>
      </c>
      <c r="O155" s="9" t="str">
        <f t="shared" si="177"/>
        <v>0.476, 0.381, 0.581</v>
      </c>
    </row>
    <row r="156">
      <c r="A156" s="8" t="s">
        <v>420</v>
      </c>
      <c r="B156" s="8" t="s">
        <v>421</v>
      </c>
      <c r="C156" s="8" t="s">
        <v>422</v>
      </c>
      <c r="D156" s="8" t="s">
        <v>155</v>
      </c>
      <c r="E156" s="8" t="s">
        <v>167</v>
      </c>
      <c r="F156" s="8" t="s">
        <v>155</v>
      </c>
      <c r="G156" s="8" t="s">
        <v>181</v>
      </c>
      <c r="I156" s="9" t="str">
        <f t="shared" ref="I156:O156" si="178">substitute(SUBSTITUTE(A156, "(", ""), ")", "")</f>
        <v>0.475, 0.475, 0.475</v>
      </c>
      <c r="J156" s="9" t="str">
        <f t="shared" si="178"/>
        <v>0.475, 0.428, 0.528</v>
      </c>
      <c r="K156" s="9" t="str">
        <f t="shared" si="178"/>
        <v>0.472, 0.378, 0.578</v>
      </c>
      <c r="L156" s="9" t="str">
        <f t="shared" si="178"/>
        <v>0.477, 0.429, 0.529</v>
      </c>
      <c r="M156" s="9" t="str">
        <f t="shared" si="178"/>
        <v>0.475, 0.380, 0.580</v>
      </c>
      <c r="N156" s="9" t="str">
        <f t="shared" si="178"/>
        <v>0.477, 0.429, 0.529</v>
      </c>
      <c r="O156" s="9" t="str">
        <f t="shared" si="178"/>
        <v>0.474, 0.379, 0.579</v>
      </c>
    </row>
    <row r="157">
      <c r="A157" s="8" t="s">
        <v>423</v>
      </c>
      <c r="B157" s="8" t="s">
        <v>424</v>
      </c>
      <c r="C157" s="8" t="s">
        <v>425</v>
      </c>
      <c r="D157" s="8" t="s">
        <v>182</v>
      </c>
      <c r="E157" s="8" t="s">
        <v>171</v>
      </c>
      <c r="F157" s="8" t="s">
        <v>201</v>
      </c>
      <c r="G157" s="8" t="s">
        <v>426</v>
      </c>
      <c r="I157" s="9" t="str">
        <f t="shared" ref="I157:O157" si="179">substitute(SUBSTITUTE(A157, "(", ""), ")", "")</f>
        <v>0.487, 0.487, 0.487</v>
      </c>
      <c r="J157" s="9" t="str">
        <f t="shared" si="179"/>
        <v>0.488, 0.440, 0.540</v>
      </c>
      <c r="K157" s="9" t="str">
        <f t="shared" si="179"/>
        <v>0.484, 0.388, 0.588</v>
      </c>
      <c r="L157" s="9" t="str">
        <f t="shared" si="179"/>
        <v>0.487, 0.438, 0.538</v>
      </c>
      <c r="M157" s="9" t="str">
        <f t="shared" si="179"/>
        <v>0.485, 0.388, 0.588</v>
      </c>
      <c r="N157" s="9" t="str">
        <f t="shared" si="179"/>
        <v>0.489, 0.440, 0.540</v>
      </c>
      <c r="O157" s="9" t="str">
        <f t="shared" si="179"/>
        <v>0.486, 0.389, 0.589</v>
      </c>
    </row>
    <row r="158">
      <c r="A158" s="8" t="s">
        <v>427</v>
      </c>
      <c r="B158" s="8" t="s">
        <v>155</v>
      </c>
      <c r="C158" s="8" t="s">
        <v>151</v>
      </c>
      <c r="D158" s="8" t="s">
        <v>428</v>
      </c>
      <c r="E158" s="8" t="s">
        <v>425</v>
      </c>
      <c r="F158" s="8" t="s">
        <v>429</v>
      </c>
      <c r="G158" s="8" t="s">
        <v>159</v>
      </c>
      <c r="I158" s="9" t="str">
        <f t="shared" ref="I158:O158" si="180">substitute(SUBSTITUTE(A158, "(", ""), ")", "")</f>
        <v>0.478, 0.478, 0.478</v>
      </c>
      <c r="J158" s="9" t="str">
        <f t="shared" si="180"/>
        <v>0.477, 0.429, 0.529</v>
      </c>
      <c r="K158" s="9" t="str">
        <f t="shared" si="180"/>
        <v>0.480, 0.384, 0.584</v>
      </c>
      <c r="L158" s="9" t="str">
        <f t="shared" si="180"/>
        <v>0.485, 0.436, 0.536</v>
      </c>
      <c r="M158" s="9" t="str">
        <f t="shared" si="180"/>
        <v>0.484, 0.388, 0.588</v>
      </c>
      <c r="N158" s="9" t="str">
        <f t="shared" si="180"/>
        <v>0.483, 0.434, 0.534</v>
      </c>
      <c r="O158" s="9" t="str">
        <f t="shared" si="180"/>
        <v>0.477, 0.381, 0.581</v>
      </c>
    </row>
    <row r="159">
      <c r="A159" s="8" t="s">
        <v>430</v>
      </c>
      <c r="B159" s="8" t="s">
        <v>170</v>
      </c>
      <c r="C159" s="8" t="s">
        <v>426</v>
      </c>
      <c r="D159" s="8" t="s">
        <v>431</v>
      </c>
      <c r="E159" s="8" t="s">
        <v>159</v>
      </c>
      <c r="F159" s="8" t="s">
        <v>432</v>
      </c>
      <c r="G159" s="8" t="s">
        <v>146</v>
      </c>
      <c r="I159" s="9" t="str">
        <f t="shared" ref="I159:O159" si="181">substitute(SUBSTITUTE(A159, "(", ""), ")", "")</f>
        <v>0.486, 0.486, 0.486</v>
      </c>
      <c r="J159" s="9" t="str">
        <f t="shared" si="181"/>
        <v>0.485, 0.437, 0.537</v>
      </c>
      <c r="K159" s="9" t="str">
        <f t="shared" si="181"/>
        <v>0.486, 0.389, 0.589</v>
      </c>
      <c r="L159" s="9" t="str">
        <f t="shared" si="181"/>
        <v>0.483, 0.435, 0.535</v>
      </c>
      <c r="M159" s="9" t="str">
        <f t="shared" si="181"/>
        <v>0.477, 0.381, 0.581</v>
      </c>
      <c r="N159" s="9" t="str">
        <f t="shared" si="181"/>
        <v>0.484, 0.435, 0.535</v>
      </c>
      <c r="O159" s="9" t="str">
        <f t="shared" si="181"/>
        <v>0.479, 0.383, 0.583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"","")"),0.465)</f>
        <v>0.465</v>
      </c>
      <c r="B161" s="9">
        <f>IFERROR(__xludf.DUMMYFUNCTION("""COMPUTED_VALUE"""),0.465)</f>
        <v>0.465</v>
      </c>
      <c r="C161" s="9">
        <f>IFERROR(__xludf.DUMMYFUNCTION("""COMPUTED_VALUE"""),0.465)</f>
        <v>0.465</v>
      </c>
      <c r="E161" s="11">
        <f>IFERROR(__xludf.DUMMYFUNCTION("SPLIT(J153, "","")"),0.465)</f>
        <v>0.465</v>
      </c>
      <c r="F161" s="9">
        <f>IFERROR(__xludf.DUMMYFUNCTION("""COMPUTED_VALUE"""),0.419)</f>
        <v>0.419</v>
      </c>
      <c r="G161" s="9">
        <f>IFERROR(__xludf.DUMMYFUNCTION("""COMPUTED_VALUE"""),0.519)</f>
        <v>0.519</v>
      </c>
      <c r="I161" s="9">
        <f>IFERROR(__xludf.DUMMYFUNCTION("SPLIT(K153, "","")"),0.466)</f>
        <v>0.466</v>
      </c>
      <c r="J161" s="9">
        <f>IFERROR(__xludf.DUMMYFUNCTION("""COMPUTED_VALUE"""),0.373)</f>
        <v>0.373</v>
      </c>
      <c r="K161" s="9">
        <f>IFERROR(__xludf.DUMMYFUNCTION("""COMPUTED_VALUE"""),0.573)</f>
        <v>0.573</v>
      </c>
      <c r="M161" s="9">
        <f>IFERROR(__xludf.DUMMYFUNCTION("SPLIT(L153, "","")"),0.471)</f>
        <v>0.471</v>
      </c>
      <c r="N161" s="9">
        <f>IFERROR(__xludf.DUMMYFUNCTION("""COMPUTED_VALUE"""),0.424)</f>
        <v>0.424</v>
      </c>
      <c r="O161" s="9">
        <f>IFERROR(__xludf.DUMMYFUNCTION("""COMPUTED_VALUE"""),0.524)</f>
        <v>0.524</v>
      </c>
      <c r="Q161" s="9">
        <f>IFERROR(__xludf.DUMMYFUNCTION("SPLIT(M153, "","")"),0.477)</f>
        <v>0.477</v>
      </c>
      <c r="R161" s="9">
        <f>IFERROR(__xludf.DUMMYFUNCTION("""COMPUTED_VALUE"""),0.382)</f>
        <v>0.382</v>
      </c>
      <c r="S161" s="9">
        <f>IFERROR(__xludf.DUMMYFUNCTION("""COMPUTED_VALUE"""),0.582)</f>
        <v>0.582</v>
      </c>
      <c r="U161" s="9">
        <f>IFERROR(__xludf.DUMMYFUNCTION("SPLIT(N153, "","")"),0.467)</f>
        <v>0.467</v>
      </c>
      <c r="V161" s="9">
        <f>IFERROR(__xludf.DUMMYFUNCTION("""COMPUTED_VALUE"""),0.421)</f>
        <v>0.421</v>
      </c>
      <c r="W161" s="9">
        <f>IFERROR(__xludf.DUMMYFUNCTION("""COMPUTED_VALUE"""),0.521)</f>
        <v>0.521</v>
      </c>
      <c r="Y161" s="9">
        <f>IFERROR(__xludf.DUMMYFUNCTION("SPLIT(O153, "","")"),0.471)</f>
        <v>0.471</v>
      </c>
      <c r="Z161" s="9">
        <f>IFERROR(__xludf.DUMMYFUNCTION("""COMPUTED_VALUE"""),0.377)</f>
        <v>0.377</v>
      </c>
      <c r="AA161" s="9">
        <f>IFERROR(__xludf.DUMMYFUNCTION("""COMPUTED_VALUE"""),0.577)</f>
        <v>0.577</v>
      </c>
    </row>
    <row r="162">
      <c r="A162" s="9">
        <f>IFERROR(__xludf.DUMMYFUNCTION("SPLIT(I154, "","")"),0.457)</f>
        <v>0.457</v>
      </c>
      <c r="B162" s="9">
        <f>IFERROR(__xludf.DUMMYFUNCTION("""COMPUTED_VALUE"""),0.457)</f>
        <v>0.457</v>
      </c>
      <c r="C162" s="9">
        <f>IFERROR(__xludf.DUMMYFUNCTION("""COMPUTED_VALUE"""),0.457)</f>
        <v>0.457</v>
      </c>
      <c r="E162" s="11">
        <f>IFERROR(__xludf.DUMMYFUNCTION("SPLIT(J154, "","")"),0.456)</f>
        <v>0.456</v>
      </c>
      <c r="F162" s="9">
        <f>IFERROR(__xludf.DUMMYFUNCTION("""COMPUTED_VALUE"""),0.41)</f>
        <v>0.41</v>
      </c>
      <c r="G162" s="9">
        <f>IFERROR(__xludf.DUMMYFUNCTION("""COMPUTED_VALUE"""),0.51)</f>
        <v>0.51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"","")"),0.485)</f>
        <v>0.485</v>
      </c>
      <c r="R162" s="9">
        <f>IFERROR(__xludf.DUMMYFUNCTION("""COMPUTED_VALUE"""),0.388)</f>
        <v>0.388</v>
      </c>
      <c r="S162" s="9">
        <f>IFERROR(__xludf.DUMMYFUNCTION("""COMPUTED_VALUE"""),0.588)</f>
        <v>0.588</v>
      </c>
      <c r="U162" s="9">
        <f>IFERROR(__xludf.DUMMYFUNCTION("SPLIT(N154, "","")"),0.465)</f>
        <v>0.465</v>
      </c>
      <c r="V162" s="9">
        <f>IFERROR(__xludf.DUMMYFUNCTION("""COMPUTED_VALUE"""),0.419)</f>
        <v>0.419</v>
      </c>
      <c r="W162" s="9">
        <f>IFERROR(__xludf.DUMMYFUNCTION("""COMPUTED_VALUE"""),0.519)</f>
        <v>0.519</v>
      </c>
      <c r="Y162" s="9">
        <f>IFERROR(__xludf.DUMMYFUNCTION("SPLIT(O154, "","")"),0.476)</f>
        <v>0.476</v>
      </c>
      <c r="Z162" s="9">
        <f>IFERROR(__xludf.DUMMYFUNCTION("""COMPUTED_VALUE"""),0.381)</f>
        <v>0.381</v>
      </c>
      <c r="AA162" s="9">
        <f>IFERROR(__xludf.DUMMYFUNCTION("""COMPUTED_VALUE"""),0.581)</f>
        <v>0.581</v>
      </c>
    </row>
    <row r="163">
      <c r="A163" s="9">
        <f>IFERROR(__xludf.DUMMYFUNCTION("SPLIT(I155, "","")"),0.467)</f>
        <v>0.467</v>
      </c>
      <c r="B163" s="9">
        <f>IFERROR(__xludf.DUMMYFUNCTION("""COMPUTED_VALUE"""),0.467)</f>
        <v>0.467</v>
      </c>
      <c r="C163" s="9">
        <f>IFERROR(__xludf.DUMMYFUNCTION("""COMPUTED_VALUE"""),0.467)</f>
        <v>0.467</v>
      </c>
      <c r="E163" s="11">
        <f>IFERROR(__xludf.DUMMYFUNCTION("SPLIT(J155, "","")"),0.468)</f>
        <v>0.468</v>
      </c>
      <c r="F163" s="9">
        <f>IFERROR(__xludf.DUMMYFUNCTION("""COMPUTED_VALUE"""),0.421)</f>
        <v>0.421</v>
      </c>
      <c r="G163" s="9">
        <f>IFERROR(__xludf.DUMMYFUNCTION("""COMPUTED_VALUE"""),0.521)</f>
        <v>0.521</v>
      </c>
      <c r="I163" s="9">
        <f>IFERROR(__xludf.DUMMYFUNCTION("SPLIT(K155, "","")"),0.467)</f>
        <v>0.467</v>
      </c>
      <c r="J163" s="9">
        <f>IFERROR(__xludf.DUMMYFUNCTION("""COMPUTED_VALUE"""),0.374)</f>
        <v>0.374</v>
      </c>
      <c r="K163" s="9">
        <f>IFERROR(__xludf.DUMMYFUNCTION("""COMPUTED_VALUE"""),0.574)</f>
        <v>0.574</v>
      </c>
      <c r="M163" s="9">
        <f>IFERROR(__xludf.DUMMYFUNCTION("SPLIT(L155, "","")"),0.471)</f>
        <v>0.471</v>
      </c>
      <c r="N163" s="9">
        <f>IFERROR(__xludf.DUMMYFUNCTION("""COMPUTED_VALUE"""),0.424)</f>
        <v>0.424</v>
      </c>
      <c r="O163" s="9">
        <f>IFERROR(__xludf.DUMMYFUNCTION("""COMPUTED_VALUE"""),0.524)</f>
        <v>0.524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"","")"),0.471)</f>
        <v>0.471</v>
      </c>
      <c r="V163" s="9">
        <f>IFERROR(__xludf.DUMMYFUNCTION("""COMPUTED_VALUE"""),0.424)</f>
        <v>0.424</v>
      </c>
      <c r="W163" s="9">
        <f>IFERROR(__xludf.DUMMYFUNCTION("""COMPUTED_VALUE"""),0.524)</f>
        <v>0.524</v>
      </c>
      <c r="Y163" s="9">
        <f>IFERROR(__xludf.DUMMYFUNCTION("SPLIT(O155, "","")"),0.476)</f>
        <v>0.476</v>
      </c>
      <c r="Z163" s="9">
        <f>IFERROR(__xludf.DUMMYFUNCTION("""COMPUTED_VALUE"""),0.381)</f>
        <v>0.381</v>
      </c>
      <c r="AA163" s="9">
        <f>IFERROR(__xludf.DUMMYFUNCTION("""COMPUTED_VALUE"""),0.581)</f>
        <v>0.581</v>
      </c>
    </row>
    <row r="164">
      <c r="A164" s="9">
        <f>IFERROR(__xludf.DUMMYFUNCTION("SPLIT(I156, "","")"),0.475)</f>
        <v>0.475</v>
      </c>
      <c r="B164" s="9">
        <f>IFERROR(__xludf.DUMMYFUNCTION("""COMPUTED_VALUE"""),0.475)</f>
        <v>0.475</v>
      </c>
      <c r="C164" s="9">
        <f>IFERROR(__xludf.DUMMYFUNCTION("""COMPUTED_VALUE"""),0.475)</f>
        <v>0.475</v>
      </c>
      <c r="E164" s="11">
        <f>IFERROR(__xludf.DUMMYFUNCTION("SPLIT(J156, "","")"),0.475)</f>
        <v>0.475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"","")"),0.472)</f>
        <v>0.472</v>
      </c>
      <c r="J164" s="9">
        <f>IFERROR(__xludf.DUMMYFUNCTION("""COMPUTED_VALUE"""),0.378)</f>
        <v>0.378</v>
      </c>
      <c r="K164" s="9">
        <f>IFERROR(__xludf.DUMMYFUNCTION("""COMPUTED_VALUE"""),0.578)</f>
        <v>0.578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"","")"),0.475)</f>
        <v>0.475</v>
      </c>
      <c r="R164" s="9">
        <f>IFERROR(__xludf.DUMMYFUNCTION("""COMPUTED_VALUE"""),0.38)</f>
        <v>0.38</v>
      </c>
      <c r="S164" s="9">
        <f>IFERROR(__xludf.DUMMYFUNCTION("""COMPUTED_VALUE"""),0.58)</f>
        <v>0.58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"","")"),0.474)</f>
        <v>0.474</v>
      </c>
      <c r="Z164" s="9">
        <f>IFERROR(__xludf.DUMMYFUNCTION("""COMPUTED_VALUE"""),0.379)</f>
        <v>0.379</v>
      </c>
      <c r="AA164" s="9">
        <f>IFERROR(__xludf.DUMMYFUNCTION("""COMPUTED_VALUE"""),0.579)</f>
        <v>0.579</v>
      </c>
    </row>
    <row r="165">
      <c r="A165" s="9">
        <f>IFERROR(__xludf.DUMMYFUNCTION("SPLIT(I157, "","")"),0.487)</f>
        <v>0.487</v>
      </c>
      <c r="B165" s="9">
        <f>IFERROR(__xludf.DUMMYFUNCTION("""COMPUTED_VALUE"""),0.487)</f>
        <v>0.487</v>
      </c>
      <c r="C165" s="9">
        <f>IFERROR(__xludf.DUMMYFUNCTION("""COMPUTED_VALUE"""),0.487)</f>
        <v>0.487</v>
      </c>
      <c r="E165" s="11">
        <f>IFERROR(__xludf.DUMMYFUNCTION("SPLIT(J157, "","")"),0.488)</f>
        <v>0.488</v>
      </c>
      <c r="F165" s="9">
        <f>IFERROR(__xludf.DUMMYFUNCTION("""COMPUTED_VALUE"""),0.44)</f>
        <v>0.44</v>
      </c>
      <c r="G165" s="9">
        <f>IFERROR(__xludf.DUMMYFUNCTION("""COMPUTED_VALUE"""),0.54)</f>
        <v>0.54</v>
      </c>
      <c r="I165" s="9">
        <f>IFERROR(__xludf.DUMMYFUNCTION("SPLIT(K157, "","")"),0.484)</f>
        <v>0.484</v>
      </c>
      <c r="J165" s="9">
        <f>IFERROR(__xludf.DUMMYFUNCTION("""COMPUTED_VALUE"""),0.388)</f>
        <v>0.388</v>
      </c>
      <c r="K165" s="9">
        <f>IFERROR(__xludf.DUMMYFUNCTION("""COMPUTED_VALUE"""),0.588)</f>
        <v>0.588</v>
      </c>
      <c r="M165" s="9">
        <f>IFERROR(__xludf.DUMMYFUNCTION("SPLIT(L157, "","")"),0.487)</f>
        <v>0.487</v>
      </c>
      <c r="N165" s="9">
        <f>IFERROR(__xludf.DUMMYFUNCTION("""COMPUTED_VALUE"""),0.438)</f>
        <v>0.438</v>
      </c>
      <c r="O165" s="9">
        <f>IFERROR(__xludf.DUMMYFUNCTION("""COMPUTED_VALUE"""),0.538)</f>
        <v>0.538</v>
      </c>
      <c r="Q165" s="9">
        <f>IFERROR(__xludf.DUMMYFUNCTION("SPLIT(M157, "","")"),0.485)</f>
        <v>0.485</v>
      </c>
      <c r="R165" s="9">
        <f>IFERROR(__xludf.DUMMYFUNCTION("""COMPUTED_VALUE"""),0.388)</f>
        <v>0.388</v>
      </c>
      <c r="S165" s="9">
        <f>IFERROR(__xludf.DUMMYFUNCTION("""COMPUTED_VALUE"""),0.588)</f>
        <v>0.588</v>
      </c>
      <c r="U165" s="9">
        <f>IFERROR(__xludf.DUMMYFUNCTION("SPLIT(N157, "","")"),0.489)</f>
        <v>0.489</v>
      </c>
      <c r="V165" s="9">
        <f>IFERROR(__xludf.DUMMYFUNCTION("""COMPUTED_VALUE"""),0.44)</f>
        <v>0.44</v>
      </c>
      <c r="W165" s="9">
        <f>IFERROR(__xludf.DUMMYFUNCTION("""COMPUTED_VALUE"""),0.54)</f>
        <v>0.54</v>
      </c>
      <c r="Y165" s="9">
        <f>IFERROR(__xludf.DUMMYFUNCTION("SPLIT(O157, "","")"),0.486)</f>
        <v>0.486</v>
      </c>
      <c r="Z165" s="9">
        <f>IFERROR(__xludf.DUMMYFUNCTION("""COMPUTED_VALUE"""),0.389)</f>
        <v>0.389</v>
      </c>
      <c r="AA165" s="9">
        <f>IFERROR(__xludf.DUMMYFUNCTION("""COMPUTED_VALUE"""),0.589)</f>
        <v>0.589</v>
      </c>
    </row>
    <row r="166">
      <c r="A166" s="9">
        <f>IFERROR(__xludf.DUMMYFUNCTION("SPLIT(I158, "","")"),0.478)</f>
        <v>0.478</v>
      </c>
      <c r="B166" s="9">
        <f>IFERROR(__xludf.DUMMYFUNCTION("""COMPUTED_VALUE"""),0.478)</f>
        <v>0.478</v>
      </c>
      <c r="C166" s="9">
        <f>IFERROR(__xludf.DUMMYFUNCTION("""COMPUTED_VALUE"""),0.478)</f>
        <v>0.478</v>
      </c>
      <c r="E166" s="11">
        <f>IFERROR(__xludf.DUMMYFUNCTION("SPLIT(J158, "","")"),0.477)</f>
        <v>0.477</v>
      </c>
      <c r="F166" s="9">
        <f>IFERROR(__xludf.DUMMYFUNCTION("""COMPUTED_VALUE"""),0.429)</f>
        <v>0.429</v>
      </c>
      <c r="G166" s="9">
        <f>IFERROR(__xludf.DUMMYFUNCTION("""COMPUTED_VALUE"""),0.529)</f>
        <v>0.529</v>
      </c>
      <c r="I166" s="9">
        <f>IFERROR(__xludf.DUMMYFUNCTION("SPLIT(K158, "","")"),0.48)</f>
        <v>0.48</v>
      </c>
      <c r="J166" s="9">
        <f>IFERROR(__xludf.DUMMYFUNCTION("""COMPUTED_VALUE"""),0.384)</f>
        <v>0.384</v>
      </c>
      <c r="K166" s="9">
        <f>IFERROR(__xludf.DUMMYFUNCTION("""COMPUTED_VALUE"""),0.584)</f>
        <v>0.584</v>
      </c>
      <c r="M166" s="9">
        <f>IFERROR(__xludf.DUMMYFUNCTION("SPLIT(L158, "","")"),0.485)</f>
        <v>0.485</v>
      </c>
      <c r="N166" s="9">
        <f>IFERROR(__xludf.DUMMYFUNCTION("""COMPUTED_VALUE"""),0.436)</f>
        <v>0.436</v>
      </c>
      <c r="O166" s="9">
        <f>IFERROR(__xludf.DUMMYFUNCTION("""COMPUTED_VALUE"""),0.536)</f>
        <v>0.536</v>
      </c>
      <c r="Q166" s="9">
        <f>IFERROR(__xludf.DUMMYFUNCTION("SPLIT(M158, "","")"),0.484)</f>
        <v>0.484</v>
      </c>
      <c r="R166" s="9">
        <f>IFERROR(__xludf.DUMMYFUNCTION("""COMPUTED_VALUE"""),0.388)</f>
        <v>0.388</v>
      </c>
      <c r="S166" s="9">
        <f>IFERROR(__xludf.DUMMYFUNCTION("""COMPUTED_VALUE"""),0.588)</f>
        <v>0.588</v>
      </c>
      <c r="U166" s="9">
        <f>IFERROR(__xludf.DUMMYFUNCTION("SPLIT(N158, "","")"),0.483)</f>
        <v>0.483</v>
      </c>
      <c r="V166" s="9">
        <f>IFERROR(__xludf.DUMMYFUNCTION("""COMPUTED_VALUE"""),0.434)</f>
        <v>0.434</v>
      </c>
      <c r="W166" s="9">
        <f>IFERROR(__xludf.DUMMYFUNCTION("""COMPUTED_VALUE"""),0.534)</f>
        <v>0.534</v>
      </c>
      <c r="Y166" s="9">
        <f>IFERROR(__xludf.DUMMYFUNCTION("SPLIT(O158, "","")"),0.477)</f>
        <v>0.477</v>
      </c>
      <c r="Z166" s="9">
        <f>IFERROR(__xludf.DUMMYFUNCTION("""COMPUTED_VALUE"""),0.381)</f>
        <v>0.381</v>
      </c>
      <c r="AA166" s="9">
        <f>IFERROR(__xludf.DUMMYFUNCTION("""COMPUTED_VALUE"""),0.581)</f>
        <v>0.581</v>
      </c>
    </row>
    <row r="167">
      <c r="A167" s="9">
        <f>IFERROR(__xludf.DUMMYFUNCTION("SPLIT(I159, "","")"),0.486)</f>
        <v>0.486</v>
      </c>
      <c r="B167" s="9">
        <f>IFERROR(__xludf.DUMMYFUNCTION("""COMPUTED_VALUE"""),0.486)</f>
        <v>0.486</v>
      </c>
      <c r="C167" s="9">
        <f>IFERROR(__xludf.DUMMYFUNCTION("""COMPUTED_VALUE"""),0.486)</f>
        <v>0.486</v>
      </c>
      <c r="E167" s="11">
        <f>IFERROR(__xludf.DUMMYFUNCTION("SPLIT(J159, "","")"),0.485)</f>
        <v>0.485</v>
      </c>
      <c r="F167" s="9">
        <f>IFERROR(__xludf.DUMMYFUNCTION("""COMPUTED_VALUE"""),0.437)</f>
        <v>0.437</v>
      </c>
      <c r="G167" s="9">
        <f>IFERROR(__xludf.DUMMYFUNCTION("""COMPUTED_VALUE"""),0.537)</f>
        <v>0.537</v>
      </c>
      <c r="I167" s="9">
        <f>IFERROR(__xludf.DUMMYFUNCTION("SPLIT(K159, "","")"),0.486)</f>
        <v>0.486</v>
      </c>
      <c r="J167" s="9">
        <f>IFERROR(__xludf.DUMMYFUNCTION("""COMPUTED_VALUE"""),0.389)</f>
        <v>0.389</v>
      </c>
      <c r="K167" s="9">
        <f>IFERROR(__xludf.DUMMYFUNCTION("""COMPUTED_VALUE"""),0.589)</f>
        <v>0.589</v>
      </c>
      <c r="M167" s="9">
        <f>IFERROR(__xludf.DUMMYFUNCTION("SPLIT(L159, "","")"),0.483)</f>
        <v>0.483</v>
      </c>
      <c r="N167" s="9">
        <f>IFERROR(__xludf.DUMMYFUNCTION("""COMPUTED_VALUE"""),0.435)</f>
        <v>0.435</v>
      </c>
      <c r="O167" s="9">
        <f>IFERROR(__xludf.DUMMYFUNCTION("""COMPUTED_VALUE"""),0.535)</f>
        <v>0.535</v>
      </c>
      <c r="Q167" s="9">
        <f>IFERROR(__xludf.DUMMYFUNCTION("SPLIT(M159, "","")"),0.477)</f>
        <v>0.477</v>
      </c>
      <c r="R167" s="9">
        <f>IFERROR(__xludf.DUMMYFUNCTION("""COMPUTED_VALUE"""),0.381)</f>
        <v>0.381</v>
      </c>
      <c r="S167" s="9">
        <f>IFERROR(__xludf.DUMMYFUNCTION("""COMPUTED_VALUE"""),0.581)</f>
        <v>0.581</v>
      </c>
      <c r="U167" s="9">
        <f>IFERROR(__xludf.DUMMYFUNCTION("SPLIT(N159, "","")"),0.484)</f>
        <v>0.484</v>
      </c>
      <c r="V167" s="9">
        <f>IFERROR(__xludf.DUMMYFUNCTION("""COMPUTED_VALUE"""),0.435)</f>
        <v>0.435</v>
      </c>
      <c r="W167" s="9">
        <f>IFERROR(__xludf.DUMMYFUNCTION("""COMPUTED_VALUE"""),0.535)</f>
        <v>0.535</v>
      </c>
      <c r="Y167" s="9">
        <f>IFERROR(__xludf.DUMMYFUNCTION("SPLIT(O159, "","")"),0.479)</f>
        <v>0.479</v>
      </c>
      <c r="Z167" s="9">
        <f>IFERROR(__xludf.DUMMYFUNCTION("""COMPUTED_VALUE"""),0.383)</f>
        <v>0.383</v>
      </c>
      <c r="AA167" s="9">
        <f>IFERROR(__xludf.DUMMYFUNCTION("""COMPUTED_VALUE"""),0.583)</f>
        <v>0.583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0.465</v>
      </c>
      <c r="D171" s="7">
        <f t="shared" ref="D171:D177" si="187">E161</f>
        <v>0.465</v>
      </c>
      <c r="E171" s="7">
        <f t="shared" ref="E171:E177" si="188">I161</f>
        <v>0.466</v>
      </c>
      <c r="F171" s="7">
        <f t="shared" ref="F171:G171" si="182">N161</f>
        <v>0.424</v>
      </c>
      <c r="G171" s="12">
        <f t="shared" si="182"/>
        <v>0.524</v>
      </c>
      <c r="H171" s="7">
        <f t="shared" ref="H171:I171" si="183">R161</f>
        <v>0.382</v>
      </c>
      <c r="I171" s="12">
        <f t="shared" si="183"/>
        <v>0.582</v>
      </c>
      <c r="J171" s="7">
        <f t="shared" ref="J171:K171" si="184">V161</f>
        <v>0.421</v>
      </c>
      <c r="K171" s="12">
        <f t="shared" si="184"/>
        <v>0.521</v>
      </c>
      <c r="L171" s="7">
        <f t="shared" ref="L171:M171" si="185">Z161</f>
        <v>0.377</v>
      </c>
      <c r="M171" s="7">
        <f t="shared" si="185"/>
        <v>0.577</v>
      </c>
    </row>
    <row r="172">
      <c r="B172" s="6" t="s">
        <v>5</v>
      </c>
      <c r="C172" s="7">
        <f t="shared" si="186"/>
        <v>0.457</v>
      </c>
      <c r="D172" s="7">
        <f t="shared" si="187"/>
        <v>0.456</v>
      </c>
      <c r="E172" s="7">
        <f t="shared" si="188"/>
        <v>0.457</v>
      </c>
      <c r="F172" s="7">
        <f t="shared" ref="F172:G172" si="189">N162</f>
        <v>0.424</v>
      </c>
      <c r="G172" s="12">
        <f t="shared" si="189"/>
        <v>0.524</v>
      </c>
      <c r="H172" s="7">
        <f t="shared" ref="H172:I172" si="190">R162</f>
        <v>0.388</v>
      </c>
      <c r="I172" s="12">
        <f t="shared" si="190"/>
        <v>0.588</v>
      </c>
      <c r="J172" s="7">
        <f t="shared" ref="J172:K172" si="191">V162</f>
        <v>0.419</v>
      </c>
      <c r="K172" s="12">
        <f t="shared" si="191"/>
        <v>0.519</v>
      </c>
      <c r="L172" s="7">
        <f t="shared" ref="L172:M172" si="192">Z162</f>
        <v>0.381</v>
      </c>
      <c r="M172" s="7">
        <f t="shared" si="192"/>
        <v>0.581</v>
      </c>
    </row>
    <row r="173">
      <c r="B173" s="6" t="s">
        <v>6</v>
      </c>
      <c r="C173" s="7">
        <f t="shared" si="186"/>
        <v>0.467</v>
      </c>
      <c r="D173" s="7">
        <f t="shared" si="187"/>
        <v>0.468</v>
      </c>
      <c r="E173" s="7">
        <f t="shared" si="188"/>
        <v>0.467</v>
      </c>
      <c r="F173" s="7">
        <f t="shared" ref="F173:G173" si="193">N163</f>
        <v>0.424</v>
      </c>
      <c r="G173" s="12">
        <f t="shared" si="193"/>
        <v>0.524</v>
      </c>
      <c r="H173" s="7">
        <f t="shared" ref="H173:I173" si="194">R163</f>
        <v>0.384</v>
      </c>
      <c r="I173" s="12">
        <f t="shared" si="194"/>
        <v>0.584</v>
      </c>
      <c r="J173" s="7">
        <f t="shared" ref="J173:K173" si="195">V163</f>
        <v>0.424</v>
      </c>
      <c r="K173" s="12">
        <f t="shared" si="195"/>
        <v>0.524</v>
      </c>
      <c r="L173" s="7">
        <f t="shared" ref="L173:M173" si="196">Z163</f>
        <v>0.381</v>
      </c>
      <c r="M173" s="7">
        <f t="shared" si="196"/>
        <v>0.581</v>
      </c>
    </row>
    <row r="174">
      <c r="B174" s="6" t="s">
        <v>7</v>
      </c>
      <c r="C174" s="7">
        <f t="shared" si="186"/>
        <v>0.475</v>
      </c>
      <c r="D174" s="7">
        <f t="shared" si="187"/>
        <v>0.475</v>
      </c>
      <c r="E174" s="7">
        <f t="shared" si="188"/>
        <v>0.472</v>
      </c>
      <c r="F174" s="7">
        <f t="shared" ref="F174:G174" si="197">N164</f>
        <v>0.429</v>
      </c>
      <c r="G174" s="12">
        <f t="shared" si="197"/>
        <v>0.529</v>
      </c>
      <c r="H174" s="7">
        <f t="shared" ref="H174:I174" si="198">R164</f>
        <v>0.38</v>
      </c>
      <c r="I174" s="12">
        <f t="shared" si="198"/>
        <v>0.58</v>
      </c>
      <c r="J174" s="7">
        <f t="shared" ref="J174:K174" si="199">V164</f>
        <v>0.429</v>
      </c>
      <c r="K174" s="12">
        <f t="shared" si="199"/>
        <v>0.529</v>
      </c>
      <c r="L174" s="7">
        <f t="shared" ref="L174:M174" si="200">Z164</f>
        <v>0.379</v>
      </c>
      <c r="M174" s="7">
        <f t="shared" si="200"/>
        <v>0.579</v>
      </c>
    </row>
    <row r="175">
      <c r="B175" s="6" t="s">
        <v>8</v>
      </c>
      <c r="C175" s="7">
        <f t="shared" si="186"/>
        <v>0.487</v>
      </c>
      <c r="D175" s="7">
        <f t="shared" si="187"/>
        <v>0.488</v>
      </c>
      <c r="E175" s="7">
        <f t="shared" si="188"/>
        <v>0.484</v>
      </c>
      <c r="F175" s="7">
        <f t="shared" ref="F175:G175" si="201">N165</f>
        <v>0.438</v>
      </c>
      <c r="G175" s="12">
        <f t="shared" si="201"/>
        <v>0.538</v>
      </c>
      <c r="H175" s="7">
        <f t="shared" ref="H175:I175" si="202">R165</f>
        <v>0.388</v>
      </c>
      <c r="I175" s="12">
        <f t="shared" si="202"/>
        <v>0.588</v>
      </c>
      <c r="J175" s="7">
        <f t="shared" ref="J175:K175" si="203">V165</f>
        <v>0.44</v>
      </c>
      <c r="K175" s="12">
        <f t="shared" si="203"/>
        <v>0.54</v>
      </c>
      <c r="L175" s="7">
        <f t="shared" ref="L175:M175" si="204">Z165</f>
        <v>0.389</v>
      </c>
      <c r="M175" s="7">
        <f t="shared" si="204"/>
        <v>0.589</v>
      </c>
    </row>
    <row r="176">
      <c r="B176" s="6" t="s">
        <v>9</v>
      </c>
      <c r="C176" s="7">
        <f t="shared" si="186"/>
        <v>0.478</v>
      </c>
      <c r="D176" s="7">
        <f t="shared" si="187"/>
        <v>0.477</v>
      </c>
      <c r="E176" s="7">
        <f t="shared" si="188"/>
        <v>0.48</v>
      </c>
      <c r="F176" s="7">
        <f t="shared" ref="F176:G176" si="205">N166</f>
        <v>0.436</v>
      </c>
      <c r="G176" s="12">
        <f t="shared" si="205"/>
        <v>0.536</v>
      </c>
      <c r="H176" s="7">
        <f t="shared" ref="H176:I176" si="206">R166</f>
        <v>0.388</v>
      </c>
      <c r="I176" s="12">
        <f t="shared" si="206"/>
        <v>0.588</v>
      </c>
      <c r="J176" s="7">
        <f t="shared" ref="J176:K176" si="207">V166</f>
        <v>0.434</v>
      </c>
      <c r="K176" s="12">
        <f t="shared" si="207"/>
        <v>0.534</v>
      </c>
      <c r="L176" s="7">
        <f t="shared" ref="L176:M176" si="208">Z166</f>
        <v>0.381</v>
      </c>
      <c r="M176" s="7">
        <f t="shared" si="208"/>
        <v>0.581</v>
      </c>
    </row>
    <row r="177">
      <c r="B177" s="6" t="s">
        <v>10</v>
      </c>
      <c r="C177" s="7">
        <f t="shared" si="186"/>
        <v>0.486</v>
      </c>
      <c r="D177" s="7">
        <f t="shared" si="187"/>
        <v>0.485</v>
      </c>
      <c r="E177" s="7">
        <f t="shared" si="188"/>
        <v>0.486</v>
      </c>
      <c r="F177" s="7">
        <f t="shared" ref="F177:G177" si="209">N167</f>
        <v>0.435</v>
      </c>
      <c r="G177" s="12">
        <f t="shared" si="209"/>
        <v>0.535</v>
      </c>
      <c r="H177" s="7">
        <f t="shared" ref="H177:I177" si="210">R167</f>
        <v>0.381</v>
      </c>
      <c r="I177" s="12">
        <f t="shared" si="210"/>
        <v>0.581</v>
      </c>
      <c r="J177" s="7">
        <f t="shared" ref="J177:K177" si="211">V167</f>
        <v>0.435</v>
      </c>
      <c r="K177" s="12">
        <f t="shared" si="211"/>
        <v>0.535</v>
      </c>
      <c r="L177" s="7">
        <f t="shared" ref="L177:M177" si="212">Z167</f>
        <v>0.383</v>
      </c>
      <c r="M177" s="7">
        <f t="shared" si="212"/>
        <v>0.583</v>
      </c>
    </row>
    <row r="179">
      <c r="A179" s="8" t="s">
        <v>186</v>
      </c>
      <c r="B179" s="8" t="s">
        <v>138</v>
      </c>
      <c r="C179" s="8" t="s">
        <v>151</v>
      </c>
      <c r="D179" s="8" t="s">
        <v>433</v>
      </c>
      <c r="E179" s="8" t="s">
        <v>434</v>
      </c>
      <c r="F179" s="8" t="s">
        <v>435</v>
      </c>
      <c r="G179" s="8" t="s">
        <v>185</v>
      </c>
      <c r="I179" s="9" t="str">
        <f t="shared" ref="I179:O179" si="213">substitute(SUBSTITUTE(A179, "(", ""), ")", "")</f>
        <v>0.461, 0.461, 0.461</v>
      </c>
      <c r="J179" s="9" t="str">
        <f t="shared" si="213"/>
        <v>0.458, 0.412, 0.512</v>
      </c>
      <c r="K179" s="9" t="str">
        <f t="shared" si="213"/>
        <v>0.480, 0.384, 0.584</v>
      </c>
      <c r="L179" s="9" t="str">
        <f t="shared" si="213"/>
        <v>0.493, 0.444, 0.544</v>
      </c>
      <c r="M179" s="9" t="str">
        <f t="shared" si="213"/>
        <v>0.520, 0.416, 0.616</v>
      </c>
      <c r="N179" s="9" t="str">
        <f t="shared" si="213"/>
        <v>0.497, 0.447, 0.547</v>
      </c>
      <c r="O179" s="9" t="str">
        <f t="shared" si="213"/>
        <v>0.534, 0.427, 0.627</v>
      </c>
      <c r="T179" s="6"/>
    </row>
    <row r="180">
      <c r="A180" s="8" t="s">
        <v>147</v>
      </c>
      <c r="B180" s="8" t="s">
        <v>436</v>
      </c>
      <c r="C180" s="8" t="s">
        <v>200</v>
      </c>
      <c r="D180" s="8" t="s">
        <v>437</v>
      </c>
      <c r="E180" s="8" t="s">
        <v>438</v>
      </c>
      <c r="F180" s="8" t="s">
        <v>439</v>
      </c>
      <c r="G180" s="8" t="s">
        <v>440</v>
      </c>
      <c r="I180" s="9" t="str">
        <f t="shared" ref="I180:O180" si="214">substitute(SUBSTITUTE(A180, "(", ""), ")", "")</f>
        <v>0.450, 0.450, 0.450</v>
      </c>
      <c r="J180" s="9" t="str">
        <f t="shared" si="214"/>
        <v>0.442, 0.398, 0.498</v>
      </c>
      <c r="K180" s="9" t="str">
        <f t="shared" si="214"/>
        <v>0.459, 0.367, 0.567</v>
      </c>
      <c r="L180" s="9" t="str">
        <f t="shared" si="214"/>
        <v>0.495, 0.446, 0.546</v>
      </c>
      <c r="M180" s="9" t="str">
        <f t="shared" si="214"/>
        <v>0.559, 0.447, 0.647</v>
      </c>
      <c r="N180" s="9" t="str">
        <f t="shared" si="214"/>
        <v>0.499, 0.449, 0.549</v>
      </c>
      <c r="O180" s="9" t="str">
        <f t="shared" si="214"/>
        <v>0.560, 0.448, 0.648</v>
      </c>
    </row>
    <row r="181">
      <c r="A181" s="8" t="s">
        <v>418</v>
      </c>
      <c r="B181" s="8" t="s">
        <v>412</v>
      </c>
      <c r="C181" s="8" t="s">
        <v>144</v>
      </c>
      <c r="D181" s="8" t="s">
        <v>441</v>
      </c>
      <c r="E181" s="8" t="s">
        <v>442</v>
      </c>
      <c r="F181" s="8" t="s">
        <v>201</v>
      </c>
      <c r="G181" s="8" t="s">
        <v>443</v>
      </c>
      <c r="I181" s="9" t="str">
        <f t="shared" ref="I181:O181" si="215">substitute(SUBSTITUTE(A181, "(", ""), ")", "")</f>
        <v>0.467, 0.467, 0.467</v>
      </c>
      <c r="J181" s="9" t="str">
        <f t="shared" si="215"/>
        <v>0.465, 0.419, 0.519</v>
      </c>
      <c r="K181" s="9" t="str">
        <f t="shared" si="215"/>
        <v>0.484, 0.387, 0.587</v>
      </c>
      <c r="L181" s="9" t="str">
        <f t="shared" si="215"/>
        <v>0.490, 0.441, 0.541</v>
      </c>
      <c r="M181" s="9" t="str">
        <f t="shared" si="215"/>
        <v>0.527, 0.422, 0.622</v>
      </c>
      <c r="N181" s="9" t="str">
        <f t="shared" si="215"/>
        <v>0.489, 0.440, 0.540</v>
      </c>
      <c r="O181" s="9" t="str">
        <f t="shared" si="215"/>
        <v>0.517, 0.414, 0.614</v>
      </c>
    </row>
    <row r="182">
      <c r="A182" s="8" t="s">
        <v>204</v>
      </c>
      <c r="B182" s="8" t="s">
        <v>444</v>
      </c>
      <c r="C182" s="8" t="s">
        <v>445</v>
      </c>
      <c r="D182" s="8" t="s">
        <v>446</v>
      </c>
      <c r="E182" s="8" t="s">
        <v>447</v>
      </c>
      <c r="F182" s="8" t="s">
        <v>448</v>
      </c>
      <c r="G182" s="8" t="s">
        <v>449</v>
      </c>
      <c r="I182" s="9" t="str">
        <f t="shared" ref="I182:O182" si="216">substitute(SUBSTITUTE(A182, "(", ""), ")", "")</f>
        <v>0.456, 0.456, 0.456</v>
      </c>
      <c r="J182" s="9" t="str">
        <f t="shared" si="216"/>
        <v>0.452, 0.407, 0.507</v>
      </c>
      <c r="K182" s="9" t="str">
        <f t="shared" si="216"/>
        <v>0.468, 0.374, 0.574</v>
      </c>
      <c r="L182" s="9" t="str">
        <f t="shared" si="216"/>
        <v>0.491, 0.442, 0.542</v>
      </c>
      <c r="M182" s="9" t="str">
        <f t="shared" si="216"/>
        <v>0.528, 0.422, 0.622</v>
      </c>
      <c r="N182" s="9" t="str">
        <f t="shared" si="216"/>
        <v>0.478, 0.430, 0.530</v>
      </c>
      <c r="O182" s="9" t="str">
        <f t="shared" si="216"/>
        <v>0.525, 0.420, 0.620</v>
      </c>
    </row>
    <row r="183">
      <c r="A183" s="8" t="s">
        <v>411</v>
      </c>
      <c r="B183" s="8" t="s">
        <v>450</v>
      </c>
      <c r="C183" s="8" t="s">
        <v>416</v>
      </c>
      <c r="D183" s="8" t="s">
        <v>437</v>
      </c>
      <c r="E183" s="8" t="s">
        <v>451</v>
      </c>
      <c r="F183" s="8" t="s">
        <v>179</v>
      </c>
      <c r="G183" s="8" t="s">
        <v>452</v>
      </c>
      <c r="I183" s="9" t="str">
        <f t="shared" ref="I183:O183" si="217">substitute(SUBSTITUTE(A183, "(", ""), ")", "")</f>
        <v>0.465, 0.465, 0.465</v>
      </c>
      <c r="J183" s="9" t="str">
        <f t="shared" si="217"/>
        <v>0.457, 0.411, 0.511</v>
      </c>
      <c r="K183" s="9" t="str">
        <f t="shared" si="217"/>
        <v>0.471, 0.377, 0.577</v>
      </c>
      <c r="L183" s="9" t="str">
        <f t="shared" si="217"/>
        <v>0.495, 0.446, 0.546</v>
      </c>
      <c r="M183" s="9" t="str">
        <f t="shared" si="217"/>
        <v>0.543, 0.435, 0.635</v>
      </c>
      <c r="N183" s="9" t="str">
        <f t="shared" si="217"/>
        <v>0.492, 0.443, 0.543</v>
      </c>
      <c r="O183" s="9" t="str">
        <f t="shared" si="217"/>
        <v>0.530, 0.424, 0.624</v>
      </c>
    </row>
    <row r="184">
      <c r="A184" s="8" t="s">
        <v>453</v>
      </c>
      <c r="B184" s="8" t="s">
        <v>201</v>
      </c>
      <c r="C184" s="8" t="s">
        <v>454</v>
      </c>
      <c r="D184" s="8" t="s">
        <v>455</v>
      </c>
      <c r="E184" s="8" t="s">
        <v>456</v>
      </c>
      <c r="F184" s="8" t="s">
        <v>457</v>
      </c>
      <c r="G184" s="8" t="s">
        <v>458</v>
      </c>
      <c r="I184" s="9" t="str">
        <f t="shared" ref="I184:O184" si="218">substitute(SUBSTITUTE(A184, "(", ""), ")", "")</f>
        <v>0.491, 0.491, 0.491</v>
      </c>
      <c r="J184" s="9" t="str">
        <f t="shared" si="218"/>
        <v>0.489, 0.440, 0.540</v>
      </c>
      <c r="K184" s="9" t="str">
        <f t="shared" si="218"/>
        <v>0.498, 0.399, 0.599</v>
      </c>
      <c r="L184" s="9" t="str">
        <f t="shared" si="218"/>
        <v>0.523, 0.470, 0.570</v>
      </c>
      <c r="M184" s="9" t="str">
        <f t="shared" si="218"/>
        <v>0.547, 0.437, 0.637</v>
      </c>
      <c r="N184" s="9" t="str">
        <f t="shared" si="218"/>
        <v>0.519, 0.467, 0.567</v>
      </c>
      <c r="O184" s="9" t="str">
        <f t="shared" si="218"/>
        <v>0.550, 0.440, 0.640</v>
      </c>
    </row>
    <row r="185">
      <c r="A185" s="8" t="s">
        <v>204</v>
      </c>
      <c r="B185" s="8" t="s">
        <v>459</v>
      </c>
      <c r="C185" s="8" t="s">
        <v>200</v>
      </c>
      <c r="D185" s="8" t="s">
        <v>143</v>
      </c>
      <c r="E185" s="8" t="s">
        <v>460</v>
      </c>
      <c r="F185" s="8" t="s">
        <v>143</v>
      </c>
      <c r="G185" s="8" t="s">
        <v>460</v>
      </c>
      <c r="I185" s="9" t="str">
        <f t="shared" ref="I185:O185" si="219">substitute(SUBSTITUTE(A185, "(", ""), ")", "")</f>
        <v>0.456, 0.456, 0.456</v>
      </c>
      <c r="J185" s="9" t="str">
        <f t="shared" si="219"/>
        <v>0.451, 0.406, 0.506</v>
      </c>
      <c r="K185" s="9" t="str">
        <f t="shared" si="219"/>
        <v>0.459, 0.367, 0.567</v>
      </c>
      <c r="L185" s="9" t="str">
        <f t="shared" si="219"/>
        <v>0.471, 0.424, 0.524</v>
      </c>
      <c r="M185" s="9" t="str">
        <f t="shared" si="219"/>
        <v>0.511, 0.409, 0.609</v>
      </c>
      <c r="N185" s="9" t="str">
        <f t="shared" si="219"/>
        <v>0.471, 0.424, 0.524</v>
      </c>
      <c r="O185" s="9" t="str">
        <f t="shared" si="219"/>
        <v>0.511, 0.409, 0.609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"","")"),0.461)</f>
        <v>0.461</v>
      </c>
      <c r="B187" s="9">
        <f>IFERROR(__xludf.DUMMYFUNCTION("""COMPUTED_VALUE"""),0.461)</f>
        <v>0.461</v>
      </c>
      <c r="C187" s="9">
        <f>IFERROR(__xludf.DUMMYFUNCTION("""COMPUTED_VALUE"""),0.461)</f>
        <v>0.461</v>
      </c>
      <c r="E187" s="11">
        <f>IFERROR(__xludf.DUMMYFUNCTION("SPLIT(J179, "","")"),0.458)</f>
        <v>0.458</v>
      </c>
      <c r="F187" s="9">
        <f>IFERROR(__xludf.DUMMYFUNCTION("""COMPUTED_VALUE"""),0.412)</f>
        <v>0.412</v>
      </c>
      <c r="G187" s="9">
        <f>IFERROR(__xludf.DUMMYFUNCTION("""COMPUTED_VALUE"""),0.512)</f>
        <v>0.512</v>
      </c>
      <c r="I187" s="9">
        <f>IFERROR(__xludf.DUMMYFUNCTION("SPLIT(K179, "","")"),0.48)</f>
        <v>0.48</v>
      </c>
      <c r="J187" s="9">
        <f>IFERROR(__xludf.DUMMYFUNCTION("""COMPUTED_VALUE"""),0.384)</f>
        <v>0.384</v>
      </c>
      <c r="K187" s="9">
        <f>IFERROR(__xludf.DUMMYFUNCTION("""COMPUTED_VALUE"""),0.584)</f>
        <v>0.584</v>
      </c>
      <c r="M187" s="9">
        <f>IFERROR(__xludf.DUMMYFUNCTION("SPLIT(L179, "","")"),0.493)</f>
        <v>0.493</v>
      </c>
      <c r="N187" s="9">
        <f>IFERROR(__xludf.DUMMYFUNCTION("""COMPUTED_VALUE"""),0.444)</f>
        <v>0.444</v>
      </c>
      <c r="O187" s="9">
        <f>IFERROR(__xludf.DUMMYFUNCTION("""COMPUTED_VALUE"""),0.544)</f>
        <v>0.544</v>
      </c>
      <c r="Q187" s="9">
        <f>IFERROR(__xludf.DUMMYFUNCTION("SPLIT(M179, "","")"),0.52)</f>
        <v>0.52</v>
      </c>
      <c r="R187" s="9">
        <f>IFERROR(__xludf.DUMMYFUNCTION("""COMPUTED_VALUE"""),0.416)</f>
        <v>0.416</v>
      </c>
      <c r="S187" s="9">
        <f>IFERROR(__xludf.DUMMYFUNCTION("""COMPUTED_VALUE"""),0.616)</f>
        <v>0.616</v>
      </c>
      <c r="U187" s="9">
        <f>IFERROR(__xludf.DUMMYFUNCTION("SPLIT(N179, "","")"),0.497)</f>
        <v>0.497</v>
      </c>
      <c r="V187" s="9">
        <f>IFERROR(__xludf.DUMMYFUNCTION("""COMPUTED_VALUE"""),0.447)</f>
        <v>0.447</v>
      </c>
      <c r="W187" s="9">
        <f>IFERROR(__xludf.DUMMYFUNCTION("""COMPUTED_VALUE"""),0.547)</f>
        <v>0.547</v>
      </c>
      <c r="Y187" s="9">
        <f>IFERROR(__xludf.DUMMYFUNCTION("SPLIT(O179, "","")"),0.534)</f>
        <v>0.534</v>
      </c>
      <c r="Z187" s="9">
        <f>IFERROR(__xludf.DUMMYFUNCTION("""COMPUTED_VALUE"""),0.427)</f>
        <v>0.427</v>
      </c>
      <c r="AA187" s="9">
        <f>IFERROR(__xludf.DUMMYFUNCTION("""COMPUTED_VALUE"""),0.627)</f>
        <v>0.627</v>
      </c>
    </row>
    <row r="188">
      <c r="A188" s="9">
        <f>IFERROR(__xludf.DUMMYFUNCTION("SPLIT(I180, "","")"),0.45)</f>
        <v>0.45</v>
      </c>
      <c r="B188" s="9">
        <f>IFERROR(__xludf.DUMMYFUNCTION("""COMPUTED_VALUE"""),0.45)</f>
        <v>0.45</v>
      </c>
      <c r="C188" s="9">
        <f>IFERROR(__xludf.DUMMYFUNCTION("""COMPUTED_VALUE"""),0.45)</f>
        <v>0.45</v>
      </c>
      <c r="E188" s="11">
        <f>IFERROR(__xludf.DUMMYFUNCTION("SPLIT(J180, "","")"),0.442)</f>
        <v>0.442</v>
      </c>
      <c r="F188" s="9">
        <f>IFERROR(__xludf.DUMMYFUNCTION("""COMPUTED_VALUE"""),0.398)</f>
        <v>0.398</v>
      </c>
      <c r="G188" s="9">
        <f>IFERROR(__xludf.DUMMYFUNCTION("""COMPUTED_VALUE"""),0.498)</f>
        <v>0.498</v>
      </c>
      <c r="I188" s="9">
        <f>IFERROR(__xludf.DUMMYFUNCTION("SPLIT(K180, "","")"),0.459)</f>
        <v>0.459</v>
      </c>
      <c r="J188" s="9">
        <f>IFERROR(__xludf.DUMMYFUNCTION("""COMPUTED_VALUE"""),0.367)</f>
        <v>0.367</v>
      </c>
      <c r="K188" s="9">
        <f>IFERROR(__xludf.DUMMYFUNCTION("""COMPUTED_VALUE"""),0.567)</f>
        <v>0.567</v>
      </c>
      <c r="M188" s="9">
        <f>IFERROR(__xludf.DUMMYFUNCTION("SPLIT(L180, "","")"),0.495)</f>
        <v>0.495</v>
      </c>
      <c r="N188" s="9">
        <f>IFERROR(__xludf.DUMMYFUNCTION("""COMPUTED_VALUE"""),0.446)</f>
        <v>0.446</v>
      </c>
      <c r="O188" s="9">
        <f>IFERROR(__xludf.DUMMYFUNCTION("""COMPUTED_VALUE"""),0.546)</f>
        <v>0.546</v>
      </c>
      <c r="Q188" s="9">
        <f>IFERROR(__xludf.DUMMYFUNCTION("SPLIT(M180, "","")"),0.559)</f>
        <v>0.559</v>
      </c>
      <c r="R188" s="9">
        <f>IFERROR(__xludf.DUMMYFUNCTION("""COMPUTED_VALUE"""),0.447)</f>
        <v>0.447</v>
      </c>
      <c r="S188" s="9">
        <f>IFERROR(__xludf.DUMMYFUNCTION("""COMPUTED_VALUE"""),0.647)</f>
        <v>0.647</v>
      </c>
      <c r="U188" s="9">
        <f>IFERROR(__xludf.DUMMYFUNCTION("SPLIT(N180, "","")"),0.499)</f>
        <v>0.499</v>
      </c>
      <c r="V188" s="9">
        <f>IFERROR(__xludf.DUMMYFUNCTION("""COMPUTED_VALUE"""),0.449)</f>
        <v>0.449</v>
      </c>
      <c r="W188" s="9">
        <f>IFERROR(__xludf.DUMMYFUNCTION("""COMPUTED_VALUE"""),0.549)</f>
        <v>0.549</v>
      </c>
      <c r="Y188" s="9">
        <f>IFERROR(__xludf.DUMMYFUNCTION("SPLIT(O180, "","")"),0.56)</f>
        <v>0.56</v>
      </c>
      <c r="Z188" s="9">
        <f>IFERROR(__xludf.DUMMYFUNCTION("""COMPUTED_VALUE"""),0.448)</f>
        <v>0.448</v>
      </c>
      <c r="AA188" s="9">
        <f>IFERROR(__xludf.DUMMYFUNCTION("""COMPUTED_VALUE"""),0.648)</f>
        <v>0.648</v>
      </c>
    </row>
    <row r="189">
      <c r="A189" s="9">
        <f>IFERROR(__xludf.DUMMYFUNCTION("SPLIT(I181, "","")"),0.467)</f>
        <v>0.467</v>
      </c>
      <c r="B189" s="9">
        <f>IFERROR(__xludf.DUMMYFUNCTION("""COMPUTED_VALUE"""),0.467)</f>
        <v>0.467</v>
      </c>
      <c r="C189" s="9">
        <f>IFERROR(__xludf.DUMMYFUNCTION("""COMPUTED_VALUE"""),0.467)</f>
        <v>0.467</v>
      </c>
      <c r="E189" s="11">
        <f>IFERROR(__xludf.DUMMYFUNCTION("SPLIT(J181, "","")"),0.465)</f>
        <v>0.465</v>
      </c>
      <c r="F189" s="9">
        <f>IFERROR(__xludf.DUMMYFUNCTION("""COMPUTED_VALUE"""),0.419)</f>
        <v>0.419</v>
      </c>
      <c r="G189" s="9">
        <f>IFERROR(__xludf.DUMMYFUNCTION("""COMPUTED_VALUE"""),0.519)</f>
        <v>0.519</v>
      </c>
      <c r="I189" s="9">
        <f>IFERROR(__xludf.DUMMYFUNCTION("SPLIT(K181, "","")"),0.484)</f>
        <v>0.484</v>
      </c>
      <c r="J189" s="9">
        <f>IFERROR(__xludf.DUMMYFUNCTION("""COMPUTED_VALUE"""),0.387)</f>
        <v>0.387</v>
      </c>
      <c r="K189" s="9">
        <f>IFERROR(__xludf.DUMMYFUNCTION("""COMPUTED_VALUE"""),0.587)</f>
        <v>0.587</v>
      </c>
      <c r="M189" s="9">
        <f>IFERROR(__xludf.DUMMYFUNCTION("SPLIT(L181, "","")"),0.49)</f>
        <v>0.49</v>
      </c>
      <c r="N189" s="9">
        <f>IFERROR(__xludf.DUMMYFUNCTION("""COMPUTED_VALUE"""),0.441)</f>
        <v>0.441</v>
      </c>
      <c r="O189" s="9">
        <f>IFERROR(__xludf.DUMMYFUNCTION("""COMPUTED_VALUE"""),0.541)</f>
        <v>0.541</v>
      </c>
      <c r="Q189" s="9">
        <f>IFERROR(__xludf.DUMMYFUNCTION("SPLIT(M181, "","")"),0.527)</f>
        <v>0.527</v>
      </c>
      <c r="R189" s="9">
        <f>IFERROR(__xludf.DUMMYFUNCTION("""COMPUTED_VALUE"""),0.422)</f>
        <v>0.422</v>
      </c>
      <c r="S189" s="9">
        <f>IFERROR(__xludf.DUMMYFUNCTION("""COMPUTED_VALUE"""),0.622)</f>
        <v>0.622</v>
      </c>
      <c r="U189" s="9">
        <f>IFERROR(__xludf.DUMMYFUNCTION("SPLIT(N181, "","")"),0.489)</f>
        <v>0.489</v>
      </c>
      <c r="V189" s="9">
        <f>IFERROR(__xludf.DUMMYFUNCTION("""COMPUTED_VALUE"""),0.44)</f>
        <v>0.44</v>
      </c>
      <c r="W189" s="9">
        <f>IFERROR(__xludf.DUMMYFUNCTION("""COMPUTED_VALUE"""),0.54)</f>
        <v>0.54</v>
      </c>
      <c r="Y189" s="9">
        <f>IFERROR(__xludf.DUMMYFUNCTION("SPLIT(O181, "","")"),0.517)</f>
        <v>0.517</v>
      </c>
      <c r="Z189" s="9">
        <f>IFERROR(__xludf.DUMMYFUNCTION("""COMPUTED_VALUE"""),0.414)</f>
        <v>0.414</v>
      </c>
      <c r="AA189" s="9">
        <f>IFERROR(__xludf.DUMMYFUNCTION("""COMPUTED_VALUE"""),0.614)</f>
        <v>0.614</v>
      </c>
    </row>
    <row r="190">
      <c r="A190" s="9">
        <f>IFERROR(__xludf.DUMMYFUNCTION("SPLIT(I182, "","")"),0.456)</f>
        <v>0.456</v>
      </c>
      <c r="B190" s="9">
        <f>IFERROR(__xludf.DUMMYFUNCTION("""COMPUTED_VALUE"""),0.456)</f>
        <v>0.456</v>
      </c>
      <c r="C190" s="9">
        <f>IFERROR(__xludf.DUMMYFUNCTION("""COMPUTED_VALUE"""),0.456)</f>
        <v>0.456</v>
      </c>
      <c r="E190" s="11">
        <f>IFERROR(__xludf.DUMMYFUNCTION("SPLIT(J182, "","")"),0.452)</f>
        <v>0.452</v>
      </c>
      <c r="F190" s="9">
        <f>IFERROR(__xludf.DUMMYFUNCTION("""COMPUTED_VALUE"""),0.407)</f>
        <v>0.407</v>
      </c>
      <c r="G190" s="9">
        <f>IFERROR(__xludf.DUMMYFUNCTION("""COMPUTED_VALUE"""),0.507)</f>
        <v>0.507</v>
      </c>
      <c r="I190" s="9">
        <f>IFERROR(__xludf.DUMMYFUNCTION("SPLIT(K182, "","")"),0.468)</f>
        <v>0.468</v>
      </c>
      <c r="J190" s="9">
        <f>IFERROR(__xludf.DUMMYFUNCTION("""COMPUTED_VALUE"""),0.374)</f>
        <v>0.374</v>
      </c>
      <c r="K190" s="9">
        <f>IFERROR(__xludf.DUMMYFUNCTION("""COMPUTED_VALUE"""),0.574)</f>
        <v>0.574</v>
      </c>
      <c r="M190" s="9">
        <f>IFERROR(__xludf.DUMMYFUNCTION("SPLIT(L182, "","")"),0.491)</f>
        <v>0.491</v>
      </c>
      <c r="N190" s="9">
        <f>IFERROR(__xludf.DUMMYFUNCTION("""COMPUTED_VALUE"""),0.442)</f>
        <v>0.442</v>
      </c>
      <c r="O190" s="9">
        <f>IFERROR(__xludf.DUMMYFUNCTION("""COMPUTED_VALUE"""),0.542)</f>
        <v>0.542</v>
      </c>
      <c r="Q190" s="9">
        <f>IFERROR(__xludf.DUMMYFUNCTION("SPLIT(M182, "","")"),0.528)</f>
        <v>0.528</v>
      </c>
      <c r="R190" s="9">
        <f>IFERROR(__xludf.DUMMYFUNCTION("""COMPUTED_VALUE"""),0.422)</f>
        <v>0.422</v>
      </c>
      <c r="S190" s="9">
        <f>IFERROR(__xludf.DUMMYFUNCTION("""COMPUTED_VALUE"""),0.622)</f>
        <v>0.622</v>
      </c>
      <c r="U190" s="9">
        <f>IFERROR(__xludf.DUMMYFUNCTION("SPLIT(N182, "","")"),0.478)</f>
        <v>0.478</v>
      </c>
      <c r="V190" s="9">
        <f>IFERROR(__xludf.DUMMYFUNCTION("""COMPUTED_VALUE"""),0.43)</f>
        <v>0.43</v>
      </c>
      <c r="W190" s="9">
        <f>IFERROR(__xludf.DUMMYFUNCTION("""COMPUTED_VALUE"""),0.53)</f>
        <v>0.53</v>
      </c>
      <c r="Y190" s="9">
        <f>IFERROR(__xludf.DUMMYFUNCTION("SPLIT(O182, "","")"),0.525)</f>
        <v>0.525</v>
      </c>
      <c r="Z190" s="9">
        <f>IFERROR(__xludf.DUMMYFUNCTION("""COMPUTED_VALUE"""),0.42)</f>
        <v>0.42</v>
      </c>
      <c r="AA190" s="9">
        <f>IFERROR(__xludf.DUMMYFUNCTION("""COMPUTED_VALUE"""),0.62)</f>
        <v>0.62</v>
      </c>
    </row>
    <row r="191">
      <c r="A191" s="9">
        <f>IFERROR(__xludf.DUMMYFUNCTION("SPLIT(I183, "","")"),0.465)</f>
        <v>0.465</v>
      </c>
      <c r="B191" s="9">
        <f>IFERROR(__xludf.DUMMYFUNCTION("""COMPUTED_VALUE"""),0.465)</f>
        <v>0.465</v>
      </c>
      <c r="C191" s="9">
        <f>IFERROR(__xludf.DUMMYFUNCTION("""COMPUTED_VALUE"""),0.465)</f>
        <v>0.465</v>
      </c>
      <c r="E191" s="11">
        <f>IFERROR(__xludf.DUMMYFUNCTION("SPLIT(J183, "","")"),0.457)</f>
        <v>0.457</v>
      </c>
      <c r="F191" s="9">
        <f>IFERROR(__xludf.DUMMYFUNCTION("""COMPUTED_VALUE"""),0.411)</f>
        <v>0.411</v>
      </c>
      <c r="G191" s="9">
        <f>IFERROR(__xludf.DUMMYFUNCTION("""COMPUTED_VALUE"""),0.511)</f>
        <v>0.511</v>
      </c>
      <c r="I191" s="9">
        <f>IFERROR(__xludf.DUMMYFUNCTION("SPLIT(K183, "","")"),0.471)</f>
        <v>0.471</v>
      </c>
      <c r="J191" s="9">
        <f>IFERROR(__xludf.DUMMYFUNCTION("""COMPUTED_VALUE"""),0.377)</f>
        <v>0.377</v>
      </c>
      <c r="K191" s="9">
        <f>IFERROR(__xludf.DUMMYFUNCTION("""COMPUTED_VALUE"""),0.577)</f>
        <v>0.577</v>
      </c>
      <c r="M191" s="9">
        <f>IFERROR(__xludf.DUMMYFUNCTION("SPLIT(L183, "","")"),0.495)</f>
        <v>0.495</v>
      </c>
      <c r="N191" s="9">
        <f>IFERROR(__xludf.DUMMYFUNCTION("""COMPUTED_VALUE"""),0.446)</f>
        <v>0.446</v>
      </c>
      <c r="O191" s="9">
        <f>IFERROR(__xludf.DUMMYFUNCTION("""COMPUTED_VALUE"""),0.546)</f>
        <v>0.546</v>
      </c>
      <c r="Q191" s="9">
        <f>IFERROR(__xludf.DUMMYFUNCTION("SPLIT(M183, "","")"),0.543)</f>
        <v>0.543</v>
      </c>
      <c r="R191" s="9">
        <f>IFERROR(__xludf.DUMMYFUNCTION("""COMPUTED_VALUE"""),0.435)</f>
        <v>0.435</v>
      </c>
      <c r="S191" s="9">
        <f>IFERROR(__xludf.DUMMYFUNCTION("""COMPUTED_VALUE"""),0.635)</f>
        <v>0.635</v>
      </c>
      <c r="U191" s="9">
        <f>IFERROR(__xludf.DUMMYFUNCTION("SPLIT(N183, "","")"),0.492)</f>
        <v>0.492</v>
      </c>
      <c r="V191" s="9">
        <f>IFERROR(__xludf.DUMMYFUNCTION("""COMPUTED_VALUE"""),0.443)</f>
        <v>0.443</v>
      </c>
      <c r="W191" s="9">
        <f>IFERROR(__xludf.DUMMYFUNCTION("""COMPUTED_VALUE"""),0.543)</f>
        <v>0.543</v>
      </c>
      <c r="Y191" s="9">
        <f>IFERROR(__xludf.DUMMYFUNCTION("SPLIT(O183, "","")"),0.53)</f>
        <v>0.53</v>
      </c>
      <c r="Z191" s="9">
        <f>IFERROR(__xludf.DUMMYFUNCTION("""COMPUTED_VALUE"""),0.424)</f>
        <v>0.424</v>
      </c>
      <c r="AA191" s="9">
        <f>IFERROR(__xludf.DUMMYFUNCTION("""COMPUTED_VALUE"""),0.624)</f>
        <v>0.624</v>
      </c>
    </row>
    <row r="192">
      <c r="A192" s="9">
        <f>IFERROR(__xludf.DUMMYFUNCTION("SPLIT(I184, "","")"),0.491)</f>
        <v>0.491</v>
      </c>
      <c r="B192" s="9">
        <f>IFERROR(__xludf.DUMMYFUNCTION("""COMPUTED_VALUE"""),0.491)</f>
        <v>0.491</v>
      </c>
      <c r="C192" s="9">
        <f>IFERROR(__xludf.DUMMYFUNCTION("""COMPUTED_VALUE"""),0.491)</f>
        <v>0.491</v>
      </c>
      <c r="E192" s="11">
        <f>IFERROR(__xludf.DUMMYFUNCTION("SPLIT(J184, "","")"),0.489)</f>
        <v>0.489</v>
      </c>
      <c r="F192" s="9">
        <f>IFERROR(__xludf.DUMMYFUNCTION("""COMPUTED_VALUE"""),0.44)</f>
        <v>0.44</v>
      </c>
      <c r="G192" s="9">
        <f>IFERROR(__xludf.DUMMYFUNCTION("""COMPUTED_VALUE"""),0.54)</f>
        <v>0.54</v>
      </c>
      <c r="I192" s="9">
        <f>IFERROR(__xludf.DUMMYFUNCTION("SPLIT(K184, "","")"),0.498)</f>
        <v>0.498</v>
      </c>
      <c r="J192" s="9">
        <f>IFERROR(__xludf.DUMMYFUNCTION("""COMPUTED_VALUE"""),0.399)</f>
        <v>0.399</v>
      </c>
      <c r="K192" s="9">
        <f>IFERROR(__xludf.DUMMYFUNCTION("""COMPUTED_VALUE"""),0.599)</f>
        <v>0.599</v>
      </c>
      <c r="M192" s="9">
        <f>IFERROR(__xludf.DUMMYFUNCTION("SPLIT(L184, "","")"),0.523)</f>
        <v>0.523</v>
      </c>
      <c r="N192" s="9">
        <f>IFERROR(__xludf.DUMMYFUNCTION("""COMPUTED_VALUE"""),0.47)</f>
        <v>0.47</v>
      </c>
      <c r="O192" s="9">
        <f>IFERROR(__xludf.DUMMYFUNCTION("""COMPUTED_VALUE"""),0.57)</f>
        <v>0.57</v>
      </c>
      <c r="Q192" s="9">
        <f>IFERROR(__xludf.DUMMYFUNCTION("SPLIT(M184, "","")"),0.547)</f>
        <v>0.547</v>
      </c>
      <c r="R192" s="9">
        <f>IFERROR(__xludf.DUMMYFUNCTION("""COMPUTED_VALUE"""),0.437)</f>
        <v>0.437</v>
      </c>
      <c r="S192" s="9">
        <f>IFERROR(__xludf.DUMMYFUNCTION("""COMPUTED_VALUE"""),0.637)</f>
        <v>0.637</v>
      </c>
      <c r="U192" s="9">
        <f>IFERROR(__xludf.DUMMYFUNCTION("SPLIT(N184, "","")"),0.519)</f>
        <v>0.519</v>
      </c>
      <c r="V192" s="9">
        <f>IFERROR(__xludf.DUMMYFUNCTION("""COMPUTED_VALUE"""),0.467)</f>
        <v>0.467</v>
      </c>
      <c r="W192" s="9">
        <f>IFERROR(__xludf.DUMMYFUNCTION("""COMPUTED_VALUE"""),0.567)</f>
        <v>0.567</v>
      </c>
      <c r="Y192" s="9">
        <f>IFERROR(__xludf.DUMMYFUNCTION("SPLIT(O184, "","")"),0.55)</f>
        <v>0.55</v>
      </c>
      <c r="Z192" s="9">
        <f>IFERROR(__xludf.DUMMYFUNCTION("""COMPUTED_VALUE"""),0.44)</f>
        <v>0.44</v>
      </c>
      <c r="AA192" s="9">
        <f>IFERROR(__xludf.DUMMYFUNCTION("""COMPUTED_VALUE"""),0.64)</f>
        <v>0.64</v>
      </c>
    </row>
    <row r="193">
      <c r="A193" s="9">
        <f>IFERROR(__xludf.DUMMYFUNCTION("SPLIT(I185, "","")"),0.456)</f>
        <v>0.456</v>
      </c>
      <c r="B193" s="9">
        <f>IFERROR(__xludf.DUMMYFUNCTION("""COMPUTED_VALUE"""),0.456)</f>
        <v>0.456</v>
      </c>
      <c r="C193" s="9">
        <f>IFERROR(__xludf.DUMMYFUNCTION("""COMPUTED_VALUE"""),0.456)</f>
        <v>0.456</v>
      </c>
      <c r="E193" s="11">
        <f>IFERROR(__xludf.DUMMYFUNCTION("SPLIT(J185, "","")"),0.451)</f>
        <v>0.451</v>
      </c>
      <c r="F193" s="9">
        <f>IFERROR(__xludf.DUMMYFUNCTION("""COMPUTED_VALUE"""),0.406)</f>
        <v>0.406</v>
      </c>
      <c r="G193" s="9">
        <f>IFERROR(__xludf.DUMMYFUNCTION("""COMPUTED_VALUE"""),0.506)</f>
        <v>0.506</v>
      </c>
      <c r="I193" s="9">
        <f>IFERROR(__xludf.DUMMYFUNCTION("SPLIT(K185, "","")"),0.459)</f>
        <v>0.459</v>
      </c>
      <c r="J193" s="9">
        <f>IFERROR(__xludf.DUMMYFUNCTION("""COMPUTED_VALUE"""),0.367)</f>
        <v>0.367</v>
      </c>
      <c r="K193" s="9">
        <f>IFERROR(__xludf.DUMMYFUNCTION("""COMPUTED_VALUE"""),0.567)</f>
        <v>0.567</v>
      </c>
      <c r="M193" s="9">
        <f>IFERROR(__xludf.DUMMYFUNCTION("SPLIT(L185, "","")"),0.471)</f>
        <v>0.471</v>
      </c>
      <c r="N193" s="9">
        <f>IFERROR(__xludf.DUMMYFUNCTION("""COMPUTED_VALUE"""),0.424)</f>
        <v>0.424</v>
      </c>
      <c r="O193" s="9">
        <f>IFERROR(__xludf.DUMMYFUNCTION("""COMPUTED_VALUE"""),0.524)</f>
        <v>0.524</v>
      </c>
      <c r="Q193" s="9">
        <f>IFERROR(__xludf.DUMMYFUNCTION("SPLIT(M185, "","")"),0.511)</f>
        <v>0.511</v>
      </c>
      <c r="R193" s="9">
        <f>IFERROR(__xludf.DUMMYFUNCTION("""COMPUTED_VALUE"""),0.409)</f>
        <v>0.409</v>
      </c>
      <c r="S193" s="9">
        <f>IFERROR(__xludf.DUMMYFUNCTION("""COMPUTED_VALUE"""),0.609)</f>
        <v>0.609</v>
      </c>
      <c r="U193" s="9">
        <f>IFERROR(__xludf.DUMMYFUNCTION("SPLIT(N185, "","")"),0.471)</f>
        <v>0.471</v>
      </c>
      <c r="V193" s="9">
        <f>IFERROR(__xludf.DUMMYFUNCTION("""COMPUTED_VALUE"""),0.424)</f>
        <v>0.424</v>
      </c>
      <c r="W193" s="9">
        <f>IFERROR(__xludf.DUMMYFUNCTION("""COMPUTED_VALUE"""),0.524)</f>
        <v>0.524</v>
      </c>
      <c r="Y193" s="9">
        <f>IFERROR(__xludf.DUMMYFUNCTION("SPLIT(O185, "","")"),0.511)</f>
        <v>0.511</v>
      </c>
      <c r="Z193" s="9">
        <f>IFERROR(__xludf.DUMMYFUNCTION("""COMPUTED_VALUE"""),0.409)</f>
        <v>0.409</v>
      </c>
      <c r="AA193" s="9">
        <f>IFERROR(__xludf.DUMMYFUNCTION("""COMPUTED_VALUE"""),0.609)</f>
        <v>0.609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0.461</v>
      </c>
      <c r="D197" s="7">
        <f t="shared" ref="D197:D203" si="225">E187</f>
        <v>0.458</v>
      </c>
      <c r="E197" s="7">
        <f t="shared" ref="E197:E203" si="226">I187</f>
        <v>0.48</v>
      </c>
      <c r="F197" s="7">
        <f t="shared" ref="F197:G197" si="220">N187</f>
        <v>0.444</v>
      </c>
      <c r="G197" s="12">
        <f t="shared" si="220"/>
        <v>0.544</v>
      </c>
      <c r="H197" s="7">
        <f t="shared" ref="H197:I197" si="221">R187</f>
        <v>0.416</v>
      </c>
      <c r="I197" s="12">
        <f t="shared" si="221"/>
        <v>0.616</v>
      </c>
      <c r="J197" s="7">
        <f t="shared" ref="J197:K197" si="222">V187</f>
        <v>0.447</v>
      </c>
      <c r="K197" s="12">
        <f t="shared" si="222"/>
        <v>0.547</v>
      </c>
      <c r="L197" s="7">
        <f t="shared" ref="L197:M197" si="223">Z187</f>
        <v>0.427</v>
      </c>
      <c r="M197" s="7">
        <f t="shared" si="223"/>
        <v>0.627</v>
      </c>
    </row>
    <row r="198">
      <c r="B198" s="6" t="s">
        <v>5</v>
      </c>
      <c r="C198" s="7">
        <f t="shared" si="224"/>
        <v>0.45</v>
      </c>
      <c r="D198" s="7">
        <f t="shared" si="225"/>
        <v>0.442</v>
      </c>
      <c r="E198" s="7">
        <f t="shared" si="226"/>
        <v>0.459</v>
      </c>
      <c r="F198" s="7">
        <f t="shared" ref="F198:G198" si="227">N188</f>
        <v>0.446</v>
      </c>
      <c r="G198" s="12">
        <f t="shared" si="227"/>
        <v>0.546</v>
      </c>
      <c r="H198" s="7">
        <f t="shared" ref="H198:I198" si="228">R188</f>
        <v>0.447</v>
      </c>
      <c r="I198" s="12">
        <f t="shared" si="228"/>
        <v>0.647</v>
      </c>
      <c r="J198" s="7">
        <f t="shared" ref="J198:K198" si="229">V188</f>
        <v>0.449</v>
      </c>
      <c r="K198" s="12">
        <f t="shared" si="229"/>
        <v>0.549</v>
      </c>
      <c r="L198" s="7">
        <f t="shared" ref="L198:M198" si="230">Z188</f>
        <v>0.448</v>
      </c>
      <c r="M198" s="7">
        <f t="shared" si="230"/>
        <v>0.648</v>
      </c>
    </row>
    <row r="199">
      <c r="B199" s="6" t="s">
        <v>6</v>
      </c>
      <c r="C199" s="7">
        <f t="shared" si="224"/>
        <v>0.467</v>
      </c>
      <c r="D199" s="7">
        <f t="shared" si="225"/>
        <v>0.465</v>
      </c>
      <c r="E199" s="7">
        <f t="shared" si="226"/>
        <v>0.484</v>
      </c>
      <c r="F199" s="7">
        <f t="shared" ref="F199:G199" si="231">N189</f>
        <v>0.441</v>
      </c>
      <c r="G199" s="12">
        <f t="shared" si="231"/>
        <v>0.541</v>
      </c>
      <c r="H199" s="7">
        <f t="shared" ref="H199:I199" si="232">R189</f>
        <v>0.422</v>
      </c>
      <c r="I199" s="12">
        <f t="shared" si="232"/>
        <v>0.622</v>
      </c>
      <c r="J199" s="7">
        <f t="shared" ref="J199:K199" si="233">V189</f>
        <v>0.44</v>
      </c>
      <c r="K199" s="12">
        <f t="shared" si="233"/>
        <v>0.54</v>
      </c>
      <c r="L199" s="7">
        <f t="shared" ref="L199:M199" si="234">Z189</f>
        <v>0.414</v>
      </c>
      <c r="M199" s="7">
        <f t="shared" si="234"/>
        <v>0.614</v>
      </c>
    </row>
    <row r="200">
      <c r="B200" s="6" t="s">
        <v>7</v>
      </c>
      <c r="C200" s="7">
        <f t="shared" si="224"/>
        <v>0.456</v>
      </c>
      <c r="D200" s="7">
        <f t="shared" si="225"/>
        <v>0.452</v>
      </c>
      <c r="E200" s="7">
        <f t="shared" si="226"/>
        <v>0.468</v>
      </c>
      <c r="F200" s="7">
        <f t="shared" ref="F200:G200" si="235">N190</f>
        <v>0.442</v>
      </c>
      <c r="G200" s="12">
        <f t="shared" si="235"/>
        <v>0.542</v>
      </c>
      <c r="H200" s="7">
        <f t="shared" ref="H200:I200" si="236">R190</f>
        <v>0.422</v>
      </c>
      <c r="I200" s="12">
        <f t="shared" si="236"/>
        <v>0.622</v>
      </c>
      <c r="J200" s="7">
        <f t="shared" ref="J200:K200" si="237">V190</f>
        <v>0.43</v>
      </c>
      <c r="K200" s="12">
        <f t="shared" si="237"/>
        <v>0.53</v>
      </c>
      <c r="L200" s="7">
        <f t="shared" ref="L200:M200" si="238">Z190</f>
        <v>0.42</v>
      </c>
      <c r="M200" s="7">
        <f t="shared" si="238"/>
        <v>0.62</v>
      </c>
    </row>
    <row r="201">
      <c r="B201" s="6" t="s">
        <v>8</v>
      </c>
      <c r="C201" s="7">
        <f t="shared" si="224"/>
        <v>0.465</v>
      </c>
      <c r="D201" s="7">
        <f t="shared" si="225"/>
        <v>0.457</v>
      </c>
      <c r="E201" s="7">
        <f t="shared" si="226"/>
        <v>0.471</v>
      </c>
      <c r="F201" s="7">
        <f t="shared" ref="F201:G201" si="239">N191</f>
        <v>0.446</v>
      </c>
      <c r="G201" s="12">
        <f t="shared" si="239"/>
        <v>0.546</v>
      </c>
      <c r="H201" s="7">
        <f t="shared" ref="H201:I201" si="240">R191</f>
        <v>0.435</v>
      </c>
      <c r="I201" s="12">
        <f t="shared" si="240"/>
        <v>0.635</v>
      </c>
      <c r="J201" s="7">
        <f t="shared" ref="J201:K201" si="241">V191</f>
        <v>0.443</v>
      </c>
      <c r="K201" s="12">
        <f t="shared" si="241"/>
        <v>0.543</v>
      </c>
      <c r="L201" s="7">
        <f t="shared" ref="L201:M201" si="242">Z191</f>
        <v>0.424</v>
      </c>
      <c r="M201" s="7">
        <f t="shared" si="242"/>
        <v>0.624</v>
      </c>
    </row>
    <row r="202">
      <c r="B202" s="6" t="s">
        <v>9</v>
      </c>
      <c r="C202" s="7">
        <f t="shared" si="224"/>
        <v>0.491</v>
      </c>
      <c r="D202" s="7">
        <f t="shared" si="225"/>
        <v>0.489</v>
      </c>
      <c r="E202" s="7">
        <f t="shared" si="226"/>
        <v>0.498</v>
      </c>
      <c r="F202" s="7">
        <f t="shared" ref="F202:G202" si="243">N192</f>
        <v>0.47</v>
      </c>
      <c r="G202" s="12">
        <f t="shared" si="243"/>
        <v>0.57</v>
      </c>
      <c r="H202" s="7">
        <f t="shared" ref="H202:I202" si="244">R192</f>
        <v>0.437</v>
      </c>
      <c r="I202" s="12">
        <f t="shared" si="244"/>
        <v>0.637</v>
      </c>
      <c r="J202" s="7">
        <f t="shared" ref="J202:K202" si="245">V192</f>
        <v>0.467</v>
      </c>
      <c r="K202" s="12">
        <f t="shared" si="245"/>
        <v>0.567</v>
      </c>
      <c r="L202" s="7">
        <f t="shared" ref="L202:M202" si="246">Z192</f>
        <v>0.44</v>
      </c>
      <c r="M202" s="7">
        <f t="shared" si="246"/>
        <v>0.64</v>
      </c>
    </row>
    <row r="203">
      <c r="B203" s="6" t="s">
        <v>10</v>
      </c>
      <c r="C203" s="7">
        <f t="shared" si="224"/>
        <v>0.456</v>
      </c>
      <c r="D203" s="7">
        <f t="shared" si="225"/>
        <v>0.451</v>
      </c>
      <c r="E203" s="7">
        <f t="shared" si="226"/>
        <v>0.459</v>
      </c>
      <c r="F203" s="7">
        <f t="shared" ref="F203:G203" si="247">N193</f>
        <v>0.424</v>
      </c>
      <c r="G203" s="12">
        <f t="shared" si="247"/>
        <v>0.524</v>
      </c>
      <c r="H203" s="7">
        <f t="shared" ref="H203:I203" si="248">R193</f>
        <v>0.409</v>
      </c>
      <c r="I203" s="12">
        <f t="shared" si="248"/>
        <v>0.609</v>
      </c>
      <c r="J203" s="7">
        <f t="shared" ref="J203:K203" si="249">V193</f>
        <v>0.424</v>
      </c>
      <c r="K203" s="12">
        <f t="shared" si="249"/>
        <v>0.524</v>
      </c>
      <c r="L203" s="7">
        <f t="shared" ref="L203:M203" si="250">Z193</f>
        <v>0.409</v>
      </c>
      <c r="M203" s="7">
        <f t="shared" si="250"/>
        <v>0.609</v>
      </c>
    </row>
    <row r="205">
      <c r="A205" s="8" t="s">
        <v>103</v>
      </c>
      <c r="B205" s="8" t="s">
        <v>461</v>
      </c>
      <c r="C205" s="8" t="s">
        <v>462</v>
      </c>
      <c r="D205" s="8" t="s">
        <v>463</v>
      </c>
      <c r="E205" s="8" t="s">
        <v>380</v>
      </c>
      <c r="F205" s="8" t="s">
        <v>104</v>
      </c>
      <c r="G205" s="8" t="s">
        <v>464</v>
      </c>
      <c r="I205" s="9" t="str">
        <f t="shared" ref="I205:O205" si="251">substitute(SUBSTITUTE(A205, "(", ""), ")", "")</f>
        <v>0.358, 0.358, 0.358</v>
      </c>
      <c r="J205" s="9" t="str">
        <f t="shared" si="251"/>
        <v>0.375, 0.338, 0.438</v>
      </c>
      <c r="K205" s="9" t="str">
        <f t="shared" si="251"/>
        <v>0.391, 0.312, 0.512</v>
      </c>
      <c r="L205" s="9" t="str">
        <f t="shared" si="251"/>
        <v>0.382, 0.344, 0.444</v>
      </c>
      <c r="M205" s="9" t="str">
        <f t="shared" si="251"/>
        <v>0.409, 0.327, 0.527</v>
      </c>
      <c r="N205" s="9" t="str">
        <f t="shared" si="251"/>
        <v>0.369, 0.332, 0.432</v>
      </c>
      <c r="O205" s="9" t="str">
        <f t="shared" si="251"/>
        <v>0.397, 0.318, 0.518</v>
      </c>
      <c r="T205" s="6"/>
    </row>
    <row r="206">
      <c r="A206" s="8" t="s">
        <v>465</v>
      </c>
      <c r="B206" s="8" t="s">
        <v>466</v>
      </c>
      <c r="C206" s="8" t="s">
        <v>117</v>
      </c>
      <c r="D206" s="8" t="s">
        <v>467</v>
      </c>
      <c r="E206" s="8" t="s">
        <v>94</v>
      </c>
      <c r="F206" s="8" t="s">
        <v>468</v>
      </c>
      <c r="G206" s="8" t="s">
        <v>289</v>
      </c>
      <c r="I206" s="9" t="str">
        <f t="shared" ref="I206:O206" si="252">substitute(SUBSTITUTE(A206, "(", ""), ")", "")</f>
        <v>0.322, 0.322, 0.322</v>
      </c>
      <c r="J206" s="9" t="str">
        <f t="shared" si="252"/>
        <v>0.335, 0.301, 0.401</v>
      </c>
      <c r="K206" s="9" t="str">
        <f t="shared" si="252"/>
        <v>0.357, 0.286, 0.486</v>
      </c>
      <c r="L206" s="9" t="str">
        <f t="shared" si="252"/>
        <v>0.344, 0.309, 0.409</v>
      </c>
      <c r="M206" s="9" t="str">
        <f t="shared" si="252"/>
        <v>0.361, 0.289, 0.489</v>
      </c>
      <c r="N206" s="9" t="str">
        <f t="shared" si="252"/>
        <v>0.330, 0.297, 0.397</v>
      </c>
      <c r="O206" s="9" t="str">
        <f t="shared" si="252"/>
        <v>0.350, 0.280, 0.480</v>
      </c>
    </row>
    <row r="207">
      <c r="A207" s="8" t="s">
        <v>469</v>
      </c>
      <c r="B207" s="8" t="s">
        <v>470</v>
      </c>
      <c r="C207" s="8" t="s">
        <v>471</v>
      </c>
      <c r="D207" s="8" t="s">
        <v>472</v>
      </c>
      <c r="E207" s="8" t="s">
        <v>223</v>
      </c>
      <c r="F207" s="8" t="s">
        <v>473</v>
      </c>
      <c r="G207" s="8" t="s">
        <v>474</v>
      </c>
      <c r="I207" s="9" t="str">
        <f t="shared" ref="I207:O207" si="253">substitute(SUBSTITUTE(A207, "(", ""), ")", "")</f>
        <v>0.298, 0.298, 0.298</v>
      </c>
      <c r="J207" s="9" t="str">
        <f t="shared" si="253"/>
        <v>0.310, 0.279, 0.379</v>
      </c>
      <c r="K207" s="9" t="str">
        <f t="shared" si="253"/>
        <v>0.315, 0.252, 0.452</v>
      </c>
      <c r="L207" s="9" t="str">
        <f t="shared" si="253"/>
        <v>0.320, 0.288, 0.388</v>
      </c>
      <c r="M207" s="9" t="str">
        <f t="shared" si="253"/>
        <v>0.336, 0.268, 0.468</v>
      </c>
      <c r="N207" s="9" t="str">
        <f t="shared" si="253"/>
        <v>0.305, 0.274, 0.374</v>
      </c>
      <c r="O207" s="9" t="str">
        <f t="shared" si="253"/>
        <v>0.326, 0.261, 0.461</v>
      </c>
    </row>
    <row r="208">
      <c r="A208" s="8" t="s">
        <v>475</v>
      </c>
      <c r="B208" s="8" t="s">
        <v>476</v>
      </c>
      <c r="C208" s="8" t="s">
        <v>477</v>
      </c>
      <c r="D208" s="8" t="s">
        <v>478</v>
      </c>
      <c r="E208" s="8" t="s">
        <v>471</v>
      </c>
      <c r="F208" s="8" t="s">
        <v>479</v>
      </c>
      <c r="G208" s="8" t="s">
        <v>480</v>
      </c>
      <c r="I208" s="9" t="str">
        <f t="shared" ref="I208:O208" si="254">substitute(SUBSTITUTE(A208, "(", ""), ")", "")</f>
        <v>0.286, 0.286, 0.286</v>
      </c>
      <c r="J208" s="9" t="str">
        <f t="shared" si="254"/>
        <v>0.302, 0.272, 0.372</v>
      </c>
      <c r="K208" s="9" t="str">
        <f t="shared" si="254"/>
        <v>0.313, 0.250, 0.450</v>
      </c>
      <c r="L208" s="9" t="str">
        <f t="shared" si="254"/>
        <v>0.299, 0.269, 0.369</v>
      </c>
      <c r="M208" s="9" t="str">
        <f t="shared" si="254"/>
        <v>0.315, 0.252, 0.452</v>
      </c>
      <c r="N208" s="9" t="str">
        <f t="shared" si="254"/>
        <v>0.289, 0.260, 0.360</v>
      </c>
      <c r="O208" s="9" t="str">
        <f t="shared" si="254"/>
        <v>0.301, 0.241, 0.441</v>
      </c>
    </row>
    <row r="209">
      <c r="A209" s="8" t="s">
        <v>253</v>
      </c>
      <c r="B209" s="8" t="s">
        <v>481</v>
      </c>
      <c r="C209" s="8" t="s">
        <v>482</v>
      </c>
      <c r="D209" s="8" t="s">
        <v>483</v>
      </c>
      <c r="E209" s="8" t="s">
        <v>98</v>
      </c>
      <c r="F209" s="8" t="s">
        <v>238</v>
      </c>
      <c r="G209" s="8" t="s">
        <v>484</v>
      </c>
      <c r="I209" s="9" t="str">
        <f t="shared" ref="I209:O209" si="255">substitute(SUBSTITUTE(A209, "(", ""), ")", "")</f>
        <v>0.359, 0.359, 0.359</v>
      </c>
      <c r="J209" s="9" t="str">
        <f t="shared" si="255"/>
        <v>0.368, 0.331, 0.431</v>
      </c>
      <c r="K209" s="9" t="str">
        <f t="shared" si="255"/>
        <v>0.379, 0.303, 0.503</v>
      </c>
      <c r="L209" s="9" t="str">
        <f t="shared" si="255"/>
        <v>0.352, 0.317, 0.417</v>
      </c>
      <c r="M209" s="9" t="str">
        <f t="shared" si="255"/>
        <v>0.344, 0.275, 0.475</v>
      </c>
      <c r="N209" s="9" t="str">
        <f t="shared" si="255"/>
        <v>0.351, 0.316, 0.416</v>
      </c>
      <c r="O209" s="9" t="str">
        <f t="shared" si="255"/>
        <v>0.341, 0.273, 0.473</v>
      </c>
    </row>
    <row r="210">
      <c r="A210" s="8" t="s">
        <v>485</v>
      </c>
      <c r="B210" s="8" t="s">
        <v>247</v>
      </c>
      <c r="C210" s="8" t="s">
        <v>486</v>
      </c>
      <c r="D210" s="8" t="s">
        <v>385</v>
      </c>
      <c r="E210" s="8" t="s">
        <v>487</v>
      </c>
      <c r="F210" s="8" t="s">
        <v>488</v>
      </c>
      <c r="G210" s="8" t="s">
        <v>380</v>
      </c>
      <c r="I210" s="9" t="str">
        <f t="shared" ref="I210:O210" si="256">substitute(SUBSTITUTE(A210, "(", ""), ")", "")</f>
        <v>0.379, 0.379, 0.379</v>
      </c>
      <c r="J210" s="9" t="str">
        <f t="shared" si="256"/>
        <v>0.397, 0.357, 0.457</v>
      </c>
      <c r="K210" s="9" t="str">
        <f t="shared" si="256"/>
        <v>0.413, 0.331, 0.531</v>
      </c>
      <c r="L210" s="9" t="str">
        <f t="shared" si="256"/>
        <v>0.400, 0.360, 0.460</v>
      </c>
      <c r="M210" s="9" t="str">
        <f t="shared" si="256"/>
        <v>0.420, 0.336, 0.536</v>
      </c>
      <c r="N210" s="9" t="str">
        <f t="shared" si="256"/>
        <v>0.387, 0.349, 0.449</v>
      </c>
      <c r="O210" s="9" t="str">
        <f t="shared" si="256"/>
        <v>0.409, 0.327, 0.527</v>
      </c>
    </row>
    <row r="211">
      <c r="A211" s="8" t="s">
        <v>489</v>
      </c>
      <c r="B211" s="8" t="s">
        <v>247</v>
      </c>
      <c r="C211" s="8" t="s">
        <v>381</v>
      </c>
      <c r="D211" s="8" t="s">
        <v>108</v>
      </c>
      <c r="E211" s="8" t="s">
        <v>94</v>
      </c>
      <c r="F211" s="8" t="s">
        <v>374</v>
      </c>
      <c r="G211" s="8" t="s">
        <v>490</v>
      </c>
      <c r="I211" s="9" t="str">
        <f t="shared" ref="I211:O211" si="257">substitute(SUBSTITUTE(A211, "(", ""), ")", "")</f>
        <v>0.381, 0.381, 0.381</v>
      </c>
      <c r="J211" s="9" t="str">
        <f t="shared" si="257"/>
        <v>0.397, 0.357, 0.457</v>
      </c>
      <c r="K211" s="9" t="str">
        <f t="shared" si="257"/>
        <v>0.405, 0.324, 0.524</v>
      </c>
      <c r="L211" s="9" t="str">
        <f t="shared" si="257"/>
        <v>0.371, 0.334, 0.434</v>
      </c>
      <c r="M211" s="9" t="str">
        <f t="shared" si="257"/>
        <v>0.361, 0.289, 0.489</v>
      </c>
      <c r="N211" s="9" t="str">
        <f t="shared" si="257"/>
        <v>0.372, 0.335, 0.435</v>
      </c>
      <c r="O211" s="9" t="str">
        <f t="shared" si="257"/>
        <v>0.359, 0.287, 0.487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"","")"),0.358)</f>
        <v>0.358</v>
      </c>
      <c r="B213" s="9">
        <f>IFERROR(__xludf.DUMMYFUNCTION("""COMPUTED_VALUE"""),0.358)</f>
        <v>0.358</v>
      </c>
      <c r="C213" s="9">
        <f>IFERROR(__xludf.DUMMYFUNCTION("""COMPUTED_VALUE"""),0.358)</f>
        <v>0.358</v>
      </c>
      <c r="E213" s="11">
        <f>IFERROR(__xludf.DUMMYFUNCTION("SPLIT(J205, "","")"),0.375)</f>
        <v>0.375</v>
      </c>
      <c r="F213" s="9">
        <f>IFERROR(__xludf.DUMMYFUNCTION("""COMPUTED_VALUE"""),0.338)</f>
        <v>0.338</v>
      </c>
      <c r="G213" s="9">
        <f>IFERROR(__xludf.DUMMYFUNCTION("""COMPUTED_VALUE"""),0.438)</f>
        <v>0.438</v>
      </c>
      <c r="I213" s="9">
        <f>IFERROR(__xludf.DUMMYFUNCTION("SPLIT(K205, "","")"),0.391)</f>
        <v>0.391</v>
      </c>
      <c r="J213" s="9">
        <f>IFERROR(__xludf.DUMMYFUNCTION("""COMPUTED_VALUE"""),0.312)</f>
        <v>0.312</v>
      </c>
      <c r="K213" s="9">
        <f>IFERROR(__xludf.DUMMYFUNCTION("""COMPUTED_VALUE"""),0.512)</f>
        <v>0.512</v>
      </c>
      <c r="M213" s="9">
        <f>IFERROR(__xludf.DUMMYFUNCTION("SPLIT(L205, "","")"),0.382)</f>
        <v>0.382</v>
      </c>
      <c r="N213" s="9">
        <f>IFERROR(__xludf.DUMMYFUNCTION("""COMPUTED_VALUE"""),0.344)</f>
        <v>0.344</v>
      </c>
      <c r="O213" s="9">
        <f>IFERROR(__xludf.DUMMYFUNCTION("""COMPUTED_VALUE"""),0.444)</f>
        <v>0.444</v>
      </c>
      <c r="Q213" s="9">
        <f>IFERROR(__xludf.DUMMYFUNCTION("SPLIT(M205, "","")"),0.409)</f>
        <v>0.409</v>
      </c>
      <c r="R213" s="9">
        <f>IFERROR(__xludf.DUMMYFUNCTION("""COMPUTED_VALUE"""),0.327)</f>
        <v>0.327</v>
      </c>
      <c r="S213" s="9">
        <f>IFERROR(__xludf.DUMMYFUNCTION("""COMPUTED_VALUE"""),0.527)</f>
        <v>0.527</v>
      </c>
      <c r="U213" s="9">
        <f>IFERROR(__xludf.DUMMYFUNCTION("SPLIT(N205, "","")"),0.369)</f>
        <v>0.369</v>
      </c>
      <c r="V213" s="9">
        <f>IFERROR(__xludf.DUMMYFUNCTION("""COMPUTED_VALUE"""),0.332)</f>
        <v>0.332</v>
      </c>
      <c r="W213" s="9">
        <f>IFERROR(__xludf.DUMMYFUNCTION("""COMPUTED_VALUE"""),0.432)</f>
        <v>0.432</v>
      </c>
      <c r="Y213" s="9">
        <f>IFERROR(__xludf.DUMMYFUNCTION("SPLIT(O205, "","")"),0.397)</f>
        <v>0.397</v>
      </c>
      <c r="Z213" s="9">
        <f>IFERROR(__xludf.DUMMYFUNCTION("""COMPUTED_VALUE"""),0.318)</f>
        <v>0.318</v>
      </c>
      <c r="AA213" s="9">
        <f>IFERROR(__xludf.DUMMYFUNCTION("""COMPUTED_VALUE"""),0.518)</f>
        <v>0.518</v>
      </c>
    </row>
    <row r="214">
      <c r="A214" s="9">
        <f>IFERROR(__xludf.DUMMYFUNCTION("SPLIT(I206, "","")"),0.322)</f>
        <v>0.322</v>
      </c>
      <c r="B214" s="9">
        <f>IFERROR(__xludf.DUMMYFUNCTION("""COMPUTED_VALUE"""),0.322)</f>
        <v>0.322</v>
      </c>
      <c r="C214" s="9">
        <f>IFERROR(__xludf.DUMMYFUNCTION("""COMPUTED_VALUE"""),0.322)</f>
        <v>0.322</v>
      </c>
      <c r="E214" s="11">
        <f>IFERROR(__xludf.DUMMYFUNCTION("SPLIT(J206, "","")"),0.335)</f>
        <v>0.335</v>
      </c>
      <c r="F214" s="9">
        <f>IFERROR(__xludf.DUMMYFUNCTION("""COMPUTED_VALUE"""),0.301)</f>
        <v>0.301</v>
      </c>
      <c r="G214" s="9">
        <f>IFERROR(__xludf.DUMMYFUNCTION("""COMPUTED_VALUE"""),0.401)</f>
        <v>0.401</v>
      </c>
      <c r="I214" s="9">
        <f>IFERROR(__xludf.DUMMYFUNCTION("SPLIT(K206, "","")"),0.357)</f>
        <v>0.357</v>
      </c>
      <c r="J214" s="9">
        <f>IFERROR(__xludf.DUMMYFUNCTION("""COMPUTED_VALUE"""),0.286)</f>
        <v>0.286</v>
      </c>
      <c r="K214" s="9">
        <f>IFERROR(__xludf.DUMMYFUNCTION("""COMPUTED_VALUE"""),0.486)</f>
        <v>0.486</v>
      </c>
      <c r="M214" s="9">
        <f>IFERROR(__xludf.DUMMYFUNCTION("SPLIT(L206, "","")"),0.344)</f>
        <v>0.344</v>
      </c>
      <c r="N214" s="9">
        <f>IFERROR(__xludf.DUMMYFUNCTION("""COMPUTED_VALUE"""),0.309)</f>
        <v>0.309</v>
      </c>
      <c r="O214" s="9">
        <f>IFERROR(__xludf.DUMMYFUNCTION("""COMPUTED_VALUE"""),0.409)</f>
        <v>0.409</v>
      </c>
      <c r="Q214" s="9">
        <f>IFERROR(__xludf.DUMMYFUNCTION("SPLIT(M206, "","")"),0.361)</f>
        <v>0.361</v>
      </c>
      <c r="R214" s="9">
        <f>IFERROR(__xludf.DUMMYFUNCTION("""COMPUTED_VALUE"""),0.289)</f>
        <v>0.289</v>
      </c>
      <c r="S214" s="9">
        <f>IFERROR(__xludf.DUMMYFUNCTION("""COMPUTED_VALUE"""),0.489)</f>
        <v>0.489</v>
      </c>
      <c r="U214" s="9">
        <f>IFERROR(__xludf.DUMMYFUNCTION("SPLIT(N206, "","")"),0.33)</f>
        <v>0.33</v>
      </c>
      <c r="V214" s="9">
        <f>IFERROR(__xludf.DUMMYFUNCTION("""COMPUTED_VALUE"""),0.297)</f>
        <v>0.297</v>
      </c>
      <c r="W214" s="9">
        <f>IFERROR(__xludf.DUMMYFUNCTION("""COMPUTED_VALUE"""),0.397)</f>
        <v>0.397</v>
      </c>
      <c r="Y214" s="9">
        <f>IFERROR(__xludf.DUMMYFUNCTION("SPLIT(O206, "","")"),0.35)</f>
        <v>0.35</v>
      </c>
      <c r="Z214" s="9">
        <f>IFERROR(__xludf.DUMMYFUNCTION("""COMPUTED_VALUE"""),0.28)</f>
        <v>0.28</v>
      </c>
      <c r="AA214" s="9">
        <f>IFERROR(__xludf.DUMMYFUNCTION("""COMPUTED_VALUE"""),0.48)</f>
        <v>0.48</v>
      </c>
    </row>
    <row r="215">
      <c r="A215" s="9">
        <f>IFERROR(__xludf.DUMMYFUNCTION("SPLIT(I207, "","")"),0.298)</f>
        <v>0.298</v>
      </c>
      <c r="B215" s="9">
        <f>IFERROR(__xludf.DUMMYFUNCTION("""COMPUTED_VALUE"""),0.298)</f>
        <v>0.298</v>
      </c>
      <c r="C215" s="9">
        <f>IFERROR(__xludf.DUMMYFUNCTION("""COMPUTED_VALUE"""),0.298)</f>
        <v>0.298</v>
      </c>
      <c r="E215" s="11">
        <f>IFERROR(__xludf.DUMMYFUNCTION("SPLIT(J207, "","")"),0.31)</f>
        <v>0.31</v>
      </c>
      <c r="F215" s="9">
        <f>IFERROR(__xludf.DUMMYFUNCTION("""COMPUTED_VALUE"""),0.279)</f>
        <v>0.279</v>
      </c>
      <c r="G215" s="9">
        <f>IFERROR(__xludf.DUMMYFUNCTION("""COMPUTED_VALUE"""),0.379)</f>
        <v>0.379</v>
      </c>
      <c r="I215" s="9">
        <f>IFERROR(__xludf.DUMMYFUNCTION("SPLIT(K207, "","")"),0.315)</f>
        <v>0.315</v>
      </c>
      <c r="J215" s="9">
        <f>IFERROR(__xludf.DUMMYFUNCTION("""COMPUTED_VALUE"""),0.252)</f>
        <v>0.252</v>
      </c>
      <c r="K215" s="9">
        <f>IFERROR(__xludf.DUMMYFUNCTION("""COMPUTED_VALUE"""),0.452)</f>
        <v>0.452</v>
      </c>
      <c r="M215" s="9">
        <f>IFERROR(__xludf.DUMMYFUNCTION("SPLIT(L207, "","")"),0.32)</f>
        <v>0.32</v>
      </c>
      <c r="N215" s="9">
        <f>IFERROR(__xludf.DUMMYFUNCTION("""COMPUTED_VALUE"""),0.288)</f>
        <v>0.288</v>
      </c>
      <c r="O215" s="9">
        <f>IFERROR(__xludf.DUMMYFUNCTION("""COMPUTED_VALUE"""),0.388)</f>
        <v>0.388</v>
      </c>
      <c r="Q215" s="9">
        <f>IFERROR(__xludf.DUMMYFUNCTION("SPLIT(M207, "","")"),0.336)</f>
        <v>0.336</v>
      </c>
      <c r="R215" s="9">
        <f>IFERROR(__xludf.DUMMYFUNCTION("""COMPUTED_VALUE"""),0.268)</f>
        <v>0.268</v>
      </c>
      <c r="S215" s="9">
        <f>IFERROR(__xludf.DUMMYFUNCTION("""COMPUTED_VALUE"""),0.468)</f>
        <v>0.468</v>
      </c>
      <c r="U215" s="9">
        <f>IFERROR(__xludf.DUMMYFUNCTION("SPLIT(N207, "","")"),0.305)</f>
        <v>0.305</v>
      </c>
      <c r="V215" s="9">
        <f>IFERROR(__xludf.DUMMYFUNCTION("""COMPUTED_VALUE"""),0.274)</f>
        <v>0.274</v>
      </c>
      <c r="W215" s="9">
        <f>IFERROR(__xludf.DUMMYFUNCTION("""COMPUTED_VALUE"""),0.374)</f>
        <v>0.374</v>
      </c>
      <c r="Y215" s="9">
        <f>IFERROR(__xludf.DUMMYFUNCTION("SPLIT(O207, "","")"),0.326)</f>
        <v>0.326</v>
      </c>
      <c r="Z215" s="9">
        <f>IFERROR(__xludf.DUMMYFUNCTION("""COMPUTED_VALUE"""),0.261)</f>
        <v>0.261</v>
      </c>
      <c r="AA215" s="9">
        <f>IFERROR(__xludf.DUMMYFUNCTION("""COMPUTED_VALUE"""),0.461)</f>
        <v>0.461</v>
      </c>
    </row>
    <row r="216">
      <c r="A216" s="9">
        <f>IFERROR(__xludf.DUMMYFUNCTION("SPLIT(I208, "","")"),0.286)</f>
        <v>0.286</v>
      </c>
      <c r="B216" s="9">
        <f>IFERROR(__xludf.DUMMYFUNCTION("""COMPUTED_VALUE"""),0.286)</f>
        <v>0.286</v>
      </c>
      <c r="C216" s="9">
        <f>IFERROR(__xludf.DUMMYFUNCTION("""COMPUTED_VALUE"""),0.286)</f>
        <v>0.286</v>
      </c>
      <c r="E216" s="11">
        <f>IFERROR(__xludf.DUMMYFUNCTION("SPLIT(J208, "","")"),0.302)</f>
        <v>0.302</v>
      </c>
      <c r="F216" s="9">
        <f>IFERROR(__xludf.DUMMYFUNCTION("""COMPUTED_VALUE"""),0.272)</f>
        <v>0.272</v>
      </c>
      <c r="G216" s="9">
        <f>IFERROR(__xludf.DUMMYFUNCTION("""COMPUTED_VALUE"""),0.372)</f>
        <v>0.372</v>
      </c>
      <c r="I216" s="9">
        <f>IFERROR(__xludf.DUMMYFUNCTION("SPLIT(K208, "","")"),0.313)</f>
        <v>0.313</v>
      </c>
      <c r="J216" s="9">
        <f>IFERROR(__xludf.DUMMYFUNCTION("""COMPUTED_VALUE"""),0.25)</f>
        <v>0.25</v>
      </c>
      <c r="K216" s="9">
        <f>IFERROR(__xludf.DUMMYFUNCTION("""COMPUTED_VALUE"""),0.45)</f>
        <v>0.45</v>
      </c>
      <c r="M216" s="9">
        <f>IFERROR(__xludf.DUMMYFUNCTION("SPLIT(L208, "","")"),0.299)</f>
        <v>0.299</v>
      </c>
      <c r="N216" s="9">
        <f>IFERROR(__xludf.DUMMYFUNCTION("""COMPUTED_VALUE"""),0.269)</f>
        <v>0.269</v>
      </c>
      <c r="O216" s="9">
        <f>IFERROR(__xludf.DUMMYFUNCTION("""COMPUTED_VALUE"""),0.369)</f>
        <v>0.369</v>
      </c>
      <c r="Q216" s="9">
        <f>IFERROR(__xludf.DUMMYFUNCTION("SPLIT(M208, "","")"),0.315)</f>
        <v>0.315</v>
      </c>
      <c r="R216" s="9">
        <f>IFERROR(__xludf.DUMMYFUNCTION("""COMPUTED_VALUE"""),0.252)</f>
        <v>0.252</v>
      </c>
      <c r="S216" s="9">
        <f>IFERROR(__xludf.DUMMYFUNCTION("""COMPUTED_VALUE"""),0.452)</f>
        <v>0.452</v>
      </c>
      <c r="U216" s="9">
        <f>IFERROR(__xludf.DUMMYFUNCTION("SPLIT(N208, "","")"),0.289)</f>
        <v>0.289</v>
      </c>
      <c r="V216" s="9">
        <f>IFERROR(__xludf.DUMMYFUNCTION("""COMPUTED_VALUE"""),0.26)</f>
        <v>0.26</v>
      </c>
      <c r="W216" s="9">
        <f>IFERROR(__xludf.DUMMYFUNCTION("""COMPUTED_VALUE"""),0.36)</f>
        <v>0.36</v>
      </c>
      <c r="Y216" s="9">
        <f>IFERROR(__xludf.DUMMYFUNCTION("SPLIT(O208, "","")"),0.301)</f>
        <v>0.301</v>
      </c>
      <c r="Z216" s="9">
        <f>IFERROR(__xludf.DUMMYFUNCTION("""COMPUTED_VALUE"""),0.241)</f>
        <v>0.241</v>
      </c>
      <c r="AA216" s="9">
        <f>IFERROR(__xludf.DUMMYFUNCTION("""COMPUTED_VALUE"""),0.441)</f>
        <v>0.441</v>
      </c>
    </row>
    <row r="217">
      <c r="A217" s="9">
        <f>IFERROR(__xludf.DUMMYFUNCTION("SPLIT(I209, "","")"),0.359)</f>
        <v>0.359</v>
      </c>
      <c r="B217" s="9">
        <f>IFERROR(__xludf.DUMMYFUNCTION("""COMPUTED_VALUE"""),0.359)</f>
        <v>0.359</v>
      </c>
      <c r="C217" s="9">
        <f>IFERROR(__xludf.DUMMYFUNCTION("""COMPUTED_VALUE"""),0.359)</f>
        <v>0.359</v>
      </c>
      <c r="E217" s="11">
        <f>IFERROR(__xludf.DUMMYFUNCTION("SPLIT(J209, "","")"),0.368)</f>
        <v>0.368</v>
      </c>
      <c r="F217" s="9">
        <f>IFERROR(__xludf.DUMMYFUNCTION("""COMPUTED_VALUE"""),0.331)</f>
        <v>0.331</v>
      </c>
      <c r="G217" s="9">
        <f>IFERROR(__xludf.DUMMYFUNCTION("""COMPUTED_VALUE"""),0.431)</f>
        <v>0.431</v>
      </c>
      <c r="I217" s="9">
        <f>IFERROR(__xludf.DUMMYFUNCTION("SPLIT(K209, "","")"),0.379)</f>
        <v>0.379</v>
      </c>
      <c r="J217" s="9">
        <f>IFERROR(__xludf.DUMMYFUNCTION("""COMPUTED_VALUE"""),0.303)</f>
        <v>0.303</v>
      </c>
      <c r="K217" s="9">
        <f>IFERROR(__xludf.DUMMYFUNCTION("""COMPUTED_VALUE"""),0.503)</f>
        <v>0.503</v>
      </c>
      <c r="M217" s="9">
        <f>IFERROR(__xludf.DUMMYFUNCTION("SPLIT(L209, "","")"),0.352)</f>
        <v>0.352</v>
      </c>
      <c r="N217" s="9">
        <f>IFERROR(__xludf.DUMMYFUNCTION("""COMPUTED_VALUE"""),0.317)</f>
        <v>0.317</v>
      </c>
      <c r="O217" s="9">
        <f>IFERROR(__xludf.DUMMYFUNCTION("""COMPUTED_VALUE"""),0.417)</f>
        <v>0.417</v>
      </c>
      <c r="Q217" s="9">
        <f>IFERROR(__xludf.DUMMYFUNCTION("SPLIT(M209, "","")"),0.344)</f>
        <v>0.344</v>
      </c>
      <c r="R217" s="9">
        <f>IFERROR(__xludf.DUMMYFUNCTION("""COMPUTED_VALUE"""),0.275)</f>
        <v>0.275</v>
      </c>
      <c r="S217" s="9">
        <f>IFERROR(__xludf.DUMMYFUNCTION("""COMPUTED_VALUE"""),0.475)</f>
        <v>0.475</v>
      </c>
      <c r="U217" s="9">
        <f>IFERROR(__xludf.DUMMYFUNCTION("SPLIT(N209, "","")"),0.351)</f>
        <v>0.351</v>
      </c>
      <c r="V217" s="9">
        <f>IFERROR(__xludf.DUMMYFUNCTION("""COMPUTED_VALUE"""),0.316)</f>
        <v>0.316</v>
      </c>
      <c r="W217" s="9">
        <f>IFERROR(__xludf.DUMMYFUNCTION("""COMPUTED_VALUE"""),0.416)</f>
        <v>0.416</v>
      </c>
      <c r="Y217" s="9">
        <f>IFERROR(__xludf.DUMMYFUNCTION("SPLIT(O209, "","")"),0.341)</f>
        <v>0.341</v>
      </c>
      <c r="Z217" s="9">
        <f>IFERROR(__xludf.DUMMYFUNCTION("""COMPUTED_VALUE"""),0.273)</f>
        <v>0.273</v>
      </c>
      <c r="AA217" s="9">
        <f>IFERROR(__xludf.DUMMYFUNCTION("""COMPUTED_VALUE"""),0.473)</f>
        <v>0.473</v>
      </c>
    </row>
    <row r="218">
      <c r="A218" s="9">
        <f>IFERROR(__xludf.DUMMYFUNCTION("SPLIT(I210, "","")"),0.379)</f>
        <v>0.379</v>
      </c>
      <c r="B218" s="9">
        <f>IFERROR(__xludf.DUMMYFUNCTION("""COMPUTED_VALUE"""),0.379)</f>
        <v>0.379</v>
      </c>
      <c r="C218" s="9">
        <f>IFERROR(__xludf.DUMMYFUNCTION("""COMPUTED_VALUE"""),0.379)</f>
        <v>0.379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"","")"),0.413)</f>
        <v>0.413</v>
      </c>
      <c r="J218" s="9">
        <f>IFERROR(__xludf.DUMMYFUNCTION("""COMPUTED_VALUE"""),0.331)</f>
        <v>0.331</v>
      </c>
      <c r="K218" s="9">
        <f>IFERROR(__xludf.DUMMYFUNCTION("""COMPUTED_VALUE"""),0.531)</f>
        <v>0.531</v>
      </c>
      <c r="M218" s="9">
        <f>IFERROR(__xludf.DUMMYFUNCTION("SPLIT(L210, "","")"),0.4)</f>
        <v>0.4</v>
      </c>
      <c r="N218" s="9">
        <f>IFERROR(__xludf.DUMMYFUNCTION("""COMPUTED_VALUE"""),0.36)</f>
        <v>0.36</v>
      </c>
      <c r="O218" s="9">
        <f>IFERROR(__xludf.DUMMYFUNCTION("""COMPUTED_VALUE"""),0.46)</f>
        <v>0.46</v>
      </c>
      <c r="Q218" s="9">
        <f>IFERROR(__xludf.DUMMYFUNCTION("SPLIT(M210, "","")"),0.42)</f>
        <v>0.42</v>
      </c>
      <c r="R218" s="9">
        <f>IFERROR(__xludf.DUMMYFUNCTION("""COMPUTED_VALUE"""),0.336)</f>
        <v>0.336</v>
      </c>
      <c r="S218" s="9">
        <f>IFERROR(__xludf.DUMMYFUNCTION("""COMPUTED_VALUE"""),0.536)</f>
        <v>0.536</v>
      </c>
      <c r="U218" s="9">
        <f>IFERROR(__xludf.DUMMYFUNCTION("SPLIT(N210, "","")"),0.387)</f>
        <v>0.387</v>
      </c>
      <c r="V218" s="9">
        <f>IFERROR(__xludf.DUMMYFUNCTION("""COMPUTED_VALUE"""),0.349)</f>
        <v>0.349</v>
      </c>
      <c r="W218" s="9">
        <f>IFERROR(__xludf.DUMMYFUNCTION("""COMPUTED_VALUE"""),0.449)</f>
        <v>0.449</v>
      </c>
      <c r="Y218" s="9">
        <f>IFERROR(__xludf.DUMMYFUNCTION("SPLIT(O210, "","")"),0.409)</f>
        <v>0.409</v>
      </c>
      <c r="Z218" s="9">
        <f>IFERROR(__xludf.DUMMYFUNCTION("""COMPUTED_VALUE"""),0.327)</f>
        <v>0.327</v>
      </c>
      <c r="AA218" s="9">
        <f>IFERROR(__xludf.DUMMYFUNCTION("""COMPUTED_VALUE"""),0.527)</f>
        <v>0.527</v>
      </c>
    </row>
    <row r="219">
      <c r="A219" s="9">
        <f>IFERROR(__xludf.DUMMYFUNCTION("SPLIT(I211, "","")"),0.381)</f>
        <v>0.381</v>
      </c>
      <c r="B219" s="9">
        <f>IFERROR(__xludf.DUMMYFUNCTION("""COMPUTED_VALUE"""),0.381)</f>
        <v>0.381</v>
      </c>
      <c r="C219" s="9">
        <f>IFERROR(__xludf.DUMMYFUNCTION("""COMPUTED_VALUE"""),0.381)</f>
        <v>0.381</v>
      </c>
      <c r="E219" s="11">
        <f>IFERROR(__xludf.DUMMYFUNCTION("SPLIT(J211, "","")"),0.397)</f>
        <v>0.397</v>
      </c>
      <c r="F219" s="9">
        <f>IFERROR(__xludf.DUMMYFUNCTION("""COMPUTED_VALUE"""),0.357)</f>
        <v>0.357</v>
      </c>
      <c r="G219" s="9">
        <f>IFERROR(__xludf.DUMMYFUNCTION("""COMPUTED_VALUE"""),0.457)</f>
        <v>0.457</v>
      </c>
      <c r="I219" s="9">
        <f>IFERROR(__xludf.DUMMYFUNCTION("SPLIT(K211, "","")"),0.405)</f>
        <v>0.405</v>
      </c>
      <c r="J219" s="9">
        <f>IFERROR(__xludf.DUMMYFUNCTION("""COMPUTED_VALUE"""),0.324)</f>
        <v>0.324</v>
      </c>
      <c r="K219" s="9">
        <f>IFERROR(__xludf.DUMMYFUNCTION("""COMPUTED_VALUE"""),0.524)</f>
        <v>0.524</v>
      </c>
      <c r="M219" s="9">
        <f>IFERROR(__xludf.DUMMYFUNCTION("SPLIT(L211, "","")"),0.371)</f>
        <v>0.371</v>
      </c>
      <c r="N219" s="9">
        <f>IFERROR(__xludf.DUMMYFUNCTION("""COMPUTED_VALUE"""),0.334)</f>
        <v>0.334</v>
      </c>
      <c r="O219" s="9">
        <f>IFERROR(__xludf.DUMMYFUNCTION("""COMPUTED_VALUE"""),0.434)</f>
        <v>0.434</v>
      </c>
      <c r="Q219" s="9">
        <f>IFERROR(__xludf.DUMMYFUNCTION("SPLIT(M211, "","")"),0.361)</f>
        <v>0.361</v>
      </c>
      <c r="R219" s="9">
        <f>IFERROR(__xludf.DUMMYFUNCTION("""COMPUTED_VALUE"""),0.289)</f>
        <v>0.289</v>
      </c>
      <c r="S219" s="9">
        <f>IFERROR(__xludf.DUMMYFUNCTION("""COMPUTED_VALUE"""),0.489)</f>
        <v>0.489</v>
      </c>
      <c r="U219" s="9">
        <f>IFERROR(__xludf.DUMMYFUNCTION("SPLIT(N211, "","")"),0.372)</f>
        <v>0.372</v>
      </c>
      <c r="V219" s="9">
        <f>IFERROR(__xludf.DUMMYFUNCTION("""COMPUTED_VALUE"""),0.335)</f>
        <v>0.335</v>
      </c>
      <c r="W219" s="9">
        <f>IFERROR(__xludf.DUMMYFUNCTION("""COMPUTED_VALUE"""),0.435)</f>
        <v>0.435</v>
      </c>
      <c r="Y219" s="9">
        <f>IFERROR(__xludf.DUMMYFUNCTION("SPLIT(O211, "","")"),0.359)</f>
        <v>0.359</v>
      </c>
      <c r="Z219" s="9">
        <f>IFERROR(__xludf.DUMMYFUNCTION("""COMPUTED_VALUE"""),0.287)</f>
        <v>0.287</v>
      </c>
      <c r="AA219" s="9">
        <f>IFERROR(__xludf.DUMMYFUNCTION("""COMPUTED_VALUE"""),0.487)</f>
        <v>0.487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0.358</v>
      </c>
      <c r="D223" s="7">
        <f t="shared" ref="D223:D229" si="263">E213</f>
        <v>0.375</v>
      </c>
      <c r="E223" s="7">
        <f t="shared" ref="E223:E229" si="264">I213</f>
        <v>0.391</v>
      </c>
      <c r="F223" s="7">
        <f t="shared" ref="F223:G223" si="258">N213</f>
        <v>0.344</v>
      </c>
      <c r="G223" s="12">
        <f t="shared" si="258"/>
        <v>0.444</v>
      </c>
      <c r="H223" s="7">
        <f t="shared" ref="H223:I223" si="259">R213</f>
        <v>0.327</v>
      </c>
      <c r="I223" s="12">
        <f t="shared" si="259"/>
        <v>0.527</v>
      </c>
      <c r="J223" s="7">
        <f t="shared" ref="J223:K223" si="260">V213</f>
        <v>0.332</v>
      </c>
      <c r="K223" s="12">
        <f t="shared" si="260"/>
        <v>0.432</v>
      </c>
      <c r="L223" s="7">
        <f t="shared" ref="L223:M223" si="261">Z213</f>
        <v>0.318</v>
      </c>
      <c r="M223" s="7">
        <f t="shared" si="261"/>
        <v>0.518</v>
      </c>
    </row>
    <row r="224">
      <c r="B224" s="6" t="s">
        <v>5</v>
      </c>
      <c r="C224" s="7">
        <f t="shared" si="262"/>
        <v>0.322</v>
      </c>
      <c r="D224" s="7">
        <f t="shared" si="263"/>
        <v>0.335</v>
      </c>
      <c r="E224" s="7">
        <f t="shared" si="264"/>
        <v>0.357</v>
      </c>
      <c r="F224" s="7">
        <f t="shared" ref="F224:G224" si="265">N214</f>
        <v>0.309</v>
      </c>
      <c r="G224" s="12">
        <f t="shared" si="265"/>
        <v>0.409</v>
      </c>
      <c r="H224" s="7">
        <f t="shared" ref="H224:I224" si="266">R214</f>
        <v>0.289</v>
      </c>
      <c r="I224" s="12">
        <f t="shared" si="266"/>
        <v>0.489</v>
      </c>
      <c r="J224" s="7">
        <f t="shared" ref="J224:K224" si="267">V214</f>
        <v>0.297</v>
      </c>
      <c r="K224" s="12">
        <f t="shared" si="267"/>
        <v>0.397</v>
      </c>
      <c r="L224" s="7">
        <f t="shared" ref="L224:M224" si="268">Z214</f>
        <v>0.28</v>
      </c>
      <c r="M224" s="7">
        <f t="shared" si="268"/>
        <v>0.48</v>
      </c>
    </row>
    <row r="225">
      <c r="B225" s="6" t="s">
        <v>6</v>
      </c>
      <c r="C225" s="7">
        <f t="shared" si="262"/>
        <v>0.298</v>
      </c>
      <c r="D225" s="7">
        <f t="shared" si="263"/>
        <v>0.31</v>
      </c>
      <c r="E225" s="7">
        <f t="shared" si="264"/>
        <v>0.315</v>
      </c>
      <c r="F225" s="7">
        <f t="shared" ref="F225:G225" si="269">N215</f>
        <v>0.288</v>
      </c>
      <c r="G225" s="12">
        <f t="shared" si="269"/>
        <v>0.388</v>
      </c>
      <c r="H225" s="7">
        <f t="shared" ref="H225:I225" si="270">R215</f>
        <v>0.268</v>
      </c>
      <c r="I225" s="12">
        <f t="shared" si="270"/>
        <v>0.468</v>
      </c>
      <c r="J225" s="7">
        <f t="shared" ref="J225:K225" si="271">V215</f>
        <v>0.274</v>
      </c>
      <c r="K225" s="12">
        <f t="shared" si="271"/>
        <v>0.374</v>
      </c>
      <c r="L225" s="7">
        <f t="shared" ref="L225:M225" si="272">Z215</f>
        <v>0.261</v>
      </c>
      <c r="M225" s="7">
        <f t="shared" si="272"/>
        <v>0.461</v>
      </c>
    </row>
    <row r="226">
      <c r="B226" s="6" t="s">
        <v>7</v>
      </c>
      <c r="C226" s="7">
        <f t="shared" si="262"/>
        <v>0.286</v>
      </c>
      <c r="D226" s="7">
        <f t="shared" si="263"/>
        <v>0.302</v>
      </c>
      <c r="E226" s="7">
        <f t="shared" si="264"/>
        <v>0.313</v>
      </c>
      <c r="F226" s="7">
        <f t="shared" ref="F226:G226" si="273">N216</f>
        <v>0.269</v>
      </c>
      <c r="G226" s="12">
        <f t="shared" si="273"/>
        <v>0.369</v>
      </c>
      <c r="H226" s="7">
        <f t="shared" ref="H226:I226" si="274">R216</f>
        <v>0.252</v>
      </c>
      <c r="I226" s="12">
        <f t="shared" si="274"/>
        <v>0.452</v>
      </c>
      <c r="J226" s="7">
        <f t="shared" ref="J226:K226" si="275">V216</f>
        <v>0.26</v>
      </c>
      <c r="K226" s="12">
        <f t="shared" si="275"/>
        <v>0.36</v>
      </c>
      <c r="L226" s="7">
        <f t="shared" ref="L226:M226" si="276">Z216</f>
        <v>0.241</v>
      </c>
      <c r="M226" s="7">
        <f t="shared" si="276"/>
        <v>0.441</v>
      </c>
    </row>
    <row r="227">
      <c r="B227" s="6" t="s">
        <v>8</v>
      </c>
      <c r="C227" s="7">
        <f t="shared" si="262"/>
        <v>0.359</v>
      </c>
      <c r="D227" s="7">
        <f t="shared" si="263"/>
        <v>0.368</v>
      </c>
      <c r="E227" s="7">
        <f t="shared" si="264"/>
        <v>0.379</v>
      </c>
      <c r="F227" s="7">
        <f t="shared" ref="F227:G227" si="277">N217</f>
        <v>0.317</v>
      </c>
      <c r="G227" s="12">
        <f t="shared" si="277"/>
        <v>0.417</v>
      </c>
      <c r="H227" s="7">
        <f t="shared" ref="H227:I227" si="278">R217</f>
        <v>0.275</v>
      </c>
      <c r="I227" s="12">
        <f t="shared" si="278"/>
        <v>0.475</v>
      </c>
      <c r="J227" s="7">
        <f t="shared" ref="J227:K227" si="279">V217</f>
        <v>0.316</v>
      </c>
      <c r="K227" s="12">
        <f t="shared" si="279"/>
        <v>0.416</v>
      </c>
      <c r="L227" s="7">
        <f t="shared" ref="L227:M227" si="280">Z217</f>
        <v>0.273</v>
      </c>
      <c r="M227" s="7">
        <f t="shared" si="280"/>
        <v>0.473</v>
      </c>
    </row>
    <row r="228">
      <c r="B228" s="6" t="s">
        <v>9</v>
      </c>
      <c r="C228" s="7">
        <f t="shared" si="262"/>
        <v>0.379</v>
      </c>
      <c r="D228" s="7">
        <f t="shared" si="263"/>
        <v>0.397</v>
      </c>
      <c r="E228" s="7">
        <f t="shared" si="264"/>
        <v>0.413</v>
      </c>
      <c r="F228" s="7">
        <f t="shared" ref="F228:G228" si="281">N218</f>
        <v>0.36</v>
      </c>
      <c r="G228" s="12">
        <f t="shared" si="281"/>
        <v>0.46</v>
      </c>
      <c r="H228" s="7">
        <f t="shared" ref="H228:I228" si="282">R218</f>
        <v>0.336</v>
      </c>
      <c r="I228" s="12">
        <f t="shared" si="282"/>
        <v>0.536</v>
      </c>
      <c r="J228" s="7">
        <f t="shared" ref="J228:K228" si="283">V218</f>
        <v>0.349</v>
      </c>
      <c r="K228" s="12">
        <f t="shared" si="283"/>
        <v>0.449</v>
      </c>
      <c r="L228" s="7">
        <f t="shared" ref="L228:M228" si="284">Z218</f>
        <v>0.327</v>
      </c>
      <c r="M228" s="7">
        <f t="shared" si="284"/>
        <v>0.527</v>
      </c>
    </row>
    <row r="229">
      <c r="B229" s="6" t="s">
        <v>10</v>
      </c>
      <c r="C229" s="7">
        <f t="shared" si="262"/>
        <v>0.381</v>
      </c>
      <c r="D229" s="7">
        <f t="shared" si="263"/>
        <v>0.397</v>
      </c>
      <c r="E229" s="7">
        <f t="shared" si="264"/>
        <v>0.405</v>
      </c>
      <c r="F229" s="7">
        <f t="shared" ref="F229:G229" si="285">N219</f>
        <v>0.334</v>
      </c>
      <c r="G229" s="12">
        <f t="shared" si="285"/>
        <v>0.434</v>
      </c>
      <c r="H229" s="7">
        <f t="shared" ref="H229:I229" si="286">R219</f>
        <v>0.289</v>
      </c>
      <c r="I229" s="12">
        <f t="shared" si="286"/>
        <v>0.489</v>
      </c>
      <c r="J229" s="7">
        <f t="shared" ref="J229:K229" si="287">V219</f>
        <v>0.335</v>
      </c>
      <c r="K229" s="12">
        <f t="shared" si="287"/>
        <v>0.435</v>
      </c>
      <c r="L229" s="7">
        <f t="shared" ref="L229:M229" si="288">Z219</f>
        <v>0.287</v>
      </c>
      <c r="M229" s="7">
        <f t="shared" si="288"/>
        <v>0.487</v>
      </c>
    </row>
    <row r="231">
      <c r="A231" s="8" t="s">
        <v>491</v>
      </c>
      <c r="B231" s="8" t="s">
        <v>492</v>
      </c>
      <c r="C231" s="8" t="s">
        <v>69</v>
      </c>
      <c r="D231" s="8" t="s">
        <v>493</v>
      </c>
      <c r="E231" s="8" t="s">
        <v>494</v>
      </c>
      <c r="F231" s="8" t="s">
        <v>495</v>
      </c>
      <c r="G231" s="8" t="s">
        <v>496</v>
      </c>
      <c r="I231" s="9" t="str">
        <f t="shared" ref="I231:O231" si="289">substitute(SUBSTITUTE(A231, "(", ""), ")", "")</f>
        <v>0.155, 0.155, 0.155</v>
      </c>
      <c r="J231" s="9" t="str">
        <f t="shared" si="289"/>
        <v>0.165, 0.149, 0.249</v>
      </c>
      <c r="K231" s="9" t="str">
        <f t="shared" si="289"/>
        <v>0.171, 0.137, 0.337</v>
      </c>
      <c r="L231" s="9" t="str">
        <f t="shared" si="289"/>
        <v>0.169, 0.152, 0.252</v>
      </c>
      <c r="M231" s="9" t="str">
        <f t="shared" si="289"/>
        <v>0.186, 0.149, 0.349</v>
      </c>
      <c r="N231" s="9" t="str">
        <f t="shared" si="289"/>
        <v>0.168, 0.152, 0.252</v>
      </c>
      <c r="O231" s="9" t="str">
        <f t="shared" si="289"/>
        <v>0.183, 0.146, 0.346</v>
      </c>
      <c r="T231" s="6"/>
    </row>
    <row r="232">
      <c r="A232" s="8" t="s">
        <v>497</v>
      </c>
      <c r="B232" s="8" t="s">
        <v>498</v>
      </c>
      <c r="C232" s="8" t="s">
        <v>370</v>
      </c>
      <c r="D232" s="8" t="s">
        <v>367</v>
      </c>
      <c r="E232" s="8" t="s">
        <v>499</v>
      </c>
      <c r="F232" s="8" t="s">
        <v>50</v>
      </c>
      <c r="G232" s="8" t="s">
        <v>351</v>
      </c>
      <c r="I232" s="9" t="str">
        <f t="shared" ref="I232:O232" si="290">substitute(SUBSTITUTE(A232, "(", ""), ")", "")</f>
        <v>0.180, 0.180, 0.180</v>
      </c>
      <c r="J232" s="9" t="str">
        <f t="shared" si="290"/>
        <v>0.190, 0.171, 0.271</v>
      </c>
      <c r="K232" s="9" t="str">
        <f t="shared" si="290"/>
        <v>0.199, 0.159, 0.359</v>
      </c>
      <c r="L232" s="9" t="str">
        <f t="shared" si="290"/>
        <v>0.203, 0.183, 0.283</v>
      </c>
      <c r="M232" s="9" t="str">
        <f t="shared" si="290"/>
        <v>0.228, 0.182, 0.382</v>
      </c>
      <c r="N232" s="9" t="str">
        <f t="shared" si="290"/>
        <v>0.200, 0.180, 0.280</v>
      </c>
      <c r="O232" s="9" t="str">
        <f t="shared" si="290"/>
        <v>0.224, 0.179, 0.379</v>
      </c>
    </row>
    <row r="233">
      <c r="A233" s="8" t="s">
        <v>500</v>
      </c>
      <c r="B233" s="8" t="s">
        <v>501</v>
      </c>
      <c r="C233" s="8" t="s">
        <v>502</v>
      </c>
      <c r="D233" s="8" t="s">
        <v>303</v>
      </c>
      <c r="E233" s="8" t="s">
        <v>503</v>
      </c>
      <c r="F233" s="8" t="s">
        <v>504</v>
      </c>
      <c r="G233" s="8" t="s">
        <v>505</v>
      </c>
      <c r="I233" s="9" t="str">
        <f t="shared" ref="I233:O233" si="291">substitute(SUBSTITUTE(A233, "(", ""), ")", "")</f>
        <v>0.206, 0.206, 0.206</v>
      </c>
      <c r="J233" s="9" t="str">
        <f t="shared" si="291"/>
        <v>0.216, 0.195, 0.295</v>
      </c>
      <c r="K233" s="9" t="str">
        <f t="shared" si="291"/>
        <v>0.228, 0.183, 0.383</v>
      </c>
      <c r="L233" s="9" t="str">
        <f t="shared" si="291"/>
        <v>0.232, 0.209, 0.309</v>
      </c>
      <c r="M233" s="9" t="str">
        <f t="shared" si="291"/>
        <v>0.261, 0.208, 0.408</v>
      </c>
      <c r="N233" s="9" t="str">
        <f t="shared" si="291"/>
        <v>0.228, 0.206, 0.306</v>
      </c>
      <c r="O233" s="9" t="str">
        <f t="shared" si="291"/>
        <v>0.256, 0.205, 0.405</v>
      </c>
    </row>
    <row r="234">
      <c r="A234" s="8" t="s">
        <v>506</v>
      </c>
      <c r="B234" s="8" t="s">
        <v>507</v>
      </c>
      <c r="C234" s="8" t="s">
        <v>47</v>
      </c>
      <c r="D234" s="8" t="s">
        <v>278</v>
      </c>
      <c r="E234" s="8" t="s">
        <v>361</v>
      </c>
      <c r="F234" s="8" t="s">
        <v>508</v>
      </c>
      <c r="G234" s="8" t="s">
        <v>304</v>
      </c>
      <c r="I234" s="9" t="str">
        <f t="shared" ref="I234:O234" si="292">substitute(SUBSTITUTE(A234, "(", ""), ")", "")</f>
        <v>0.205, 0.205, 0.205</v>
      </c>
      <c r="J234" s="9" t="str">
        <f t="shared" si="292"/>
        <v>0.217, 0.195, 0.295</v>
      </c>
      <c r="K234" s="9" t="str">
        <f t="shared" si="292"/>
        <v>0.227, 0.181, 0.381</v>
      </c>
      <c r="L234" s="9" t="str">
        <f t="shared" si="292"/>
        <v>0.221, 0.199, 0.299</v>
      </c>
      <c r="M234" s="9" t="str">
        <f t="shared" si="292"/>
        <v>0.239, 0.191, 0.391</v>
      </c>
      <c r="N234" s="9" t="str">
        <f t="shared" si="292"/>
        <v>0.222, 0.199, 0.299</v>
      </c>
      <c r="O234" s="9" t="str">
        <f t="shared" si="292"/>
        <v>0.235, 0.188, 0.388</v>
      </c>
    </row>
    <row r="235">
      <c r="A235" s="8" t="s">
        <v>509</v>
      </c>
      <c r="B235" s="8" t="s">
        <v>510</v>
      </c>
      <c r="C235" s="8" t="s">
        <v>511</v>
      </c>
      <c r="D235" s="8" t="s">
        <v>348</v>
      </c>
      <c r="E235" s="8" t="s">
        <v>297</v>
      </c>
      <c r="F235" s="8" t="s">
        <v>512</v>
      </c>
      <c r="G235" s="8" t="s">
        <v>513</v>
      </c>
      <c r="I235" s="9" t="str">
        <f t="shared" ref="I235:O235" si="293">substitute(SUBSTITUTE(A235, "(", ""), ")", "")</f>
        <v>0.337, 0.337, 0.337</v>
      </c>
      <c r="J235" s="9" t="str">
        <f t="shared" si="293"/>
        <v>0.356, 0.321, 0.421</v>
      </c>
      <c r="K235" s="9" t="str">
        <f t="shared" si="293"/>
        <v>0.372, 0.297, 0.497</v>
      </c>
      <c r="L235" s="9" t="str">
        <f t="shared" si="293"/>
        <v>0.271, 0.244, 0.344</v>
      </c>
      <c r="M235" s="9" t="str">
        <f t="shared" si="293"/>
        <v>0.192, 0.154, 0.354</v>
      </c>
      <c r="N235" s="9" t="str">
        <f t="shared" si="293"/>
        <v>0.274, 0.247, 0.347</v>
      </c>
      <c r="O235" s="9" t="str">
        <f t="shared" si="293"/>
        <v>0.199, 0.160, 0.360</v>
      </c>
    </row>
    <row r="236">
      <c r="A236" s="8" t="s">
        <v>514</v>
      </c>
      <c r="B236" s="8" t="s">
        <v>515</v>
      </c>
      <c r="C236" s="8" t="s">
        <v>516</v>
      </c>
      <c r="D236" s="8" t="s">
        <v>517</v>
      </c>
      <c r="E236" s="8" t="s">
        <v>365</v>
      </c>
      <c r="F236" s="8" t="s">
        <v>518</v>
      </c>
      <c r="G236" s="8" t="s">
        <v>519</v>
      </c>
      <c r="I236" s="9" t="str">
        <f t="shared" ref="I236:O236" si="294">substitute(SUBSTITUTE(A236, "(", ""), ")", "")</f>
        <v>0.209, 0.209, 0.209</v>
      </c>
      <c r="J236" s="9" t="str">
        <f t="shared" si="294"/>
        <v>0.224, 0.201, 0.301</v>
      </c>
      <c r="K236" s="9" t="str">
        <f t="shared" si="294"/>
        <v>0.234, 0.187, 0.387</v>
      </c>
      <c r="L236" s="9" t="str">
        <f t="shared" si="294"/>
        <v>0.222, 0.200, 0.300</v>
      </c>
      <c r="M236" s="9" t="str">
        <f t="shared" si="294"/>
        <v>0.232, 0.185, 0.385</v>
      </c>
      <c r="N236" s="9" t="str">
        <f t="shared" si="294"/>
        <v>0.219, 0.197, 0.297</v>
      </c>
      <c r="O236" s="9" t="str">
        <f t="shared" si="294"/>
        <v>0.227, 0.182, 0.382</v>
      </c>
    </row>
    <row r="237">
      <c r="A237" s="8" t="s">
        <v>520</v>
      </c>
      <c r="B237" s="8" t="s">
        <v>521</v>
      </c>
      <c r="C237" s="8" t="s">
        <v>522</v>
      </c>
      <c r="D237" s="8" t="s">
        <v>523</v>
      </c>
      <c r="E237" s="8" t="s">
        <v>524</v>
      </c>
      <c r="F237" s="8" t="s">
        <v>50</v>
      </c>
      <c r="G237" s="8" t="s">
        <v>525</v>
      </c>
      <c r="I237" s="9" t="str">
        <f t="shared" ref="I237:O237" si="295">substitute(SUBSTITUTE(A237, "(", ""), ")", "")</f>
        <v>0.221, 0.221, 0.221</v>
      </c>
      <c r="J237" s="9" t="str">
        <f t="shared" si="295"/>
        <v>0.233, 0.210, 0.310</v>
      </c>
      <c r="K237" s="9" t="str">
        <f t="shared" si="295"/>
        <v>0.244, 0.196, 0.396</v>
      </c>
      <c r="L237" s="9" t="str">
        <f t="shared" si="295"/>
        <v>0.197, 0.177, 0.277</v>
      </c>
      <c r="M237" s="9" t="str">
        <f t="shared" si="295"/>
        <v>0.181, 0.145, 0.345</v>
      </c>
      <c r="N237" s="9" t="str">
        <f t="shared" si="295"/>
        <v>0.200, 0.180, 0.280</v>
      </c>
      <c r="O237" s="9" t="str">
        <f t="shared" si="295"/>
        <v>0.180, 0.144, 0.344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"","")"),0.155)</f>
        <v>0.155</v>
      </c>
      <c r="B239" s="9">
        <f>IFERROR(__xludf.DUMMYFUNCTION("""COMPUTED_VALUE"""),0.155)</f>
        <v>0.155</v>
      </c>
      <c r="C239" s="9">
        <f>IFERROR(__xludf.DUMMYFUNCTION("""COMPUTED_VALUE"""),0.155)</f>
        <v>0.155</v>
      </c>
      <c r="E239" s="11">
        <f>IFERROR(__xludf.DUMMYFUNCTION("SPLIT(J231, "","")"),0.165)</f>
        <v>0.165</v>
      </c>
      <c r="F239" s="9">
        <f>IFERROR(__xludf.DUMMYFUNCTION("""COMPUTED_VALUE"""),0.149)</f>
        <v>0.149</v>
      </c>
      <c r="G239" s="9">
        <f>IFERROR(__xludf.DUMMYFUNCTION("""COMPUTED_VALUE"""),0.249)</f>
        <v>0.249</v>
      </c>
      <c r="I239" s="9">
        <f>IFERROR(__xludf.DUMMYFUNCTION("SPLIT(K231, "","")"),0.171)</f>
        <v>0.171</v>
      </c>
      <c r="J239" s="9">
        <f>IFERROR(__xludf.DUMMYFUNCTION("""COMPUTED_VALUE"""),0.137)</f>
        <v>0.137</v>
      </c>
      <c r="K239" s="9">
        <f>IFERROR(__xludf.DUMMYFUNCTION("""COMPUTED_VALUE"""),0.337)</f>
        <v>0.337</v>
      </c>
      <c r="M239" s="9">
        <f>IFERROR(__xludf.DUMMYFUNCTION("SPLIT(L231, "","")"),0.169)</f>
        <v>0.169</v>
      </c>
      <c r="N239" s="9">
        <f>IFERROR(__xludf.DUMMYFUNCTION("""COMPUTED_VALUE"""),0.152)</f>
        <v>0.152</v>
      </c>
      <c r="O239" s="9">
        <f>IFERROR(__xludf.DUMMYFUNCTION("""COMPUTED_VALUE"""),0.252)</f>
        <v>0.252</v>
      </c>
      <c r="Q239" s="9">
        <f>IFERROR(__xludf.DUMMYFUNCTION("SPLIT(M231, "","")"),0.186)</f>
        <v>0.186</v>
      </c>
      <c r="R239" s="9">
        <f>IFERROR(__xludf.DUMMYFUNCTION("""COMPUTED_VALUE"""),0.149)</f>
        <v>0.149</v>
      </c>
      <c r="S239" s="9">
        <f>IFERROR(__xludf.DUMMYFUNCTION("""COMPUTED_VALUE"""),0.349)</f>
        <v>0.349</v>
      </c>
      <c r="U239" s="9">
        <f>IFERROR(__xludf.DUMMYFUNCTION("SPLIT(N231, "","")"),0.168)</f>
        <v>0.168</v>
      </c>
      <c r="V239" s="9">
        <f>IFERROR(__xludf.DUMMYFUNCTION("""COMPUTED_VALUE"""),0.152)</f>
        <v>0.152</v>
      </c>
      <c r="W239" s="9">
        <f>IFERROR(__xludf.DUMMYFUNCTION("""COMPUTED_VALUE"""),0.252)</f>
        <v>0.252</v>
      </c>
      <c r="Y239" s="9">
        <f>IFERROR(__xludf.DUMMYFUNCTION("SPLIT(O231, "","")"),0.183)</f>
        <v>0.183</v>
      </c>
      <c r="Z239" s="9">
        <f>IFERROR(__xludf.DUMMYFUNCTION("""COMPUTED_VALUE"""),0.146)</f>
        <v>0.146</v>
      </c>
      <c r="AA239" s="9">
        <f>IFERROR(__xludf.DUMMYFUNCTION("""COMPUTED_VALUE"""),0.346)</f>
        <v>0.346</v>
      </c>
    </row>
    <row r="240">
      <c r="A240" s="9">
        <f>IFERROR(__xludf.DUMMYFUNCTION("SPLIT(I232, "","")"),0.18)</f>
        <v>0.18</v>
      </c>
      <c r="B240" s="9">
        <f>IFERROR(__xludf.DUMMYFUNCTION("""COMPUTED_VALUE"""),0.18)</f>
        <v>0.18</v>
      </c>
      <c r="C240" s="9">
        <f>IFERROR(__xludf.DUMMYFUNCTION("""COMPUTED_VALUE"""),0.18)</f>
        <v>0.18</v>
      </c>
      <c r="E240" s="11">
        <f>IFERROR(__xludf.DUMMYFUNCTION("SPLIT(J232, "","")"),0.19)</f>
        <v>0.19</v>
      </c>
      <c r="F240" s="9">
        <f>IFERROR(__xludf.DUMMYFUNCTION("""COMPUTED_VALUE"""),0.171)</f>
        <v>0.171</v>
      </c>
      <c r="G240" s="9">
        <f>IFERROR(__xludf.DUMMYFUNCTION("""COMPUTED_VALUE"""),0.271)</f>
        <v>0.271</v>
      </c>
      <c r="I240" s="9">
        <f>IFERROR(__xludf.DUMMYFUNCTION("SPLIT(K232, "","")"),0.199)</f>
        <v>0.199</v>
      </c>
      <c r="J240" s="9">
        <f>IFERROR(__xludf.DUMMYFUNCTION("""COMPUTED_VALUE"""),0.159)</f>
        <v>0.159</v>
      </c>
      <c r="K240" s="9">
        <f>IFERROR(__xludf.DUMMYFUNCTION("""COMPUTED_VALUE"""),0.359)</f>
        <v>0.359</v>
      </c>
      <c r="M240" s="9">
        <f>IFERROR(__xludf.DUMMYFUNCTION("SPLIT(L232, "","")"),0.203)</f>
        <v>0.203</v>
      </c>
      <c r="N240" s="9">
        <f>IFERROR(__xludf.DUMMYFUNCTION("""COMPUTED_VALUE"""),0.183)</f>
        <v>0.183</v>
      </c>
      <c r="O240" s="9">
        <f>IFERROR(__xludf.DUMMYFUNCTION("""COMPUTED_VALUE"""),0.283)</f>
        <v>0.283</v>
      </c>
      <c r="Q240" s="9">
        <f>IFERROR(__xludf.DUMMYFUNCTION("SPLIT(M232, "","")"),0.228)</f>
        <v>0.228</v>
      </c>
      <c r="R240" s="9">
        <f>IFERROR(__xludf.DUMMYFUNCTION("""COMPUTED_VALUE"""),0.182)</f>
        <v>0.182</v>
      </c>
      <c r="S240" s="9">
        <f>IFERROR(__xludf.DUMMYFUNCTION("""COMPUTED_VALUE"""),0.382)</f>
        <v>0.382</v>
      </c>
      <c r="U240" s="9">
        <f>IFERROR(__xludf.DUMMYFUNCTION("SPLIT(N232, "","")"),0.2)</f>
        <v>0.2</v>
      </c>
      <c r="V240" s="9">
        <f>IFERROR(__xludf.DUMMYFUNCTION("""COMPUTED_VALUE"""),0.18)</f>
        <v>0.18</v>
      </c>
      <c r="W240" s="9">
        <f>IFERROR(__xludf.DUMMYFUNCTION("""COMPUTED_VALUE"""),0.28)</f>
        <v>0.28</v>
      </c>
      <c r="Y240" s="9">
        <f>IFERROR(__xludf.DUMMYFUNCTION("SPLIT(O232, "","")"),0.224)</f>
        <v>0.224</v>
      </c>
      <c r="Z240" s="9">
        <f>IFERROR(__xludf.DUMMYFUNCTION("""COMPUTED_VALUE"""),0.179)</f>
        <v>0.179</v>
      </c>
      <c r="AA240" s="9">
        <f>IFERROR(__xludf.DUMMYFUNCTION("""COMPUTED_VALUE"""),0.379)</f>
        <v>0.379</v>
      </c>
    </row>
    <row r="241">
      <c r="A241" s="9">
        <f>IFERROR(__xludf.DUMMYFUNCTION("SPLIT(I233, "","")"),0.206)</f>
        <v>0.206</v>
      </c>
      <c r="B241" s="9">
        <f>IFERROR(__xludf.DUMMYFUNCTION("""COMPUTED_VALUE"""),0.206)</f>
        <v>0.206</v>
      </c>
      <c r="C241" s="9">
        <f>IFERROR(__xludf.DUMMYFUNCTION("""COMPUTED_VALUE"""),0.206)</f>
        <v>0.206</v>
      </c>
      <c r="E241" s="11">
        <f>IFERROR(__xludf.DUMMYFUNCTION("SPLIT(J233, "","")"),0.216)</f>
        <v>0.216</v>
      </c>
      <c r="F241" s="9">
        <f>IFERROR(__xludf.DUMMYFUNCTION("""COMPUTED_VALUE"""),0.195)</f>
        <v>0.195</v>
      </c>
      <c r="G241" s="9">
        <f>IFERROR(__xludf.DUMMYFUNCTION("""COMPUTED_VALUE"""),0.295)</f>
        <v>0.295</v>
      </c>
      <c r="I241" s="9">
        <f>IFERROR(__xludf.DUMMYFUNCTION("SPLIT(K233, "","")"),0.228)</f>
        <v>0.228</v>
      </c>
      <c r="J241" s="9">
        <f>IFERROR(__xludf.DUMMYFUNCTION("""COMPUTED_VALUE"""),0.183)</f>
        <v>0.183</v>
      </c>
      <c r="K241" s="9">
        <f>IFERROR(__xludf.DUMMYFUNCTION("""COMPUTED_VALUE"""),0.383)</f>
        <v>0.383</v>
      </c>
      <c r="M241" s="9">
        <f>IFERROR(__xludf.DUMMYFUNCTION("SPLIT(L233, "","")"),0.232)</f>
        <v>0.232</v>
      </c>
      <c r="N241" s="9">
        <f>IFERROR(__xludf.DUMMYFUNCTION("""COMPUTED_VALUE"""),0.209)</f>
        <v>0.209</v>
      </c>
      <c r="O241" s="9">
        <f>IFERROR(__xludf.DUMMYFUNCTION("""COMPUTED_VALUE"""),0.309)</f>
        <v>0.309</v>
      </c>
      <c r="Q241" s="9">
        <f>IFERROR(__xludf.DUMMYFUNCTION("SPLIT(M233, "","")"),0.261)</f>
        <v>0.261</v>
      </c>
      <c r="R241" s="9">
        <f>IFERROR(__xludf.DUMMYFUNCTION("""COMPUTED_VALUE"""),0.208)</f>
        <v>0.208</v>
      </c>
      <c r="S241" s="9">
        <f>IFERROR(__xludf.DUMMYFUNCTION("""COMPUTED_VALUE"""),0.408)</f>
        <v>0.408</v>
      </c>
      <c r="U241" s="9">
        <f>IFERROR(__xludf.DUMMYFUNCTION("SPLIT(N233, "","")"),0.228)</f>
        <v>0.228</v>
      </c>
      <c r="V241" s="9">
        <f>IFERROR(__xludf.DUMMYFUNCTION("""COMPUTED_VALUE"""),0.206)</f>
        <v>0.206</v>
      </c>
      <c r="W241" s="9">
        <f>IFERROR(__xludf.DUMMYFUNCTION("""COMPUTED_VALUE"""),0.306)</f>
        <v>0.306</v>
      </c>
      <c r="Y241" s="9">
        <f>IFERROR(__xludf.DUMMYFUNCTION("SPLIT(O233, "","")"),0.256)</f>
        <v>0.256</v>
      </c>
      <c r="Z241" s="9">
        <f>IFERROR(__xludf.DUMMYFUNCTION("""COMPUTED_VALUE"""),0.205)</f>
        <v>0.205</v>
      </c>
      <c r="AA241" s="9">
        <f>IFERROR(__xludf.DUMMYFUNCTION("""COMPUTED_VALUE"""),0.405)</f>
        <v>0.405</v>
      </c>
    </row>
    <row r="242">
      <c r="A242" s="9">
        <f>IFERROR(__xludf.DUMMYFUNCTION("SPLIT(I234, "","")"),0.205)</f>
        <v>0.205</v>
      </c>
      <c r="B242" s="9">
        <f>IFERROR(__xludf.DUMMYFUNCTION("""COMPUTED_VALUE"""),0.205)</f>
        <v>0.205</v>
      </c>
      <c r="C242" s="9">
        <f>IFERROR(__xludf.DUMMYFUNCTION("""COMPUTED_VALUE"""),0.205)</f>
        <v>0.205</v>
      </c>
      <c r="E242" s="11">
        <f>IFERROR(__xludf.DUMMYFUNCTION("SPLIT(J234, "","")"),0.217)</f>
        <v>0.217</v>
      </c>
      <c r="F242" s="9">
        <f>IFERROR(__xludf.DUMMYFUNCTION("""COMPUTED_VALUE"""),0.195)</f>
        <v>0.195</v>
      </c>
      <c r="G242" s="9">
        <f>IFERROR(__xludf.DUMMYFUNCTION("""COMPUTED_VALUE"""),0.295)</f>
        <v>0.295</v>
      </c>
      <c r="I242" s="9">
        <f>IFERROR(__xludf.DUMMYFUNCTION("SPLIT(K234, "","")"),0.227)</f>
        <v>0.227</v>
      </c>
      <c r="J242" s="9">
        <f>IFERROR(__xludf.DUMMYFUNCTION("""COMPUTED_VALUE"""),0.181)</f>
        <v>0.181</v>
      </c>
      <c r="K242" s="9">
        <f>IFERROR(__xludf.DUMMYFUNCTION("""COMPUTED_VALUE"""),0.381)</f>
        <v>0.381</v>
      </c>
      <c r="M242" s="9">
        <f>IFERROR(__xludf.DUMMYFUNCTION("SPLIT(L234, "","")"),0.221)</f>
        <v>0.221</v>
      </c>
      <c r="N242" s="9">
        <f>IFERROR(__xludf.DUMMYFUNCTION("""COMPUTED_VALUE"""),0.199)</f>
        <v>0.199</v>
      </c>
      <c r="O242" s="9">
        <f>IFERROR(__xludf.DUMMYFUNCTION("""COMPUTED_VALUE"""),0.299)</f>
        <v>0.299</v>
      </c>
      <c r="Q242" s="9">
        <f>IFERROR(__xludf.DUMMYFUNCTION("SPLIT(M234, "","")"),0.239)</f>
        <v>0.239</v>
      </c>
      <c r="R242" s="9">
        <f>IFERROR(__xludf.DUMMYFUNCTION("""COMPUTED_VALUE"""),0.191)</f>
        <v>0.191</v>
      </c>
      <c r="S242" s="9">
        <f>IFERROR(__xludf.DUMMYFUNCTION("""COMPUTED_VALUE"""),0.391)</f>
        <v>0.391</v>
      </c>
      <c r="U242" s="9">
        <f>IFERROR(__xludf.DUMMYFUNCTION("SPLIT(N234, "","")"),0.222)</f>
        <v>0.222</v>
      </c>
      <c r="V242" s="9">
        <f>IFERROR(__xludf.DUMMYFUNCTION("""COMPUTED_VALUE"""),0.199)</f>
        <v>0.199</v>
      </c>
      <c r="W242" s="9">
        <f>IFERROR(__xludf.DUMMYFUNCTION("""COMPUTED_VALUE"""),0.299)</f>
        <v>0.299</v>
      </c>
      <c r="Y242" s="9">
        <f>IFERROR(__xludf.DUMMYFUNCTION("SPLIT(O234, "","")"),0.235)</f>
        <v>0.235</v>
      </c>
      <c r="Z242" s="9">
        <f>IFERROR(__xludf.DUMMYFUNCTION("""COMPUTED_VALUE"""),0.188)</f>
        <v>0.188</v>
      </c>
      <c r="AA242" s="9">
        <f>IFERROR(__xludf.DUMMYFUNCTION("""COMPUTED_VALUE"""),0.388)</f>
        <v>0.388</v>
      </c>
    </row>
    <row r="243">
      <c r="A243" s="9">
        <f>IFERROR(__xludf.DUMMYFUNCTION("SPLIT(I235, "","")"),0.337)</f>
        <v>0.337</v>
      </c>
      <c r="B243" s="9">
        <f>IFERROR(__xludf.DUMMYFUNCTION("""COMPUTED_VALUE"""),0.337)</f>
        <v>0.337</v>
      </c>
      <c r="C243" s="9">
        <f>IFERROR(__xludf.DUMMYFUNCTION("""COMPUTED_VALUE"""),0.337)</f>
        <v>0.337</v>
      </c>
      <c r="E243" s="11">
        <f>IFERROR(__xludf.DUMMYFUNCTION("SPLIT(J235, "","")"),0.356)</f>
        <v>0.356</v>
      </c>
      <c r="F243" s="9">
        <f>IFERROR(__xludf.DUMMYFUNCTION("""COMPUTED_VALUE"""),0.321)</f>
        <v>0.321</v>
      </c>
      <c r="G243" s="9">
        <f>IFERROR(__xludf.DUMMYFUNCTION("""COMPUTED_VALUE"""),0.421)</f>
        <v>0.421</v>
      </c>
      <c r="I243" s="9">
        <f>IFERROR(__xludf.DUMMYFUNCTION("SPLIT(K235, "","")"),0.372)</f>
        <v>0.372</v>
      </c>
      <c r="J243" s="9">
        <f>IFERROR(__xludf.DUMMYFUNCTION("""COMPUTED_VALUE"""),0.297)</f>
        <v>0.297</v>
      </c>
      <c r="K243" s="9">
        <f>IFERROR(__xludf.DUMMYFUNCTION("""COMPUTED_VALUE"""),0.497)</f>
        <v>0.497</v>
      </c>
      <c r="M243" s="9">
        <f>IFERROR(__xludf.DUMMYFUNCTION("SPLIT(L235, "","")"),0.271)</f>
        <v>0.271</v>
      </c>
      <c r="N243" s="9">
        <f>IFERROR(__xludf.DUMMYFUNCTION("""COMPUTED_VALUE"""),0.244)</f>
        <v>0.244</v>
      </c>
      <c r="O243" s="9">
        <f>IFERROR(__xludf.DUMMYFUNCTION("""COMPUTED_VALUE"""),0.344)</f>
        <v>0.344</v>
      </c>
      <c r="Q243" s="9">
        <f>IFERROR(__xludf.DUMMYFUNCTION("SPLIT(M235, "","")"),0.192)</f>
        <v>0.192</v>
      </c>
      <c r="R243" s="9">
        <f>IFERROR(__xludf.DUMMYFUNCTION("""COMPUTED_VALUE"""),0.154)</f>
        <v>0.154</v>
      </c>
      <c r="S243" s="9">
        <f>IFERROR(__xludf.DUMMYFUNCTION("""COMPUTED_VALUE"""),0.354)</f>
        <v>0.354</v>
      </c>
      <c r="U243" s="9">
        <f>IFERROR(__xludf.DUMMYFUNCTION("SPLIT(N235, "","")"),0.274)</f>
        <v>0.274</v>
      </c>
      <c r="V243" s="9">
        <f>IFERROR(__xludf.DUMMYFUNCTION("""COMPUTED_VALUE"""),0.247)</f>
        <v>0.247</v>
      </c>
      <c r="W243" s="9">
        <f>IFERROR(__xludf.DUMMYFUNCTION("""COMPUTED_VALUE"""),0.347)</f>
        <v>0.347</v>
      </c>
      <c r="Y243" s="9">
        <f>IFERROR(__xludf.DUMMYFUNCTION("SPLIT(O235, "","")"),0.199)</f>
        <v>0.199</v>
      </c>
      <c r="Z243" s="9">
        <f>IFERROR(__xludf.DUMMYFUNCTION("""COMPUTED_VALUE"""),0.16)</f>
        <v>0.16</v>
      </c>
      <c r="AA243" s="9">
        <f>IFERROR(__xludf.DUMMYFUNCTION("""COMPUTED_VALUE"""),0.36)</f>
        <v>0.36</v>
      </c>
    </row>
    <row r="244">
      <c r="A244" s="9">
        <f>IFERROR(__xludf.DUMMYFUNCTION("SPLIT(I236, "","")"),0.209)</f>
        <v>0.209</v>
      </c>
      <c r="B244" s="9">
        <f>IFERROR(__xludf.DUMMYFUNCTION("""COMPUTED_VALUE"""),0.209)</f>
        <v>0.209</v>
      </c>
      <c r="C244" s="9">
        <f>IFERROR(__xludf.DUMMYFUNCTION("""COMPUTED_VALUE"""),0.209)</f>
        <v>0.209</v>
      </c>
      <c r="E244" s="11">
        <f>IFERROR(__xludf.DUMMYFUNCTION("SPLIT(J236, "","")"),0.224)</f>
        <v>0.224</v>
      </c>
      <c r="F244" s="9">
        <f>IFERROR(__xludf.DUMMYFUNCTION("""COMPUTED_VALUE"""),0.201)</f>
        <v>0.201</v>
      </c>
      <c r="G244" s="9">
        <f>IFERROR(__xludf.DUMMYFUNCTION("""COMPUTED_VALUE"""),0.301)</f>
        <v>0.301</v>
      </c>
      <c r="I244" s="9">
        <f>IFERROR(__xludf.DUMMYFUNCTION("SPLIT(K236, "","")"),0.234)</f>
        <v>0.234</v>
      </c>
      <c r="J244" s="9">
        <f>IFERROR(__xludf.DUMMYFUNCTION("""COMPUTED_VALUE"""),0.187)</f>
        <v>0.187</v>
      </c>
      <c r="K244" s="9">
        <f>IFERROR(__xludf.DUMMYFUNCTION("""COMPUTED_VALUE"""),0.387)</f>
        <v>0.387</v>
      </c>
      <c r="M244" s="9">
        <f>IFERROR(__xludf.DUMMYFUNCTION("SPLIT(L236, "","")"),0.222)</f>
        <v>0.222</v>
      </c>
      <c r="N244" s="9">
        <f>IFERROR(__xludf.DUMMYFUNCTION("""COMPUTED_VALUE"""),0.2)</f>
        <v>0.2</v>
      </c>
      <c r="O244" s="9">
        <f>IFERROR(__xludf.DUMMYFUNCTION("""COMPUTED_VALUE"""),0.3)</f>
        <v>0.3</v>
      </c>
      <c r="Q244" s="9">
        <f>IFERROR(__xludf.DUMMYFUNCTION("SPLIT(M236, "","")"),0.232)</f>
        <v>0.232</v>
      </c>
      <c r="R244" s="9">
        <f>IFERROR(__xludf.DUMMYFUNCTION("""COMPUTED_VALUE"""),0.185)</f>
        <v>0.185</v>
      </c>
      <c r="S244" s="9">
        <f>IFERROR(__xludf.DUMMYFUNCTION("""COMPUTED_VALUE"""),0.385)</f>
        <v>0.385</v>
      </c>
      <c r="U244" s="9">
        <f>IFERROR(__xludf.DUMMYFUNCTION("SPLIT(N236, "","")"),0.219)</f>
        <v>0.219</v>
      </c>
      <c r="V244" s="9">
        <f>IFERROR(__xludf.DUMMYFUNCTION("""COMPUTED_VALUE"""),0.197)</f>
        <v>0.197</v>
      </c>
      <c r="W244" s="9">
        <f>IFERROR(__xludf.DUMMYFUNCTION("""COMPUTED_VALUE"""),0.297)</f>
        <v>0.297</v>
      </c>
      <c r="Y244" s="9">
        <f>IFERROR(__xludf.DUMMYFUNCTION("SPLIT(O236, "","")"),0.227)</f>
        <v>0.227</v>
      </c>
      <c r="Z244" s="9">
        <f>IFERROR(__xludf.DUMMYFUNCTION("""COMPUTED_VALUE"""),0.182)</f>
        <v>0.182</v>
      </c>
      <c r="AA244" s="9">
        <f>IFERROR(__xludf.DUMMYFUNCTION("""COMPUTED_VALUE"""),0.382)</f>
        <v>0.382</v>
      </c>
    </row>
    <row r="245">
      <c r="A245" s="9">
        <f>IFERROR(__xludf.DUMMYFUNCTION("SPLIT(I237, "","")"),0.221)</f>
        <v>0.221</v>
      </c>
      <c r="B245" s="9">
        <f>IFERROR(__xludf.DUMMYFUNCTION("""COMPUTED_VALUE"""),0.221)</f>
        <v>0.221</v>
      </c>
      <c r="C245" s="9">
        <f>IFERROR(__xludf.DUMMYFUNCTION("""COMPUTED_VALUE"""),0.221)</f>
        <v>0.221</v>
      </c>
      <c r="E245" s="11">
        <f>IFERROR(__xludf.DUMMYFUNCTION("SPLIT(J237, "","")"),0.233)</f>
        <v>0.233</v>
      </c>
      <c r="F245" s="9">
        <f>IFERROR(__xludf.DUMMYFUNCTION("""COMPUTED_VALUE"""),0.21)</f>
        <v>0.21</v>
      </c>
      <c r="G245" s="9">
        <f>IFERROR(__xludf.DUMMYFUNCTION("""COMPUTED_VALUE"""),0.31)</f>
        <v>0.31</v>
      </c>
      <c r="I245" s="9">
        <f>IFERROR(__xludf.DUMMYFUNCTION("SPLIT(K237, "","")"),0.244)</f>
        <v>0.244</v>
      </c>
      <c r="J245" s="9">
        <f>IFERROR(__xludf.DUMMYFUNCTION("""COMPUTED_VALUE"""),0.196)</f>
        <v>0.196</v>
      </c>
      <c r="K245" s="9">
        <f>IFERROR(__xludf.DUMMYFUNCTION("""COMPUTED_VALUE"""),0.396)</f>
        <v>0.396</v>
      </c>
      <c r="M245" s="9">
        <f>IFERROR(__xludf.DUMMYFUNCTION("SPLIT(L237, "","")"),0.197)</f>
        <v>0.197</v>
      </c>
      <c r="N245" s="9">
        <f>IFERROR(__xludf.DUMMYFUNCTION("""COMPUTED_VALUE"""),0.177)</f>
        <v>0.177</v>
      </c>
      <c r="O245" s="9">
        <f>IFERROR(__xludf.DUMMYFUNCTION("""COMPUTED_VALUE"""),0.277)</f>
        <v>0.277</v>
      </c>
      <c r="Q245" s="9">
        <f>IFERROR(__xludf.DUMMYFUNCTION("SPLIT(M237, "","")"),0.181)</f>
        <v>0.181</v>
      </c>
      <c r="R245" s="9">
        <f>IFERROR(__xludf.DUMMYFUNCTION("""COMPUTED_VALUE"""),0.145)</f>
        <v>0.145</v>
      </c>
      <c r="S245" s="9">
        <f>IFERROR(__xludf.DUMMYFUNCTION("""COMPUTED_VALUE"""),0.345)</f>
        <v>0.345</v>
      </c>
      <c r="U245" s="9">
        <f>IFERROR(__xludf.DUMMYFUNCTION("SPLIT(N237, "","")"),0.2)</f>
        <v>0.2</v>
      </c>
      <c r="V245" s="9">
        <f>IFERROR(__xludf.DUMMYFUNCTION("""COMPUTED_VALUE"""),0.18)</f>
        <v>0.18</v>
      </c>
      <c r="W245" s="9">
        <f>IFERROR(__xludf.DUMMYFUNCTION("""COMPUTED_VALUE"""),0.28)</f>
        <v>0.28</v>
      </c>
      <c r="Y245" s="9">
        <f>IFERROR(__xludf.DUMMYFUNCTION("SPLIT(O237, "","")"),0.18)</f>
        <v>0.18</v>
      </c>
      <c r="Z245" s="9">
        <f>IFERROR(__xludf.DUMMYFUNCTION("""COMPUTED_VALUE"""),0.144)</f>
        <v>0.144</v>
      </c>
      <c r="AA245" s="9">
        <f>IFERROR(__xludf.DUMMYFUNCTION("""COMPUTED_VALUE"""),0.344)</f>
        <v>0.344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0.155</v>
      </c>
      <c r="D249" s="7">
        <f t="shared" ref="D249:D255" si="302">E239</f>
        <v>0.165</v>
      </c>
      <c r="E249" s="7">
        <f t="shared" ref="E249:E255" si="303">I239</f>
        <v>0.171</v>
      </c>
      <c r="F249" s="7">
        <f t="shared" ref="F249:G249" si="296">N239</f>
        <v>0.152</v>
      </c>
      <c r="G249" s="12">
        <f t="shared" si="296"/>
        <v>0.252</v>
      </c>
      <c r="H249" s="7">
        <f t="shared" ref="H249:I249" si="297">R239</f>
        <v>0.149</v>
      </c>
      <c r="I249" s="12">
        <f t="shared" si="297"/>
        <v>0.349</v>
      </c>
      <c r="J249" s="7">
        <f t="shared" ref="J249:K249" si="298">V239</f>
        <v>0.152</v>
      </c>
      <c r="K249" s="12">
        <f t="shared" si="298"/>
        <v>0.252</v>
      </c>
      <c r="L249" s="7">
        <f t="shared" ref="L249:M249" si="299">Z239</f>
        <v>0.146</v>
      </c>
      <c r="M249" s="7">
        <f t="shared" si="299"/>
        <v>0.346</v>
      </c>
      <c r="P249" s="6" t="s">
        <v>4</v>
      </c>
      <c r="Q249" s="7">
        <f t="shared" ref="Q249:AA249" si="300">C249-$C$249</f>
        <v>0</v>
      </c>
      <c r="R249" s="7">
        <f t="shared" si="300"/>
        <v>0.01</v>
      </c>
      <c r="S249" s="7">
        <f t="shared" si="300"/>
        <v>0.016</v>
      </c>
      <c r="T249" s="7">
        <f t="shared" si="300"/>
        <v>-0.003</v>
      </c>
      <c r="U249" s="7">
        <f t="shared" si="300"/>
        <v>0.097</v>
      </c>
      <c r="V249" s="7">
        <f t="shared" si="300"/>
        <v>-0.006</v>
      </c>
      <c r="W249" s="7">
        <f t="shared" si="300"/>
        <v>0.194</v>
      </c>
      <c r="X249" s="7">
        <f t="shared" si="300"/>
        <v>-0.003</v>
      </c>
      <c r="Y249" s="7">
        <f t="shared" si="300"/>
        <v>0.097</v>
      </c>
      <c r="Z249" s="7">
        <f t="shared" si="300"/>
        <v>-0.009</v>
      </c>
      <c r="AA249" s="7">
        <f t="shared" si="300"/>
        <v>0.191</v>
      </c>
    </row>
    <row r="250">
      <c r="B250" s="6" t="s">
        <v>5</v>
      </c>
      <c r="C250" s="7">
        <f t="shared" si="301"/>
        <v>0.18</v>
      </c>
      <c r="D250" s="7">
        <f t="shared" si="302"/>
        <v>0.19</v>
      </c>
      <c r="E250" s="7">
        <f t="shared" si="303"/>
        <v>0.199</v>
      </c>
      <c r="F250" s="7">
        <f t="shared" ref="F250:G250" si="304">N240</f>
        <v>0.183</v>
      </c>
      <c r="G250" s="12">
        <f t="shared" si="304"/>
        <v>0.283</v>
      </c>
      <c r="H250" s="7">
        <f t="shared" ref="H250:I250" si="305">R240</f>
        <v>0.182</v>
      </c>
      <c r="I250" s="12">
        <f t="shared" si="305"/>
        <v>0.382</v>
      </c>
      <c r="J250" s="7">
        <f t="shared" ref="J250:K250" si="306">V240</f>
        <v>0.18</v>
      </c>
      <c r="K250" s="12">
        <f t="shared" si="306"/>
        <v>0.28</v>
      </c>
      <c r="L250" s="7">
        <f t="shared" ref="L250:M250" si="307">Z240</f>
        <v>0.179</v>
      </c>
      <c r="M250" s="7">
        <f t="shared" si="307"/>
        <v>0.379</v>
      </c>
      <c r="P250" s="6" t="s">
        <v>5</v>
      </c>
      <c r="Q250" s="7">
        <f t="shared" ref="Q250:AA250" si="308">C250-$C$249</f>
        <v>0.025</v>
      </c>
      <c r="R250" s="7">
        <f t="shared" si="308"/>
        <v>0.035</v>
      </c>
      <c r="S250" s="7">
        <f t="shared" si="308"/>
        <v>0.044</v>
      </c>
      <c r="T250" s="7">
        <f t="shared" si="308"/>
        <v>0.028</v>
      </c>
      <c r="U250" s="7">
        <f t="shared" si="308"/>
        <v>0.128</v>
      </c>
      <c r="V250" s="7">
        <f t="shared" si="308"/>
        <v>0.027</v>
      </c>
      <c r="W250" s="7">
        <f t="shared" si="308"/>
        <v>0.227</v>
      </c>
      <c r="X250" s="7">
        <f t="shared" si="308"/>
        <v>0.025</v>
      </c>
      <c r="Y250" s="7">
        <f t="shared" si="308"/>
        <v>0.125</v>
      </c>
      <c r="Z250" s="7">
        <f t="shared" si="308"/>
        <v>0.024</v>
      </c>
      <c r="AA250" s="7">
        <f t="shared" si="308"/>
        <v>0.224</v>
      </c>
    </row>
    <row r="251">
      <c r="B251" s="6" t="s">
        <v>6</v>
      </c>
      <c r="C251" s="7">
        <f t="shared" si="301"/>
        <v>0.206</v>
      </c>
      <c r="D251" s="7">
        <f t="shared" si="302"/>
        <v>0.216</v>
      </c>
      <c r="E251" s="7">
        <f t="shared" si="303"/>
        <v>0.228</v>
      </c>
      <c r="F251" s="7">
        <f t="shared" ref="F251:G251" si="309">N241</f>
        <v>0.209</v>
      </c>
      <c r="G251" s="12">
        <f t="shared" si="309"/>
        <v>0.309</v>
      </c>
      <c r="H251" s="7">
        <f t="shared" ref="H251:I251" si="310">R241</f>
        <v>0.208</v>
      </c>
      <c r="I251" s="12">
        <f t="shared" si="310"/>
        <v>0.408</v>
      </c>
      <c r="J251" s="7">
        <f t="shared" ref="J251:K251" si="311">V241</f>
        <v>0.206</v>
      </c>
      <c r="K251" s="12">
        <f t="shared" si="311"/>
        <v>0.306</v>
      </c>
      <c r="L251" s="7">
        <f t="shared" ref="L251:M251" si="312">Z241</f>
        <v>0.205</v>
      </c>
      <c r="M251" s="7">
        <f t="shared" si="312"/>
        <v>0.405</v>
      </c>
      <c r="P251" s="6" t="s">
        <v>6</v>
      </c>
      <c r="Q251" s="7">
        <f t="shared" ref="Q251:AA251" si="313">C251-$C$249</f>
        <v>0.051</v>
      </c>
      <c r="R251" s="7">
        <f t="shared" si="313"/>
        <v>0.061</v>
      </c>
      <c r="S251" s="7">
        <f t="shared" si="313"/>
        <v>0.073</v>
      </c>
      <c r="T251" s="7">
        <f t="shared" si="313"/>
        <v>0.054</v>
      </c>
      <c r="U251" s="7">
        <f t="shared" si="313"/>
        <v>0.154</v>
      </c>
      <c r="V251" s="7">
        <f t="shared" si="313"/>
        <v>0.053</v>
      </c>
      <c r="W251" s="7">
        <f t="shared" si="313"/>
        <v>0.253</v>
      </c>
      <c r="X251" s="7">
        <f t="shared" si="313"/>
        <v>0.051</v>
      </c>
      <c r="Y251" s="7">
        <f t="shared" si="313"/>
        <v>0.151</v>
      </c>
      <c r="Z251" s="7">
        <f t="shared" si="313"/>
        <v>0.05</v>
      </c>
      <c r="AA251" s="7">
        <f t="shared" si="313"/>
        <v>0.25</v>
      </c>
    </row>
    <row r="252">
      <c r="B252" s="6" t="s">
        <v>7</v>
      </c>
      <c r="C252" s="7">
        <f t="shared" si="301"/>
        <v>0.205</v>
      </c>
      <c r="D252" s="7">
        <f t="shared" si="302"/>
        <v>0.217</v>
      </c>
      <c r="E252" s="7">
        <f t="shared" si="303"/>
        <v>0.227</v>
      </c>
      <c r="F252" s="7">
        <f t="shared" ref="F252:G252" si="314">N242</f>
        <v>0.199</v>
      </c>
      <c r="G252" s="12">
        <f t="shared" si="314"/>
        <v>0.299</v>
      </c>
      <c r="H252" s="7">
        <f t="shared" ref="H252:I252" si="315">R242</f>
        <v>0.191</v>
      </c>
      <c r="I252" s="12">
        <f t="shared" si="315"/>
        <v>0.391</v>
      </c>
      <c r="J252" s="7">
        <f t="shared" ref="J252:K252" si="316">V242</f>
        <v>0.199</v>
      </c>
      <c r="K252" s="12">
        <f t="shared" si="316"/>
        <v>0.299</v>
      </c>
      <c r="L252" s="7">
        <f t="shared" ref="L252:M252" si="317">Z242</f>
        <v>0.188</v>
      </c>
      <c r="M252" s="7">
        <f t="shared" si="317"/>
        <v>0.388</v>
      </c>
      <c r="P252" s="6" t="s">
        <v>7</v>
      </c>
      <c r="Q252" s="7">
        <f t="shared" ref="Q252:AA252" si="318">C252-$C$249</f>
        <v>0.05</v>
      </c>
      <c r="R252" s="7">
        <f t="shared" si="318"/>
        <v>0.062</v>
      </c>
      <c r="S252" s="7">
        <f t="shared" si="318"/>
        <v>0.072</v>
      </c>
      <c r="T252" s="7">
        <f t="shared" si="318"/>
        <v>0.044</v>
      </c>
      <c r="U252" s="7">
        <f t="shared" si="318"/>
        <v>0.144</v>
      </c>
      <c r="V252" s="7">
        <f t="shared" si="318"/>
        <v>0.036</v>
      </c>
      <c r="W252" s="7">
        <f t="shared" si="318"/>
        <v>0.236</v>
      </c>
      <c r="X252" s="7">
        <f t="shared" si="318"/>
        <v>0.044</v>
      </c>
      <c r="Y252" s="7">
        <f t="shared" si="318"/>
        <v>0.144</v>
      </c>
      <c r="Z252" s="7">
        <f t="shared" si="318"/>
        <v>0.033</v>
      </c>
      <c r="AA252" s="7">
        <f t="shared" si="318"/>
        <v>0.233</v>
      </c>
    </row>
    <row r="253">
      <c r="B253" s="6" t="s">
        <v>8</v>
      </c>
      <c r="C253" s="7">
        <f t="shared" si="301"/>
        <v>0.337</v>
      </c>
      <c r="D253" s="7">
        <f t="shared" si="302"/>
        <v>0.356</v>
      </c>
      <c r="E253" s="7">
        <f t="shared" si="303"/>
        <v>0.372</v>
      </c>
      <c r="F253" s="7">
        <f t="shared" ref="F253:G253" si="319">N243</f>
        <v>0.244</v>
      </c>
      <c r="G253" s="12">
        <f t="shared" si="319"/>
        <v>0.344</v>
      </c>
      <c r="H253" s="7">
        <f t="shared" ref="H253:I253" si="320">R243</f>
        <v>0.154</v>
      </c>
      <c r="I253" s="12">
        <f t="shared" si="320"/>
        <v>0.354</v>
      </c>
      <c r="J253" s="7">
        <f t="shared" ref="J253:K253" si="321">V243</f>
        <v>0.247</v>
      </c>
      <c r="K253" s="12">
        <f t="shared" si="321"/>
        <v>0.347</v>
      </c>
      <c r="L253" s="7">
        <f t="shared" ref="L253:M253" si="322">Z243</f>
        <v>0.16</v>
      </c>
      <c r="M253" s="7">
        <f t="shared" si="322"/>
        <v>0.36</v>
      </c>
      <c r="P253" s="6" t="s">
        <v>8</v>
      </c>
      <c r="Q253" s="7">
        <f t="shared" ref="Q253:AA253" si="323">C253-$C$249</f>
        <v>0.182</v>
      </c>
      <c r="R253" s="7">
        <f t="shared" si="323"/>
        <v>0.201</v>
      </c>
      <c r="S253" s="7">
        <f t="shared" si="323"/>
        <v>0.217</v>
      </c>
      <c r="T253" s="7">
        <f t="shared" si="323"/>
        <v>0.089</v>
      </c>
      <c r="U253" s="7">
        <f t="shared" si="323"/>
        <v>0.189</v>
      </c>
      <c r="V253" s="7">
        <f t="shared" si="323"/>
        <v>-0.001</v>
      </c>
      <c r="W253" s="7">
        <f t="shared" si="323"/>
        <v>0.199</v>
      </c>
      <c r="X253" s="7">
        <f t="shared" si="323"/>
        <v>0.092</v>
      </c>
      <c r="Y253" s="7">
        <f t="shared" si="323"/>
        <v>0.192</v>
      </c>
      <c r="Z253" s="7">
        <f t="shared" si="323"/>
        <v>0.005</v>
      </c>
      <c r="AA253" s="7">
        <f t="shared" si="323"/>
        <v>0.205</v>
      </c>
    </row>
    <row r="254">
      <c r="B254" s="6" t="s">
        <v>9</v>
      </c>
      <c r="C254" s="7">
        <f t="shared" si="301"/>
        <v>0.209</v>
      </c>
      <c r="D254" s="7">
        <f t="shared" si="302"/>
        <v>0.224</v>
      </c>
      <c r="E254" s="7">
        <f t="shared" si="303"/>
        <v>0.234</v>
      </c>
      <c r="F254" s="7">
        <f t="shared" ref="F254:G254" si="324">N244</f>
        <v>0.2</v>
      </c>
      <c r="G254" s="12">
        <f t="shared" si="324"/>
        <v>0.3</v>
      </c>
      <c r="H254" s="7">
        <f t="shared" ref="H254:I254" si="325">R244</f>
        <v>0.185</v>
      </c>
      <c r="I254" s="12">
        <f t="shared" si="325"/>
        <v>0.385</v>
      </c>
      <c r="J254" s="7">
        <f t="shared" ref="J254:K254" si="326">V244</f>
        <v>0.197</v>
      </c>
      <c r="K254" s="12">
        <f t="shared" si="326"/>
        <v>0.297</v>
      </c>
      <c r="L254" s="7">
        <f t="shared" ref="L254:M254" si="327">Z244</f>
        <v>0.182</v>
      </c>
      <c r="M254" s="7">
        <f t="shared" si="327"/>
        <v>0.382</v>
      </c>
      <c r="P254" s="6" t="s">
        <v>9</v>
      </c>
      <c r="Q254" s="7">
        <f t="shared" ref="Q254:AA254" si="328">C254-$C$249</f>
        <v>0.054</v>
      </c>
      <c r="R254" s="7">
        <f t="shared" si="328"/>
        <v>0.069</v>
      </c>
      <c r="S254" s="7">
        <f t="shared" si="328"/>
        <v>0.079</v>
      </c>
      <c r="T254" s="7">
        <f t="shared" si="328"/>
        <v>0.045</v>
      </c>
      <c r="U254" s="7">
        <f t="shared" si="328"/>
        <v>0.145</v>
      </c>
      <c r="V254" s="7">
        <f t="shared" si="328"/>
        <v>0.03</v>
      </c>
      <c r="W254" s="7">
        <f t="shared" si="328"/>
        <v>0.23</v>
      </c>
      <c r="X254" s="7">
        <f t="shared" si="328"/>
        <v>0.042</v>
      </c>
      <c r="Y254" s="7">
        <f t="shared" si="328"/>
        <v>0.142</v>
      </c>
      <c r="Z254" s="7">
        <f t="shared" si="328"/>
        <v>0.027</v>
      </c>
      <c r="AA254" s="7">
        <f t="shared" si="328"/>
        <v>0.227</v>
      </c>
    </row>
    <row r="255">
      <c r="B255" s="6" t="s">
        <v>10</v>
      </c>
      <c r="C255" s="7">
        <f t="shared" si="301"/>
        <v>0.221</v>
      </c>
      <c r="D255" s="7">
        <f t="shared" si="302"/>
        <v>0.233</v>
      </c>
      <c r="E255" s="7">
        <f t="shared" si="303"/>
        <v>0.244</v>
      </c>
      <c r="F255" s="7">
        <f t="shared" ref="F255:G255" si="329">N245</f>
        <v>0.177</v>
      </c>
      <c r="G255" s="12">
        <f t="shared" si="329"/>
        <v>0.277</v>
      </c>
      <c r="H255" s="7">
        <f t="shared" ref="H255:I255" si="330">R245</f>
        <v>0.145</v>
      </c>
      <c r="I255" s="12">
        <f t="shared" si="330"/>
        <v>0.345</v>
      </c>
      <c r="J255" s="7">
        <f t="shared" ref="J255:K255" si="331">V245</f>
        <v>0.18</v>
      </c>
      <c r="K255" s="12">
        <f t="shared" si="331"/>
        <v>0.28</v>
      </c>
      <c r="L255" s="7">
        <f t="shared" ref="L255:M255" si="332">Z245</f>
        <v>0.144</v>
      </c>
      <c r="M255" s="7">
        <f t="shared" si="332"/>
        <v>0.344</v>
      </c>
      <c r="P255" s="6" t="s">
        <v>10</v>
      </c>
      <c r="Q255" s="7">
        <f t="shared" ref="Q255:AA255" si="333">C255-$C$249</f>
        <v>0.066</v>
      </c>
      <c r="R255" s="7">
        <f t="shared" si="333"/>
        <v>0.078</v>
      </c>
      <c r="S255" s="7">
        <f t="shared" si="333"/>
        <v>0.089</v>
      </c>
      <c r="T255" s="7">
        <f t="shared" si="333"/>
        <v>0.022</v>
      </c>
      <c r="U255" s="7">
        <f t="shared" si="333"/>
        <v>0.122</v>
      </c>
      <c r="V255" s="7">
        <f t="shared" si="333"/>
        <v>-0.01</v>
      </c>
      <c r="W255" s="7">
        <f t="shared" si="333"/>
        <v>0.19</v>
      </c>
      <c r="X255" s="7">
        <f t="shared" si="333"/>
        <v>0.025</v>
      </c>
      <c r="Y255" s="7">
        <f t="shared" si="333"/>
        <v>0.125</v>
      </c>
      <c r="Z255" s="7">
        <f t="shared" si="333"/>
        <v>-0.011</v>
      </c>
      <c r="AA255" s="7">
        <f t="shared" si="333"/>
        <v>0.189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0.3</v>
      </c>
      <c r="D259" s="7">
        <f t="shared" si="334"/>
        <v>0.3055</v>
      </c>
      <c r="E259" s="7">
        <f t="shared" si="334"/>
        <v>0.316</v>
      </c>
      <c r="F259" s="7">
        <f t="shared" si="334"/>
        <v>0.272</v>
      </c>
      <c r="G259" s="7">
        <f t="shared" si="334"/>
        <v>0.372</v>
      </c>
      <c r="H259" s="7">
        <f t="shared" si="334"/>
        <v>0.239</v>
      </c>
      <c r="I259" s="7">
        <f t="shared" si="334"/>
        <v>0.439</v>
      </c>
      <c r="J259" s="7">
        <f t="shared" si="334"/>
        <v>0.2615</v>
      </c>
      <c r="K259" s="7">
        <f t="shared" si="334"/>
        <v>0.3615</v>
      </c>
      <c r="L259" s="7">
        <f t="shared" si="334"/>
        <v>0.231</v>
      </c>
      <c r="M259" s="7">
        <f t="shared" si="334"/>
        <v>0.431</v>
      </c>
      <c r="P259" s="6" t="s">
        <v>4</v>
      </c>
      <c r="Q259" s="7">
        <f t="shared" ref="Q259:AA259" si="335">C259-$C$259</f>
        <v>0</v>
      </c>
      <c r="R259" s="7">
        <f t="shared" si="335"/>
        <v>0.0055</v>
      </c>
      <c r="S259" s="7">
        <f t="shared" si="335"/>
        <v>0.016</v>
      </c>
      <c r="T259" s="7">
        <f t="shared" si="335"/>
        <v>-0.028</v>
      </c>
      <c r="U259" s="7">
        <f t="shared" si="335"/>
        <v>0.072</v>
      </c>
      <c r="V259" s="7">
        <f t="shared" si="335"/>
        <v>-0.061</v>
      </c>
      <c r="W259" s="7">
        <f t="shared" si="335"/>
        <v>0.139</v>
      </c>
      <c r="X259" s="7">
        <f t="shared" si="335"/>
        <v>-0.0385</v>
      </c>
      <c r="Y259" s="7">
        <f t="shared" si="335"/>
        <v>0.0615</v>
      </c>
      <c r="Z259" s="7">
        <f t="shared" si="335"/>
        <v>-0.069</v>
      </c>
      <c r="AA259" s="7">
        <f t="shared" si="335"/>
        <v>0.131</v>
      </c>
    </row>
    <row r="260">
      <c r="B260" s="6" t="s">
        <v>5</v>
      </c>
      <c r="C260" s="7">
        <f t="shared" ref="C260:M260" si="336">AVERAGE(C120, C146)</f>
        <v>0.315</v>
      </c>
      <c r="D260" s="7">
        <f t="shared" si="336"/>
        <v>0.3225</v>
      </c>
      <c r="E260" s="7">
        <f t="shared" si="336"/>
        <v>0.327</v>
      </c>
      <c r="F260" s="7">
        <f t="shared" si="336"/>
        <v>0.282</v>
      </c>
      <c r="G260" s="7">
        <f t="shared" si="336"/>
        <v>0.3815</v>
      </c>
      <c r="H260" s="7">
        <f t="shared" si="336"/>
        <v>0.2585</v>
      </c>
      <c r="I260" s="7">
        <f t="shared" si="336"/>
        <v>0.4585</v>
      </c>
      <c r="J260" s="7">
        <f t="shared" si="336"/>
        <v>0.282</v>
      </c>
      <c r="K260" s="7">
        <f t="shared" si="336"/>
        <v>0.3815</v>
      </c>
      <c r="L260" s="7">
        <f t="shared" si="336"/>
        <v>0.2475</v>
      </c>
      <c r="M260" s="7">
        <f t="shared" si="336"/>
        <v>0.4475</v>
      </c>
      <c r="P260" s="6" t="s">
        <v>5</v>
      </c>
      <c r="Q260" s="7">
        <f t="shared" ref="Q260:AA260" si="337">C260-$C$259</f>
        <v>0.015</v>
      </c>
      <c r="R260" s="7">
        <f t="shared" si="337"/>
        <v>0.0225</v>
      </c>
      <c r="S260" s="7">
        <f t="shared" si="337"/>
        <v>0.027</v>
      </c>
      <c r="T260" s="7">
        <f t="shared" si="337"/>
        <v>-0.018</v>
      </c>
      <c r="U260" s="7">
        <f t="shared" si="337"/>
        <v>0.0815</v>
      </c>
      <c r="V260" s="7">
        <f t="shared" si="337"/>
        <v>-0.0415</v>
      </c>
      <c r="W260" s="7">
        <f t="shared" si="337"/>
        <v>0.1585</v>
      </c>
      <c r="X260" s="7">
        <f t="shared" si="337"/>
        <v>-0.018</v>
      </c>
      <c r="Y260" s="7">
        <f t="shared" si="337"/>
        <v>0.0815</v>
      </c>
      <c r="Z260" s="7">
        <f t="shared" si="337"/>
        <v>-0.0525</v>
      </c>
      <c r="AA260" s="7">
        <f t="shared" si="337"/>
        <v>0.1475</v>
      </c>
    </row>
    <row r="261">
      <c r="B261" s="6" t="s">
        <v>6</v>
      </c>
      <c r="C261" s="7">
        <f t="shared" ref="C261:M261" si="338">AVERAGE(C121, C147)</f>
        <v>0.336</v>
      </c>
      <c r="D261" s="7">
        <f t="shared" si="338"/>
        <v>0.343</v>
      </c>
      <c r="E261" s="7">
        <f t="shared" si="338"/>
        <v>0.343</v>
      </c>
      <c r="F261" s="7">
        <f t="shared" si="338"/>
        <v>0.302</v>
      </c>
      <c r="G261" s="7">
        <f t="shared" si="338"/>
        <v>0.402</v>
      </c>
      <c r="H261" s="7">
        <f t="shared" si="338"/>
        <v>0.27</v>
      </c>
      <c r="I261" s="7">
        <f t="shared" si="338"/>
        <v>0.47</v>
      </c>
      <c r="J261" s="7">
        <f t="shared" si="338"/>
        <v>0.293</v>
      </c>
      <c r="K261" s="7">
        <f t="shared" si="338"/>
        <v>0.393</v>
      </c>
      <c r="L261" s="7">
        <f t="shared" si="338"/>
        <v>0.253</v>
      </c>
      <c r="M261" s="7">
        <f t="shared" si="338"/>
        <v>0.453</v>
      </c>
      <c r="P261" s="6" t="s">
        <v>6</v>
      </c>
      <c r="Q261" s="7">
        <f t="shared" ref="Q261:AA261" si="339">C261-$C$259</f>
        <v>0.036</v>
      </c>
      <c r="R261" s="7">
        <f t="shared" si="339"/>
        <v>0.043</v>
      </c>
      <c r="S261" s="7">
        <f t="shared" si="339"/>
        <v>0.043</v>
      </c>
      <c r="T261" s="7">
        <f t="shared" si="339"/>
        <v>0.002</v>
      </c>
      <c r="U261" s="7">
        <f t="shared" si="339"/>
        <v>0.102</v>
      </c>
      <c r="V261" s="7">
        <f t="shared" si="339"/>
        <v>-0.03</v>
      </c>
      <c r="W261" s="7">
        <f t="shared" si="339"/>
        <v>0.17</v>
      </c>
      <c r="X261" s="7">
        <f t="shared" si="339"/>
        <v>-0.007</v>
      </c>
      <c r="Y261" s="7">
        <f t="shared" si="339"/>
        <v>0.093</v>
      </c>
      <c r="Z261" s="7">
        <f t="shared" si="339"/>
        <v>-0.047</v>
      </c>
      <c r="AA261" s="7">
        <f t="shared" si="339"/>
        <v>0.153</v>
      </c>
    </row>
    <row r="262">
      <c r="B262" s="6" t="s">
        <v>7</v>
      </c>
      <c r="C262" s="7">
        <f t="shared" ref="C262:M262" si="340">AVERAGE(C122, C148)</f>
        <v>0.333</v>
      </c>
      <c r="D262" s="7">
        <f t="shared" si="340"/>
        <v>0.3415</v>
      </c>
      <c r="E262" s="7">
        <f t="shared" si="340"/>
        <v>0.3505</v>
      </c>
      <c r="F262" s="7">
        <f t="shared" si="340"/>
        <v>0.2975</v>
      </c>
      <c r="G262" s="7">
        <f t="shared" si="340"/>
        <v>0.397</v>
      </c>
      <c r="H262" s="7">
        <f t="shared" si="340"/>
        <v>0.2675</v>
      </c>
      <c r="I262" s="7">
        <f t="shared" si="340"/>
        <v>0.4675</v>
      </c>
      <c r="J262" s="7">
        <f t="shared" si="340"/>
        <v>0.2925</v>
      </c>
      <c r="K262" s="7">
        <f t="shared" si="340"/>
        <v>0.392</v>
      </c>
      <c r="L262" s="7">
        <f t="shared" si="340"/>
        <v>0.256</v>
      </c>
      <c r="M262" s="7">
        <f t="shared" si="340"/>
        <v>0.4555</v>
      </c>
      <c r="P262" s="6" t="s">
        <v>7</v>
      </c>
      <c r="Q262" s="7">
        <f t="shared" ref="Q262:AA262" si="341">C262-$C$259</f>
        <v>0.033</v>
      </c>
      <c r="R262" s="7">
        <f t="shared" si="341"/>
        <v>0.0415</v>
      </c>
      <c r="S262" s="7">
        <f t="shared" si="341"/>
        <v>0.0505</v>
      </c>
      <c r="T262" s="7">
        <f t="shared" si="341"/>
        <v>-0.0025</v>
      </c>
      <c r="U262" s="7">
        <f t="shared" si="341"/>
        <v>0.097</v>
      </c>
      <c r="V262" s="7">
        <f t="shared" si="341"/>
        <v>-0.0325</v>
      </c>
      <c r="W262" s="7">
        <f t="shared" si="341"/>
        <v>0.1675</v>
      </c>
      <c r="X262" s="7">
        <f t="shared" si="341"/>
        <v>-0.0075</v>
      </c>
      <c r="Y262" s="7">
        <f t="shared" si="341"/>
        <v>0.092</v>
      </c>
      <c r="Z262" s="7">
        <f t="shared" si="341"/>
        <v>-0.044</v>
      </c>
      <c r="AA262" s="7">
        <f t="shared" si="341"/>
        <v>0.1555</v>
      </c>
    </row>
    <row r="263">
      <c r="B263" s="6" t="s">
        <v>8</v>
      </c>
      <c r="C263" s="7">
        <f t="shared" ref="C263:M263" si="342">AVERAGE(C123, C149)</f>
        <v>0.341</v>
      </c>
      <c r="D263" s="7">
        <f t="shared" si="342"/>
        <v>0.345</v>
      </c>
      <c r="E263" s="7">
        <f t="shared" si="342"/>
        <v>0.357</v>
      </c>
      <c r="F263" s="7">
        <f t="shared" si="342"/>
        <v>0.31</v>
      </c>
      <c r="G263" s="7">
        <f t="shared" si="342"/>
        <v>0.41</v>
      </c>
      <c r="H263" s="7">
        <f t="shared" si="342"/>
        <v>0.28</v>
      </c>
      <c r="I263" s="7">
        <f t="shared" si="342"/>
        <v>0.48</v>
      </c>
      <c r="J263" s="7">
        <f t="shared" si="342"/>
        <v>0.3045</v>
      </c>
      <c r="K263" s="7">
        <f t="shared" si="342"/>
        <v>0.4045</v>
      </c>
      <c r="L263" s="7">
        <f t="shared" si="342"/>
        <v>0.2685</v>
      </c>
      <c r="M263" s="7">
        <f t="shared" si="342"/>
        <v>0.4685</v>
      </c>
      <c r="P263" s="6" t="s">
        <v>8</v>
      </c>
      <c r="Q263" s="7">
        <f t="shared" ref="Q263:AA263" si="343">C263-$C$259</f>
        <v>0.041</v>
      </c>
      <c r="R263" s="7">
        <f t="shared" si="343"/>
        <v>0.045</v>
      </c>
      <c r="S263" s="7">
        <f t="shared" si="343"/>
        <v>0.057</v>
      </c>
      <c r="T263" s="7">
        <f t="shared" si="343"/>
        <v>0.01</v>
      </c>
      <c r="U263" s="7">
        <f t="shared" si="343"/>
        <v>0.11</v>
      </c>
      <c r="V263" s="7">
        <f t="shared" si="343"/>
        <v>-0.02</v>
      </c>
      <c r="W263" s="7">
        <f t="shared" si="343"/>
        <v>0.18</v>
      </c>
      <c r="X263" s="7">
        <f t="shared" si="343"/>
        <v>0.0045</v>
      </c>
      <c r="Y263" s="7">
        <f t="shared" si="343"/>
        <v>0.1045</v>
      </c>
      <c r="Z263" s="7">
        <f t="shared" si="343"/>
        <v>-0.0315</v>
      </c>
      <c r="AA263" s="7">
        <f t="shared" si="343"/>
        <v>0.1685</v>
      </c>
    </row>
    <row r="264">
      <c r="B264" s="6" t="s">
        <v>9</v>
      </c>
      <c r="C264" s="7">
        <f t="shared" ref="C264:M264" si="344">AVERAGE(C124, C150)</f>
        <v>0.3095</v>
      </c>
      <c r="D264" s="7">
        <f t="shared" si="344"/>
        <v>0.314</v>
      </c>
      <c r="E264" s="7">
        <f t="shared" si="344"/>
        <v>0.3235</v>
      </c>
      <c r="F264" s="7">
        <f t="shared" si="344"/>
        <v>0.283</v>
      </c>
      <c r="G264" s="7">
        <f t="shared" si="344"/>
        <v>0.383</v>
      </c>
      <c r="H264" s="7">
        <f t="shared" si="344"/>
        <v>0.248</v>
      </c>
      <c r="I264" s="7">
        <f t="shared" si="344"/>
        <v>0.448</v>
      </c>
      <c r="J264" s="7">
        <f t="shared" si="344"/>
        <v>0.271</v>
      </c>
      <c r="K264" s="7">
        <f t="shared" si="344"/>
        <v>0.371</v>
      </c>
      <c r="L264" s="7">
        <f t="shared" si="344"/>
        <v>0.243</v>
      </c>
      <c r="M264" s="7">
        <f t="shared" si="344"/>
        <v>0.4425</v>
      </c>
      <c r="P264" s="6" t="s">
        <v>9</v>
      </c>
      <c r="Q264" s="7">
        <f t="shared" ref="Q264:AA264" si="345">C264-$C$259</f>
        <v>0.0095</v>
      </c>
      <c r="R264" s="7">
        <f t="shared" si="345"/>
        <v>0.014</v>
      </c>
      <c r="S264" s="7">
        <f t="shared" si="345"/>
        <v>0.0235</v>
      </c>
      <c r="T264" s="7">
        <f t="shared" si="345"/>
        <v>-0.017</v>
      </c>
      <c r="U264" s="7">
        <f t="shared" si="345"/>
        <v>0.083</v>
      </c>
      <c r="V264" s="7">
        <f t="shared" si="345"/>
        <v>-0.052</v>
      </c>
      <c r="W264" s="7">
        <f t="shared" si="345"/>
        <v>0.148</v>
      </c>
      <c r="X264" s="7">
        <f t="shared" si="345"/>
        <v>-0.029</v>
      </c>
      <c r="Y264" s="7">
        <f t="shared" si="345"/>
        <v>0.071</v>
      </c>
      <c r="Z264" s="7">
        <f t="shared" si="345"/>
        <v>-0.057</v>
      </c>
      <c r="AA264" s="7">
        <f t="shared" si="345"/>
        <v>0.1425</v>
      </c>
    </row>
    <row r="265">
      <c r="B265" s="6" t="s">
        <v>10</v>
      </c>
      <c r="C265" s="7">
        <f t="shared" ref="C265:M265" si="346">AVERAGE(C125, C151)</f>
        <v>0.328</v>
      </c>
      <c r="D265" s="7">
        <f t="shared" si="346"/>
        <v>0.3305</v>
      </c>
      <c r="E265" s="7">
        <f t="shared" si="346"/>
        <v>0.3475</v>
      </c>
      <c r="F265" s="7">
        <f t="shared" si="346"/>
        <v>0.2965</v>
      </c>
      <c r="G265" s="7">
        <f t="shared" si="346"/>
        <v>0.3965</v>
      </c>
      <c r="H265" s="7">
        <f t="shared" si="346"/>
        <v>0.256</v>
      </c>
      <c r="I265" s="7">
        <f t="shared" si="346"/>
        <v>0.456</v>
      </c>
      <c r="J265" s="7">
        <f t="shared" si="346"/>
        <v>0.288</v>
      </c>
      <c r="K265" s="7">
        <f t="shared" si="346"/>
        <v>0.388</v>
      </c>
      <c r="L265" s="7">
        <f t="shared" si="346"/>
        <v>0.2485</v>
      </c>
      <c r="M265" s="7">
        <f t="shared" si="346"/>
        <v>0.4485</v>
      </c>
      <c r="P265" s="6" t="s">
        <v>10</v>
      </c>
      <c r="Q265" s="7">
        <f t="shared" ref="Q265:AA265" si="347">C265-$C$259</f>
        <v>0.028</v>
      </c>
      <c r="R265" s="7">
        <f t="shared" si="347"/>
        <v>0.0305</v>
      </c>
      <c r="S265" s="7">
        <f t="shared" si="347"/>
        <v>0.0475</v>
      </c>
      <c r="T265" s="7">
        <f t="shared" si="347"/>
        <v>-0.0035</v>
      </c>
      <c r="U265" s="7">
        <f t="shared" si="347"/>
        <v>0.0965</v>
      </c>
      <c r="V265" s="7">
        <f t="shared" si="347"/>
        <v>-0.044</v>
      </c>
      <c r="W265" s="7">
        <f t="shared" si="347"/>
        <v>0.156</v>
      </c>
      <c r="X265" s="7">
        <f t="shared" si="347"/>
        <v>-0.012</v>
      </c>
      <c r="Y265" s="7">
        <f t="shared" si="347"/>
        <v>0.088</v>
      </c>
      <c r="Z265" s="7">
        <f t="shared" si="347"/>
        <v>-0.0515</v>
      </c>
      <c r="AA265" s="7">
        <f t="shared" si="347"/>
        <v>0.1485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0.463</v>
      </c>
      <c r="D269" s="7">
        <f t="shared" si="348"/>
        <v>0.4615</v>
      </c>
      <c r="E269" s="7">
        <f t="shared" si="348"/>
        <v>0.473</v>
      </c>
      <c r="F269" s="7">
        <f t="shared" si="348"/>
        <v>0.434</v>
      </c>
      <c r="G269" s="7">
        <f t="shared" si="348"/>
        <v>0.534</v>
      </c>
      <c r="H269" s="7">
        <f t="shared" si="348"/>
        <v>0.399</v>
      </c>
      <c r="I269" s="7">
        <f t="shared" si="348"/>
        <v>0.599</v>
      </c>
      <c r="J269" s="7">
        <f t="shared" si="348"/>
        <v>0.434</v>
      </c>
      <c r="K269" s="7">
        <f t="shared" si="348"/>
        <v>0.534</v>
      </c>
      <c r="L269" s="7">
        <f t="shared" si="348"/>
        <v>0.402</v>
      </c>
      <c r="M269" s="7">
        <f t="shared" si="348"/>
        <v>0.602</v>
      </c>
      <c r="P269" s="6" t="s">
        <v>4</v>
      </c>
      <c r="Q269" s="7">
        <f t="shared" ref="Q269:AA269" si="349">C269-$C$269</f>
        <v>0</v>
      </c>
      <c r="R269" s="7">
        <f t="shared" si="349"/>
        <v>-0.0015</v>
      </c>
      <c r="S269" s="7">
        <f t="shared" si="349"/>
        <v>0.01</v>
      </c>
      <c r="T269" s="7">
        <f t="shared" si="349"/>
        <v>-0.029</v>
      </c>
      <c r="U269" s="7">
        <f t="shared" si="349"/>
        <v>0.071</v>
      </c>
      <c r="V269" s="7">
        <f t="shared" si="349"/>
        <v>-0.064</v>
      </c>
      <c r="W269" s="7">
        <f t="shared" si="349"/>
        <v>0.136</v>
      </c>
      <c r="X269" s="7">
        <f t="shared" si="349"/>
        <v>-0.029</v>
      </c>
      <c r="Y269" s="7">
        <f t="shared" si="349"/>
        <v>0.071</v>
      </c>
      <c r="Z269" s="7">
        <f t="shared" si="349"/>
        <v>-0.061</v>
      </c>
      <c r="AA269" s="7">
        <f t="shared" si="349"/>
        <v>0.139</v>
      </c>
    </row>
    <row r="270">
      <c r="B270" s="6" t="s">
        <v>5</v>
      </c>
      <c r="C270" s="7">
        <f t="shared" ref="C270:M270" si="350">AVERAGE(C172, C198)</f>
        <v>0.4535</v>
      </c>
      <c r="D270" s="7">
        <f t="shared" si="350"/>
        <v>0.449</v>
      </c>
      <c r="E270" s="7">
        <f t="shared" si="350"/>
        <v>0.458</v>
      </c>
      <c r="F270" s="7">
        <f t="shared" si="350"/>
        <v>0.435</v>
      </c>
      <c r="G270" s="7">
        <f t="shared" si="350"/>
        <v>0.535</v>
      </c>
      <c r="H270" s="7">
        <f t="shared" si="350"/>
        <v>0.4175</v>
      </c>
      <c r="I270" s="7">
        <f t="shared" si="350"/>
        <v>0.6175</v>
      </c>
      <c r="J270" s="7">
        <f t="shared" si="350"/>
        <v>0.434</v>
      </c>
      <c r="K270" s="7">
        <f t="shared" si="350"/>
        <v>0.534</v>
      </c>
      <c r="L270" s="7">
        <f t="shared" si="350"/>
        <v>0.4145</v>
      </c>
      <c r="M270" s="7">
        <f t="shared" si="350"/>
        <v>0.6145</v>
      </c>
      <c r="P270" s="6" t="s">
        <v>5</v>
      </c>
      <c r="Q270" s="7">
        <f t="shared" ref="Q270:AA270" si="351">C270-$C$269</f>
        <v>-0.0095</v>
      </c>
      <c r="R270" s="7">
        <f t="shared" si="351"/>
        <v>-0.014</v>
      </c>
      <c r="S270" s="7">
        <f t="shared" si="351"/>
        <v>-0.005</v>
      </c>
      <c r="T270" s="7">
        <f t="shared" si="351"/>
        <v>-0.028</v>
      </c>
      <c r="U270" s="7">
        <f t="shared" si="351"/>
        <v>0.072</v>
      </c>
      <c r="V270" s="7">
        <f t="shared" si="351"/>
        <v>-0.0455</v>
      </c>
      <c r="W270" s="7">
        <f t="shared" si="351"/>
        <v>0.1545</v>
      </c>
      <c r="X270" s="7">
        <f t="shared" si="351"/>
        <v>-0.029</v>
      </c>
      <c r="Y270" s="7">
        <f t="shared" si="351"/>
        <v>0.071</v>
      </c>
      <c r="Z270" s="7">
        <f t="shared" si="351"/>
        <v>-0.0485</v>
      </c>
      <c r="AA270" s="7">
        <f t="shared" si="351"/>
        <v>0.1515</v>
      </c>
    </row>
    <row r="271">
      <c r="B271" s="6" t="s">
        <v>6</v>
      </c>
      <c r="C271" s="7">
        <f t="shared" ref="C271:M271" si="352">AVERAGE(C173, C199)</f>
        <v>0.467</v>
      </c>
      <c r="D271" s="7">
        <f t="shared" si="352"/>
        <v>0.4665</v>
      </c>
      <c r="E271" s="7">
        <f t="shared" si="352"/>
        <v>0.4755</v>
      </c>
      <c r="F271" s="7">
        <f t="shared" si="352"/>
        <v>0.4325</v>
      </c>
      <c r="G271" s="7">
        <f t="shared" si="352"/>
        <v>0.5325</v>
      </c>
      <c r="H271" s="7">
        <f t="shared" si="352"/>
        <v>0.403</v>
      </c>
      <c r="I271" s="7">
        <f t="shared" si="352"/>
        <v>0.603</v>
      </c>
      <c r="J271" s="7">
        <f t="shared" si="352"/>
        <v>0.432</v>
      </c>
      <c r="K271" s="7">
        <f t="shared" si="352"/>
        <v>0.532</v>
      </c>
      <c r="L271" s="7">
        <f t="shared" si="352"/>
        <v>0.3975</v>
      </c>
      <c r="M271" s="7">
        <f t="shared" si="352"/>
        <v>0.5975</v>
      </c>
      <c r="P271" s="6" t="s">
        <v>6</v>
      </c>
      <c r="Q271" s="7">
        <f t="shared" ref="Q271:AA271" si="353">C271-$C$269</f>
        <v>0.004</v>
      </c>
      <c r="R271" s="7">
        <f t="shared" si="353"/>
        <v>0.0035</v>
      </c>
      <c r="S271" s="7">
        <f t="shared" si="353"/>
        <v>0.0125</v>
      </c>
      <c r="T271" s="7">
        <f t="shared" si="353"/>
        <v>-0.0305</v>
      </c>
      <c r="U271" s="7">
        <f t="shared" si="353"/>
        <v>0.0695</v>
      </c>
      <c r="V271" s="7">
        <f t="shared" si="353"/>
        <v>-0.06</v>
      </c>
      <c r="W271" s="7">
        <f t="shared" si="353"/>
        <v>0.14</v>
      </c>
      <c r="X271" s="7">
        <f t="shared" si="353"/>
        <v>-0.031</v>
      </c>
      <c r="Y271" s="7">
        <f t="shared" si="353"/>
        <v>0.069</v>
      </c>
      <c r="Z271" s="7">
        <f t="shared" si="353"/>
        <v>-0.0655</v>
      </c>
      <c r="AA271" s="7">
        <f t="shared" si="353"/>
        <v>0.1345</v>
      </c>
    </row>
    <row r="272">
      <c r="B272" s="6" t="s">
        <v>7</v>
      </c>
      <c r="C272" s="7">
        <f t="shared" ref="C272:M272" si="354">AVERAGE(C174, C200)</f>
        <v>0.4655</v>
      </c>
      <c r="D272" s="7">
        <f t="shared" si="354"/>
        <v>0.4635</v>
      </c>
      <c r="E272" s="7">
        <f t="shared" si="354"/>
        <v>0.47</v>
      </c>
      <c r="F272" s="7">
        <f t="shared" si="354"/>
        <v>0.4355</v>
      </c>
      <c r="G272" s="7">
        <f t="shared" si="354"/>
        <v>0.5355</v>
      </c>
      <c r="H272" s="7">
        <f t="shared" si="354"/>
        <v>0.401</v>
      </c>
      <c r="I272" s="7">
        <f t="shared" si="354"/>
        <v>0.601</v>
      </c>
      <c r="J272" s="7">
        <f t="shared" si="354"/>
        <v>0.4295</v>
      </c>
      <c r="K272" s="7">
        <f t="shared" si="354"/>
        <v>0.5295</v>
      </c>
      <c r="L272" s="7">
        <f t="shared" si="354"/>
        <v>0.3995</v>
      </c>
      <c r="M272" s="7">
        <f t="shared" si="354"/>
        <v>0.5995</v>
      </c>
      <c r="P272" s="6" t="s">
        <v>7</v>
      </c>
      <c r="Q272" s="7">
        <f t="shared" ref="Q272:AA272" si="355">C272-$C$269</f>
        <v>0.0025</v>
      </c>
      <c r="R272" s="7">
        <f t="shared" si="355"/>
        <v>0.0005</v>
      </c>
      <c r="S272" s="7">
        <f t="shared" si="355"/>
        <v>0.007</v>
      </c>
      <c r="T272" s="7">
        <f t="shared" si="355"/>
        <v>-0.0275</v>
      </c>
      <c r="U272" s="7">
        <f t="shared" si="355"/>
        <v>0.0725</v>
      </c>
      <c r="V272" s="7">
        <f t="shared" si="355"/>
        <v>-0.062</v>
      </c>
      <c r="W272" s="7">
        <f t="shared" si="355"/>
        <v>0.138</v>
      </c>
      <c r="X272" s="7">
        <f t="shared" si="355"/>
        <v>-0.0335</v>
      </c>
      <c r="Y272" s="7">
        <f t="shared" si="355"/>
        <v>0.0665</v>
      </c>
      <c r="Z272" s="7">
        <f t="shared" si="355"/>
        <v>-0.0635</v>
      </c>
      <c r="AA272" s="7">
        <f t="shared" si="355"/>
        <v>0.1365</v>
      </c>
    </row>
    <row r="273">
      <c r="B273" s="6" t="s">
        <v>8</v>
      </c>
      <c r="C273" s="7">
        <f t="shared" ref="C273:M273" si="356">AVERAGE(C175, C201)</f>
        <v>0.476</v>
      </c>
      <c r="D273" s="7">
        <f t="shared" si="356"/>
        <v>0.4725</v>
      </c>
      <c r="E273" s="7">
        <f t="shared" si="356"/>
        <v>0.4775</v>
      </c>
      <c r="F273" s="7">
        <f t="shared" si="356"/>
        <v>0.442</v>
      </c>
      <c r="G273" s="7">
        <f t="shared" si="356"/>
        <v>0.542</v>
      </c>
      <c r="H273" s="7">
        <f t="shared" si="356"/>
        <v>0.4115</v>
      </c>
      <c r="I273" s="7">
        <f t="shared" si="356"/>
        <v>0.6115</v>
      </c>
      <c r="J273" s="7">
        <f t="shared" si="356"/>
        <v>0.4415</v>
      </c>
      <c r="K273" s="7">
        <f t="shared" si="356"/>
        <v>0.5415</v>
      </c>
      <c r="L273" s="7">
        <f t="shared" si="356"/>
        <v>0.4065</v>
      </c>
      <c r="M273" s="7">
        <f t="shared" si="356"/>
        <v>0.6065</v>
      </c>
      <c r="P273" s="6" t="s">
        <v>8</v>
      </c>
      <c r="Q273" s="7">
        <f t="shared" ref="Q273:AA273" si="357">C273-$C$269</f>
        <v>0.013</v>
      </c>
      <c r="R273" s="7">
        <f t="shared" si="357"/>
        <v>0.0095</v>
      </c>
      <c r="S273" s="7">
        <f t="shared" si="357"/>
        <v>0.0145</v>
      </c>
      <c r="T273" s="7">
        <f t="shared" si="357"/>
        <v>-0.021</v>
      </c>
      <c r="U273" s="7">
        <f t="shared" si="357"/>
        <v>0.079</v>
      </c>
      <c r="V273" s="7">
        <f t="shared" si="357"/>
        <v>-0.0515</v>
      </c>
      <c r="W273" s="7">
        <f t="shared" si="357"/>
        <v>0.1485</v>
      </c>
      <c r="X273" s="7">
        <f t="shared" si="357"/>
        <v>-0.0215</v>
      </c>
      <c r="Y273" s="7">
        <f t="shared" si="357"/>
        <v>0.0785</v>
      </c>
      <c r="Z273" s="7">
        <f t="shared" si="357"/>
        <v>-0.0565</v>
      </c>
      <c r="AA273" s="7">
        <f t="shared" si="357"/>
        <v>0.1435</v>
      </c>
    </row>
    <row r="274">
      <c r="B274" s="6" t="s">
        <v>9</v>
      </c>
      <c r="C274" s="7">
        <f t="shared" ref="C274:M274" si="358">AVERAGE(C176, C202)</f>
        <v>0.4845</v>
      </c>
      <c r="D274" s="7">
        <f t="shared" si="358"/>
        <v>0.483</v>
      </c>
      <c r="E274" s="7">
        <f t="shared" si="358"/>
        <v>0.489</v>
      </c>
      <c r="F274" s="7">
        <f t="shared" si="358"/>
        <v>0.453</v>
      </c>
      <c r="G274" s="7">
        <f t="shared" si="358"/>
        <v>0.553</v>
      </c>
      <c r="H274" s="7">
        <f t="shared" si="358"/>
        <v>0.4125</v>
      </c>
      <c r="I274" s="7">
        <f t="shared" si="358"/>
        <v>0.6125</v>
      </c>
      <c r="J274" s="7">
        <f t="shared" si="358"/>
        <v>0.4505</v>
      </c>
      <c r="K274" s="7">
        <f t="shared" si="358"/>
        <v>0.5505</v>
      </c>
      <c r="L274" s="7">
        <f t="shared" si="358"/>
        <v>0.4105</v>
      </c>
      <c r="M274" s="7">
        <f t="shared" si="358"/>
        <v>0.6105</v>
      </c>
      <c r="P274" s="6" t="s">
        <v>9</v>
      </c>
      <c r="Q274" s="7">
        <f t="shared" ref="Q274:AA274" si="359">C274-$C$269</f>
        <v>0.0215</v>
      </c>
      <c r="R274" s="7">
        <f t="shared" si="359"/>
        <v>0.02</v>
      </c>
      <c r="S274" s="7">
        <f t="shared" si="359"/>
        <v>0.026</v>
      </c>
      <c r="T274" s="7">
        <f t="shared" si="359"/>
        <v>-0.01</v>
      </c>
      <c r="U274" s="7">
        <f t="shared" si="359"/>
        <v>0.09</v>
      </c>
      <c r="V274" s="7">
        <f t="shared" si="359"/>
        <v>-0.0505</v>
      </c>
      <c r="W274" s="7">
        <f t="shared" si="359"/>
        <v>0.1495</v>
      </c>
      <c r="X274" s="7">
        <f t="shared" si="359"/>
        <v>-0.0125</v>
      </c>
      <c r="Y274" s="7">
        <f t="shared" si="359"/>
        <v>0.0875</v>
      </c>
      <c r="Z274" s="7">
        <f t="shared" si="359"/>
        <v>-0.0525</v>
      </c>
      <c r="AA274" s="7">
        <f t="shared" si="359"/>
        <v>0.1475</v>
      </c>
    </row>
    <row r="275">
      <c r="B275" s="6" t="s">
        <v>10</v>
      </c>
      <c r="C275" s="7">
        <f t="shared" ref="C275:M275" si="360">AVERAGE(C177, C203)</f>
        <v>0.471</v>
      </c>
      <c r="D275" s="7">
        <f t="shared" si="360"/>
        <v>0.468</v>
      </c>
      <c r="E275" s="7">
        <f t="shared" si="360"/>
        <v>0.4725</v>
      </c>
      <c r="F275" s="7">
        <f t="shared" si="360"/>
        <v>0.4295</v>
      </c>
      <c r="G275" s="7">
        <f t="shared" si="360"/>
        <v>0.5295</v>
      </c>
      <c r="H275" s="7">
        <f t="shared" si="360"/>
        <v>0.395</v>
      </c>
      <c r="I275" s="7">
        <f t="shared" si="360"/>
        <v>0.595</v>
      </c>
      <c r="J275" s="7">
        <f t="shared" si="360"/>
        <v>0.4295</v>
      </c>
      <c r="K275" s="7">
        <f t="shared" si="360"/>
        <v>0.5295</v>
      </c>
      <c r="L275" s="7">
        <f t="shared" si="360"/>
        <v>0.396</v>
      </c>
      <c r="M275" s="7">
        <f t="shared" si="360"/>
        <v>0.596</v>
      </c>
      <c r="P275" s="6" t="s">
        <v>10</v>
      </c>
      <c r="Q275" s="7">
        <f t="shared" ref="Q275:AA275" si="361">C275-$C$269</f>
        <v>0.008</v>
      </c>
      <c r="R275" s="7">
        <f t="shared" si="361"/>
        <v>0.005</v>
      </c>
      <c r="S275" s="7">
        <f t="shared" si="361"/>
        <v>0.0095</v>
      </c>
      <c r="T275" s="7">
        <f t="shared" si="361"/>
        <v>-0.0335</v>
      </c>
      <c r="U275" s="7">
        <f t="shared" si="361"/>
        <v>0.0665</v>
      </c>
      <c r="V275" s="7">
        <f t="shared" si="361"/>
        <v>-0.068</v>
      </c>
      <c r="W275" s="7">
        <f t="shared" si="361"/>
        <v>0.132</v>
      </c>
      <c r="X275" s="7">
        <f t="shared" si="361"/>
        <v>-0.0335</v>
      </c>
      <c r="Y275" s="7">
        <f t="shared" si="361"/>
        <v>0.0665</v>
      </c>
      <c r="Z275" s="7">
        <f t="shared" si="361"/>
        <v>-0.067</v>
      </c>
      <c r="AA275" s="7">
        <f t="shared" si="361"/>
        <v>0.133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0.2565</v>
      </c>
      <c r="D279" s="7">
        <f t="shared" si="362"/>
        <v>0.27</v>
      </c>
      <c r="E279" s="7">
        <f t="shared" si="362"/>
        <v>0.281</v>
      </c>
      <c r="F279" s="7">
        <f t="shared" si="362"/>
        <v>0.248</v>
      </c>
      <c r="G279" s="7">
        <f t="shared" si="362"/>
        <v>0.348</v>
      </c>
      <c r="H279" s="7">
        <f t="shared" si="362"/>
        <v>0.238</v>
      </c>
      <c r="I279" s="7">
        <f t="shared" si="362"/>
        <v>0.438</v>
      </c>
      <c r="J279" s="7">
        <f t="shared" si="362"/>
        <v>0.242</v>
      </c>
      <c r="K279" s="7">
        <f t="shared" si="362"/>
        <v>0.342</v>
      </c>
      <c r="L279" s="7">
        <f t="shared" si="362"/>
        <v>0.232</v>
      </c>
      <c r="M279" s="7">
        <f t="shared" si="362"/>
        <v>0.432</v>
      </c>
      <c r="P279" s="6" t="s">
        <v>4</v>
      </c>
      <c r="Q279" s="7">
        <f t="shared" ref="Q279:AA279" si="363">C279-$C$279</f>
        <v>0</v>
      </c>
      <c r="R279" s="7">
        <f t="shared" si="363"/>
        <v>0.0135</v>
      </c>
      <c r="S279" s="7">
        <f t="shared" si="363"/>
        <v>0.0245</v>
      </c>
      <c r="T279" s="7">
        <f t="shared" si="363"/>
        <v>-0.0085</v>
      </c>
      <c r="U279" s="7">
        <f t="shared" si="363"/>
        <v>0.0915</v>
      </c>
      <c r="V279" s="7">
        <f t="shared" si="363"/>
        <v>-0.0185</v>
      </c>
      <c r="W279" s="7">
        <f t="shared" si="363"/>
        <v>0.1815</v>
      </c>
      <c r="X279" s="7">
        <f t="shared" si="363"/>
        <v>-0.0145</v>
      </c>
      <c r="Y279" s="7">
        <f t="shared" si="363"/>
        <v>0.0855</v>
      </c>
      <c r="Z279" s="7">
        <f t="shared" si="363"/>
        <v>-0.0245</v>
      </c>
      <c r="AA279" s="7">
        <f t="shared" si="363"/>
        <v>0.1755</v>
      </c>
    </row>
    <row r="280">
      <c r="B280" s="6" t="s">
        <v>5</v>
      </c>
      <c r="C280" s="7">
        <f t="shared" ref="C280:M280" si="364">AVERAGE(C224, C250)</f>
        <v>0.251</v>
      </c>
      <c r="D280" s="7">
        <f t="shared" si="364"/>
        <v>0.2625</v>
      </c>
      <c r="E280" s="7">
        <f t="shared" si="364"/>
        <v>0.278</v>
      </c>
      <c r="F280" s="7">
        <f t="shared" si="364"/>
        <v>0.246</v>
      </c>
      <c r="G280" s="7">
        <f t="shared" si="364"/>
        <v>0.346</v>
      </c>
      <c r="H280" s="7">
        <f t="shared" si="364"/>
        <v>0.2355</v>
      </c>
      <c r="I280" s="7">
        <f t="shared" si="364"/>
        <v>0.4355</v>
      </c>
      <c r="J280" s="7">
        <f t="shared" si="364"/>
        <v>0.2385</v>
      </c>
      <c r="K280" s="7">
        <f t="shared" si="364"/>
        <v>0.3385</v>
      </c>
      <c r="L280" s="7">
        <f t="shared" si="364"/>
        <v>0.2295</v>
      </c>
      <c r="M280" s="7">
        <f t="shared" si="364"/>
        <v>0.4295</v>
      </c>
      <c r="P280" s="6" t="s">
        <v>5</v>
      </c>
      <c r="Q280" s="7">
        <f t="shared" ref="Q280:AA280" si="365">C280-$C$279</f>
        <v>-0.0055</v>
      </c>
      <c r="R280" s="7">
        <f t="shared" si="365"/>
        <v>0.006</v>
      </c>
      <c r="S280" s="7">
        <f t="shared" si="365"/>
        <v>0.0215</v>
      </c>
      <c r="T280" s="7">
        <f t="shared" si="365"/>
        <v>-0.0105</v>
      </c>
      <c r="U280" s="7">
        <f t="shared" si="365"/>
        <v>0.0895</v>
      </c>
      <c r="V280" s="7">
        <f t="shared" si="365"/>
        <v>-0.021</v>
      </c>
      <c r="W280" s="7">
        <f t="shared" si="365"/>
        <v>0.179</v>
      </c>
      <c r="X280" s="7">
        <f t="shared" si="365"/>
        <v>-0.018</v>
      </c>
      <c r="Y280" s="7">
        <f t="shared" si="365"/>
        <v>0.082</v>
      </c>
      <c r="Z280" s="7">
        <f t="shared" si="365"/>
        <v>-0.027</v>
      </c>
      <c r="AA280" s="7">
        <f t="shared" si="365"/>
        <v>0.173</v>
      </c>
    </row>
    <row r="281">
      <c r="B281" s="6" t="s">
        <v>6</v>
      </c>
      <c r="C281" s="7">
        <f t="shared" ref="C281:M281" si="366">AVERAGE(C225, C251)</f>
        <v>0.252</v>
      </c>
      <c r="D281" s="7">
        <f t="shared" si="366"/>
        <v>0.263</v>
      </c>
      <c r="E281" s="7">
        <f t="shared" si="366"/>
        <v>0.2715</v>
      </c>
      <c r="F281" s="7">
        <f t="shared" si="366"/>
        <v>0.2485</v>
      </c>
      <c r="G281" s="7">
        <f t="shared" si="366"/>
        <v>0.3485</v>
      </c>
      <c r="H281" s="7">
        <f t="shared" si="366"/>
        <v>0.238</v>
      </c>
      <c r="I281" s="7">
        <f t="shared" si="366"/>
        <v>0.438</v>
      </c>
      <c r="J281" s="7">
        <f t="shared" si="366"/>
        <v>0.24</v>
      </c>
      <c r="K281" s="7">
        <f t="shared" si="366"/>
        <v>0.34</v>
      </c>
      <c r="L281" s="7">
        <f t="shared" si="366"/>
        <v>0.233</v>
      </c>
      <c r="M281" s="7">
        <f t="shared" si="366"/>
        <v>0.433</v>
      </c>
      <c r="P281" s="6" t="s">
        <v>6</v>
      </c>
      <c r="Q281" s="7">
        <f t="shared" ref="Q281:AA281" si="367">C281-$C$279</f>
        <v>-0.0045</v>
      </c>
      <c r="R281" s="7">
        <f t="shared" si="367"/>
        <v>0.0065</v>
      </c>
      <c r="S281" s="7">
        <f t="shared" si="367"/>
        <v>0.015</v>
      </c>
      <c r="T281" s="7">
        <f t="shared" si="367"/>
        <v>-0.008</v>
      </c>
      <c r="U281" s="7">
        <f t="shared" si="367"/>
        <v>0.092</v>
      </c>
      <c r="V281" s="7">
        <f t="shared" si="367"/>
        <v>-0.0185</v>
      </c>
      <c r="W281" s="7">
        <f t="shared" si="367"/>
        <v>0.1815</v>
      </c>
      <c r="X281" s="7">
        <f t="shared" si="367"/>
        <v>-0.0165</v>
      </c>
      <c r="Y281" s="7">
        <f t="shared" si="367"/>
        <v>0.0835</v>
      </c>
      <c r="Z281" s="7">
        <f t="shared" si="367"/>
        <v>-0.0235</v>
      </c>
      <c r="AA281" s="7">
        <f t="shared" si="367"/>
        <v>0.1765</v>
      </c>
    </row>
    <row r="282">
      <c r="B282" s="6" t="s">
        <v>7</v>
      </c>
      <c r="C282" s="7">
        <f t="shared" ref="C282:M282" si="368">AVERAGE(C226, C252)</f>
        <v>0.2455</v>
      </c>
      <c r="D282" s="7">
        <f t="shared" si="368"/>
        <v>0.2595</v>
      </c>
      <c r="E282" s="7">
        <f t="shared" si="368"/>
        <v>0.27</v>
      </c>
      <c r="F282" s="7">
        <f t="shared" si="368"/>
        <v>0.234</v>
      </c>
      <c r="G282" s="7">
        <f t="shared" si="368"/>
        <v>0.334</v>
      </c>
      <c r="H282" s="7">
        <f t="shared" si="368"/>
        <v>0.2215</v>
      </c>
      <c r="I282" s="7">
        <f t="shared" si="368"/>
        <v>0.4215</v>
      </c>
      <c r="J282" s="7">
        <f t="shared" si="368"/>
        <v>0.2295</v>
      </c>
      <c r="K282" s="7">
        <f t="shared" si="368"/>
        <v>0.3295</v>
      </c>
      <c r="L282" s="7">
        <f t="shared" si="368"/>
        <v>0.2145</v>
      </c>
      <c r="M282" s="7">
        <f t="shared" si="368"/>
        <v>0.4145</v>
      </c>
      <c r="P282" s="6" t="s">
        <v>7</v>
      </c>
      <c r="Q282" s="7">
        <f t="shared" ref="Q282:AA282" si="369">C282-$C$279</f>
        <v>-0.011</v>
      </c>
      <c r="R282" s="7">
        <f t="shared" si="369"/>
        <v>0.003</v>
      </c>
      <c r="S282" s="7">
        <f t="shared" si="369"/>
        <v>0.0135</v>
      </c>
      <c r="T282" s="7">
        <f t="shared" si="369"/>
        <v>-0.0225</v>
      </c>
      <c r="U282" s="7">
        <f t="shared" si="369"/>
        <v>0.0775</v>
      </c>
      <c r="V282" s="7">
        <f t="shared" si="369"/>
        <v>-0.035</v>
      </c>
      <c r="W282" s="7">
        <f t="shared" si="369"/>
        <v>0.165</v>
      </c>
      <c r="X282" s="7">
        <f t="shared" si="369"/>
        <v>-0.027</v>
      </c>
      <c r="Y282" s="7">
        <f t="shared" si="369"/>
        <v>0.073</v>
      </c>
      <c r="Z282" s="7">
        <f t="shared" si="369"/>
        <v>-0.042</v>
      </c>
      <c r="AA282" s="7">
        <f t="shared" si="369"/>
        <v>0.158</v>
      </c>
    </row>
    <row r="283">
      <c r="B283" s="6" t="s">
        <v>8</v>
      </c>
      <c r="C283" s="7">
        <f t="shared" ref="C283:M283" si="370">AVERAGE(C227, C253)</f>
        <v>0.348</v>
      </c>
      <c r="D283" s="7">
        <f t="shared" si="370"/>
        <v>0.362</v>
      </c>
      <c r="E283" s="7">
        <f t="shared" si="370"/>
        <v>0.3755</v>
      </c>
      <c r="F283" s="7">
        <f t="shared" si="370"/>
        <v>0.2805</v>
      </c>
      <c r="G283" s="7">
        <f t="shared" si="370"/>
        <v>0.3805</v>
      </c>
      <c r="H283" s="7">
        <f t="shared" si="370"/>
        <v>0.2145</v>
      </c>
      <c r="I283" s="7">
        <f t="shared" si="370"/>
        <v>0.4145</v>
      </c>
      <c r="J283" s="7">
        <f t="shared" si="370"/>
        <v>0.2815</v>
      </c>
      <c r="K283" s="7">
        <f t="shared" si="370"/>
        <v>0.3815</v>
      </c>
      <c r="L283" s="7">
        <f t="shared" si="370"/>
        <v>0.2165</v>
      </c>
      <c r="M283" s="7">
        <f t="shared" si="370"/>
        <v>0.4165</v>
      </c>
      <c r="P283" s="6" t="s">
        <v>8</v>
      </c>
      <c r="Q283" s="7">
        <f t="shared" ref="Q283:AA283" si="371">C283-$C$279</f>
        <v>0.0915</v>
      </c>
      <c r="R283" s="7">
        <f t="shared" si="371"/>
        <v>0.1055</v>
      </c>
      <c r="S283" s="7">
        <f t="shared" si="371"/>
        <v>0.119</v>
      </c>
      <c r="T283" s="7">
        <f t="shared" si="371"/>
        <v>0.024</v>
      </c>
      <c r="U283" s="7">
        <f t="shared" si="371"/>
        <v>0.124</v>
      </c>
      <c r="V283" s="7">
        <f t="shared" si="371"/>
        <v>-0.042</v>
      </c>
      <c r="W283" s="7">
        <f t="shared" si="371"/>
        <v>0.158</v>
      </c>
      <c r="X283" s="7">
        <f t="shared" si="371"/>
        <v>0.025</v>
      </c>
      <c r="Y283" s="7">
        <f t="shared" si="371"/>
        <v>0.125</v>
      </c>
      <c r="Z283" s="7">
        <f t="shared" si="371"/>
        <v>-0.04</v>
      </c>
      <c r="AA283" s="7">
        <f t="shared" si="371"/>
        <v>0.16</v>
      </c>
    </row>
    <row r="284">
      <c r="B284" s="6" t="s">
        <v>9</v>
      </c>
      <c r="C284" s="7">
        <f t="shared" ref="C284:M284" si="372">AVERAGE(C228, C254)</f>
        <v>0.294</v>
      </c>
      <c r="D284" s="7">
        <f t="shared" si="372"/>
        <v>0.3105</v>
      </c>
      <c r="E284" s="7">
        <f t="shared" si="372"/>
        <v>0.3235</v>
      </c>
      <c r="F284" s="7">
        <f t="shared" si="372"/>
        <v>0.28</v>
      </c>
      <c r="G284" s="7">
        <f t="shared" si="372"/>
        <v>0.38</v>
      </c>
      <c r="H284" s="7">
        <f t="shared" si="372"/>
        <v>0.2605</v>
      </c>
      <c r="I284" s="7">
        <f t="shared" si="372"/>
        <v>0.4605</v>
      </c>
      <c r="J284" s="7">
        <f t="shared" si="372"/>
        <v>0.273</v>
      </c>
      <c r="K284" s="7">
        <f t="shared" si="372"/>
        <v>0.373</v>
      </c>
      <c r="L284" s="7">
        <f t="shared" si="372"/>
        <v>0.2545</v>
      </c>
      <c r="M284" s="7">
        <f t="shared" si="372"/>
        <v>0.4545</v>
      </c>
      <c r="P284" s="6" t="s">
        <v>9</v>
      </c>
      <c r="Q284" s="7">
        <f t="shared" ref="Q284:AA284" si="373">C284-$C$279</f>
        <v>0.0375</v>
      </c>
      <c r="R284" s="7">
        <f t="shared" si="373"/>
        <v>0.054</v>
      </c>
      <c r="S284" s="7">
        <f t="shared" si="373"/>
        <v>0.067</v>
      </c>
      <c r="T284" s="7">
        <f t="shared" si="373"/>
        <v>0.0235</v>
      </c>
      <c r="U284" s="7">
        <f t="shared" si="373"/>
        <v>0.1235</v>
      </c>
      <c r="V284" s="7">
        <f t="shared" si="373"/>
        <v>0.004</v>
      </c>
      <c r="W284" s="7">
        <f t="shared" si="373"/>
        <v>0.204</v>
      </c>
      <c r="X284" s="7">
        <f t="shared" si="373"/>
        <v>0.0165</v>
      </c>
      <c r="Y284" s="7">
        <f t="shared" si="373"/>
        <v>0.1165</v>
      </c>
      <c r="Z284" s="7">
        <f t="shared" si="373"/>
        <v>-0.002</v>
      </c>
      <c r="AA284" s="7">
        <f t="shared" si="373"/>
        <v>0.198</v>
      </c>
    </row>
    <row r="285">
      <c r="B285" s="6" t="s">
        <v>10</v>
      </c>
      <c r="C285" s="7">
        <f t="shared" ref="C285:M285" si="374">AVERAGE(C229, C255)</f>
        <v>0.301</v>
      </c>
      <c r="D285" s="7">
        <f t="shared" si="374"/>
        <v>0.315</v>
      </c>
      <c r="E285" s="7">
        <f t="shared" si="374"/>
        <v>0.3245</v>
      </c>
      <c r="F285" s="7">
        <f t="shared" si="374"/>
        <v>0.2555</v>
      </c>
      <c r="G285" s="7">
        <f t="shared" si="374"/>
        <v>0.3555</v>
      </c>
      <c r="H285" s="7">
        <f t="shared" si="374"/>
        <v>0.217</v>
      </c>
      <c r="I285" s="7">
        <f t="shared" si="374"/>
        <v>0.417</v>
      </c>
      <c r="J285" s="7">
        <f t="shared" si="374"/>
        <v>0.2575</v>
      </c>
      <c r="K285" s="7">
        <f t="shared" si="374"/>
        <v>0.3575</v>
      </c>
      <c r="L285" s="7">
        <f t="shared" si="374"/>
        <v>0.2155</v>
      </c>
      <c r="M285" s="7">
        <f t="shared" si="374"/>
        <v>0.4155</v>
      </c>
      <c r="P285" s="6" t="s">
        <v>10</v>
      </c>
      <c r="Q285" s="7">
        <f t="shared" ref="Q285:AA285" si="375">C285-$C$279</f>
        <v>0.0445</v>
      </c>
      <c r="R285" s="7">
        <f t="shared" si="375"/>
        <v>0.0585</v>
      </c>
      <c r="S285" s="7">
        <f t="shared" si="375"/>
        <v>0.068</v>
      </c>
      <c r="T285" s="7">
        <f t="shared" si="375"/>
        <v>-0.001</v>
      </c>
      <c r="U285" s="7">
        <f t="shared" si="375"/>
        <v>0.099</v>
      </c>
      <c r="V285" s="7">
        <f t="shared" si="375"/>
        <v>-0.0395</v>
      </c>
      <c r="W285" s="7">
        <f t="shared" si="375"/>
        <v>0.1605</v>
      </c>
      <c r="X285" s="7">
        <f t="shared" si="375"/>
        <v>0.001</v>
      </c>
      <c r="Y285" s="7">
        <f t="shared" si="375"/>
        <v>0.101</v>
      </c>
      <c r="Z285" s="7">
        <f t="shared" si="375"/>
        <v>-0.041</v>
      </c>
      <c r="AA285" s="7">
        <f t="shared" si="375"/>
        <v>0.159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0.3398333333</v>
      </c>
      <c r="D289" s="7">
        <f t="shared" si="376"/>
        <v>0.3456666667</v>
      </c>
      <c r="E289" s="7">
        <f t="shared" si="376"/>
        <v>0.3566666667</v>
      </c>
      <c r="F289" s="7">
        <f t="shared" si="376"/>
        <v>0.318</v>
      </c>
      <c r="G289" s="7">
        <f t="shared" si="376"/>
        <v>0.418</v>
      </c>
      <c r="H289" s="7">
        <f t="shared" si="376"/>
        <v>0.292</v>
      </c>
      <c r="I289" s="7">
        <f t="shared" si="376"/>
        <v>0.492</v>
      </c>
      <c r="J289" s="7">
        <f t="shared" si="376"/>
        <v>0.3125</v>
      </c>
      <c r="K289" s="7">
        <f t="shared" si="376"/>
        <v>0.4125</v>
      </c>
      <c r="L289" s="7">
        <f t="shared" si="376"/>
        <v>0.2883333333</v>
      </c>
      <c r="M289" s="7">
        <f t="shared" si="376"/>
        <v>0.4883333333</v>
      </c>
      <c r="P289" s="6" t="s">
        <v>4</v>
      </c>
      <c r="Q289" s="7">
        <f t="shared" ref="Q289:AA289" si="377">C289-$C$289</f>
        <v>0</v>
      </c>
      <c r="R289" s="7">
        <f t="shared" si="377"/>
        <v>0.005833333333</v>
      </c>
      <c r="S289" s="7">
        <f t="shared" si="377"/>
        <v>0.01683333333</v>
      </c>
      <c r="T289" s="7">
        <f t="shared" si="377"/>
        <v>-0.02183333333</v>
      </c>
      <c r="U289" s="7">
        <f t="shared" si="377"/>
        <v>0.07816666667</v>
      </c>
      <c r="V289" s="7">
        <f t="shared" si="377"/>
        <v>-0.04783333333</v>
      </c>
      <c r="W289" s="7">
        <f t="shared" si="377"/>
        <v>0.1521666667</v>
      </c>
      <c r="X289" s="7">
        <f t="shared" si="377"/>
        <v>-0.02733333333</v>
      </c>
      <c r="Y289" s="7">
        <f t="shared" si="377"/>
        <v>0.07266666667</v>
      </c>
      <c r="Z289" s="7">
        <f t="shared" si="377"/>
        <v>-0.0515</v>
      </c>
      <c r="AA289" s="7">
        <f t="shared" si="377"/>
        <v>0.1485</v>
      </c>
    </row>
    <row r="290">
      <c r="B290" s="6" t="s">
        <v>5</v>
      </c>
      <c r="C290" s="7">
        <f t="shared" ref="C290:M290" si="378">AVERAGE(C260, C270, C280)</f>
        <v>0.3398333333</v>
      </c>
      <c r="D290" s="7">
        <f t="shared" si="378"/>
        <v>0.3446666667</v>
      </c>
      <c r="E290" s="7">
        <f t="shared" si="378"/>
        <v>0.3543333333</v>
      </c>
      <c r="F290" s="7">
        <f t="shared" si="378"/>
        <v>0.321</v>
      </c>
      <c r="G290" s="7">
        <f t="shared" si="378"/>
        <v>0.4208333333</v>
      </c>
      <c r="H290" s="7">
        <f t="shared" si="378"/>
        <v>0.3038333333</v>
      </c>
      <c r="I290" s="7">
        <f t="shared" si="378"/>
        <v>0.5038333333</v>
      </c>
      <c r="J290" s="7">
        <f t="shared" si="378"/>
        <v>0.3181666667</v>
      </c>
      <c r="K290" s="7">
        <f t="shared" si="378"/>
        <v>0.418</v>
      </c>
      <c r="L290" s="7">
        <f t="shared" si="378"/>
        <v>0.2971666667</v>
      </c>
      <c r="M290" s="7">
        <f t="shared" si="378"/>
        <v>0.4971666667</v>
      </c>
      <c r="P290" s="6" t="s">
        <v>5</v>
      </c>
      <c r="Q290" s="7">
        <f t="shared" ref="Q290:AA290" si="379">C290-$C$289</f>
        <v>0</v>
      </c>
      <c r="R290" s="7">
        <f t="shared" si="379"/>
        <v>0.004833333333</v>
      </c>
      <c r="S290" s="7">
        <f t="shared" si="379"/>
        <v>0.0145</v>
      </c>
      <c r="T290" s="7">
        <f t="shared" si="379"/>
        <v>-0.01883333333</v>
      </c>
      <c r="U290" s="7">
        <f t="shared" si="379"/>
        <v>0.081</v>
      </c>
      <c r="V290" s="7">
        <f t="shared" si="379"/>
        <v>-0.036</v>
      </c>
      <c r="W290" s="7">
        <f t="shared" si="379"/>
        <v>0.164</v>
      </c>
      <c r="X290" s="7">
        <f t="shared" si="379"/>
        <v>-0.02166666667</v>
      </c>
      <c r="Y290" s="7">
        <f t="shared" si="379"/>
        <v>0.07816666667</v>
      </c>
      <c r="Z290" s="7">
        <f t="shared" si="379"/>
        <v>-0.04266666667</v>
      </c>
      <c r="AA290" s="7">
        <f t="shared" si="379"/>
        <v>0.1573333333</v>
      </c>
    </row>
    <row r="291">
      <c r="B291" s="6" t="s">
        <v>6</v>
      </c>
      <c r="C291" s="7">
        <f t="shared" ref="C291:M291" si="380">AVERAGE(C261, C271, C281)</f>
        <v>0.3516666667</v>
      </c>
      <c r="D291" s="7">
        <f t="shared" si="380"/>
        <v>0.3575</v>
      </c>
      <c r="E291" s="7">
        <f t="shared" si="380"/>
        <v>0.3633333333</v>
      </c>
      <c r="F291" s="7">
        <f t="shared" si="380"/>
        <v>0.3276666667</v>
      </c>
      <c r="G291" s="7">
        <f t="shared" si="380"/>
        <v>0.4276666667</v>
      </c>
      <c r="H291" s="7">
        <f t="shared" si="380"/>
        <v>0.3036666667</v>
      </c>
      <c r="I291" s="7">
        <f t="shared" si="380"/>
        <v>0.5036666667</v>
      </c>
      <c r="J291" s="7">
        <f t="shared" si="380"/>
        <v>0.3216666667</v>
      </c>
      <c r="K291" s="7">
        <f t="shared" si="380"/>
        <v>0.4216666667</v>
      </c>
      <c r="L291" s="7">
        <f t="shared" si="380"/>
        <v>0.2945</v>
      </c>
      <c r="M291" s="7">
        <f t="shared" si="380"/>
        <v>0.4945</v>
      </c>
      <c r="P291" s="6" t="s">
        <v>6</v>
      </c>
      <c r="Q291" s="7">
        <f t="shared" ref="Q291:AA291" si="381">C291-$C$289</f>
        <v>0.01183333333</v>
      </c>
      <c r="R291" s="7">
        <f t="shared" si="381"/>
        <v>0.01766666667</v>
      </c>
      <c r="S291" s="7">
        <f t="shared" si="381"/>
        <v>0.0235</v>
      </c>
      <c r="T291" s="7">
        <f t="shared" si="381"/>
        <v>-0.01216666667</v>
      </c>
      <c r="U291" s="7">
        <f t="shared" si="381"/>
        <v>0.08783333333</v>
      </c>
      <c r="V291" s="7">
        <f t="shared" si="381"/>
        <v>-0.03616666667</v>
      </c>
      <c r="W291" s="7">
        <f t="shared" si="381"/>
        <v>0.1638333333</v>
      </c>
      <c r="X291" s="7">
        <f t="shared" si="381"/>
        <v>-0.01816666667</v>
      </c>
      <c r="Y291" s="7">
        <f t="shared" si="381"/>
        <v>0.08183333333</v>
      </c>
      <c r="Z291" s="7">
        <f t="shared" si="381"/>
        <v>-0.04533333333</v>
      </c>
      <c r="AA291" s="7">
        <f t="shared" si="381"/>
        <v>0.1546666667</v>
      </c>
    </row>
    <row r="292">
      <c r="B292" s="6" t="s">
        <v>7</v>
      </c>
      <c r="C292" s="7">
        <f t="shared" ref="C292:M292" si="382">AVERAGE(C262, C272, C282)</f>
        <v>0.348</v>
      </c>
      <c r="D292" s="7">
        <f t="shared" si="382"/>
        <v>0.3548333333</v>
      </c>
      <c r="E292" s="7">
        <f t="shared" si="382"/>
        <v>0.3635</v>
      </c>
      <c r="F292" s="7">
        <f t="shared" si="382"/>
        <v>0.3223333333</v>
      </c>
      <c r="G292" s="7">
        <f t="shared" si="382"/>
        <v>0.4221666667</v>
      </c>
      <c r="H292" s="7">
        <f t="shared" si="382"/>
        <v>0.2966666667</v>
      </c>
      <c r="I292" s="7">
        <f t="shared" si="382"/>
        <v>0.4966666667</v>
      </c>
      <c r="J292" s="7">
        <f t="shared" si="382"/>
        <v>0.3171666667</v>
      </c>
      <c r="K292" s="7">
        <f t="shared" si="382"/>
        <v>0.417</v>
      </c>
      <c r="L292" s="7">
        <f t="shared" si="382"/>
        <v>0.29</v>
      </c>
      <c r="M292" s="7">
        <f t="shared" si="382"/>
        <v>0.4898333333</v>
      </c>
      <c r="P292" s="6" t="s">
        <v>7</v>
      </c>
      <c r="Q292" s="7">
        <f t="shared" ref="Q292:AA292" si="383">C292-$C$289</f>
        <v>0.008166666667</v>
      </c>
      <c r="R292" s="7">
        <f t="shared" si="383"/>
        <v>0.015</v>
      </c>
      <c r="S292" s="7">
        <f t="shared" si="383"/>
        <v>0.02366666667</v>
      </c>
      <c r="T292" s="7">
        <f t="shared" si="383"/>
        <v>-0.0175</v>
      </c>
      <c r="U292" s="7">
        <f t="shared" si="383"/>
        <v>0.08233333333</v>
      </c>
      <c r="V292" s="7">
        <f t="shared" si="383"/>
        <v>-0.04316666667</v>
      </c>
      <c r="W292" s="7">
        <f t="shared" si="383"/>
        <v>0.1568333333</v>
      </c>
      <c r="X292" s="7">
        <f t="shared" si="383"/>
        <v>-0.02266666667</v>
      </c>
      <c r="Y292" s="7">
        <f t="shared" si="383"/>
        <v>0.07716666667</v>
      </c>
      <c r="Z292" s="7">
        <f t="shared" si="383"/>
        <v>-0.04983333333</v>
      </c>
      <c r="AA292" s="7">
        <f t="shared" si="383"/>
        <v>0.15</v>
      </c>
    </row>
    <row r="293">
      <c r="B293" s="6" t="s">
        <v>8</v>
      </c>
      <c r="C293" s="7">
        <f t="shared" ref="C293:M293" si="384">AVERAGE(C263, C273, C283)</f>
        <v>0.3883333333</v>
      </c>
      <c r="D293" s="7">
        <f t="shared" si="384"/>
        <v>0.3931666667</v>
      </c>
      <c r="E293" s="7">
        <f t="shared" si="384"/>
        <v>0.4033333333</v>
      </c>
      <c r="F293" s="7">
        <f t="shared" si="384"/>
        <v>0.3441666667</v>
      </c>
      <c r="G293" s="7">
        <f t="shared" si="384"/>
        <v>0.4441666667</v>
      </c>
      <c r="H293" s="7">
        <f t="shared" si="384"/>
        <v>0.302</v>
      </c>
      <c r="I293" s="7">
        <f t="shared" si="384"/>
        <v>0.502</v>
      </c>
      <c r="J293" s="7">
        <f t="shared" si="384"/>
        <v>0.3425</v>
      </c>
      <c r="K293" s="7">
        <f t="shared" si="384"/>
        <v>0.4425</v>
      </c>
      <c r="L293" s="7">
        <f t="shared" si="384"/>
        <v>0.2971666667</v>
      </c>
      <c r="M293" s="7">
        <f t="shared" si="384"/>
        <v>0.4971666667</v>
      </c>
      <c r="P293" s="6" t="s">
        <v>8</v>
      </c>
      <c r="Q293" s="7">
        <f t="shared" ref="Q293:AA293" si="385">C293-$C$289</f>
        <v>0.0485</v>
      </c>
      <c r="R293" s="7">
        <f t="shared" si="385"/>
        <v>0.05333333333</v>
      </c>
      <c r="S293" s="7">
        <f t="shared" si="385"/>
        <v>0.0635</v>
      </c>
      <c r="T293" s="7">
        <f t="shared" si="385"/>
        <v>0.004333333333</v>
      </c>
      <c r="U293" s="7">
        <f t="shared" si="385"/>
        <v>0.1043333333</v>
      </c>
      <c r="V293" s="7">
        <f t="shared" si="385"/>
        <v>-0.03783333333</v>
      </c>
      <c r="W293" s="7">
        <f t="shared" si="385"/>
        <v>0.1621666667</v>
      </c>
      <c r="X293" s="7">
        <f t="shared" si="385"/>
        <v>0.002666666667</v>
      </c>
      <c r="Y293" s="7">
        <f t="shared" si="385"/>
        <v>0.1026666667</v>
      </c>
      <c r="Z293" s="7">
        <f t="shared" si="385"/>
        <v>-0.04266666667</v>
      </c>
      <c r="AA293" s="7">
        <f t="shared" si="385"/>
        <v>0.1573333333</v>
      </c>
    </row>
    <row r="294">
      <c r="B294" s="6" t="s">
        <v>9</v>
      </c>
      <c r="C294" s="7">
        <f t="shared" ref="C294:M294" si="386">AVERAGE(C264, C274, C284)</f>
        <v>0.3626666667</v>
      </c>
      <c r="D294" s="7">
        <f t="shared" si="386"/>
        <v>0.3691666667</v>
      </c>
      <c r="E294" s="7">
        <f t="shared" si="386"/>
        <v>0.3786666667</v>
      </c>
      <c r="F294" s="7">
        <f t="shared" si="386"/>
        <v>0.3386666667</v>
      </c>
      <c r="G294" s="7">
        <f t="shared" si="386"/>
        <v>0.4386666667</v>
      </c>
      <c r="H294" s="7">
        <f t="shared" si="386"/>
        <v>0.307</v>
      </c>
      <c r="I294" s="7">
        <f t="shared" si="386"/>
        <v>0.507</v>
      </c>
      <c r="J294" s="7">
        <f t="shared" si="386"/>
        <v>0.3315</v>
      </c>
      <c r="K294" s="7">
        <f t="shared" si="386"/>
        <v>0.4315</v>
      </c>
      <c r="L294" s="7">
        <f t="shared" si="386"/>
        <v>0.3026666667</v>
      </c>
      <c r="M294" s="7">
        <f t="shared" si="386"/>
        <v>0.5025</v>
      </c>
      <c r="P294" s="6" t="s">
        <v>9</v>
      </c>
      <c r="Q294" s="7">
        <f t="shared" ref="Q294:AA294" si="387">C294-$C$289</f>
        <v>0.02283333333</v>
      </c>
      <c r="R294" s="7">
        <f t="shared" si="387"/>
        <v>0.02933333333</v>
      </c>
      <c r="S294" s="7">
        <f t="shared" si="387"/>
        <v>0.03883333333</v>
      </c>
      <c r="T294" s="7">
        <f t="shared" si="387"/>
        <v>-0.001166666667</v>
      </c>
      <c r="U294" s="7">
        <f t="shared" si="387"/>
        <v>0.09883333333</v>
      </c>
      <c r="V294" s="7">
        <f t="shared" si="387"/>
        <v>-0.03283333333</v>
      </c>
      <c r="W294" s="7">
        <f t="shared" si="387"/>
        <v>0.1671666667</v>
      </c>
      <c r="X294" s="7">
        <f t="shared" si="387"/>
        <v>-0.008333333333</v>
      </c>
      <c r="Y294" s="7">
        <f t="shared" si="387"/>
        <v>0.09166666667</v>
      </c>
      <c r="Z294" s="7">
        <f t="shared" si="387"/>
        <v>-0.03716666667</v>
      </c>
      <c r="AA294" s="7">
        <f t="shared" si="387"/>
        <v>0.1626666667</v>
      </c>
    </row>
    <row r="295">
      <c r="B295" s="6" t="s">
        <v>10</v>
      </c>
      <c r="C295" s="7">
        <f t="shared" ref="C295:M295" si="388">AVERAGE(C265, C275, C285)</f>
        <v>0.3666666667</v>
      </c>
      <c r="D295" s="7">
        <f t="shared" si="388"/>
        <v>0.3711666667</v>
      </c>
      <c r="E295" s="7">
        <f t="shared" si="388"/>
        <v>0.3815</v>
      </c>
      <c r="F295" s="7">
        <f t="shared" si="388"/>
        <v>0.3271666667</v>
      </c>
      <c r="G295" s="7">
        <f t="shared" si="388"/>
        <v>0.4271666667</v>
      </c>
      <c r="H295" s="7">
        <f t="shared" si="388"/>
        <v>0.2893333333</v>
      </c>
      <c r="I295" s="7">
        <f t="shared" si="388"/>
        <v>0.4893333333</v>
      </c>
      <c r="J295" s="7">
        <f t="shared" si="388"/>
        <v>0.325</v>
      </c>
      <c r="K295" s="7">
        <f t="shared" si="388"/>
        <v>0.425</v>
      </c>
      <c r="L295" s="7">
        <f t="shared" si="388"/>
        <v>0.2866666667</v>
      </c>
      <c r="M295" s="7">
        <f t="shared" si="388"/>
        <v>0.4866666667</v>
      </c>
      <c r="P295" s="6" t="s">
        <v>10</v>
      </c>
      <c r="Q295" s="7">
        <f t="shared" ref="Q295:AA295" si="389">C295-$C$289</f>
        <v>0.02683333333</v>
      </c>
      <c r="R295" s="7">
        <f t="shared" si="389"/>
        <v>0.03133333333</v>
      </c>
      <c r="S295" s="7">
        <f t="shared" si="389"/>
        <v>0.04166666667</v>
      </c>
      <c r="T295" s="7">
        <f t="shared" si="389"/>
        <v>-0.01266666667</v>
      </c>
      <c r="U295" s="7">
        <f t="shared" si="389"/>
        <v>0.08733333333</v>
      </c>
      <c r="V295" s="7">
        <f t="shared" si="389"/>
        <v>-0.0505</v>
      </c>
      <c r="W295" s="7">
        <f t="shared" si="389"/>
        <v>0.1495</v>
      </c>
      <c r="X295" s="7">
        <f t="shared" si="389"/>
        <v>-0.01483333333</v>
      </c>
      <c r="Y295" s="7">
        <f t="shared" si="389"/>
        <v>0.08516666667</v>
      </c>
      <c r="Z295" s="7">
        <f t="shared" si="389"/>
        <v>-0.05316666667</v>
      </c>
      <c r="AA295" s="7">
        <f t="shared" si="389"/>
        <v>0.1468333333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0.84</v>
      </c>
      <c r="D299" s="20">
        <v>0.7</v>
      </c>
      <c r="E299" s="20"/>
      <c r="G299" s="19" t="s">
        <v>4</v>
      </c>
      <c r="H299" s="20">
        <v>0.64</v>
      </c>
      <c r="I299" s="20">
        <v>0.88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0.77</v>
      </c>
      <c r="D300" s="20">
        <v>0.68</v>
      </c>
      <c r="E300" s="20"/>
      <c r="G300" s="19" t="s">
        <v>5</v>
      </c>
      <c r="H300" s="20">
        <v>0.64</v>
      </c>
      <c r="I300" s="20">
        <v>0.85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0.73</v>
      </c>
      <c r="D301" s="20">
        <v>0.65</v>
      </c>
      <c r="E301" s="20"/>
      <c r="G301" s="19" t="s">
        <v>6</v>
      </c>
      <c r="H301" s="20">
        <v>0.58</v>
      </c>
      <c r="I301" s="20">
        <v>0.79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0.79</v>
      </c>
      <c r="D302" s="20">
        <v>0.71</v>
      </c>
      <c r="E302" s="20"/>
      <c r="G302" s="19" t="s">
        <v>7</v>
      </c>
      <c r="H302" s="20">
        <v>0.57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0.63</v>
      </c>
      <c r="D303" s="20">
        <v>0.76</v>
      </c>
      <c r="E303" s="20"/>
      <c r="G303" s="19" t="s">
        <v>8</v>
      </c>
      <c r="H303" s="20">
        <v>0.64</v>
      </c>
      <c r="I303" s="20">
        <v>0.76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0.79</v>
      </c>
      <c r="D304" s="20">
        <v>0.75</v>
      </c>
      <c r="E304" s="20"/>
      <c r="G304" s="19" t="s">
        <v>9</v>
      </c>
      <c r="H304" s="20">
        <v>0.67</v>
      </c>
      <c r="I304" s="20">
        <v>0.85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0.7</v>
      </c>
      <c r="D305" s="20">
        <v>0.76</v>
      </c>
      <c r="E305" s="20"/>
      <c r="G305" s="19" t="s">
        <v>10</v>
      </c>
      <c r="H305" s="20">
        <v>0.62</v>
      </c>
      <c r="I305" s="20">
        <v>0.82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0.81</v>
      </c>
      <c r="D309" s="20">
        <v>0.66</v>
      </c>
      <c r="E309" s="22">
        <v>0.57</v>
      </c>
      <c r="F309" s="22">
        <v>0.51</v>
      </c>
      <c r="G309" s="22">
        <v>0.66</v>
      </c>
      <c r="H309" s="16"/>
      <c r="J309" s="19" t="s">
        <v>4</v>
      </c>
      <c r="K309" s="20">
        <v>0.84</v>
      </c>
      <c r="L309" s="20">
        <v>0.62</v>
      </c>
      <c r="M309" s="22">
        <v>0.5</v>
      </c>
      <c r="N309" s="22">
        <v>0.53</v>
      </c>
      <c r="O309" s="22">
        <v>0.73</v>
      </c>
      <c r="P309" s="16"/>
      <c r="Q309" s="16"/>
    </row>
    <row r="310">
      <c r="B310" s="19" t="s">
        <v>5</v>
      </c>
      <c r="C310" s="20">
        <v>0.83</v>
      </c>
      <c r="D310" s="20">
        <v>0.58</v>
      </c>
      <c r="E310" s="22">
        <v>0.51</v>
      </c>
      <c r="F310" s="22">
        <v>0.5</v>
      </c>
      <c r="G310" s="22">
        <v>0.61</v>
      </c>
      <c r="H310" s="16"/>
      <c r="J310" s="19" t="s">
        <v>5</v>
      </c>
      <c r="K310" s="20">
        <v>0.7</v>
      </c>
      <c r="L310" s="20">
        <v>0.57</v>
      </c>
      <c r="M310" s="22">
        <v>0.53</v>
      </c>
      <c r="N310" s="22">
        <v>0.49</v>
      </c>
      <c r="O310" s="22">
        <v>0.72</v>
      </c>
      <c r="P310" s="16"/>
      <c r="Q310" s="16"/>
    </row>
    <row r="311">
      <c r="B311" s="19" t="s">
        <v>6</v>
      </c>
      <c r="C311" s="20">
        <v>0.8</v>
      </c>
      <c r="D311" s="20">
        <v>0.56</v>
      </c>
      <c r="E311" s="22">
        <v>0.52</v>
      </c>
      <c r="F311" s="22">
        <v>0.47</v>
      </c>
      <c r="G311" s="22">
        <v>0.55</v>
      </c>
      <c r="H311" s="16"/>
      <c r="J311" s="19" t="s">
        <v>6</v>
      </c>
      <c r="K311" s="20">
        <v>0.61</v>
      </c>
      <c r="L311" s="20">
        <v>0.57</v>
      </c>
      <c r="M311" s="22">
        <v>0.51</v>
      </c>
      <c r="N311" s="22">
        <v>0.41</v>
      </c>
      <c r="O311" s="22">
        <v>0.75</v>
      </c>
      <c r="P311" s="16"/>
      <c r="Q311" s="16"/>
    </row>
    <row r="312">
      <c r="B312" s="19" t="s">
        <v>7</v>
      </c>
      <c r="C312" s="20">
        <v>0.84</v>
      </c>
      <c r="D312" s="20">
        <v>0.58</v>
      </c>
      <c r="E312" s="22">
        <v>0.51</v>
      </c>
      <c r="F312" s="22">
        <v>0.36</v>
      </c>
      <c r="G312" s="22">
        <v>0.59</v>
      </c>
      <c r="H312" s="16"/>
      <c r="J312" s="19" t="s">
        <v>7</v>
      </c>
      <c r="K312" s="20">
        <v>0.69</v>
      </c>
      <c r="L312" s="20">
        <v>0.4</v>
      </c>
      <c r="M312" s="22">
        <v>0.51</v>
      </c>
      <c r="N312" s="22">
        <v>0.46</v>
      </c>
      <c r="O312" s="22">
        <v>0.8</v>
      </c>
      <c r="P312" s="16"/>
      <c r="Q312" s="16"/>
    </row>
    <row r="313">
      <c r="B313" s="19" t="s">
        <v>8</v>
      </c>
      <c r="C313" s="20">
        <v>0.64</v>
      </c>
      <c r="D313" s="20">
        <v>0.67</v>
      </c>
      <c r="E313" s="22">
        <v>0.52</v>
      </c>
      <c r="F313" s="22">
        <v>0.25</v>
      </c>
      <c r="G313" s="22">
        <v>0.61</v>
      </c>
      <c r="H313" s="16"/>
      <c r="J313" s="19" t="s">
        <v>8</v>
      </c>
      <c r="K313" s="20">
        <v>0.92</v>
      </c>
      <c r="L313" s="20">
        <v>0.13</v>
      </c>
      <c r="M313" s="22">
        <v>0.56</v>
      </c>
      <c r="N313" s="22">
        <v>0.46</v>
      </c>
      <c r="O313" s="22">
        <v>0.75</v>
      </c>
      <c r="P313" s="16"/>
      <c r="Q313" s="16"/>
    </row>
    <row r="314">
      <c r="B314" s="19" t="s">
        <v>9</v>
      </c>
      <c r="C314" s="20">
        <v>0.82</v>
      </c>
      <c r="D314" s="20">
        <v>0.63</v>
      </c>
      <c r="E314" s="22">
        <v>0.53</v>
      </c>
      <c r="F314" s="22">
        <v>0.38</v>
      </c>
      <c r="G314" s="22">
        <v>0.67</v>
      </c>
      <c r="H314" s="16"/>
      <c r="J314" s="19" t="s">
        <v>9</v>
      </c>
      <c r="K314" s="20">
        <v>0.77</v>
      </c>
      <c r="L314" s="20">
        <v>0.41</v>
      </c>
      <c r="M314" s="22">
        <v>0.57</v>
      </c>
      <c r="N314" s="22">
        <v>0.58</v>
      </c>
      <c r="O314" s="22">
        <v>0.69</v>
      </c>
      <c r="P314" s="16"/>
      <c r="Q314" s="16"/>
    </row>
    <row r="315">
      <c r="B315" s="19" t="s">
        <v>10</v>
      </c>
      <c r="C315" s="20">
        <v>0.67</v>
      </c>
      <c r="D315" s="20">
        <v>0.64</v>
      </c>
      <c r="E315" s="22">
        <v>0.55</v>
      </c>
      <c r="F315" s="22">
        <v>0.28</v>
      </c>
      <c r="G315" s="22">
        <v>0.62</v>
      </c>
      <c r="H315" s="16"/>
      <c r="J315" s="19" t="s">
        <v>10</v>
      </c>
      <c r="K315" s="20">
        <v>0.88</v>
      </c>
      <c r="L315" s="20">
        <v>0.22</v>
      </c>
      <c r="M315" s="22">
        <v>0.56</v>
      </c>
      <c r="N315" s="22">
        <v>0.45</v>
      </c>
      <c r="O315" s="22">
        <v>0.81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0.64</v>
      </c>
      <c r="D319" s="20">
        <v>0.41</v>
      </c>
      <c r="E319" s="20"/>
      <c r="G319" s="19" t="s">
        <v>4</v>
      </c>
      <c r="H319" s="20">
        <v>0.57</v>
      </c>
      <c r="I319" s="20">
        <v>0.49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0.62</v>
      </c>
      <c r="D320" s="20">
        <v>0.41</v>
      </c>
      <c r="E320" s="20"/>
      <c r="G320" s="19" t="s">
        <v>5</v>
      </c>
      <c r="H320" s="20">
        <v>0.62</v>
      </c>
      <c r="I320" s="20">
        <v>0.41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0.42</v>
      </c>
      <c r="E321" s="20"/>
      <c r="G321" s="19" t="s">
        <v>6</v>
      </c>
      <c r="H321" s="20">
        <v>0.56</v>
      </c>
      <c r="I321" s="20">
        <v>0.47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0.59</v>
      </c>
      <c r="D322" s="20">
        <v>0.45</v>
      </c>
      <c r="E322" s="20"/>
      <c r="G322" s="19" t="s">
        <v>7</v>
      </c>
      <c r="H322" s="20">
        <v>0.53</v>
      </c>
      <c r="I322" s="20">
        <v>0.51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0.53</v>
      </c>
      <c r="D323" s="20">
        <v>0.5</v>
      </c>
      <c r="E323" s="20"/>
      <c r="G323" s="19" t="s">
        <v>8</v>
      </c>
      <c r="H323" s="20">
        <v>0.5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0.58</v>
      </c>
      <c r="D324" s="20">
        <v>0.44</v>
      </c>
      <c r="E324" s="20"/>
      <c r="G324" s="19" t="s">
        <v>9</v>
      </c>
      <c r="H324" s="20">
        <v>0.53</v>
      </c>
      <c r="I324" s="20">
        <v>0.49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0.54</v>
      </c>
      <c r="D325" s="20">
        <v>0.5</v>
      </c>
      <c r="E325" s="20"/>
      <c r="G325" s="19" t="s">
        <v>10</v>
      </c>
      <c r="H325" s="20">
        <v>0.49</v>
      </c>
      <c r="I325" s="20">
        <v>0.55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0.48</v>
      </c>
      <c r="D329" s="20">
        <v>0.55</v>
      </c>
      <c r="E329" s="20"/>
      <c r="G329" s="19" t="s">
        <v>4</v>
      </c>
      <c r="H329" s="20">
        <v>0.21</v>
      </c>
      <c r="I329" s="20">
        <v>0.81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0.59</v>
      </c>
      <c r="D330" s="20">
        <v>0.55</v>
      </c>
      <c r="E330" s="20"/>
      <c r="G330" s="19" t="s">
        <v>5</v>
      </c>
      <c r="H330" s="20">
        <v>0.02</v>
      </c>
      <c r="I330" s="20">
        <v>0.99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0.47</v>
      </c>
      <c r="D331" s="20">
        <v>0.53</v>
      </c>
      <c r="E331" s="20"/>
      <c r="G331" s="19" t="s">
        <v>6</v>
      </c>
      <c r="H331" s="20">
        <v>0.27</v>
      </c>
      <c r="I331" s="20">
        <v>0.73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0.53</v>
      </c>
      <c r="D332" s="20">
        <v>0.5</v>
      </c>
      <c r="E332" s="20"/>
      <c r="G332" s="19" t="s">
        <v>7</v>
      </c>
      <c r="H332" s="20">
        <v>0.21</v>
      </c>
      <c r="I332" s="20">
        <v>0.81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0.56</v>
      </c>
      <c r="D333" s="20">
        <v>0.44</v>
      </c>
      <c r="E333" s="20"/>
      <c r="G333" s="19" t="s">
        <v>8</v>
      </c>
      <c r="H333" s="20">
        <v>0.19</v>
      </c>
      <c r="I333" s="20">
        <v>0.81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0.47</v>
      </c>
      <c r="D334" s="20">
        <v>0.49</v>
      </c>
      <c r="E334" s="20"/>
      <c r="G334" s="19" t="s">
        <v>9</v>
      </c>
      <c r="H334" s="20">
        <v>0.19</v>
      </c>
      <c r="I334" s="20">
        <v>0.78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0.59</v>
      </c>
      <c r="D335" s="20">
        <v>0.46</v>
      </c>
      <c r="E335" s="20"/>
      <c r="G335" s="19" t="s">
        <v>10</v>
      </c>
      <c r="H335" s="20">
        <v>0.27</v>
      </c>
      <c r="I335" s="20">
        <v>0.77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0.65</v>
      </c>
      <c r="D339" s="20">
        <v>0.91</v>
      </c>
      <c r="E339" s="22">
        <v>0.5</v>
      </c>
      <c r="F339" s="22">
        <v>0.72</v>
      </c>
      <c r="G339" s="22">
        <v>0.64</v>
      </c>
      <c r="H339" s="22">
        <v>0.66</v>
      </c>
      <c r="I339" s="16"/>
      <c r="K339" s="19" t="s">
        <v>4</v>
      </c>
      <c r="L339" s="20">
        <v>0.42</v>
      </c>
      <c r="M339" s="20">
        <v>0.41</v>
      </c>
      <c r="N339" s="22">
        <v>0.83</v>
      </c>
      <c r="O339" s="22">
        <v>0.56</v>
      </c>
      <c r="P339" s="22">
        <v>0.69</v>
      </c>
      <c r="Q339" s="22">
        <v>0.92</v>
      </c>
    </row>
    <row r="340">
      <c r="B340" s="19" t="s">
        <v>5</v>
      </c>
      <c r="C340" s="20">
        <v>0.68</v>
      </c>
      <c r="D340" s="20">
        <v>0.91</v>
      </c>
      <c r="E340" s="22">
        <v>0.53</v>
      </c>
      <c r="F340" s="22">
        <v>0.66</v>
      </c>
      <c r="G340" s="22">
        <v>0.57</v>
      </c>
      <c r="H340" s="22">
        <v>0.67</v>
      </c>
      <c r="I340" s="16"/>
      <c r="K340" s="19" t="s">
        <v>5</v>
      </c>
      <c r="L340" s="20">
        <v>0.4</v>
      </c>
      <c r="M340" s="20">
        <v>0.6</v>
      </c>
      <c r="N340" s="22">
        <v>0.69</v>
      </c>
      <c r="O340" s="22">
        <v>0.64</v>
      </c>
      <c r="P340" s="22">
        <v>0.65</v>
      </c>
      <c r="Q340" s="22">
        <v>0.89</v>
      </c>
    </row>
    <row r="341">
      <c r="B341" s="19" t="s">
        <v>6</v>
      </c>
      <c r="C341" s="20">
        <v>0.69</v>
      </c>
      <c r="D341" s="20">
        <v>0.82</v>
      </c>
      <c r="E341" s="22">
        <v>0.6</v>
      </c>
      <c r="F341" s="22">
        <v>0.65</v>
      </c>
      <c r="G341" s="22">
        <v>0.57</v>
      </c>
      <c r="H341" s="22">
        <v>0.64</v>
      </c>
      <c r="I341" s="16"/>
      <c r="K341" s="19" t="s">
        <v>6</v>
      </c>
      <c r="L341" s="20">
        <v>0.37</v>
      </c>
      <c r="M341" s="20">
        <v>0.65</v>
      </c>
      <c r="N341" s="22">
        <v>0.72</v>
      </c>
      <c r="O341" s="22">
        <v>0.65</v>
      </c>
      <c r="P341" s="22">
        <v>0.65</v>
      </c>
      <c r="Q341" s="22">
        <v>0.85</v>
      </c>
    </row>
    <row r="342">
      <c r="B342" s="19" t="s">
        <v>7</v>
      </c>
      <c r="C342" s="20">
        <v>0.58</v>
      </c>
      <c r="D342" s="20">
        <v>0.96</v>
      </c>
      <c r="E342" s="22">
        <v>0.63</v>
      </c>
      <c r="F342" s="22">
        <v>0.73</v>
      </c>
      <c r="G342" s="22">
        <v>0.51</v>
      </c>
      <c r="H342" s="22">
        <v>0.68</v>
      </c>
      <c r="I342" s="16"/>
      <c r="K342" s="19" t="s">
        <v>7</v>
      </c>
      <c r="L342" s="20">
        <v>0.51</v>
      </c>
      <c r="M342" s="20">
        <v>0.71</v>
      </c>
      <c r="N342" s="22">
        <v>0.61</v>
      </c>
      <c r="O342" s="22">
        <v>0.63</v>
      </c>
      <c r="P342" s="22">
        <v>0.68</v>
      </c>
      <c r="Q342" s="22">
        <v>0.94</v>
      </c>
    </row>
    <row r="343">
      <c r="B343" s="19" t="s">
        <v>8</v>
      </c>
      <c r="C343" s="20">
        <v>0.42</v>
      </c>
      <c r="D343" s="20">
        <v>0.95</v>
      </c>
      <c r="E343" s="22">
        <v>0.63</v>
      </c>
      <c r="F343" s="22">
        <v>0.72</v>
      </c>
      <c r="G343" s="22">
        <v>0.44</v>
      </c>
      <c r="H343" s="22">
        <v>0.67</v>
      </c>
      <c r="I343" s="16"/>
      <c r="K343" s="19" t="s">
        <v>8</v>
      </c>
      <c r="L343" s="20">
        <v>0.71</v>
      </c>
      <c r="M343" s="20">
        <v>0.71</v>
      </c>
      <c r="N343" s="22">
        <v>0.52</v>
      </c>
      <c r="O343" s="22">
        <v>0.58</v>
      </c>
      <c r="P343" s="22">
        <v>0.2</v>
      </c>
      <c r="Q343" s="22">
        <v>0.87</v>
      </c>
    </row>
    <row r="344">
      <c r="B344" s="19" t="s">
        <v>9</v>
      </c>
      <c r="C344" s="20">
        <v>0.71</v>
      </c>
      <c r="D344" s="20">
        <v>0.9</v>
      </c>
      <c r="E344" s="22">
        <v>0.48</v>
      </c>
      <c r="F344" s="22">
        <v>0.7</v>
      </c>
      <c r="G344" s="22">
        <v>0.51</v>
      </c>
      <c r="H344" s="22">
        <v>0.62</v>
      </c>
      <c r="I344" s="16"/>
      <c r="K344" s="19" t="s">
        <v>9</v>
      </c>
      <c r="L344" s="20">
        <v>0.38</v>
      </c>
      <c r="M344" s="20">
        <v>0.38</v>
      </c>
      <c r="N344" s="22">
        <v>0.64</v>
      </c>
      <c r="O344" s="22">
        <v>0.64</v>
      </c>
      <c r="P344" s="22">
        <v>0.63</v>
      </c>
      <c r="Q344" s="22">
        <v>0.9</v>
      </c>
    </row>
    <row r="345">
      <c r="B345" s="19" t="s">
        <v>10</v>
      </c>
      <c r="C345" s="20">
        <v>0.42</v>
      </c>
      <c r="D345" s="20">
        <v>0.95</v>
      </c>
      <c r="E345" s="22">
        <v>0.61</v>
      </c>
      <c r="F345" s="22">
        <v>0.68</v>
      </c>
      <c r="G345" s="22">
        <v>0.44</v>
      </c>
      <c r="H345" s="22">
        <v>0.66</v>
      </c>
      <c r="I345" s="16"/>
      <c r="K345" s="19" t="s">
        <v>10</v>
      </c>
      <c r="L345" s="20">
        <v>0.71</v>
      </c>
      <c r="M345" s="20">
        <v>0.65</v>
      </c>
      <c r="N345" s="22">
        <v>0.5</v>
      </c>
      <c r="O345" s="22">
        <v>0.6</v>
      </c>
      <c r="P345" s="22">
        <v>0.08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0.79</v>
      </c>
      <c r="D349" s="20">
        <v>0.88</v>
      </c>
      <c r="E349" s="22">
        <v>0.89</v>
      </c>
      <c r="F349" s="22">
        <v>0.77</v>
      </c>
      <c r="G349" s="22">
        <v>0.77</v>
      </c>
      <c r="H349" s="22">
        <v>1.0</v>
      </c>
      <c r="I349" s="16"/>
      <c r="K349" s="19" t="s">
        <v>4</v>
      </c>
      <c r="L349" s="20">
        <v>0.9</v>
      </c>
      <c r="M349" s="20">
        <v>0.77</v>
      </c>
      <c r="N349" s="22">
        <v>0.88</v>
      </c>
      <c r="O349" s="22">
        <v>0.71</v>
      </c>
      <c r="P349" s="22">
        <v>0.9</v>
      </c>
      <c r="Q349" s="22">
        <v>0.9</v>
      </c>
    </row>
    <row r="350">
      <c r="B350" s="19" t="s">
        <v>5</v>
      </c>
      <c r="C350" s="20">
        <v>0.81</v>
      </c>
      <c r="D350" s="20">
        <v>0.72</v>
      </c>
      <c r="E350" s="22">
        <v>0.78</v>
      </c>
      <c r="F350" s="22">
        <v>0.81</v>
      </c>
      <c r="G350" s="22">
        <v>0.7</v>
      </c>
      <c r="H350" s="22">
        <v>0.88</v>
      </c>
      <c r="I350" s="16"/>
      <c r="K350" s="19" t="s">
        <v>5</v>
      </c>
      <c r="L350" s="20">
        <v>0.68</v>
      </c>
      <c r="M350" s="20">
        <v>0.79</v>
      </c>
      <c r="N350" s="22">
        <v>0.84</v>
      </c>
      <c r="O350" s="22">
        <v>0.53</v>
      </c>
      <c r="P350" s="22">
        <v>0.87</v>
      </c>
      <c r="Q350" s="22">
        <v>0.95</v>
      </c>
    </row>
    <row r="351">
      <c r="B351" s="19" t="s">
        <v>6</v>
      </c>
      <c r="C351" s="20">
        <v>0.75</v>
      </c>
      <c r="D351" s="20">
        <v>0.71</v>
      </c>
      <c r="E351" s="22">
        <v>0.75</v>
      </c>
      <c r="F351" s="22">
        <v>0.69</v>
      </c>
      <c r="G351" s="22">
        <v>0.69</v>
      </c>
      <c r="H351" s="22">
        <v>0.72</v>
      </c>
      <c r="I351" s="16"/>
      <c r="K351" s="19" t="s">
        <v>6</v>
      </c>
      <c r="L351" s="20">
        <v>0.64</v>
      </c>
      <c r="M351" s="20">
        <v>0.74</v>
      </c>
      <c r="N351" s="22">
        <v>0.77</v>
      </c>
      <c r="O351" s="22">
        <v>0.42</v>
      </c>
      <c r="P351" s="22">
        <v>0.8</v>
      </c>
      <c r="Q351" s="22">
        <v>0.92</v>
      </c>
    </row>
    <row r="352">
      <c r="B352" s="19" t="s">
        <v>7</v>
      </c>
      <c r="C352" s="20">
        <v>0.74</v>
      </c>
      <c r="D352" s="20">
        <v>0.82</v>
      </c>
      <c r="E352" s="22">
        <v>0.84</v>
      </c>
      <c r="F352" s="22">
        <v>0.66</v>
      </c>
      <c r="G352" s="22">
        <v>0.76</v>
      </c>
      <c r="H352" s="22">
        <v>0.71</v>
      </c>
      <c r="I352" s="16"/>
      <c r="K352" s="19" t="s">
        <v>7</v>
      </c>
      <c r="L352" s="20">
        <v>0.8</v>
      </c>
      <c r="M352" s="20">
        <v>0.73</v>
      </c>
      <c r="N352" s="22">
        <v>0.63</v>
      </c>
      <c r="O352" s="22">
        <v>0.72</v>
      </c>
      <c r="P352" s="22">
        <v>0.84</v>
      </c>
      <c r="Q352" s="22">
        <v>0.82</v>
      </c>
    </row>
    <row r="353">
      <c r="B353" s="19" t="s">
        <v>8</v>
      </c>
      <c r="C353" s="20">
        <v>0.77</v>
      </c>
      <c r="D353" s="20">
        <v>0.79</v>
      </c>
      <c r="E353" s="22">
        <v>0.72</v>
      </c>
      <c r="F353" s="22">
        <v>0.7</v>
      </c>
      <c r="G353" s="22">
        <v>0.77</v>
      </c>
      <c r="H353" s="22">
        <v>0.5</v>
      </c>
      <c r="I353" s="16"/>
      <c r="K353" s="19" t="s">
        <v>8</v>
      </c>
      <c r="L353" s="20">
        <v>0.81</v>
      </c>
      <c r="M353" s="20">
        <v>0.75</v>
      </c>
      <c r="N353" s="22">
        <v>0.85</v>
      </c>
      <c r="O353" s="22">
        <v>0.72</v>
      </c>
      <c r="P353" s="22">
        <v>0.89</v>
      </c>
      <c r="Q353" s="22">
        <v>0.02</v>
      </c>
    </row>
    <row r="354">
      <c r="B354" s="19" t="s">
        <v>9</v>
      </c>
      <c r="C354" s="20">
        <v>0.8</v>
      </c>
      <c r="D354" s="20">
        <v>0.79</v>
      </c>
      <c r="E354" s="22">
        <v>0.87</v>
      </c>
      <c r="F354" s="22">
        <v>0.61</v>
      </c>
      <c r="G354" s="22">
        <v>0.76</v>
      </c>
      <c r="H354" s="22">
        <v>0.72</v>
      </c>
      <c r="I354" s="16"/>
      <c r="K354" s="19" t="s">
        <v>9</v>
      </c>
      <c r="L354" s="20">
        <v>0.79</v>
      </c>
      <c r="M354" s="20">
        <v>0.79</v>
      </c>
      <c r="N354" s="22">
        <v>0.64</v>
      </c>
      <c r="O354" s="22">
        <v>0.73</v>
      </c>
      <c r="P354" s="22">
        <v>0.84</v>
      </c>
      <c r="Q354" s="22">
        <v>0.74</v>
      </c>
    </row>
    <row r="355">
      <c r="B355" s="19" t="s">
        <v>10</v>
      </c>
      <c r="C355" s="20">
        <v>0.82</v>
      </c>
      <c r="D355" s="20">
        <v>0.84</v>
      </c>
      <c r="E355" s="22">
        <v>0.74</v>
      </c>
      <c r="F355" s="22">
        <v>0.87</v>
      </c>
      <c r="G355" s="22">
        <v>0.76</v>
      </c>
      <c r="H355" s="22">
        <v>0.44</v>
      </c>
      <c r="I355" s="16"/>
      <c r="K355" s="19" t="s">
        <v>10</v>
      </c>
      <c r="L355" s="20">
        <v>0.79</v>
      </c>
      <c r="M355" s="20">
        <v>0.78</v>
      </c>
      <c r="N355" s="22">
        <v>0.7</v>
      </c>
      <c r="O355" s="22">
        <v>0.68</v>
      </c>
      <c r="P355" s="22">
        <v>0.93</v>
      </c>
      <c r="Q355" s="22">
        <v>0.58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0.044</v>
      </c>
      <c r="D3" s="7">
        <v>0.086</v>
      </c>
      <c r="E3" s="7">
        <v>0.135</v>
      </c>
      <c r="F3" s="7">
        <v>0.091</v>
      </c>
      <c r="G3" s="7">
        <v>0.146</v>
      </c>
      <c r="H3" s="7">
        <v>0.071</v>
      </c>
      <c r="I3" s="7">
        <v>0.114</v>
      </c>
      <c r="J3" s="3"/>
      <c r="L3" s="6" t="s">
        <v>4</v>
      </c>
      <c r="M3" s="7">
        <f t="shared" ref="M3:S3" si="1">C3-$C$3</f>
        <v>0</v>
      </c>
      <c r="N3" s="7">
        <f t="shared" si="1"/>
        <v>0.042</v>
      </c>
      <c r="O3" s="7">
        <f t="shared" si="1"/>
        <v>0.091</v>
      </c>
      <c r="P3" s="7">
        <f t="shared" si="1"/>
        <v>0.047</v>
      </c>
      <c r="Q3" s="7">
        <f t="shared" si="1"/>
        <v>0.102</v>
      </c>
      <c r="R3" s="7">
        <f t="shared" si="1"/>
        <v>0.027</v>
      </c>
      <c r="S3" s="7">
        <f t="shared" si="1"/>
        <v>0.07</v>
      </c>
    </row>
    <row r="4">
      <c r="B4" s="6" t="s">
        <v>5</v>
      </c>
      <c r="C4" s="7">
        <v>0.043</v>
      </c>
      <c r="D4" s="7">
        <v>0.085</v>
      </c>
      <c r="E4" s="7">
        <v>0.134</v>
      </c>
      <c r="F4" s="7">
        <v>0.09</v>
      </c>
      <c r="G4" s="7">
        <v>0.145</v>
      </c>
      <c r="H4" s="7">
        <v>0.071</v>
      </c>
      <c r="I4" s="7">
        <v>0.115</v>
      </c>
      <c r="J4" s="3"/>
      <c r="L4" s="6" t="s">
        <v>5</v>
      </c>
      <c r="M4" s="7">
        <f t="shared" ref="M4:S4" si="2">C4-$C$3</f>
        <v>-0.001</v>
      </c>
      <c r="N4" s="7">
        <f t="shared" si="2"/>
        <v>0.041</v>
      </c>
      <c r="O4" s="7">
        <f t="shared" si="2"/>
        <v>0.09</v>
      </c>
      <c r="P4" s="7">
        <f t="shared" si="2"/>
        <v>0.046</v>
      </c>
      <c r="Q4" s="7">
        <f t="shared" si="2"/>
        <v>0.101</v>
      </c>
      <c r="R4" s="7">
        <f t="shared" si="2"/>
        <v>0.027</v>
      </c>
      <c r="S4" s="7">
        <f t="shared" si="2"/>
        <v>0.071</v>
      </c>
    </row>
    <row r="5">
      <c r="B5" s="6" t="s">
        <v>6</v>
      </c>
      <c r="C5" s="7">
        <v>0.045</v>
      </c>
      <c r="D5" s="7">
        <v>0.086</v>
      </c>
      <c r="E5" s="7">
        <v>0.137</v>
      </c>
      <c r="F5" s="7">
        <v>0.092</v>
      </c>
      <c r="G5" s="7">
        <v>0.148</v>
      </c>
      <c r="H5" s="7">
        <v>0.074</v>
      </c>
      <c r="I5" s="7">
        <v>0.118</v>
      </c>
      <c r="J5" s="3"/>
      <c r="L5" s="6" t="s">
        <v>6</v>
      </c>
      <c r="M5" s="7">
        <f t="shared" ref="M5:S5" si="3">C5-$C$3</f>
        <v>0.001</v>
      </c>
      <c r="N5" s="7">
        <f t="shared" si="3"/>
        <v>0.042</v>
      </c>
      <c r="O5" s="7">
        <f t="shared" si="3"/>
        <v>0.093</v>
      </c>
      <c r="P5" s="7">
        <f t="shared" si="3"/>
        <v>0.048</v>
      </c>
      <c r="Q5" s="7">
        <f t="shared" si="3"/>
        <v>0.104</v>
      </c>
      <c r="R5" s="7">
        <f t="shared" si="3"/>
        <v>0.03</v>
      </c>
      <c r="S5" s="7">
        <f t="shared" si="3"/>
        <v>0.074</v>
      </c>
    </row>
    <row r="6">
      <c r="B6" s="6" t="s">
        <v>7</v>
      </c>
      <c r="C6" s="7">
        <v>0.044</v>
      </c>
      <c r="D6" s="7">
        <v>0.086</v>
      </c>
      <c r="E6" s="7">
        <v>0.134</v>
      </c>
      <c r="F6" s="7">
        <v>0.09</v>
      </c>
      <c r="G6" s="7">
        <v>0.143</v>
      </c>
      <c r="H6" s="7">
        <v>0.068</v>
      </c>
      <c r="I6" s="7">
        <v>0.11</v>
      </c>
      <c r="J6" s="3"/>
      <c r="L6" s="6" t="s">
        <v>7</v>
      </c>
      <c r="M6" s="7">
        <f t="shared" ref="M6:S6" si="4">C6-$C$3</f>
        <v>0</v>
      </c>
      <c r="N6" s="7">
        <f t="shared" si="4"/>
        <v>0.042</v>
      </c>
      <c r="O6" s="7">
        <f t="shared" si="4"/>
        <v>0.09</v>
      </c>
      <c r="P6" s="7">
        <f t="shared" si="4"/>
        <v>0.046</v>
      </c>
      <c r="Q6" s="7">
        <f t="shared" si="4"/>
        <v>0.099</v>
      </c>
      <c r="R6" s="7">
        <f t="shared" si="4"/>
        <v>0.024</v>
      </c>
      <c r="S6" s="7">
        <f t="shared" si="4"/>
        <v>0.066</v>
      </c>
    </row>
    <row r="7">
      <c r="B7" s="6" t="s">
        <v>8</v>
      </c>
      <c r="C7" s="7">
        <v>0.047</v>
      </c>
      <c r="D7" s="7">
        <v>0.087</v>
      </c>
      <c r="E7" s="7">
        <v>0.136</v>
      </c>
      <c r="F7" s="7">
        <v>0.093</v>
      </c>
      <c r="G7" s="7">
        <v>0.142</v>
      </c>
      <c r="H7" s="7">
        <v>0.067</v>
      </c>
      <c r="I7" s="7">
        <v>0.106</v>
      </c>
      <c r="J7" s="3"/>
      <c r="L7" s="6" t="s">
        <v>8</v>
      </c>
      <c r="M7" s="7">
        <f t="shared" ref="M7:S7" si="5">C7-$C$3</f>
        <v>0.003</v>
      </c>
      <c r="N7" s="7">
        <f t="shared" si="5"/>
        <v>0.043</v>
      </c>
      <c r="O7" s="7">
        <f t="shared" si="5"/>
        <v>0.092</v>
      </c>
      <c r="P7" s="7">
        <f t="shared" si="5"/>
        <v>0.049</v>
      </c>
      <c r="Q7" s="7">
        <f t="shared" si="5"/>
        <v>0.098</v>
      </c>
      <c r="R7" s="7">
        <f t="shared" si="5"/>
        <v>0.023</v>
      </c>
      <c r="S7" s="7">
        <f t="shared" si="5"/>
        <v>0.062</v>
      </c>
    </row>
    <row r="8">
      <c r="B8" s="6" t="s">
        <v>9</v>
      </c>
      <c r="C8" s="7">
        <v>0.051</v>
      </c>
      <c r="D8" s="7">
        <v>0.092</v>
      </c>
      <c r="E8" s="7">
        <v>0.139</v>
      </c>
      <c r="F8" s="7">
        <v>0.096</v>
      </c>
      <c r="G8" s="7">
        <v>0.145</v>
      </c>
      <c r="H8" s="7">
        <v>0.067</v>
      </c>
      <c r="I8" s="7">
        <v>0.105</v>
      </c>
      <c r="J8" s="3"/>
      <c r="L8" s="6" t="s">
        <v>9</v>
      </c>
      <c r="M8" s="7">
        <f t="shared" ref="M8:S8" si="6">C8-$C$3</f>
        <v>0.007</v>
      </c>
      <c r="N8" s="7">
        <f t="shared" si="6"/>
        <v>0.048</v>
      </c>
      <c r="O8" s="7">
        <f t="shared" si="6"/>
        <v>0.095</v>
      </c>
      <c r="P8" s="7">
        <f t="shared" si="6"/>
        <v>0.052</v>
      </c>
      <c r="Q8" s="7">
        <f t="shared" si="6"/>
        <v>0.101</v>
      </c>
      <c r="R8" s="7">
        <f t="shared" si="6"/>
        <v>0.023</v>
      </c>
      <c r="S8" s="7">
        <f t="shared" si="6"/>
        <v>0.061</v>
      </c>
    </row>
    <row r="9">
      <c r="B9" s="6" t="s">
        <v>10</v>
      </c>
      <c r="C9" s="7">
        <v>0.056</v>
      </c>
      <c r="D9" s="7">
        <v>0.096</v>
      </c>
      <c r="E9" s="7">
        <v>0.145</v>
      </c>
      <c r="F9" s="7">
        <v>0.098</v>
      </c>
      <c r="G9" s="7">
        <v>0.144</v>
      </c>
      <c r="H9" s="7">
        <v>0.066</v>
      </c>
      <c r="I9" s="7">
        <v>0.102</v>
      </c>
      <c r="J9" s="3"/>
      <c r="L9" s="6" t="s">
        <v>10</v>
      </c>
      <c r="M9" s="7">
        <f t="shared" ref="M9:S9" si="7">C9-$C$3</f>
        <v>0.012</v>
      </c>
      <c r="N9" s="7">
        <f t="shared" si="7"/>
        <v>0.052</v>
      </c>
      <c r="O9" s="7">
        <f t="shared" si="7"/>
        <v>0.101</v>
      </c>
      <c r="P9" s="7">
        <f t="shared" si="7"/>
        <v>0.054</v>
      </c>
      <c r="Q9" s="7">
        <f t="shared" si="7"/>
        <v>0.1</v>
      </c>
      <c r="R9" s="7">
        <f t="shared" si="7"/>
        <v>0.022</v>
      </c>
      <c r="S9" s="7">
        <f t="shared" si="7"/>
        <v>0.058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0.269</v>
      </c>
      <c r="D13" s="7">
        <v>0.297</v>
      </c>
      <c r="E13" s="7">
        <v>0.333</v>
      </c>
      <c r="F13" s="7">
        <v>0.292</v>
      </c>
      <c r="G13" s="7">
        <v>0.314</v>
      </c>
      <c r="H13" s="7">
        <v>0.289</v>
      </c>
      <c r="I13" s="7">
        <v>0.305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0.064</v>
      </c>
      <c r="P13" s="7">
        <f t="shared" si="8"/>
        <v>0.023</v>
      </c>
      <c r="Q13" s="7">
        <f t="shared" si="8"/>
        <v>0.045</v>
      </c>
      <c r="R13" s="7">
        <f t="shared" si="8"/>
        <v>0.02</v>
      </c>
      <c r="S13" s="7">
        <f t="shared" si="8"/>
        <v>0.036</v>
      </c>
    </row>
    <row r="14">
      <c r="B14" s="6" t="s">
        <v>5</v>
      </c>
      <c r="C14" s="7">
        <v>0.268</v>
      </c>
      <c r="D14" s="7">
        <v>0.296</v>
      </c>
      <c r="E14" s="7">
        <v>0.332</v>
      </c>
      <c r="F14" s="7">
        <v>0.291</v>
      </c>
      <c r="G14" s="7">
        <v>0.314</v>
      </c>
      <c r="H14" s="7">
        <v>0.288</v>
      </c>
      <c r="I14" s="7">
        <v>0.305</v>
      </c>
      <c r="J14" s="3"/>
      <c r="L14" s="6" t="s">
        <v>5</v>
      </c>
      <c r="M14" s="7">
        <f t="shared" ref="M14:S14" si="9">C14-$C$13</f>
        <v>-0.001</v>
      </c>
      <c r="N14" s="7">
        <f t="shared" si="9"/>
        <v>0.027</v>
      </c>
      <c r="O14" s="7">
        <f t="shared" si="9"/>
        <v>0.063</v>
      </c>
      <c r="P14" s="7">
        <f t="shared" si="9"/>
        <v>0.022</v>
      </c>
      <c r="Q14" s="7">
        <f t="shared" si="9"/>
        <v>0.045</v>
      </c>
      <c r="R14" s="7">
        <f t="shared" si="9"/>
        <v>0.019</v>
      </c>
      <c r="S14" s="7">
        <f t="shared" si="9"/>
        <v>0.036</v>
      </c>
    </row>
    <row r="15">
      <c r="B15" s="6" t="s">
        <v>6</v>
      </c>
      <c r="C15" s="7">
        <v>0.27</v>
      </c>
      <c r="D15" s="7">
        <v>0.298</v>
      </c>
      <c r="E15" s="7">
        <v>0.333</v>
      </c>
      <c r="F15" s="7">
        <v>0.293</v>
      </c>
      <c r="G15" s="7">
        <v>0.315</v>
      </c>
      <c r="H15" s="7">
        <v>0.29</v>
      </c>
      <c r="I15" s="7">
        <v>0.306</v>
      </c>
      <c r="J15" s="3"/>
      <c r="L15" s="6" t="s">
        <v>6</v>
      </c>
      <c r="M15" s="7">
        <f t="shared" ref="M15:S15" si="10">C15-$C$13</f>
        <v>0.001</v>
      </c>
      <c r="N15" s="7">
        <f t="shared" si="10"/>
        <v>0.029</v>
      </c>
      <c r="O15" s="7">
        <f t="shared" si="10"/>
        <v>0.064</v>
      </c>
      <c r="P15" s="7">
        <f t="shared" si="10"/>
        <v>0.024</v>
      </c>
      <c r="Q15" s="7">
        <f t="shared" si="10"/>
        <v>0.046</v>
      </c>
      <c r="R15" s="7">
        <f t="shared" si="10"/>
        <v>0.021</v>
      </c>
      <c r="S15" s="7">
        <f t="shared" si="10"/>
        <v>0.037</v>
      </c>
    </row>
    <row r="16">
      <c r="B16" s="6" t="s">
        <v>7</v>
      </c>
      <c r="C16" s="7">
        <v>0.276</v>
      </c>
      <c r="D16" s="7">
        <v>0.303</v>
      </c>
      <c r="E16" s="7">
        <v>0.34</v>
      </c>
      <c r="F16" s="7">
        <v>0.298</v>
      </c>
      <c r="G16" s="7">
        <v>0.321</v>
      </c>
      <c r="H16" s="7">
        <v>0.296</v>
      </c>
      <c r="I16" s="7">
        <v>0.312</v>
      </c>
      <c r="J16" s="3"/>
      <c r="L16" s="6" t="s">
        <v>7</v>
      </c>
      <c r="M16" s="7">
        <f t="shared" ref="M16:S16" si="11">C16-$C$13</f>
        <v>0.007</v>
      </c>
      <c r="N16" s="7">
        <f t="shared" si="11"/>
        <v>0.034</v>
      </c>
      <c r="O16" s="7">
        <f t="shared" si="11"/>
        <v>0.071</v>
      </c>
      <c r="P16" s="7">
        <f t="shared" si="11"/>
        <v>0.029</v>
      </c>
      <c r="Q16" s="7">
        <f t="shared" si="11"/>
        <v>0.052</v>
      </c>
      <c r="R16" s="7">
        <f t="shared" si="11"/>
        <v>0.027</v>
      </c>
      <c r="S16" s="7">
        <f t="shared" si="11"/>
        <v>0.043</v>
      </c>
    </row>
    <row r="17">
      <c r="B17" s="6" t="s">
        <v>8</v>
      </c>
      <c r="C17" s="7">
        <v>0.357</v>
      </c>
      <c r="D17" s="7">
        <v>0.38</v>
      </c>
      <c r="E17" s="7">
        <v>0.411</v>
      </c>
      <c r="F17" s="7">
        <v>0.38</v>
      </c>
      <c r="G17" s="7">
        <v>0.403</v>
      </c>
      <c r="H17" s="7">
        <v>0.378</v>
      </c>
      <c r="I17" s="7">
        <v>0.395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0.111</v>
      </c>
      <c r="O17" s="7">
        <f t="shared" si="12"/>
        <v>0.142</v>
      </c>
      <c r="P17" s="7">
        <f t="shared" si="12"/>
        <v>0.111</v>
      </c>
      <c r="Q17" s="7">
        <f t="shared" si="12"/>
        <v>0.134</v>
      </c>
      <c r="R17" s="7">
        <f t="shared" si="12"/>
        <v>0.109</v>
      </c>
      <c r="S17" s="7">
        <f t="shared" si="12"/>
        <v>0.126</v>
      </c>
    </row>
    <row r="18">
      <c r="B18" s="6" t="s">
        <v>9</v>
      </c>
      <c r="C18" s="7">
        <v>0.279</v>
      </c>
      <c r="D18" s="7">
        <v>0.306</v>
      </c>
      <c r="E18" s="7">
        <v>0.342</v>
      </c>
      <c r="F18" s="7">
        <v>0.302</v>
      </c>
      <c r="G18" s="7">
        <v>0.324</v>
      </c>
      <c r="H18" s="7">
        <v>0.299</v>
      </c>
      <c r="I18" s="7">
        <v>0.316</v>
      </c>
      <c r="J18" s="3"/>
      <c r="L18" s="6" t="s">
        <v>9</v>
      </c>
      <c r="M18" s="7">
        <f t="shared" ref="M18:S18" si="13">C18-$C$13</f>
        <v>0.01</v>
      </c>
      <c r="N18" s="7">
        <f t="shared" si="13"/>
        <v>0.037</v>
      </c>
      <c r="O18" s="7">
        <f t="shared" si="13"/>
        <v>0.073</v>
      </c>
      <c r="P18" s="7">
        <f t="shared" si="13"/>
        <v>0.033</v>
      </c>
      <c r="Q18" s="7">
        <f t="shared" si="13"/>
        <v>0.055</v>
      </c>
      <c r="R18" s="7">
        <f t="shared" si="13"/>
        <v>0.03</v>
      </c>
      <c r="S18" s="7">
        <f t="shared" si="13"/>
        <v>0.047</v>
      </c>
    </row>
    <row r="19">
      <c r="B19" s="6" t="s">
        <v>10</v>
      </c>
      <c r="C19" s="7">
        <v>0.292</v>
      </c>
      <c r="D19" s="7">
        <v>0.319</v>
      </c>
      <c r="E19" s="7">
        <v>0.354</v>
      </c>
      <c r="F19" s="7">
        <v>0.316</v>
      </c>
      <c r="G19" s="7">
        <v>0.338</v>
      </c>
      <c r="H19" s="7">
        <v>0.313</v>
      </c>
      <c r="I19" s="7">
        <v>0.33</v>
      </c>
      <c r="J19" s="3"/>
      <c r="L19" s="6" t="s">
        <v>10</v>
      </c>
      <c r="M19" s="7">
        <f t="shared" ref="M19:S19" si="14">C19-$C$13</f>
        <v>0.023</v>
      </c>
      <c r="N19" s="7">
        <f t="shared" si="14"/>
        <v>0.05</v>
      </c>
      <c r="O19" s="7">
        <f t="shared" si="14"/>
        <v>0.085</v>
      </c>
      <c r="P19" s="7">
        <f t="shared" si="14"/>
        <v>0.047</v>
      </c>
      <c r="Q19" s="7">
        <f t="shared" si="14"/>
        <v>0.069</v>
      </c>
      <c r="R19" s="7">
        <f t="shared" si="14"/>
        <v>0.044</v>
      </c>
      <c r="S19" s="7">
        <f t="shared" si="14"/>
        <v>0.061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0.463</v>
      </c>
      <c r="D23" s="7">
        <v>0.468</v>
      </c>
      <c r="E23" s="7">
        <v>0.471</v>
      </c>
      <c r="F23" s="7">
        <v>0.467</v>
      </c>
      <c r="G23" s="7">
        <v>0.469</v>
      </c>
      <c r="H23" s="7">
        <v>0.466</v>
      </c>
      <c r="I23" s="7">
        <v>0.465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0.005</v>
      </c>
      <c r="O23" s="7">
        <f t="shared" si="15"/>
        <v>0.008</v>
      </c>
      <c r="P23" s="7">
        <f t="shared" si="15"/>
        <v>0.004</v>
      </c>
      <c r="Q23" s="7">
        <f t="shared" si="15"/>
        <v>0.006</v>
      </c>
      <c r="R23" s="7">
        <f t="shared" si="15"/>
        <v>0.003</v>
      </c>
      <c r="S23" s="7">
        <f t="shared" si="15"/>
        <v>0.002</v>
      </c>
    </row>
    <row r="24">
      <c r="B24" s="6" t="s">
        <v>5</v>
      </c>
      <c r="C24" s="7">
        <v>0.467</v>
      </c>
      <c r="D24" s="7">
        <v>0.471</v>
      </c>
      <c r="E24" s="7">
        <v>0.474</v>
      </c>
      <c r="F24" s="7">
        <v>0.472</v>
      </c>
      <c r="G24" s="7">
        <v>0.475</v>
      </c>
      <c r="H24" s="7">
        <v>0.471</v>
      </c>
      <c r="I24" s="7">
        <v>0.473</v>
      </c>
      <c r="J24" s="3"/>
      <c r="L24" s="6" t="s">
        <v>5</v>
      </c>
      <c r="M24" s="7">
        <f t="shared" ref="M24:S24" si="16">C24-$C$23</f>
        <v>0.004</v>
      </c>
      <c r="N24" s="7">
        <f t="shared" si="16"/>
        <v>0.008</v>
      </c>
      <c r="O24" s="7">
        <f t="shared" si="16"/>
        <v>0.011</v>
      </c>
      <c r="P24" s="7">
        <f t="shared" si="16"/>
        <v>0.009</v>
      </c>
      <c r="Q24" s="7">
        <f t="shared" si="16"/>
        <v>0.012</v>
      </c>
      <c r="R24" s="7">
        <f t="shared" si="16"/>
        <v>0.008</v>
      </c>
      <c r="S24" s="7">
        <f t="shared" si="16"/>
        <v>0.01</v>
      </c>
    </row>
    <row r="25">
      <c r="B25" s="6" t="s">
        <v>6</v>
      </c>
      <c r="C25" s="7">
        <v>0.462</v>
      </c>
      <c r="D25" s="7">
        <v>0.468</v>
      </c>
      <c r="E25" s="7">
        <v>0.47</v>
      </c>
      <c r="F25" s="7">
        <v>0.471</v>
      </c>
      <c r="G25" s="7">
        <v>0.476</v>
      </c>
      <c r="H25" s="7">
        <v>0.469</v>
      </c>
      <c r="I25" s="7">
        <v>0.476</v>
      </c>
      <c r="J25" s="3"/>
      <c r="L25" s="6" t="s">
        <v>6</v>
      </c>
      <c r="M25" s="7">
        <f t="shared" ref="M25:S25" si="17">C25-$C$23</f>
        <v>-0.001</v>
      </c>
      <c r="N25" s="7">
        <f t="shared" si="17"/>
        <v>0.005</v>
      </c>
      <c r="O25" s="7">
        <f t="shared" si="17"/>
        <v>0.007</v>
      </c>
      <c r="P25" s="7">
        <f t="shared" si="17"/>
        <v>0.008</v>
      </c>
      <c r="Q25" s="7">
        <f t="shared" si="17"/>
        <v>0.013</v>
      </c>
      <c r="R25" s="7">
        <f t="shared" si="17"/>
        <v>0.006</v>
      </c>
      <c r="S25" s="7">
        <f t="shared" si="17"/>
        <v>0.013</v>
      </c>
    </row>
    <row r="26">
      <c r="B26" s="6" t="s">
        <v>7</v>
      </c>
      <c r="C26" s="7">
        <v>0.461</v>
      </c>
      <c r="D26" s="7">
        <v>0.467</v>
      </c>
      <c r="E26" s="7">
        <v>0.467</v>
      </c>
      <c r="F26" s="7">
        <v>0.457</v>
      </c>
      <c r="G26" s="7">
        <v>0.45</v>
      </c>
      <c r="H26" s="7">
        <v>0.456</v>
      </c>
      <c r="I26" s="7">
        <v>0.446</v>
      </c>
      <c r="J26" s="3"/>
      <c r="L26" s="6" t="s">
        <v>7</v>
      </c>
      <c r="M26" s="7">
        <f t="shared" ref="M26:S26" si="18">C26-$C$23</f>
        <v>-0.002</v>
      </c>
      <c r="N26" s="7">
        <f t="shared" si="18"/>
        <v>0.004</v>
      </c>
      <c r="O26" s="7">
        <f t="shared" si="18"/>
        <v>0.004</v>
      </c>
      <c r="P26" s="7">
        <f t="shared" si="18"/>
        <v>-0.006</v>
      </c>
      <c r="Q26" s="7">
        <f t="shared" si="18"/>
        <v>-0.013</v>
      </c>
      <c r="R26" s="7">
        <f t="shared" si="18"/>
        <v>-0.007</v>
      </c>
      <c r="S26" s="7">
        <f t="shared" si="18"/>
        <v>-0.017</v>
      </c>
    </row>
    <row r="27">
      <c r="B27" s="6" t="s">
        <v>8</v>
      </c>
      <c r="C27" s="7">
        <v>0.452</v>
      </c>
      <c r="D27" s="7">
        <v>0.46</v>
      </c>
      <c r="E27" s="7">
        <v>0.462</v>
      </c>
      <c r="F27" s="7">
        <v>0.444</v>
      </c>
      <c r="G27" s="7">
        <v>0.43</v>
      </c>
      <c r="H27" s="7">
        <v>0.443</v>
      </c>
      <c r="I27" s="7">
        <v>0.428</v>
      </c>
      <c r="J27" s="3"/>
      <c r="L27" s="6" t="s">
        <v>8</v>
      </c>
      <c r="M27" s="7">
        <f t="shared" ref="M27:S27" si="19">C27-$C$23</f>
        <v>-0.011</v>
      </c>
      <c r="N27" s="7">
        <f t="shared" si="19"/>
        <v>-0.003</v>
      </c>
      <c r="O27" s="7">
        <f t="shared" si="19"/>
        <v>-0.001</v>
      </c>
      <c r="P27" s="7">
        <f t="shared" si="19"/>
        <v>-0.019</v>
      </c>
      <c r="Q27" s="7">
        <f t="shared" si="19"/>
        <v>-0.033</v>
      </c>
      <c r="R27" s="7">
        <f t="shared" si="19"/>
        <v>-0.02</v>
      </c>
      <c r="S27" s="7">
        <f t="shared" si="19"/>
        <v>-0.035</v>
      </c>
    </row>
    <row r="28">
      <c r="B28" s="6" t="s">
        <v>9</v>
      </c>
      <c r="C28" s="7">
        <v>0.459</v>
      </c>
      <c r="D28" s="7">
        <v>0.466</v>
      </c>
      <c r="E28" s="7">
        <v>0.466</v>
      </c>
      <c r="F28" s="7">
        <v>0.455</v>
      </c>
      <c r="G28" s="7">
        <v>0.449</v>
      </c>
      <c r="H28" s="7">
        <v>0.455</v>
      </c>
      <c r="I28" s="7">
        <v>0.446</v>
      </c>
      <c r="J28" s="3"/>
      <c r="L28" s="6" t="s">
        <v>9</v>
      </c>
      <c r="M28" s="7">
        <f t="shared" ref="M28:S28" si="20">C28-$C$23</f>
        <v>-0.004</v>
      </c>
      <c r="N28" s="7">
        <f t="shared" si="20"/>
        <v>0.003</v>
      </c>
      <c r="O28" s="7">
        <f t="shared" si="20"/>
        <v>0.003</v>
      </c>
      <c r="P28" s="7">
        <f t="shared" si="20"/>
        <v>-0.008</v>
      </c>
      <c r="Q28" s="7">
        <f t="shared" si="20"/>
        <v>-0.014</v>
      </c>
      <c r="R28" s="7">
        <f t="shared" si="20"/>
        <v>-0.008</v>
      </c>
      <c r="S28" s="7">
        <f t="shared" si="20"/>
        <v>-0.017</v>
      </c>
    </row>
    <row r="29">
      <c r="B29" s="6" t="s">
        <v>10</v>
      </c>
      <c r="C29" s="7">
        <v>0.459</v>
      </c>
      <c r="D29" s="7">
        <v>0.466</v>
      </c>
      <c r="E29" s="7">
        <v>0.468</v>
      </c>
      <c r="F29" s="7">
        <v>0.451</v>
      </c>
      <c r="G29" s="7">
        <v>0.437</v>
      </c>
      <c r="H29" s="7">
        <v>0.449</v>
      </c>
      <c r="I29" s="7">
        <v>0.436</v>
      </c>
      <c r="J29" s="3"/>
      <c r="L29" s="6" t="s">
        <v>10</v>
      </c>
      <c r="M29" s="7">
        <f t="shared" ref="M29:S29" si="21">C29-$C$23</f>
        <v>-0.004</v>
      </c>
      <c r="N29" s="7">
        <f t="shared" si="21"/>
        <v>0.003</v>
      </c>
      <c r="O29" s="7">
        <f t="shared" si="21"/>
        <v>0.005</v>
      </c>
      <c r="P29" s="7">
        <f t="shared" si="21"/>
        <v>-0.012</v>
      </c>
      <c r="Q29" s="7">
        <f t="shared" si="21"/>
        <v>-0.026</v>
      </c>
      <c r="R29" s="7">
        <f t="shared" si="21"/>
        <v>-0.014</v>
      </c>
      <c r="S29" s="7">
        <f t="shared" si="21"/>
        <v>-0.027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0.453</v>
      </c>
      <c r="D33" s="7">
        <v>0.45</v>
      </c>
      <c r="E33" s="7">
        <v>0.47</v>
      </c>
      <c r="F33" s="7">
        <v>0.503</v>
      </c>
      <c r="G33" s="7">
        <v>0.556</v>
      </c>
      <c r="H33" s="7">
        <v>0.503</v>
      </c>
      <c r="I33" s="7">
        <v>0.554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-0.003</v>
      </c>
      <c r="O33" s="7">
        <f t="shared" si="22"/>
        <v>0.017</v>
      </c>
      <c r="P33" s="7">
        <f t="shared" si="22"/>
        <v>0.05</v>
      </c>
      <c r="Q33" s="7">
        <f t="shared" si="22"/>
        <v>0.103</v>
      </c>
      <c r="R33" s="7">
        <f t="shared" si="22"/>
        <v>0.05</v>
      </c>
      <c r="S33" s="7">
        <f t="shared" si="22"/>
        <v>0.101</v>
      </c>
    </row>
    <row r="34">
      <c r="B34" s="6" t="s">
        <v>5</v>
      </c>
      <c r="C34" s="7">
        <v>0.453</v>
      </c>
      <c r="D34" s="7">
        <v>0.45</v>
      </c>
      <c r="E34" s="7">
        <v>0.47</v>
      </c>
      <c r="F34" s="7">
        <v>0.503</v>
      </c>
      <c r="G34" s="7">
        <v>0.556</v>
      </c>
      <c r="H34" s="7">
        <v>0.503</v>
      </c>
      <c r="I34" s="7">
        <v>0.554</v>
      </c>
      <c r="J34" s="3"/>
      <c r="L34" s="6" t="s">
        <v>5</v>
      </c>
      <c r="M34" s="7">
        <f t="shared" ref="M34:S34" si="23">C34-$C$33</f>
        <v>0</v>
      </c>
      <c r="N34" s="7">
        <f t="shared" si="23"/>
        <v>-0.003</v>
      </c>
      <c r="O34" s="7">
        <f t="shared" si="23"/>
        <v>0.017</v>
      </c>
      <c r="P34" s="7">
        <f t="shared" si="23"/>
        <v>0.05</v>
      </c>
      <c r="Q34" s="7">
        <f t="shared" si="23"/>
        <v>0.103</v>
      </c>
      <c r="R34" s="7">
        <f t="shared" si="23"/>
        <v>0.05</v>
      </c>
      <c r="S34" s="7">
        <f t="shared" si="23"/>
        <v>0.101</v>
      </c>
    </row>
    <row r="35">
      <c r="B35" s="6" t="s">
        <v>6</v>
      </c>
      <c r="C35" s="7">
        <v>0.453</v>
      </c>
      <c r="D35" s="7">
        <v>0.45</v>
      </c>
      <c r="E35" s="7">
        <v>0.47</v>
      </c>
      <c r="F35" s="7">
        <v>0.503</v>
      </c>
      <c r="G35" s="7">
        <v>0.556</v>
      </c>
      <c r="H35" s="7">
        <v>0.503</v>
      </c>
      <c r="I35" s="7">
        <v>0.554</v>
      </c>
      <c r="J35" s="3"/>
      <c r="L35" s="6" t="s">
        <v>6</v>
      </c>
      <c r="M35" s="7">
        <f t="shared" ref="M35:S35" si="24">C35-$C$33</f>
        <v>0</v>
      </c>
      <c r="N35" s="7">
        <f t="shared" si="24"/>
        <v>-0.003</v>
      </c>
      <c r="O35" s="7">
        <f t="shared" si="24"/>
        <v>0.017</v>
      </c>
      <c r="P35" s="7">
        <f t="shared" si="24"/>
        <v>0.05</v>
      </c>
      <c r="Q35" s="7">
        <f t="shared" si="24"/>
        <v>0.103</v>
      </c>
      <c r="R35" s="7">
        <f t="shared" si="24"/>
        <v>0.05</v>
      </c>
      <c r="S35" s="7">
        <f t="shared" si="24"/>
        <v>0.101</v>
      </c>
    </row>
    <row r="36">
      <c r="B36" s="6" t="s">
        <v>7</v>
      </c>
      <c r="C36" s="7">
        <v>0.453</v>
      </c>
      <c r="D36" s="7">
        <v>0.45</v>
      </c>
      <c r="E36" s="7">
        <v>0.47</v>
      </c>
      <c r="F36" s="7">
        <v>0.503</v>
      </c>
      <c r="G36" s="7">
        <v>0.556</v>
      </c>
      <c r="H36" s="7">
        <v>0.503</v>
      </c>
      <c r="I36" s="7">
        <v>0.554</v>
      </c>
      <c r="J36" s="3"/>
      <c r="L36" s="6" t="s">
        <v>7</v>
      </c>
      <c r="M36" s="7">
        <f t="shared" ref="M36:S36" si="25">C36-$C$33</f>
        <v>0</v>
      </c>
      <c r="N36" s="7">
        <f t="shared" si="25"/>
        <v>-0.003</v>
      </c>
      <c r="O36" s="7">
        <f t="shared" si="25"/>
        <v>0.017</v>
      </c>
      <c r="P36" s="7">
        <f t="shared" si="25"/>
        <v>0.05</v>
      </c>
      <c r="Q36" s="7">
        <f t="shared" si="25"/>
        <v>0.103</v>
      </c>
      <c r="R36" s="7">
        <f t="shared" si="25"/>
        <v>0.05</v>
      </c>
      <c r="S36" s="7">
        <f t="shared" si="25"/>
        <v>0.101</v>
      </c>
    </row>
    <row r="37">
      <c r="B37" s="6" t="s">
        <v>8</v>
      </c>
      <c r="C37" s="7">
        <v>0.453</v>
      </c>
      <c r="D37" s="7">
        <v>0.45</v>
      </c>
      <c r="E37" s="7">
        <v>0.47</v>
      </c>
      <c r="F37" s="7">
        <v>0.503</v>
      </c>
      <c r="G37" s="7">
        <v>0.556</v>
      </c>
      <c r="H37" s="7">
        <v>0.503</v>
      </c>
      <c r="I37" s="7">
        <v>0.554</v>
      </c>
      <c r="J37" s="3"/>
      <c r="L37" s="6" t="s">
        <v>8</v>
      </c>
      <c r="M37" s="7">
        <f t="shared" ref="M37:S37" si="26">C37-$C$33</f>
        <v>0</v>
      </c>
      <c r="N37" s="7">
        <f t="shared" si="26"/>
        <v>-0.003</v>
      </c>
      <c r="O37" s="7">
        <f t="shared" si="26"/>
        <v>0.017</v>
      </c>
      <c r="P37" s="7">
        <f t="shared" si="26"/>
        <v>0.05</v>
      </c>
      <c r="Q37" s="7">
        <f t="shared" si="26"/>
        <v>0.103</v>
      </c>
      <c r="R37" s="7">
        <f t="shared" si="26"/>
        <v>0.05</v>
      </c>
      <c r="S37" s="7">
        <f t="shared" si="26"/>
        <v>0.101</v>
      </c>
    </row>
    <row r="38">
      <c r="B38" s="6" t="s">
        <v>9</v>
      </c>
      <c r="C38" s="7">
        <v>0.453</v>
      </c>
      <c r="D38" s="7">
        <v>0.45</v>
      </c>
      <c r="E38" s="7">
        <v>0.47</v>
      </c>
      <c r="F38" s="7">
        <v>0.503</v>
      </c>
      <c r="G38" s="7">
        <v>0.556</v>
      </c>
      <c r="H38" s="7">
        <v>0.503</v>
      </c>
      <c r="I38" s="7">
        <v>0.554</v>
      </c>
      <c r="J38" s="3"/>
      <c r="L38" s="6" t="s">
        <v>9</v>
      </c>
      <c r="M38" s="7">
        <f t="shared" ref="M38:S38" si="27">C38-$C$33</f>
        <v>0</v>
      </c>
      <c r="N38" s="7">
        <f t="shared" si="27"/>
        <v>-0.003</v>
      </c>
      <c r="O38" s="7">
        <f t="shared" si="27"/>
        <v>0.017</v>
      </c>
      <c r="P38" s="7">
        <f t="shared" si="27"/>
        <v>0.05</v>
      </c>
      <c r="Q38" s="7">
        <f t="shared" si="27"/>
        <v>0.103</v>
      </c>
      <c r="R38" s="7">
        <f t="shared" si="27"/>
        <v>0.05</v>
      </c>
      <c r="S38" s="7">
        <f t="shared" si="27"/>
        <v>0.101</v>
      </c>
    </row>
    <row r="39">
      <c r="B39" s="6" t="s">
        <v>10</v>
      </c>
      <c r="C39" s="7">
        <v>0.453</v>
      </c>
      <c r="D39" s="7">
        <v>0.45</v>
      </c>
      <c r="E39" s="7">
        <v>0.47</v>
      </c>
      <c r="F39" s="7">
        <v>0.503</v>
      </c>
      <c r="G39" s="7">
        <v>0.556</v>
      </c>
      <c r="H39" s="7">
        <v>0.503</v>
      </c>
      <c r="I39" s="7">
        <v>0.554</v>
      </c>
      <c r="J39" s="3"/>
      <c r="L39" s="6" t="s">
        <v>10</v>
      </c>
      <c r="M39" s="7">
        <f t="shared" ref="M39:S39" si="28">C39-$C$33</f>
        <v>0</v>
      </c>
      <c r="N39" s="7">
        <f t="shared" si="28"/>
        <v>-0.003</v>
      </c>
      <c r="O39" s="7">
        <f t="shared" si="28"/>
        <v>0.017</v>
      </c>
      <c r="P39" s="7">
        <f t="shared" si="28"/>
        <v>0.05</v>
      </c>
      <c r="Q39" s="7">
        <f t="shared" si="28"/>
        <v>0.103</v>
      </c>
      <c r="R39" s="7">
        <f t="shared" si="28"/>
        <v>0.05</v>
      </c>
      <c r="S39" s="7">
        <f t="shared" si="28"/>
        <v>0.101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0.2</v>
      </c>
      <c r="D43" s="7">
        <v>0.23</v>
      </c>
      <c r="E43" s="7">
        <v>0.263</v>
      </c>
      <c r="F43" s="7">
        <v>0.225</v>
      </c>
      <c r="G43" s="7">
        <v>0.239</v>
      </c>
      <c r="H43" s="7">
        <v>0.212</v>
      </c>
      <c r="I43" s="7">
        <v>0.236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</v>
      </c>
      <c r="O43" s="7">
        <f t="shared" si="29"/>
        <v>0.063</v>
      </c>
      <c r="P43" s="7">
        <f t="shared" si="29"/>
        <v>0.025</v>
      </c>
      <c r="Q43" s="7">
        <f t="shared" si="29"/>
        <v>0.039</v>
      </c>
      <c r="R43" s="7">
        <f t="shared" si="29"/>
        <v>0.012</v>
      </c>
      <c r="S43" s="7">
        <f t="shared" si="29"/>
        <v>0.036</v>
      </c>
    </row>
    <row r="44">
      <c r="B44" s="6" t="s">
        <v>5</v>
      </c>
      <c r="C44" s="7">
        <v>0.198</v>
      </c>
      <c r="D44" s="7">
        <v>0.229</v>
      </c>
      <c r="E44" s="7">
        <v>0.26</v>
      </c>
      <c r="F44" s="7">
        <v>0.221</v>
      </c>
      <c r="G44" s="7">
        <v>0.235</v>
      </c>
      <c r="H44" s="7">
        <v>0.212</v>
      </c>
      <c r="I44" s="7">
        <v>0.23</v>
      </c>
      <c r="J44" s="3"/>
      <c r="L44" s="6" t="s">
        <v>5</v>
      </c>
      <c r="M44" s="7">
        <f t="shared" ref="M44:S44" si="30">C44-$C$43</f>
        <v>-0.002</v>
      </c>
      <c r="N44" s="7">
        <f t="shared" si="30"/>
        <v>0.029</v>
      </c>
      <c r="O44" s="7">
        <f t="shared" si="30"/>
        <v>0.06</v>
      </c>
      <c r="P44" s="7">
        <f t="shared" si="30"/>
        <v>0.021</v>
      </c>
      <c r="Q44" s="7">
        <f t="shared" si="30"/>
        <v>0.035</v>
      </c>
      <c r="R44" s="7">
        <f t="shared" si="30"/>
        <v>0.012</v>
      </c>
      <c r="S44" s="7">
        <f t="shared" si="30"/>
        <v>0.03</v>
      </c>
    </row>
    <row r="45">
      <c r="B45" s="6" t="s">
        <v>6</v>
      </c>
      <c r="C45" s="7">
        <v>0.17</v>
      </c>
      <c r="D45" s="7">
        <v>0.2</v>
      </c>
      <c r="E45" s="7">
        <v>0.236</v>
      </c>
      <c r="F45" s="7">
        <v>0.203</v>
      </c>
      <c r="G45" s="7">
        <v>0.219</v>
      </c>
      <c r="H45" s="7">
        <v>0.185</v>
      </c>
      <c r="I45" s="7">
        <v>0.222</v>
      </c>
      <c r="J45" s="3"/>
      <c r="L45" s="6" t="s">
        <v>6</v>
      </c>
      <c r="M45" s="7">
        <f t="shared" ref="M45:S45" si="31">C45-$C$43</f>
        <v>-0.03</v>
      </c>
      <c r="N45" s="7">
        <f t="shared" si="31"/>
        <v>0</v>
      </c>
      <c r="O45" s="7">
        <f t="shared" si="31"/>
        <v>0.036</v>
      </c>
      <c r="P45" s="7">
        <f t="shared" si="31"/>
        <v>0.003</v>
      </c>
      <c r="Q45" s="7">
        <f t="shared" si="31"/>
        <v>0.019</v>
      </c>
      <c r="R45" s="7">
        <f t="shared" si="31"/>
        <v>-0.015</v>
      </c>
      <c r="S45" s="7">
        <f t="shared" si="31"/>
        <v>0.022</v>
      </c>
    </row>
    <row r="46">
      <c r="B46" s="6" t="s">
        <v>7</v>
      </c>
      <c r="C46" s="7">
        <v>0.239</v>
      </c>
      <c r="D46" s="7">
        <v>0.268</v>
      </c>
      <c r="E46" s="7">
        <v>0.297</v>
      </c>
      <c r="F46" s="7">
        <v>0.243</v>
      </c>
      <c r="G46" s="7">
        <v>0.247</v>
      </c>
      <c r="H46" s="7">
        <v>0.242</v>
      </c>
      <c r="I46" s="7">
        <v>0.247</v>
      </c>
      <c r="J46" s="3"/>
      <c r="L46" s="6" t="s">
        <v>7</v>
      </c>
      <c r="M46" s="7">
        <f t="shared" ref="M46:S46" si="32">C46-$C$43</f>
        <v>0.039</v>
      </c>
      <c r="N46" s="7">
        <f t="shared" si="32"/>
        <v>0.068</v>
      </c>
      <c r="O46" s="7">
        <f t="shared" si="32"/>
        <v>0.097</v>
      </c>
      <c r="P46" s="7">
        <f t="shared" si="32"/>
        <v>0.043</v>
      </c>
      <c r="Q46" s="7">
        <f t="shared" si="32"/>
        <v>0.047</v>
      </c>
      <c r="R46" s="7">
        <f t="shared" si="32"/>
        <v>0.042</v>
      </c>
      <c r="S46" s="7">
        <f t="shared" si="32"/>
        <v>0.047</v>
      </c>
    </row>
    <row r="47">
      <c r="B47" s="6" t="s">
        <v>8</v>
      </c>
      <c r="C47" s="7">
        <v>0.251</v>
      </c>
      <c r="D47" s="7">
        <v>0.282</v>
      </c>
      <c r="E47" s="7">
        <v>0.306</v>
      </c>
      <c r="F47" s="7">
        <v>0.251</v>
      </c>
      <c r="G47" s="7">
        <v>0.251</v>
      </c>
      <c r="H47" s="7">
        <v>0.251</v>
      </c>
      <c r="I47" s="7">
        <v>0.251</v>
      </c>
      <c r="J47" s="3"/>
      <c r="L47" s="6" t="s">
        <v>8</v>
      </c>
      <c r="M47" s="7">
        <f t="shared" ref="M47:S47" si="33">C47-$C$43</f>
        <v>0.051</v>
      </c>
      <c r="N47" s="7">
        <f t="shared" si="33"/>
        <v>0.082</v>
      </c>
      <c r="O47" s="7">
        <f t="shared" si="33"/>
        <v>0.106</v>
      </c>
      <c r="P47" s="7">
        <f t="shared" si="33"/>
        <v>0.051</v>
      </c>
      <c r="Q47" s="7">
        <f t="shared" si="33"/>
        <v>0.051</v>
      </c>
      <c r="R47" s="7">
        <f t="shared" si="33"/>
        <v>0.051</v>
      </c>
      <c r="S47" s="7">
        <f t="shared" si="33"/>
        <v>0.051</v>
      </c>
    </row>
    <row r="48">
      <c r="B48" s="6" t="s">
        <v>9</v>
      </c>
      <c r="C48" s="7">
        <v>0.235</v>
      </c>
      <c r="D48" s="7">
        <v>0.263</v>
      </c>
      <c r="E48" s="7">
        <v>0.291</v>
      </c>
      <c r="F48" s="7">
        <v>0.238</v>
      </c>
      <c r="G48" s="7">
        <v>0.243</v>
      </c>
      <c r="H48" s="7">
        <v>0.238</v>
      </c>
      <c r="I48" s="7">
        <v>0.243</v>
      </c>
      <c r="J48" s="3"/>
      <c r="L48" s="6" t="s">
        <v>9</v>
      </c>
      <c r="M48" s="7">
        <f t="shared" ref="M48:S48" si="34">C48-$C$43</f>
        <v>0.035</v>
      </c>
      <c r="N48" s="7">
        <f t="shared" si="34"/>
        <v>0.063</v>
      </c>
      <c r="O48" s="7">
        <f t="shared" si="34"/>
        <v>0.091</v>
      </c>
      <c r="P48" s="7">
        <f t="shared" si="34"/>
        <v>0.038</v>
      </c>
      <c r="Q48" s="7">
        <f t="shared" si="34"/>
        <v>0.043</v>
      </c>
      <c r="R48" s="7">
        <f t="shared" si="34"/>
        <v>0.038</v>
      </c>
      <c r="S48" s="7">
        <f t="shared" si="34"/>
        <v>0.043</v>
      </c>
    </row>
    <row r="49">
      <c r="B49" s="6" t="s">
        <v>10</v>
      </c>
      <c r="C49" s="7">
        <v>0.253</v>
      </c>
      <c r="D49" s="7">
        <v>0.283</v>
      </c>
      <c r="E49" s="7">
        <v>0.308</v>
      </c>
      <c r="F49" s="7">
        <v>0.253</v>
      </c>
      <c r="G49" s="7">
        <v>0.253</v>
      </c>
      <c r="H49" s="7">
        <v>0.253</v>
      </c>
      <c r="I49" s="7">
        <v>0.253</v>
      </c>
      <c r="J49" s="3"/>
      <c r="L49" s="6" t="s">
        <v>10</v>
      </c>
      <c r="M49" s="7">
        <f t="shared" ref="M49:S49" si="35">C49-$C$43</f>
        <v>0.053</v>
      </c>
      <c r="N49" s="7">
        <f t="shared" si="35"/>
        <v>0.083</v>
      </c>
      <c r="O49" s="7">
        <f t="shared" si="35"/>
        <v>0.108</v>
      </c>
      <c r="P49" s="7">
        <f t="shared" si="35"/>
        <v>0.053</v>
      </c>
      <c r="Q49" s="7">
        <f t="shared" si="35"/>
        <v>0.053</v>
      </c>
      <c r="R49" s="7">
        <f t="shared" si="35"/>
        <v>0.053</v>
      </c>
      <c r="S49" s="7">
        <f t="shared" si="35"/>
        <v>0.053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0.397</v>
      </c>
      <c r="E53" s="7">
        <v>0.416</v>
      </c>
      <c r="F53" s="7">
        <v>0.392</v>
      </c>
      <c r="G53" s="7">
        <v>0.418</v>
      </c>
      <c r="H53" s="7">
        <v>0.391</v>
      </c>
      <c r="I53" s="7">
        <v>0.416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0.031</v>
      </c>
      <c r="O53" s="7">
        <f t="shared" si="36"/>
        <v>0.05</v>
      </c>
      <c r="P53" s="7">
        <f t="shared" si="36"/>
        <v>0.026</v>
      </c>
      <c r="Q53" s="7">
        <f t="shared" si="36"/>
        <v>0.052</v>
      </c>
      <c r="R53" s="7">
        <f t="shared" si="36"/>
        <v>0.025</v>
      </c>
      <c r="S53" s="7">
        <f t="shared" si="36"/>
        <v>0.05</v>
      </c>
    </row>
    <row r="54">
      <c r="B54" s="6" t="s">
        <v>5</v>
      </c>
      <c r="C54" s="7">
        <v>0.368</v>
      </c>
      <c r="D54" s="7">
        <v>0.398</v>
      </c>
      <c r="E54" s="7">
        <v>0.418</v>
      </c>
      <c r="F54" s="7">
        <v>0.394</v>
      </c>
      <c r="G54" s="7">
        <v>0.42</v>
      </c>
      <c r="H54" s="7">
        <v>0.393</v>
      </c>
      <c r="I54" s="7">
        <v>0.417</v>
      </c>
      <c r="J54" s="3"/>
      <c r="L54" s="6" t="s">
        <v>5</v>
      </c>
      <c r="M54" s="7">
        <f t="shared" ref="M54:S54" si="37">C54-$C$53</f>
        <v>0.002</v>
      </c>
      <c r="N54" s="7">
        <f t="shared" si="37"/>
        <v>0.032</v>
      </c>
      <c r="O54" s="7">
        <f t="shared" si="37"/>
        <v>0.052</v>
      </c>
      <c r="P54" s="7">
        <f t="shared" si="37"/>
        <v>0.028</v>
      </c>
      <c r="Q54" s="7">
        <f t="shared" si="37"/>
        <v>0.054</v>
      </c>
      <c r="R54" s="7">
        <f t="shared" si="37"/>
        <v>0.027</v>
      </c>
      <c r="S54" s="7">
        <f t="shared" si="37"/>
        <v>0.051</v>
      </c>
    </row>
    <row r="55">
      <c r="B55" s="6" t="s">
        <v>6</v>
      </c>
      <c r="C55" s="7">
        <v>0.381</v>
      </c>
      <c r="D55" s="7">
        <v>0.412</v>
      </c>
      <c r="E55" s="7">
        <v>0.428</v>
      </c>
      <c r="F55" s="7">
        <v>0.407</v>
      </c>
      <c r="G55" s="7">
        <v>0.433</v>
      </c>
      <c r="H55" s="7">
        <v>0.406</v>
      </c>
      <c r="I55" s="7">
        <v>0.431</v>
      </c>
      <c r="J55" s="3"/>
      <c r="L55" s="6" t="s">
        <v>6</v>
      </c>
      <c r="M55" s="7">
        <f t="shared" ref="M55:S55" si="38">C55-$C$53</f>
        <v>0.015</v>
      </c>
      <c r="N55" s="7">
        <f t="shared" si="38"/>
        <v>0.046</v>
      </c>
      <c r="O55" s="7">
        <f t="shared" si="38"/>
        <v>0.062</v>
      </c>
      <c r="P55" s="7">
        <f t="shared" si="38"/>
        <v>0.041</v>
      </c>
      <c r="Q55" s="7">
        <f t="shared" si="38"/>
        <v>0.067</v>
      </c>
      <c r="R55" s="7">
        <f t="shared" si="38"/>
        <v>0.04</v>
      </c>
      <c r="S55" s="7">
        <f t="shared" si="38"/>
        <v>0.065</v>
      </c>
    </row>
    <row r="56">
      <c r="B56" s="6" t="s">
        <v>7</v>
      </c>
      <c r="C56" s="7">
        <v>0.377</v>
      </c>
      <c r="D56" s="7">
        <v>0.409</v>
      </c>
      <c r="E56" s="7">
        <v>0.425</v>
      </c>
      <c r="F56" s="7">
        <v>0.401</v>
      </c>
      <c r="G56" s="7">
        <v>0.427</v>
      </c>
      <c r="H56" s="7">
        <v>0.401</v>
      </c>
      <c r="I56" s="7">
        <v>0.424</v>
      </c>
      <c r="J56" s="3"/>
      <c r="L56" s="6" t="s">
        <v>7</v>
      </c>
      <c r="M56" s="7">
        <f t="shared" ref="M56:S56" si="39">C56-$C$53</f>
        <v>0.011</v>
      </c>
      <c r="N56" s="7">
        <f t="shared" si="39"/>
        <v>0.043</v>
      </c>
      <c r="O56" s="7">
        <f t="shared" si="39"/>
        <v>0.059</v>
      </c>
      <c r="P56" s="7">
        <f t="shared" si="39"/>
        <v>0.035</v>
      </c>
      <c r="Q56" s="7">
        <f t="shared" si="39"/>
        <v>0.061</v>
      </c>
      <c r="R56" s="7">
        <f t="shared" si="39"/>
        <v>0.035</v>
      </c>
      <c r="S56" s="7">
        <f t="shared" si="39"/>
        <v>0.058</v>
      </c>
    </row>
    <row r="57">
      <c r="B57" s="6" t="s">
        <v>8</v>
      </c>
      <c r="C57" s="7">
        <v>0.464</v>
      </c>
      <c r="D57" s="7">
        <v>0.49</v>
      </c>
      <c r="E57" s="7">
        <v>0.507</v>
      </c>
      <c r="F57" s="7">
        <v>0.441</v>
      </c>
      <c r="G57" s="7">
        <v>0.418</v>
      </c>
      <c r="H57" s="7">
        <v>0.441</v>
      </c>
      <c r="I57" s="7">
        <v>0.419</v>
      </c>
      <c r="J57" s="3"/>
      <c r="L57" s="6" t="s">
        <v>8</v>
      </c>
      <c r="M57" s="7">
        <f t="shared" ref="M57:S57" si="40">C57-$C$53</f>
        <v>0.098</v>
      </c>
      <c r="N57" s="7">
        <f t="shared" si="40"/>
        <v>0.124</v>
      </c>
      <c r="O57" s="7">
        <f t="shared" si="40"/>
        <v>0.141</v>
      </c>
      <c r="P57" s="7">
        <f t="shared" si="40"/>
        <v>0.075</v>
      </c>
      <c r="Q57" s="7">
        <f t="shared" si="40"/>
        <v>0.052</v>
      </c>
      <c r="R57" s="7">
        <f t="shared" si="40"/>
        <v>0.075</v>
      </c>
      <c r="S57" s="7">
        <f t="shared" si="40"/>
        <v>0.053</v>
      </c>
    </row>
    <row r="58">
      <c r="B58" s="6" t="s">
        <v>9</v>
      </c>
      <c r="C58" s="7">
        <v>0.379</v>
      </c>
      <c r="D58" s="7">
        <v>0.411</v>
      </c>
      <c r="E58" s="7">
        <v>0.428</v>
      </c>
      <c r="F58" s="7">
        <v>0.403</v>
      </c>
      <c r="G58" s="7">
        <v>0.428</v>
      </c>
      <c r="H58" s="7">
        <v>0.403</v>
      </c>
      <c r="I58" s="7">
        <v>0.426</v>
      </c>
      <c r="J58" s="3"/>
      <c r="L58" s="6" t="s">
        <v>9</v>
      </c>
      <c r="M58" s="7">
        <f t="shared" ref="M58:S58" si="41">C58-$C$53</f>
        <v>0.013</v>
      </c>
      <c r="N58" s="7">
        <f t="shared" si="41"/>
        <v>0.045</v>
      </c>
      <c r="O58" s="7">
        <f t="shared" si="41"/>
        <v>0.062</v>
      </c>
      <c r="P58" s="7">
        <f t="shared" si="41"/>
        <v>0.037</v>
      </c>
      <c r="Q58" s="7">
        <f t="shared" si="41"/>
        <v>0.062</v>
      </c>
      <c r="R58" s="7">
        <f t="shared" si="41"/>
        <v>0.037</v>
      </c>
      <c r="S58" s="7">
        <f t="shared" si="41"/>
        <v>0.06</v>
      </c>
    </row>
    <row r="59">
      <c r="B59" s="6" t="s">
        <v>10</v>
      </c>
      <c r="C59" s="7">
        <v>0.464</v>
      </c>
      <c r="D59" s="7">
        <v>0.489</v>
      </c>
      <c r="E59" s="7">
        <v>0.506</v>
      </c>
      <c r="F59" s="7">
        <v>0.44</v>
      </c>
      <c r="G59" s="7">
        <v>0.417</v>
      </c>
      <c r="H59" s="7">
        <v>0.44</v>
      </c>
      <c r="I59" s="7">
        <v>0.418</v>
      </c>
      <c r="J59" s="3"/>
      <c r="L59" s="6" t="s">
        <v>10</v>
      </c>
      <c r="M59" s="7">
        <f t="shared" ref="M59:S59" si="42">C59-$C$53</f>
        <v>0.098</v>
      </c>
      <c r="N59" s="7">
        <f t="shared" si="42"/>
        <v>0.123</v>
      </c>
      <c r="O59" s="7">
        <f t="shared" si="42"/>
        <v>0.14</v>
      </c>
      <c r="P59" s="7">
        <f t="shared" si="42"/>
        <v>0.074</v>
      </c>
      <c r="Q59" s="7">
        <f t="shared" si="42"/>
        <v>0.051</v>
      </c>
      <c r="R59" s="7">
        <f t="shared" si="42"/>
        <v>0.074</v>
      </c>
      <c r="S59" s="7">
        <f t="shared" si="42"/>
        <v>0.052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0.04958333333</v>
      </c>
    </row>
    <row r="63">
      <c r="B63" s="6" t="s">
        <v>4</v>
      </c>
      <c r="C63" s="7">
        <f t="shared" ref="C63:I63" si="43">AVERAGE(C3, C13)</f>
        <v>0.1565</v>
      </c>
      <c r="D63" s="7">
        <f t="shared" si="43"/>
        <v>0.1915</v>
      </c>
      <c r="E63" s="7">
        <f t="shared" si="43"/>
        <v>0.234</v>
      </c>
      <c r="F63" s="7">
        <f t="shared" si="43"/>
        <v>0.1915</v>
      </c>
      <c r="G63" s="7">
        <f t="shared" si="43"/>
        <v>0.23</v>
      </c>
      <c r="H63" s="7">
        <f t="shared" si="43"/>
        <v>0.18</v>
      </c>
      <c r="I63" s="7">
        <f t="shared" si="43"/>
        <v>0.2095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0.035</v>
      </c>
      <c r="O63" s="7">
        <f t="shared" si="44"/>
        <v>0.0775</v>
      </c>
      <c r="P63" s="7">
        <f t="shared" si="44"/>
        <v>0.035</v>
      </c>
      <c r="Q63" s="7">
        <f t="shared" si="44"/>
        <v>0.0735</v>
      </c>
      <c r="R63" s="7">
        <f t="shared" si="44"/>
        <v>0.0235</v>
      </c>
      <c r="S63" s="7">
        <f t="shared" si="44"/>
        <v>0.053</v>
      </c>
      <c r="U63" s="8" t="s">
        <v>23</v>
      </c>
      <c r="V63" s="3">
        <f>average(M64:M69)</f>
        <v>0.0125</v>
      </c>
    </row>
    <row r="64">
      <c r="B64" s="6" t="s">
        <v>5</v>
      </c>
      <c r="C64" s="7">
        <f t="shared" ref="C64:I64" si="45">AVERAGE(C4, C14)</f>
        <v>0.1555</v>
      </c>
      <c r="D64" s="7">
        <f t="shared" si="45"/>
        <v>0.1905</v>
      </c>
      <c r="E64" s="7">
        <f t="shared" si="45"/>
        <v>0.233</v>
      </c>
      <c r="F64" s="7">
        <f t="shared" si="45"/>
        <v>0.1905</v>
      </c>
      <c r="G64" s="7">
        <f t="shared" si="45"/>
        <v>0.2295</v>
      </c>
      <c r="H64" s="7">
        <f t="shared" si="45"/>
        <v>0.1795</v>
      </c>
      <c r="I64" s="7">
        <f t="shared" si="45"/>
        <v>0.21</v>
      </c>
      <c r="J64" s="3"/>
      <c r="L64" s="6" t="s">
        <v>5</v>
      </c>
      <c r="M64" s="7">
        <f t="shared" ref="M64:S64" si="46">C64-$C$63</f>
        <v>-0.001</v>
      </c>
      <c r="N64" s="7">
        <f t="shared" si="46"/>
        <v>0.034</v>
      </c>
      <c r="O64" s="7">
        <f t="shared" si="46"/>
        <v>0.0765</v>
      </c>
      <c r="P64" s="7">
        <f t="shared" si="46"/>
        <v>0.034</v>
      </c>
      <c r="Q64" s="7">
        <f t="shared" si="46"/>
        <v>0.073</v>
      </c>
      <c r="R64" s="7">
        <f t="shared" si="46"/>
        <v>0.023</v>
      </c>
      <c r="S64" s="7">
        <f t="shared" si="46"/>
        <v>0.0535</v>
      </c>
      <c r="U64" s="8" t="s">
        <v>24</v>
      </c>
      <c r="V64" s="3">
        <f>AVERAGE(N64:S69)</f>
        <v>0.06001388889</v>
      </c>
    </row>
    <row r="65">
      <c r="B65" s="6" t="s">
        <v>6</v>
      </c>
      <c r="C65" s="7">
        <f t="shared" ref="C65:I65" si="47">AVERAGE(C5, C15)</f>
        <v>0.1575</v>
      </c>
      <c r="D65" s="7">
        <f t="shared" si="47"/>
        <v>0.192</v>
      </c>
      <c r="E65" s="7">
        <f t="shared" si="47"/>
        <v>0.235</v>
      </c>
      <c r="F65" s="7">
        <f t="shared" si="47"/>
        <v>0.1925</v>
      </c>
      <c r="G65" s="7">
        <f t="shared" si="47"/>
        <v>0.2315</v>
      </c>
      <c r="H65" s="7">
        <f t="shared" si="47"/>
        <v>0.182</v>
      </c>
      <c r="I65" s="7">
        <f t="shared" si="47"/>
        <v>0.212</v>
      </c>
      <c r="J65" s="3"/>
      <c r="L65" s="6" t="s">
        <v>6</v>
      </c>
      <c r="M65" s="7">
        <f t="shared" ref="M65:S65" si="48">C65-$C$63</f>
        <v>0.001</v>
      </c>
      <c r="N65" s="7">
        <f t="shared" si="48"/>
        <v>0.0355</v>
      </c>
      <c r="O65" s="7">
        <f t="shared" si="48"/>
        <v>0.0785</v>
      </c>
      <c r="P65" s="7">
        <f t="shared" si="48"/>
        <v>0.036</v>
      </c>
      <c r="Q65" s="7">
        <f t="shared" si="48"/>
        <v>0.075</v>
      </c>
      <c r="R65" s="7">
        <f t="shared" si="48"/>
        <v>0.0255</v>
      </c>
      <c r="S65" s="7">
        <f t="shared" si="48"/>
        <v>0.0555</v>
      </c>
    </row>
    <row r="66">
      <c r="B66" s="6" t="s">
        <v>7</v>
      </c>
      <c r="C66" s="7">
        <f t="shared" ref="C66:I66" si="49">AVERAGE(C6, C16)</f>
        <v>0.16</v>
      </c>
      <c r="D66" s="7">
        <f t="shared" si="49"/>
        <v>0.1945</v>
      </c>
      <c r="E66" s="7">
        <f t="shared" si="49"/>
        <v>0.237</v>
      </c>
      <c r="F66" s="7">
        <f t="shared" si="49"/>
        <v>0.194</v>
      </c>
      <c r="G66" s="7">
        <f t="shared" si="49"/>
        <v>0.232</v>
      </c>
      <c r="H66" s="7">
        <f t="shared" si="49"/>
        <v>0.182</v>
      </c>
      <c r="I66" s="7">
        <f t="shared" si="49"/>
        <v>0.211</v>
      </c>
      <c r="J66" s="3"/>
      <c r="L66" s="6" t="s">
        <v>7</v>
      </c>
      <c r="M66" s="7">
        <f t="shared" ref="M66:S66" si="50">C66-$C$63</f>
        <v>0.0035</v>
      </c>
      <c r="N66" s="7">
        <f t="shared" si="50"/>
        <v>0.038</v>
      </c>
      <c r="O66" s="7">
        <f t="shared" si="50"/>
        <v>0.0805</v>
      </c>
      <c r="P66" s="7">
        <f t="shared" si="50"/>
        <v>0.0375</v>
      </c>
      <c r="Q66" s="7">
        <f t="shared" si="50"/>
        <v>0.0755</v>
      </c>
      <c r="R66" s="7">
        <f t="shared" si="50"/>
        <v>0.0255</v>
      </c>
      <c r="S66" s="7">
        <f t="shared" si="50"/>
        <v>0.0545</v>
      </c>
    </row>
    <row r="67">
      <c r="B67" s="6" t="s">
        <v>8</v>
      </c>
      <c r="C67" s="7">
        <f t="shared" ref="C67:I67" si="51">AVERAGE(C7, C17)</f>
        <v>0.202</v>
      </c>
      <c r="D67" s="7">
        <f t="shared" si="51"/>
        <v>0.2335</v>
      </c>
      <c r="E67" s="7">
        <f t="shared" si="51"/>
        <v>0.2735</v>
      </c>
      <c r="F67" s="7">
        <f t="shared" si="51"/>
        <v>0.2365</v>
      </c>
      <c r="G67" s="7">
        <f t="shared" si="51"/>
        <v>0.2725</v>
      </c>
      <c r="H67" s="7">
        <f t="shared" si="51"/>
        <v>0.2225</v>
      </c>
      <c r="I67" s="7">
        <f t="shared" si="51"/>
        <v>0.2505</v>
      </c>
      <c r="J67" s="3"/>
      <c r="L67" s="6" t="s">
        <v>8</v>
      </c>
      <c r="M67" s="7">
        <f t="shared" ref="M67:S67" si="52">C67-$C$63</f>
        <v>0.0455</v>
      </c>
      <c r="N67" s="7">
        <f t="shared" si="52"/>
        <v>0.077</v>
      </c>
      <c r="O67" s="7">
        <f t="shared" si="52"/>
        <v>0.117</v>
      </c>
      <c r="P67" s="7">
        <f t="shared" si="52"/>
        <v>0.08</v>
      </c>
      <c r="Q67" s="7">
        <f t="shared" si="52"/>
        <v>0.116</v>
      </c>
      <c r="R67" s="7">
        <f t="shared" si="52"/>
        <v>0.066</v>
      </c>
      <c r="S67" s="7">
        <f t="shared" si="52"/>
        <v>0.094</v>
      </c>
    </row>
    <row r="68">
      <c r="B68" s="6" t="s">
        <v>9</v>
      </c>
      <c r="C68" s="7">
        <f t="shared" ref="C68:I68" si="53">AVERAGE(C8, C18)</f>
        <v>0.165</v>
      </c>
      <c r="D68" s="7">
        <f t="shared" si="53"/>
        <v>0.199</v>
      </c>
      <c r="E68" s="7">
        <f t="shared" si="53"/>
        <v>0.2405</v>
      </c>
      <c r="F68" s="7">
        <f t="shared" si="53"/>
        <v>0.199</v>
      </c>
      <c r="G68" s="7">
        <f t="shared" si="53"/>
        <v>0.2345</v>
      </c>
      <c r="H68" s="7">
        <f t="shared" si="53"/>
        <v>0.183</v>
      </c>
      <c r="I68" s="7">
        <f t="shared" si="53"/>
        <v>0.2105</v>
      </c>
      <c r="J68" s="3"/>
      <c r="L68" s="6" t="s">
        <v>9</v>
      </c>
      <c r="M68" s="7">
        <f t="shared" ref="M68:S68" si="54">C68-$C$63</f>
        <v>0.0085</v>
      </c>
      <c r="N68" s="7">
        <f t="shared" si="54"/>
        <v>0.0425</v>
      </c>
      <c r="O68" s="7">
        <f t="shared" si="54"/>
        <v>0.084</v>
      </c>
      <c r="P68" s="7">
        <f t="shared" si="54"/>
        <v>0.0425</v>
      </c>
      <c r="Q68" s="7">
        <f t="shared" si="54"/>
        <v>0.078</v>
      </c>
      <c r="R68" s="7">
        <f t="shared" si="54"/>
        <v>0.0265</v>
      </c>
      <c r="S68" s="7">
        <f t="shared" si="54"/>
        <v>0.054</v>
      </c>
    </row>
    <row r="69">
      <c r="B69" s="6" t="s">
        <v>10</v>
      </c>
      <c r="C69" s="7">
        <f t="shared" ref="C69:I69" si="55">AVERAGE(C9, C19)</f>
        <v>0.174</v>
      </c>
      <c r="D69" s="7">
        <f t="shared" si="55"/>
        <v>0.2075</v>
      </c>
      <c r="E69" s="7">
        <f t="shared" si="55"/>
        <v>0.2495</v>
      </c>
      <c r="F69" s="7">
        <f t="shared" si="55"/>
        <v>0.207</v>
      </c>
      <c r="G69" s="7">
        <f t="shared" si="55"/>
        <v>0.241</v>
      </c>
      <c r="H69" s="7">
        <f t="shared" si="55"/>
        <v>0.1895</v>
      </c>
      <c r="I69" s="7">
        <f t="shared" si="55"/>
        <v>0.216</v>
      </c>
      <c r="J69" s="3"/>
      <c r="L69" s="6" t="s">
        <v>10</v>
      </c>
      <c r="M69" s="7">
        <f t="shared" ref="M69:S69" si="56">C69-$C$63</f>
        <v>0.0175</v>
      </c>
      <c r="N69" s="7">
        <f t="shared" si="56"/>
        <v>0.051</v>
      </c>
      <c r="O69" s="7">
        <f t="shared" si="56"/>
        <v>0.093</v>
      </c>
      <c r="P69" s="7">
        <f t="shared" si="56"/>
        <v>0.0505</v>
      </c>
      <c r="Q69" s="7">
        <f t="shared" si="56"/>
        <v>0.0845</v>
      </c>
      <c r="R69" s="7">
        <f t="shared" si="56"/>
        <v>0.033</v>
      </c>
      <c r="S69" s="7">
        <f t="shared" si="56"/>
        <v>0.0595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0.02883333333</v>
      </c>
    </row>
    <row r="73">
      <c r="B73" s="6" t="s">
        <v>4</v>
      </c>
      <c r="C73" s="7">
        <f t="shared" ref="C73:I73" si="57">AVERAGE(C23, C33)</f>
        <v>0.458</v>
      </c>
      <c r="D73" s="7">
        <f t="shared" si="57"/>
        <v>0.459</v>
      </c>
      <c r="E73" s="7">
        <f t="shared" si="57"/>
        <v>0.4705</v>
      </c>
      <c r="F73" s="7">
        <f t="shared" si="57"/>
        <v>0.485</v>
      </c>
      <c r="G73" s="7">
        <f t="shared" si="57"/>
        <v>0.5125</v>
      </c>
      <c r="H73" s="7">
        <f t="shared" si="57"/>
        <v>0.4845</v>
      </c>
      <c r="I73" s="7">
        <f t="shared" si="57"/>
        <v>0.5095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0.001</v>
      </c>
      <c r="O73" s="7">
        <f t="shared" si="58"/>
        <v>0.0125</v>
      </c>
      <c r="P73" s="7">
        <f t="shared" si="58"/>
        <v>0.027</v>
      </c>
      <c r="Q73" s="7">
        <f t="shared" si="58"/>
        <v>0.0545</v>
      </c>
      <c r="R73" s="7">
        <f t="shared" si="58"/>
        <v>0.0265</v>
      </c>
      <c r="S73" s="7">
        <f t="shared" si="58"/>
        <v>0.0515</v>
      </c>
      <c r="U73" s="8" t="s">
        <v>23</v>
      </c>
      <c r="V73" s="3">
        <f>average(M74:M79)</f>
        <v>-0.0015</v>
      </c>
    </row>
    <row r="74">
      <c r="B74" s="6" t="s">
        <v>5</v>
      </c>
      <c r="C74" s="7">
        <f t="shared" ref="C74:I74" si="59">AVERAGE(C24, C34)</f>
        <v>0.46</v>
      </c>
      <c r="D74" s="7">
        <f t="shared" si="59"/>
        <v>0.4605</v>
      </c>
      <c r="E74" s="7">
        <f t="shared" si="59"/>
        <v>0.472</v>
      </c>
      <c r="F74" s="7">
        <f t="shared" si="59"/>
        <v>0.4875</v>
      </c>
      <c r="G74" s="7">
        <f t="shared" si="59"/>
        <v>0.5155</v>
      </c>
      <c r="H74" s="7">
        <f t="shared" si="59"/>
        <v>0.487</v>
      </c>
      <c r="I74" s="7">
        <f t="shared" si="59"/>
        <v>0.5135</v>
      </c>
      <c r="J74" s="3"/>
      <c r="L74" s="6" t="s">
        <v>5</v>
      </c>
      <c r="M74" s="7">
        <f t="shared" ref="M74:S74" si="60">C74-$C$73</f>
        <v>0.002</v>
      </c>
      <c r="N74" s="7">
        <f t="shared" si="60"/>
        <v>0.0025</v>
      </c>
      <c r="O74" s="7">
        <f t="shared" si="60"/>
        <v>0.014</v>
      </c>
      <c r="P74" s="7">
        <f t="shared" si="60"/>
        <v>0.0295</v>
      </c>
      <c r="Q74" s="7">
        <f t="shared" si="60"/>
        <v>0.0575</v>
      </c>
      <c r="R74" s="7">
        <f t="shared" si="60"/>
        <v>0.029</v>
      </c>
      <c r="S74" s="7">
        <f t="shared" si="60"/>
        <v>0.0555</v>
      </c>
      <c r="U74" s="8" t="s">
        <v>24</v>
      </c>
      <c r="V74" s="3">
        <f>AVERAGE(N74:S79)</f>
        <v>0.02444444444</v>
      </c>
    </row>
    <row r="75">
      <c r="B75" s="6" t="s">
        <v>6</v>
      </c>
      <c r="C75" s="7">
        <f t="shared" ref="C75:I75" si="61">AVERAGE(C25, C35)</f>
        <v>0.4575</v>
      </c>
      <c r="D75" s="7">
        <f t="shared" si="61"/>
        <v>0.459</v>
      </c>
      <c r="E75" s="7">
        <f t="shared" si="61"/>
        <v>0.47</v>
      </c>
      <c r="F75" s="7">
        <f t="shared" si="61"/>
        <v>0.487</v>
      </c>
      <c r="G75" s="7">
        <f t="shared" si="61"/>
        <v>0.516</v>
      </c>
      <c r="H75" s="7">
        <f t="shared" si="61"/>
        <v>0.486</v>
      </c>
      <c r="I75" s="7">
        <f t="shared" si="61"/>
        <v>0.515</v>
      </c>
      <c r="J75" s="3"/>
      <c r="L75" s="6" t="s">
        <v>6</v>
      </c>
      <c r="M75" s="7">
        <f t="shared" ref="M75:S75" si="62">C75-$C$73</f>
        <v>-0.0005</v>
      </c>
      <c r="N75" s="7">
        <f t="shared" si="62"/>
        <v>0.001</v>
      </c>
      <c r="O75" s="7">
        <f t="shared" si="62"/>
        <v>0.012</v>
      </c>
      <c r="P75" s="7">
        <f t="shared" si="62"/>
        <v>0.029</v>
      </c>
      <c r="Q75" s="7">
        <f t="shared" si="62"/>
        <v>0.058</v>
      </c>
      <c r="R75" s="7">
        <f t="shared" si="62"/>
        <v>0.028</v>
      </c>
      <c r="S75" s="7">
        <f t="shared" si="62"/>
        <v>0.057</v>
      </c>
    </row>
    <row r="76">
      <c r="B76" s="6" t="s">
        <v>7</v>
      </c>
      <c r="C76" s="7">
        <f t="shared" ref="C76:I76" si="63">AVERAGE(C26, C36)</f>
        <v>0.457</v>
      </c>
      <c r="D76" s="7">
        <f t="shared" si="63"/>
        <v>0.4585</v>
      </c>
      <c r="E76" s="7">
        <f t="shared" si="63"/>
        <v>0.4685</v>
      </c>
      <c r="F76" s="7">
        <f t="shared" si="63"/>
        <v>0.48</v>
      </c>
      <c r="G76" s="7">
        <f t="shared" si="63"/>
        <v>0.503</v>
      </c>
      <c r="H76" s="7">
        <f t="shared" si="63"/>
        <v>0.4795</v>
      </c>
      <c r="I76" s="7">
        <f t="shared" si="63"/>
        <v>0.5</v>
      </c>
      <c r="J76" s="3"/>
      <c r="L76" s="6" t="s">
        <v>7</v>
      </c>
      <c r="M76" s="7">
        <f t="shared" ref="M76:S76" si="64">C76-$C$73</f>
        <v>-0.001</v>
      </c>
      <c r="N76" s="7">
        <f t="shared" si="64"/>
        <v>0.0005</v>
      </c>
      <c r="O76" s="7">
        <f t="shared" si="64"/>
        <v>0.0105</v>
      </c>
      <c r="P76" s="7">
        <f t="shared" si="64"/>
        <v>0.022</v>
      </c>
      <c r="Q76" s="7">
        <f t="shared" si="64"/>
        <v>0.045</v>
      </c>
      <c r="R76" s="7">
        <f t="shared" si="64"/>
        <v>0.0215</v>
      </c>
      <c r="S76" s="7">
        <f t="shared" si="64"/>
        <v>0.042</v>
      </c>
    </row>
    <row r="77">
      <c r="B77" s="6" t="s">
        <v>8</v>
      </c>
      <c r="C77" s="7">
        <f t="shared" ref="C77:I77" si="65">AVERAGE(C27, C37)</f>
        <v>0.4525</v>
      </c>
      <c r="D77" s="7">
        <f t="shared" si="65"/>
        <v>0.455</v>
      </c>
      <c r="E77" s="7">
        <f t="shared" si="65"/>
        <v>0.466</v>
      </c>
      <c r="F77" s="7">
        <f t="shared" si="65"/>
        <v>0.4735</v>
      </c>
      <c r="G77" s="7">
        <f t="shared" si="65"/>
        <v>0.493</v>
      </c>
      <c r="H77" s="7">
        <f t="shared" si="65"/>
        <v>0.473</v>
      </c>
      <c r="I77" s="7">
        <f t="shared" si="65"/>
        <v>0.491</v>
      </c>
      <c r="J77" s="3"/>
      <c r="L77" s="6" t="s">
        <v>8</v>
      </c>
      <c r="M77" s="7">
        <f t="shared" ref="M77:S77" si="66">C77-$C$73</f>
        <v>-0.0055</v>
      </c>
      <c r="N77" s="7">
        <f t="shared" si="66"/>
        <v>-0.003</v>
      </c>
      <c r="O77" s="7">
        <f t="shared" si="66"/>
        <v>0.008</v>
      </c>
      <c r="P77" s="7">
        <f t="shared" si="66"/>
        <v>0.0155</v>
      </c>
      <c r="Q77" s="7">
        <f t="shared" si="66"/>
        <v>0.035</v>
      </c>
      <c r="R77" s="7">
        <f t="shared" si="66"/>
        <v>0.015</v>
      </c>
      <c r="S77" s="7">
        <f t="shared" si="66"/>
        <v>0.033</v>
      </c>
    </row>
    <row r="78">
      <c r="B78" s="6" t="s">
        <v>9</v>
      </c>
      <c r="C78" s="7">
        <f t="shared" ref="C78:I78" si="67">AVERAGE(C28, C38)</f>
        <v>0.456</v>
      </c>
      <c r="D78" s="7">
        <f t="shared" si="67"/>
        <v>0.458</v>
      </c>
      <c r="E78" s="7">
        <f t="shared" si="67"/>
        <v>0.468</v>
      </c>
      <c r="F78" s="7">
        <f t="shared" si="67"/>
        <v>0.479</v>
      </c>
      <c r="G78" s="7">
        <f t="shared" si="67"/>
        <v>0.5025</v>
      </c>
      <c r="H78" s="7">
        <f t="shared" si="67"/>
        <v>0.479</v>
      </c>
      <c r="I78" s="7">
        <f t="shared" si="67"/>
        <v>0.5</v>
      </c>
      <c r="J78" s="3"/>
      <c r="L78" s="6" t="s">
        <v>9</v>
      </c>
      <c r="M78" s="7">
        <f t="shared" ref="M78:S78" si="68">C78-$C$73</f>
        <v>-0.002</v>
      </c>
      <c r="N78" s="7">
        <f t="shared" si="68"/>
        <v>0</v>
      </c>
      <c r="O78" s="7">
        <f t="shared" si="68"/>
        <v>0.01</v>
      </c>
      <c r="P78" s="7">
        <f t="shared" si="68"/>
        <v>0.021</v>
      </c>
      <c r="Q78" s="7">
        <f t="shared" si="68"/>
        <v>0.0445</v>
      </c>
      <c r="R78" s="7">
        <f t="shared" si="68"/>
        <v>0.021</v>
      </c>
      <c r="S78" s="7">
        <f t="shared" si="68"/>
        <v>0.042</v>
      </c>
    </row>
    <row r="79">
      <c r="B79" s="6" t="s">
        <v>10</v>
      </c>
      <c r="C79" s="7">
        <f t="shared" ref="C79:I79" si="69">AVERAGE(C29, C39)</f>
        <v>0.456</v>
      </c>
      <c r="D79" s="7">
        <f t="shared" si="69"/>
        <v>0.458</v>
      </c>
      <c r="E79" s="7">
        <f t="shared" si="69"/>
        <v>0.469</v>
      </c>
      <c r="F79" s="7">
        <f t="shared" si="69"/>
        <v>0.477</v>
      </c>
      <c r="G79" s="7">
        <f t="shared" si="69"/>
        <v>0.4965</v>
      </c>
      <c r="H79" s="7">
        <f t="shared" si="69"/>
        <v>0.476</v>
      </c>
      <c r="I79" s="7">
        <f t="shared" si="69"/>
        <v>0.495</v>
      </c>
      <c r="J79" s="3"/>
      <c r="L79" s="6" t="s">
        <v>10</v>
      </c>
      <c r="M79" s="7">
        <f t="shared" ref="M79:S79" si="70">C79-$C$73</f>
        <v>-0.002</v>
      </c>
      <c r="N79" s="7">
        <f t="shared" si="70"/>
        <v>0</v>
      </c>
      <c r="O79" s="7">
        <f t="shared" si="70"/>
        <v>0.011</v>
      </c>
      <c r="P79" s="7">
        <f t="shared" si="70"/>
        <v>0.019</v>
      </c>
      <c r="Q79" s="7">
        <f t="shared" si="70"/>
        <v>0.0385</v>
      </c>
      <c r="R79" s="7">
        <f t="shared" si="70"/>
        <v>0.018</v>
      </c>
      <c r="S79" s="7">
        <f t="shared" si="70"/>
        <v>0.037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0.03658333333</v>
      </c>
    </row>
    <row r="83">
      <c r="B83" s="6" t="s">
        <v>4</v>
      </c>
      <c r="C83" s="7">
        <f t="shared" ref="C83:I83" si="71">AVERAGE(C43, C53)</f>
        <v>0.283</v>
      </c>
      <c r="D83" s="7">
        <f t="shared" si="71"/>
        <v>0.3135</v>
      </c>
      <c r="E83" s="7">
        <f t="shared" si="71"/>
        <v>0.3395</v>
      </c>
      <c r="F83" s="7">
        <f t="shared" si="71"/>
        <v>0.3085</v>
      </c>
      <c r="G83" s="7">
        <f t="shared" si="71"/>
        <v>0.3285</v>
      </c>
      <c r="H83" s="7">
        <f t="shared" si="71"/>
        <v>0.3015</v>
      </c>
      <c r="I83" s="7">
        <f t="shared" si="71"/>
        <v>0.326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0.0305</v>
      </c>
      <c r="O83" s="7">
        <f t="shared" si="72"/>
        <v>0.0565</v>
      </c>
      <c r="P83" s="7">
        <f t="shared" si="72"/>
        <v>0.0255</v>
      </c>
      <c r="Q83" s="7">
        <f t="shared" si="72"/>
        <v>0.0455</v>
      </c>
      <c r="R83" s="7">
        <f t="shared" si="72"/>
        <v>0.0185</v>
      </c>
      <c r="S83" s="7">
        <f t="shared" si="72"/>
        <v>0.043</v>
      </c>
      <c r="U83" s="8" t="s">
        <v>23</v>
      </c>
      <c r="V83" s="3">
        <f>average(M84:M89)</f>
        <v>0.03191666667</v>
      </c>
    </row>
    <row r="84">
      <c r="B84" s="6" t="s">
        <v>5</v>
      </c>
      <c r="C84" s="7">
        <f t="shared" ref="C84:I84" si="73">AVERAGE(C44, C54)</f>
        <v>0.283</v>
      </c>
      <c r="D84" s="7">
        <f t="shared" si="73"/>
        <v>0.3135</v>
      </c>
      <c r="E84" s="7">
        <f t="shared" si="73"/>
        <v>0.339</v>
      </c>
      <c r="F84" s="7">
        <f t="shared" si="73"/>
        <v>0.3075</v>
      </c>
      <c r="G84" s="7">
        <f t="shared" si="73"/>
        <v>0.3275</v>
      </c>
      <c r="H84" s="7">
        <f t="shared" si="73"/>
        <v>0.3025</v>
      </c>
      <c r="I84" s="7">
        <f t="shared" si="73"/>
        <v>0.3235</v>
      </c>
      <c r="J84" s="3"/>
      <c r="L84" s="6" t="s">
        <v>5</v>
      </c>
      <c r="M84" s="7">
        <f t="shared" ref="M84:S84" si="74">C84-$C$83</f>
        <v>0</v>
      </c>
      <c r="N84" s="7">
        <f t="shared" si="74"/>
        <v>0.0305</v>
      </c>
      <c r="O84" s="7">
        <f t="shared" si="74"/>
        <v>0.056</v>
      </c>
      <c r="P84" s="7">
        <f t="shared" si="74"/>
        <v>0.0245</v>
      </c>
      <c r="Q84" s="7">
        <f t="shared" si="74"/>
        <v>0.0445</v>
      </c>
      <c r="R84" s="7">
        <f t="shared" si="74"/>
        <v>0.0195</v>
      </c>
      <c r="S84" s="7">
        <f t="shared" si="74"/>
        <v>0.0405</v>
      </c>
      <c r="U84" s="8" t="s">
        <v>24</v>
      </c>
      <c r="V84" s="3">
        <f>AVERAGE(N84:S89)</f>
        <v>0.05416666667</v>
      </c>
    </row>
    <row r="85">
      <c r="B85" s="6" t="s">
        <v>6</v>
      </c>
      <c r="C85" s="7">
        <f t="shared" ref="C85:I85" si="75">AVERAGE(C45, C55)</f>
        <v>0.2755</v>
      </c>
      <c r="D85" s="7">
        <f t="shared" si="75"/>
        <v>0.306</v>
      </c>
      <c r="E85" s="7">
        <f t="shared" si="75"/>
        <v>0.332</v>
      </c>
      <c r="F85" s="7">
        <f t="shared" si="75"/>
        <v>0.305</v>
      </c>
      <c r="G85" s="7">
        <f t="shared" si="75"/>
        <v>0.326</v>
      </c>
      <c r="H85" s="7">
        <f t="shared" si="75"/>
        <v>0.2955</v>
      </c>
      <c r="I85" s="7">
        <f t="shared" si="75"/>
        <v>0.3265</v>
      </c>
      <c r="J85" s="3"/>
      <c r="L85" s="6" t="s">
        <v>6</v>
      </c>
      <c r="M85" s="7">
        <f t="shared" ref="M85:S85" si="76">C85-$C$83</f>
        <v>-0.0075</v>
      </c>
      <c r="N85" s="7">
        <f t="shared" si="76"/>
        <v>0.023</v>
      </c>
      <c r="O85" s="7">
        <f t="shared" si="76"/>
        <v>0.049</v>
      </c>
      <c r="P85" s="7">
        <f t="shared" si="76"/>
        <v>0.022</v>
      </c>
      <c r="Q85" s="7">
        <f t="shared" si="76"/>
        <v>0.043</v>
      </c>
      <c r="R85" s="7">
        <f t="shared" si="76"/>
        <v>0.0125</v>
      </c>
      <c r="S85" s="7">
        <f t="shared" si="76"/>
        <v>0.0435</v>
      </c>
    </row>
    <row r="86">
      <c r="B86" s="6" t="s">
        <v>7</v>
      </c>
      <c r="C86" s="7">
        <f t="shared" ref="C86:I86" si="77">AVERAGE(C46, C56)</f>
        <v>0.308</v>
      </c>
      <c r="D86" s="7">
        <f t="shared" si="77"/>
        <v>0.3385</v>
      </c>
      <c r="E86" s="7">
        <f t="shared" si="77"/>
        <v>0.361</v>
      </c>
      <c r="F86" s="7">
        <f t="shared" si="77"/>
        <v>0.322</v>
      </c>
      <c r="G86" s="7">
        <f t="shared" si="77"/>
        <v>0.337</v>
      </c>
      <c r="H86" s="7">
        <f t="shared" si="77"/>
        <v>0.3215</v>
      </c>
      <c r="I86" s="7">
        <f t="shared" si="77"/>
        <v>0.3355</v>
      </c>
      <c r="J86" s="3"/>
      <c r="L86" s="6" t="s">
        <v>7</v>
      </c>
      <c r="M86" s="7">
        <f t="shared" ref="M86:S86" si="78">C86-$C$83</f>
        <v>0.025</v>
      </c>
      <c r="N86" s="7">
        <f t="shared" si="78"/>
        <v>0.0555</v>
      </c>
      <c r="O86" s="7">
        <f t="shared" si="78"/>
        <v>0.078</v>
      </c>
      <c r="P86" s="7">
        <f t="shared" si="78"/>
        <v>0.039</v>
      </c>
      <c r="Q86" s="7">
        <f t="shared" si="78"/>
        <v>0.054</v>
      </c>
      <c r="R86" s="7">
        <f t="shared" si="78"/>
        <v>0.0385</v>
      </c>
      <c r="S86" s="7">
        <f t="shared" si="78"/>
        <v>0.0525</v>
      </c>
    </row>
    <row r="87">
      <c r="B87" s="6" t="s">
        <v>8</v>
      </c>
      <c r="C87" s="7">
        <f t="shared" ref="C87:I87" si="79">AVERAGE(C47, C57)</f>
        <v>0.3575</v>
      </c>
      <c r="D87" s="7">
        <f t="shared" si="79"/>
        <v>0.386</v>
      </c>
      <c r="E87" s="7">
        <f t="shared" si="79"/>
        <v>0.4065</v>
      </c>
      <c r="F87" s="7">
        <f t="shared" si="79"/>
        <v>0.346</v>
      </c>
      <c r="G87" s="7">
        <f t="shared" si="79"/>
        <v>0.3345</v>
      </c>
      <c r="H87" s="7">
        <f t="shared" si="79"/>
        <v>0.346</v>
      </c>
      <c r="I87" s="7">
        <f t="shared" si="79"/>
        <v>0.335</v>
      </c>
      <c r="J87" s="3"/>
      <c r="L87" s="6" t="s">
        <v>8</v>
      </c>
      <c r="M87" s="7">
        <f t="shared" ref="M87:S87" si="80">C87-$C$83</f>
        <v>0.0745</v>
      </c>
      <c r="N87" s="7">
        <f t="shared" si="80"/>
        <v>0.103</v>
      </c>
      <c r="O87" s="7">
        <f t="shared" si="80"/>
        <v>0.1235</v>
      </c>
      <c r="P87" s="7">
        <f t="shared" si="80"/>
        <v>0.063</v>
      </c>
      <c r="Q87" s="7">
        <f t="shared" si="80"/>
        <v>0.0515</v>
      </c>
      <c r="R87" s="7">
        <f t="shared" si="80"/>
        <v>0.063</v>
      </c>
      <c r="S87" s="7">
        <f t="shared" si="80"/>
        <v>0.052</v>
      </c>
    </row>
    <row r="88">
      <c r="B88" s="6" t="s">
        <v>9</v>
      </c>
      <c r="C88" s="7">
        <f t="shared" ref="C88:I88" si="81">AVERAGE(C48, C58)</f>
        <v>0.307</v>
      </c>
      <c r="D88" s="7">
        <f t="shared" si="81"/>
        <v>0.337</v>
      </c>
      <c r="E88" s="7">
        <f t="shared" si="81"/>
        <v>0.3595</v>
      </c>
      <c r="F88" s="7">
        <f t="shared" si="81"/>
        <v>0.3205</v>
      </c>
      <c r="G88" s="7">
        <f t="shared" si="81"/>
        <v>0.3355</v>
      </c>
      <c r="H88" s="7">
        <f t="shared" si="81"/>
        <v>0.3205</v>
      </c>
      <c r="I88" s="7">
        <f t="shared" si="81"/>
        <v>0.3345</v>
      </c>
      <c r="J88" s="3"/>
      <c r="L88" s="6" t="s">
        <v>9</v>
      </c>
      <c r="M88" s="7">
        <f t="shared" ref="M88:S88" si="82">C88-$C$83</f>
        <v>0.024</v>
      </c>
      <c r="N88" s="7">
        <f t="shared" si="82"/>
        <v>0.054</v>
      </c>
      <c r="O88" s="7">
        <f t="shared" si="82"/>
        <v>0.0765</v>
      </c>
      <c r="P88" s="7">
        <f t="shared" si="82"/>
        <v>0.0375</v>
      </c>
      <c r="Q88" s="7">
        <f t="shared" si="82"/>
        <v>0.0525</v>
      </c>
      <c r="R88" s="7">
        <f t="shared" si="82"/>
        <v>0.0375</v>
      </c>
      <c r="S88" s="7">
        <f t="shared" si="82"/>
        <v>0.0515</v>
      </c>
    </row>
    <row r="89">
      <c r="B89" s="6" t="s">
        <v>10</v>
      </c>
      <c r="C89" s="7">
        <f t="shared" ref="C89:I89" si="83">AVERAGE(C49, C59)</f>
        <v>0.3585</v>
      </c>
      <c r="D89" s="7">
        <f t="shared" si="83"/>
        <v>0.386</v>
      </c>
      <c r="E89" s="7">
        <f t="shared" si="83"/>
        <v>0.407</v>
      </c>
      <c r="F89" s="7">
        <f t="shared" si="83"/>
        <v>0.3465</v>
      </c>
      <c r="G89" s="7">
        <f t="shared" si="83"/>
        <v>0.335</v>
      </c>
      <c r="H89" s="7">
        <f t="shared" si="83"/>
        <v>0.3465</v>
      </c>
      <c r="I89" s="7">
        <f t="shared" si="83"/>
        <v>0.3355</v>
      </c>
      <c r="J89" s="3"/>
      <c r="L89" s="6" t="s">
        <v>10</v>
      </c>
      <c r="M89" s="7">
        <f t="shared" ref="M89:S89" si="84">C89-$C$83</f>
        <v>0.0755</v>
      </c>
      <c r="N89" s="7">
        <f t="shared" si="84"/>
        <v>0.103</v>
      </c>
      <c r="O89" s="7">
        <f t="shared" si="84"/>
        <v>0.124</v>
      </c>
      <c r="P89" s="7">
        <f t="shared" si="84"/>
        <v>0.0635</v>
      </c>
      <c r="Q89" s="7">
        <f t="shared" si="84"/>
        <v>0.052</v>
      </c>
      <c r="R89" s="7">
        <f t="shared" si="84"/>
        <v>0.0635</v>
      </c>
      <c r="S89" s="7">
        <f t="shared" si="84"/>
        <v>0.0525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0.03833333333</v>
      </c>
    </row>
    <row r="93">
      <c r="B93" s="6" t="s">
        <v>4</v>
      </c>
      <c r="C93" s="7">
        <f t="shared" ref="C93:I93" si="85">AVERAGE(C63, C73, C83)</f>
        <v>0.2991666667</v>
      </c>
      <c r="D93" s="7">
        <f t="shared" si="85"/>
        <v>0.3213333333</v>
      </c>
      <c r="E93" s="7">
        <f t="shared" si="85"/>
        <v>0.348</v>
      </c>
      <c r="F93" s="7">
        <f t="shared" si="85"/>
        <v>0.3283333333</v>
      </c>
      <c r="G93" s="7">
        <f t="shared" si="85"/>
        <v>0.357</v>
      </c>
      <c r="H93" s="7">
        <f t="shared" si="85"/>
        <v>0.322</v>
      </c>
      <c r="I93" s="7">
        <f t="shared" si="85"/>
        <v>0.3483333333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0.02216666667</v>
      </c>
      <c r="O93" s="7">
        <f t="shared" si="86"/>
        <v>0.04883333333</v>
      </c>
      <c r="P93" s="7">
        <f t="shared" si="86"/>
        <v>0.02916666667</v>
      </c>
      <c r="Q93" s="7">
        <f t="shared" si="86"/>
        <v>0.05783333333</v>
      </c>
      <c r="R93" s="7">
        <f t="shared" si="86"/>
        <v>0.02283333333</v>
      </c>
      <c r="S93" s="7">
        <f t="shared" si="86"/>
        <v>0.04916666667</v>
      </c>
      <c r="U93" s="8" t="s">
        <v>23</v>
      </c>
      <c r="V93" s="3">
        <f>average(M94:M99)</f>
        <v>0.01430555556</v>
      </c>
    </row>
    <row r="94">
      <c r="B94" s="6" t="s">
        <v>5</v>
      </c>
      <c r="C94" s="7">
        <f t="shared" ref="C94:I94" si="87">AVERAGE(C64, C74, C84)</f>
        <v>0.2995</v>
      </c>
      <c r="D94" s="7">
        <f t="shared" si="87"/>
        <v>0.3215</v>
      </c>
      <c r="E94" s="7">
        <f t="shared" si="87"/>
        <v>0.348</v>
      </c>
      <c r="F94" s="7">
        <f t="shared" si="87"/>
        <v>0.3285</v>
      </c>
      <c r="G94" s="7">
        <f t="shared" si="87"/>
        <v>0.3575</v>
      </c>
      <c r="H94" s="7">
        <f t="shared" si="87"/>
        <v>0.323</v>
      </c>
      <c r="I94" s="7">
        <f t="shared" si="87"/>
        <v>0.349</v>
      </c>
      <c r="J94" s="3"/>
      <c r="L94" s="6" t="s">
        <v>5</v>
      </c>
      <c r="M94" s="7">
        <f t="shared" ref="M94:S94" si="88">C94-$C$93</f>
        <v>0.0003333333333</v>
      </c>
      <c r="N94" s="7">
        <f t="shared" si="88"/>
        <v>0.02233333333</v>
      </c>
      <c r="O94" s="7">
        <f t="shared" si="88"/>
        <v>0.04883333333</v>
      </c>
      <c r="P94" s="7">
        <f t="shared" si="88"/>
        <v>0.02933333333</v>
      </c>
      <c r="Q94" s="7">
        <f t="shared" si="88"/>
        <v>0.05833333333</v>
      </c>
      <c r="R94" s="7">
        <f t="shared" si="88"/>
        <v>0.02383333333</v>
      </c>
      <c r="S94" s="7">
        <f t="shared" si="88"/>
        <v>0.04983333333</v>
      </c>
      <c r="U94" s="8" t="s">
        <v>24</v>
      </c>
      <c r="V94" s="3">
        <f>AVERAGE(N94:S99)</f>
        <v>0.04620833333</v>
      </c>
    </row>
    <row r="95">
      <c r="B95" s="6" t="s">
        <v>6</v>
      </c>
      <c r="C95" s="7">
        <f t="shared" ref="C95:I95" si="89">AVERAGE(C65, C75, C85)</f>
        <v>0.2968333333</v>
      </c>
      <c r="D95" s="7">
        <f t="shared" si="89"/>
        <v>0.319</v>
      </c>
      <c r="E95" s="7">
        <f t="shared" si="89"/>
        <v>0.3456666667</v>
      </c>
      <c r="F95" s="7">
        <f t="shared" si="89"/>
        <v>0.3281666667</v>
      </c>
      <c r="G95" s="7">
        <f t="shared" si="89"/>
        <v>0.3578333333</v>
      </c>
      <c r="H95" s="7">
        <f t="shared" si="89"/>
        <v>0.3211666667</v>
      </c>
      <c r="I95" s="7">
        <f t="shared" si="89"/>
        <v>0.3511666667</v>
      </c>
      <c r="J95" s="3"/>
      <c r="L95" s="6" t="s">
        <v>6</v>
      </c>
      <c r="M95" s="7">
        <f t="shared" ref="M95:S95" si="90">C95-$C$93</f>
        <v>-0.002333333333</v>
      </c>
      <c r="N95" s="7">
        <f t="shared" si="90"/>
        <v>0.01983333333</v>
      </c>
      <c r="O95" s="7">
        <f t="shared" si="90"/>
        <v>0.0465</v>
      </c>
      <c r="P95" s="7">
        <f t="shared" si="90"/>
        <v>0.029</v>
      </c>
      <c r="Q95" s="7">
        <f t="shared" si="90"/>
        <v>0.05866666667</v>
      </c>
      <c r="R95" s="7">
        <f t="shared" si="90"/>
        <v>0.022</v>
      </c>
      <c r="S95" s="7">
        <f t="shared" si="90"/>
        <v>0.052</v>
      </c>
    </row>
    <row r="96">
      <c r="B96" s="6" t="s">
        <v>7</v>
      </c>
      <c r="C96" s="7">
        <f t="shared" ref="C96:I96" si="91">AVERAGE(C66, C76, C86)</f>
        <v>0.3083333333</v>
      </c>
      <c r="D96" s="7">
        <f t="shared" si="91"/>
        <v>0.3305</v>
      </c>
      <c r="E96" s="7">
        <f t="shared" si="91"/>
        <v>0.3555</v>
      </c>
      <c r="F96" s="7">
        <f t="shared" si="91"/>
        <v>0.332</v>
      </c>
      <c r="G96" s="7">
        <f t="shared" si="91"/>
        <v>0.3573333333</v>
      </c>
      <c r="H96" s="7">
        <f t="shared" si="91"/>
        <v>0.3276666667</v>
      </c>
      <c r="I96" s="7">
        <f t="shared" si="91"/>
        <v>0.3488333333</v>
      </c>
      <c r="J96" s="3"/>
      <c r="L96" s="6" t="s">
        <v>7</v>
      </c>
      <c r="M96" s="7">
        <f t="shared" ref="M96:S96" si="92">C96-$C$93</f>
        <v>0.009166666667</v>
      </c>
      <c r="N96" s="7">
        <f t="shared" si="92"/>
        <v>0.03133333333</v>
      </c>
      <c r="O96" s="7">
        <f t="shared" si="92"/>
        <v>0.05633333333</v>
      </c>
      <c r="P96" s="7">
        <f t="shared" si="92"/>
        <v>0.03283333333</v>
      </c>
      <c r="Q96" s="7">
        <f t="shared" si="92"/>
        <v>0.05816666667</v>
      </c>
      <c r="R96" s="7">
        <f t="shared" si="92"/>
        <v>0.0285</v>
      </c>
      <c r="S96" s="7">
        <f t="shared" si="92"/>
        <v>0.04966666667</v>
      </c>
    </row>
    <row r="97">
      <c r="B97" s="6" t="s">
        <v>8</v>
      </c>
      <c r="C97" s="7">
        <f t="shared" ref="C97:I97" si="93">AVERAGE(C67, C77, C87)</f>
        <v>0.3373333333</v>
      </c>
      <c r="D97" s="7">
        <f t="shared" si="93"/>
        <v>0.3581666667</v>
      </c>
      <c r="E97" s="7">
        <f t="shared" si="93"/>
        <v>0.382</v>
      </c>
      <c r="F97" s="7">
        <f t="shared" si="93"/>
        <v>0.352</v>
      </c>
      <c r="G97" s="7">
        <f t="shared" si="93"/>
        <v>0.3666666667</v>
      </c>
      <c r="H97" s="7">
        <f t="shared" si="93"/>
        <v>0.3471666667</v>
      </c>
      <c r="I97" s="7">
        <f t="shared" si="93"/>
        <v>0.3588333333</v>
      </c>
      <c r="J97" s="3"/>
      <c r="L97" s="6" t="s">
        <v>8</v>
      </c>
      <c r="M97" s="7">
        <f t="shared" ref="M97:S97" si="94">C97-$C$93</f>
        <v>0.03816666667</v>
      </c>
      <c r="N97" s="7">
        <f t="shared" si="94"/>
        <v>0.059</v>
      </c>
      <c r="O97" s="7">
        <f t="shared" si="94"/>
        <v>0.08283333333</v>
      </c>
      <c r="P97" s="7">
        <f t="shared" si="94"/>
        <v>0.05283333333</v>
      </c>
      <c r="Q97" s="7">
        <f t="shared" si="94"/>
        <v>0.0675</v>
      </c>
      <c r="R97" s="7">
        <f t="shared" si="94"/>
        <v>0.048</v>
      </c>
      <c r="S97" s="7">
        <f t="shared" si="94"/>
        <v>0.05966666667</v>
      </c>
    </row>
    <row r="98">
      <c r="B98" s="6" t="s">
        <v>9</v>
      </c>
      <c r="C98" s="7">
        <f t="shared" ref="C98:I98" si="95">AVERAGE(C68, C78, C88)</f>
        <v>0.3093333333</v>
      </c>
      <c r="D98" s="7">
        <f t="shared" si="95"/>
        <v>0.3313333333</v>
      </c>
      <c r="E98" s="7">
        <f t="shared" si="95"/>
        <v>0.356</v>
      </c>
      <c r="F98" s="7">
        <f t="shared" si="95"/>
        <v>0.3328333333</v>
      </c>
      <c r="G98" s="7">
        <f t="shared" si="95"/>
        <v>0.3575</v>
      </c>
      <c r="H98" s="7">
        <f t="shared" si="95"/>
        <v>0.3275</v>
      </c>
      <c r="I98" s="7">
        <f t="shared" si="95"/>
        <v>0.3483333333</v>
      </c>
      <c r="J98" s="3"/>
      <c r="L98" s="6" t="s">
        <v>9</v>
      </c>
      <c r="M98" s="7">
        <f t="shared" ref="M98:S98" si="96">C98-$C$93</f>
        <v>0.01016666667</v>
      </c>
      <c r="N98" s="7">
        <f t="shared" si="96"/>
        <v>0.03216666667</v>
      </c>
      <c r="O98" s="7">
        <f t="shared" si="96"/>
        <v>0.05683333333</v>
      </c>
      <c r="P98" s="7">
        <f t="shared" si="96"/>
        <v>0.03366666667</v>
      </c>
      <c r="Q98" s="7">
        <f t="shared" si="96"/>
        <v>0.05833333333</v>
      </c>
      <c r="R98" s="7">
        <f t="shared" si="96"/>
        <v>0.02833333333</v>
      </c>
      <c r="S98" s="7">
        <f t="shared" si="96"/>
        <v>0.04916666667</v>
      </c>
    </row>
    <row r="99">
      <c r="B99" s="6" t="s">
        <v>10</v>
      </c>
      <c r="C99" s="7">
        <f t="shared" ref="C99:I99" si="97">AVERAGE(C69, C79, C89)</f>
        <v>0.3295</v>
      </c>
      <c r="D99" s="7">
        <f t="shared" si="97"/>
        <v>0.3505</v>
      </c>
      <c r="E99" s="7">
        <f t="shared" si="97"/>
        <v>0.3751666667</v>
      </c>
      <c r="F99" s="7">
        <f t="shared" si="97"/>
        <v>0.3435</v>
      </c>
      <c r="G99" s="7">
        <f t="shared" si="97"/>
        <v>0.3575</v>
      </c>
      <c r="H99" s="7">
        <f t="shared" si="97"/>
        <v>0.3373333333</v>
      </c>
      <c r="I99" s="7">
        <f t="shared" si="97"/>
        <v>0.3488333333</v>
      </c>
      <c r="J99" s="3"/>
      <c r="L99" s="6" t="s">
        <v>10</v>
      </c>
      <c r="M99" s="7">
        <f t="shared" ref="M99:S99" si="98">C99-$C$93</f>
        <v>0.03033333333</v>
      </c>
      <c r="N99" s="7">
        <f t="shared" si="98"/>
        <v>0.05133333333</v>
      </c>
      <c r="O99" s="7">
        <f t="shared" si="98"/>
        <v>0.076</v>
      </c>
      <c r="P99" s="7">
        <f t="shared" si="98"/>
        <v>0.04433333333</v>
      </c>
      <c r="Q99" s="7">
        <f t="shared" si="98"/>
        <v>0.05833333333</v>
      </c>
      <c r="R99" s="7">
        <f t="shared" si="98"/>
        <v>0.03816666667</v>
      </c>
      <c r="S99" s="7">
        <f t="shared" si="98"/>
        <v>0.04966666667</v>
      </c>
    </row>
    <row r="101">
      <c r="A101" s="8" t="s">
        <v>526</v>
      </c>
      <c r="B101" s="8" t="s">
        <v>527</v>
      </c>
      <c r="C101" s="8" t="s">
        <v>528</v>
      </c>
      <c r="D101" s="8" t="s">
        <v>529</v>
      </c>
      <c r="E101" s="8" t="s">
        <v>530</v>
      </c>
      <c r="F101" s="8" t="s">
        <v>531</v>
      </c>
      <c r="G101" s="8" t="s">
        <v>532</v>
      </c>
      <c r="I101" s="9" t="str">
        <f t="shared" ref="I101:O101" si="99">substitute(SUBSTITUTE(A101, "(", ""), ")", "")</f>
        <v>0.044, 0.044, 0.044</v>
      </c>
      <c r="J101" s="9" t="str">
        <f t="shared" si="99"/>
        <v>0.039, 0.036, 0.136</v>
      </c>
      <c r="K101" s="9" t="str">
        <f t="shared" si="99"/>
        <v>0.043, 0.035, 0.235</v>
      </c>
      <c r="L101" s="9" t="str">
        <f t="shared" si="99"/>
        <v>0.046, 0.041, 0.141</v>
      </c>
      <c r="M101" s="9" t="str">
        <f t="shared" si="99"/>
        <v>0.058, 0.046, 0.246</v>
      </c>
      <c r="N101" s="9" t="str">
        <f t="shared" si="99"/>
        <v>0.023, 0.021, 0.121</v>
      </c>
      <c r="O101" s="9" t="str">
        <f t="shared" si="99"/>
        <v>0.017, 0.014, 0.214</v>
      </c>
      <c r="T101" s="6"/>
    </row>
    <row r="102">
      <c r="A102" s="8" t="s">
        <v>533</v>
      </c>
      <c r="B102" s="8" t="s">
        <v>534</v>
      </c>
      <c r="C102" s="8" t="s">
        <v>535</v>
      </c>
      <c r="D102" s="8" t="s">
        <v>536</v>
      </c>
      <c r="E102" s="8" t="s">
        <v>537</v>
      </c>
      <c r="F102" s="8" t="s">
        <v>531</v>
      </c>
      <c r="G102" s="8" t="s">
        <v>538</v>
      </c>
      <c r="I102" s="9" t="str">
        <f t="shared" ref="I102:O102" si="100">substitute(SUBSTITUTE(A102, "(", ""), ")", "")</f>
        <v>0.043, 0.043, 0.043</v>
      </c>
      <c r="J102" s="9" t="str">
        <f t="shared" si="100"/>
        <v>0.038, 0.035, 0.135</v>
      </c>
      <c r="K102" s="9" t="str">
        <f t="shared" si="100"/>
        <v>0.042, 0.034, 0.234</v>
      </c>
      <c r="L102" s="9" t="str">
        <f t="shared" si="100"/>
        <v>0.044, 0.040, 0.140</v>
      </c>
      <c r="M102" s="9" t="str">
        <f t="shared" si="100"/>
        <v>0.057, 0.045, 0.245</v>
      </c>
      <c r="N102" s="9" t="str">
        <f t="shared" si="100"/>
        <v>0.023, 0.021, 0.121</v>
      </c>
      <c r="O102" s="9" t="str">
        <f t="shared" si="100"/>
        <v>0.019, 0.015, 0.215</v>
      </c>
    </row>
    <row r="103">
      <c r="A103" s="8" t="s">
        <v>539</v>
      </c>
      <c r="B103" s="8" t="s">
        <v>540</v>
      </c>
      <c r="C103" s="8" t="s">
        <v>541</v>
      </c>
      <c r="D103" s="8" t="s">
        <v>542</v>
      </c>
      <c r="E103" s="8" t="s">
        <v>543</v>
      </c>
      <c r="F103" s="8" t="s">
        <v>544</v>
      </c>
      <c r="G103" s="8" t="s">
        <v>545</v>
      </c>
      <c r="I103" s="9" t="str">
        <f t="shared" ref="I103:O103" si="101">substitute(SUBSTITUTE(A103, "(", ""), ")", "")</f>
        <v>0.045, 0.045, 0.045</v>
      </c>
      <c r="J103" s="9" t="str">
        <f t="shared" si="101"/>
        <v>0.040, 0.036, 0.136</v>
      </c>
      <c r="K103" s="9" t="str">
        <f t="shared" si="101"/>
        <v>0.046, 0.037, 0.237</v>
      </c>
      <c r="L103" s="9" t="str">
        <f t="shared" si="101"/>
        <v>0.047, 0.042, 0.143</v>
      </c>
      <c r="M103" s="9" t="str">
        <f t="shared" si="101"/>
        <v>0.060, 0.048, 0.248</v>
      </c>
      <c r="N103" s="9" t="str">
        <f t="shared" si="101"/>
        <v>0.027, 0.024, 0.124</v>
      </c>
      <c r="O103" s="9" t="str">
        <f t="shared" si="101"/>
        <v>0.023, 0.018, 0.218</v>
      </c>
    </row>
    <row r="104">
      <c r="A104" s="8" t="s">
        <v>526</v>
      </c>
      <c r="B104" s="8" t="s">
        <v>527</v>
      </c>
      <c r="C104" s="8" t="s">
        <v>535</v>
      </c>
      <c r="D104" s="8" t="s">
        <v>536</v>
      </c>
      <c r="E104" s="8" t="s">
        <v>546</v>
      </c>
      <c r="F104" s="8" t="s">
        <v>547</v>
      </c>
      <c r="G104" s="8" t="s">
        <v>548</v>
      </c>
      <c r="I104" s="9" t="str">
        <f t="shared" ref="I104:O104" si="102">substitute(SUBSTITUTE(A104, "(", ""), ")", "")</f>
        <v>0.044, 0.044, 0.044</v>
      </c>
      <c r="J104" s="9" t="str">
        <f t="shared" si="102"/>
        <v>0.039, 0.036, 0.136</v>
      </c>
      <c r="K104" s="9" t="str">
        <f t="shared" si="102"/>
        <v>0.042, 0.034, 0.234</v>
      </c>
      <c r="L104" s="9" t="str">
        <f t="shared" si="102"/>
        <v>0.044, 0.040, 0.140</v>
      </c>
      <c r="M104" s="9" t="str">
        <f t="shared" si="102"/>
        <v>0.054, 0.043, 0.243</v>
      </c>
      <c r="N104" s="9" t="str">
        <f t="shared" si="102"/>
        <v>0.020, 0.018, 0.118</v>
      </c>
      <c r="O104" s="9" t="str">
        <f t="shared" si="102"/>
        <v>0.012, 0.010, 0.210</v>
      </c>
    </row>
    <row r="105">
      <c r="A105" s="8" t="s">
        <v>549</v>
      </c>
      <c r="B105" s="8" t="s">
        <v>550</v>
      </c>
      <c r="C105" s="8" t="s">
        <v>551</v>
      </c>
      <c r="D105" s="8" t="s">
        <v>552</v>
      </c>
      <c r="E105" s="8" t="s">
        <v>553</v>
      </c>
      <c r="F105" s="8" t="s">
        <v>554</v>
      </c>
      <c r="G105" s="8" t="s">
        <v>555</v>
      </c>
      <c r="I105" s="9" t="str">
        <f t="shared" ref="I105:O105" si="103">substitute(SUBSTITUTE(A105, "(", ""), ")", "")</f>
        <v>0.047, 0.047, 0.047</v>
      </c>
      <c r="J105" s="9" t="str">
        <f t="shared" si="103"/>
        <v>0.042, 0.037, 0.138</v>
      </c>
      <c r="K105" s="9" t="str">
        <f t="shared" si="103"/>
        <v>0.044, 0.036, 0.236</v>
      </c>
      <c r="L105" s="9" t="str">
        <f t="shared" si="103"/>
        <v>0.048, 0.043, 0.143</v>
      </c>
      <c r="M105" s="9" t="str">
        <f t="shared" si="103"/>
        <v>0.053, 0.042, 0.242</v>
      </c>
      <c r="N105" s="9" t="str">
        <f t="shared" si="103"/>
        <v>0.019, 0.017, 0.117</v>
      </c>
      <c r="O105" s="9" t="str">
        <f t="shared" si="103"/>
        <v>0.007, 0.006, 0.206</v>
      </c>
    </row>
    <row r="106">
      <c r="A106" s="8" t="s">
        <v>556</v>
      </c>
      <c r="B106" s="8" t="s">
        <v>557</v>
      </c>
      <c r="C106" s="8" t="s">
        <v>558</v>
      </c>
      <c r="D106" s="8" t="s">
        <v>559</v>
      </c>
      <c r="E106" s="8" t="s">
        <v>560</v>
      </c>
      <c r="F106" s="8" t="s">
        <v>561</v>
      </c>
      <c r="G106" s="8" t="s">
        <v>562</v>
      </c>
      <c r="I106" s="9" t="str">
        <f t="shared" ref="I106:O106" si="104">substitute(SUBSTITUTE(A106, "(", ""), ")", "")</f>
        <v>0.051, 0.051, 0.051</v>
      </c>
      <c r="J106" s="9" t="str">
        <f t="shared" si="104"/>
        <v>0.047, 0.042, 0.142</v>
      </c>
      <c r="K106" s="9" t="str">
        <f t="shared" si="104"/>
        <v>0.049, 0.039, 0.239</v>
      </c>
      <c r="L106" s="9" t="str">
        <f t="shared" si="104"/>
        <v>0.051, 0.045, 0.146</v>
      </c>
      <c r="M106" s="9" t="str">
        <f t="shared" si="104"/>
        <v>0.056, 0.045, 0.245</v>
      </c>
      <c r="N106" s="9" t="str">
        <f t="shared" si="104"/>
        <v>0.018, 0.017, 0.117</v>
      </c>
      <c r="O106" s="9" t="str">
        <f t="shared" si="104"/>
        <v>0.007, 0.005, 0.206</v>
      </c>
    </row>
    <row r="107">
      <c r="A107" s="8" t="s">
        <v>563</v>
      </c>
      <c r="B107" s="8" t="s">
        <v>559</v>
      </c>
      <c r="C107" s="8" t="s">
        <v>537</v>
      </c>
      <c r="D107" s="8" t="s">
        <v>564</v>
      </c>
      <c r="E107" s="8" t="s">
        <v>565</v>
      </c>
      <c r="F107" s="8" t="s">
        <v>566</v>
      </c>
      <c r="G107" s="8" t="s">
        <v>567</v>
      </c>
      <c r="I107" s="9" t="str">
        <f t="shared" ref="I107:O107" si="105">substitute(SUBSTITUTE(A107, "(", ""), ")", "")</f>
        <v>0.056, 0.056, 0.056</v>
      </c>
      <c r="J107" s="9" t="str">
        <f t="shared" si="105"/>
        <v>0.051, 0.045, 0.146</v>
      </c>
      <c r="K107" s="9" t="str">
        <f t="shared" si="105"/>
        <v>0.057, 0.045, 0.245</v>
      </c>
      <c r="L107" s="9" t="str">
        <f t="shared" si="105"/>
        <v>0.053, 0.048, 0.148</v>
      </c>
      <c r="M107" s="9" t="str">
        <f t="shared" si="105"/>
        <v>0.056, 0.044, 0.244</v>
      </c>
      <c r="N107" s="9" t="str">
        <f t="shared" si="105"/>
        <v>0.018, 0.016, 0.116</v>
      </c>
      <c r="O107" s="9" t="str">
        <f t="shared" si="105"/>
        <v>0.002, 0.002, 0.202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"","")"),0.044)</f>
        <v>0.044</v>
      </c>
      <c r="B109" s="9">
        <f>IFERROR(__xludf.DUMMYFUNCTION("""COMPUTED_VALUE"""),0.044)</f>
        <v>0.044</v>
      </c>
      <c r="C109" s="9">
        <f>IFERROR(__xludf.DUMMYFUNCTION("""COMPUTED_VALUE"""),0.044)</f>
        <v>0.044</v>
      </c>
      <c r="E109" s="11">
        <f>IFERROR(__xludf.DUMMYFUNCTION("SPLIT(J101, "","")"),0.039)</f>
        <v>0.039</v>
      </c>
      <c r="F109" s="9">
        <f>IFERROR(__xludf.DUMMYFUNCTION("""COMPUTED_VALUE"""),0.036)</f>
        <v>0.036</v>
      </c>
      <c r="G109" s="9">
        <f>IFERROR(__xludf.DUMMYFUNCTION("""COMPUTED_VALUE"""),0.136)</f>
        <v>0.136</v>
      </c>
      <c r="I109" s="9">
        <f>IFERROR(__xludf.DUMMYFUNCTION("SPLIT(K101, "","")"),0.043)</f>
        <v>0.043</v>
      </c>
      <c r="J109" s="9">
        <f>IFERROR(__xludf.DUMMYFUNCTION("""COMPUTED_VALUE"""),0.035)</f>
        <v>0.035</v>
      </c>
      <c r="K109" s="9">
        <f>IFERROR(__xludf.DUMMYFUNCTION("""COMPUTED_VALUE"""),0.235)</f>
        <v>0.235</v>
      </c>
      <c r="M109" s="9">
        <f>IFERROR(__xludf.DUMMYFUNCTION("SPLIT(L101, "","")"),0.046)</f>
        <v>0.046</v>
      </c>
      <c r="N109" s="9">
        <f>IFERROR(__xludf.DUMMYFUNCTION("""COMPUTED_VALUE"""),0.041)</f>
        <v>0.041</v>
      </c>
      <c r="O109" s="9">
        <f>IFERROR(__xludf.DUMMYFUNCTION("""COMPUTED_VALUE"""),0.141)</f>
        <v>0.141</v>
      </c>
      <c r="Q109" s="9">
        <f>IFERROR(__xludf.DUMMYFUNCTION("SPLIT(M101, "","")"),0.058)</f>
        <v>0.058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"","")"),0.023)</f>
        <v>0.023</v>
      </c>
      <c r="V109" s="9">
        <f>IFERROR(__xludf.DUMMYFUNCTION("""COMPUTED_VALUE"""),0.021)</f>
        <v>0.021</v>
      </c>
      <c r="W109" s="9">
        <f>IFERROR(__xludf.DUMMYFUNCTION("""COMPUTED_VALUE"""),0.121)</f>
        <v>0.121</v>
      </c>
      <c r="Y109" s="9">
        <f>IFERROR(__xludf.DUMMYFUNCTION("SPLIT(O101, "","")"),0.017)</f>
        <v>0.017</v>
      </c>
      <c r="Z109" s="9">
        <f>IFERROR(__xludf.DUMMYFUNCTION("""COMPUTED_VALUE"""),0.014)</f>
        <v>0.014</v>
      </c>
      <c r="AA109" s="9">
        <f>IFERROR(__xludf.DUMMYFUNCTION("""COMPUTED_VALUE"""),0.214)</f>
        <v>0.214</v>
      </c>
    </row>
    <row r="110">
      <c r="A110" s="9">
        <f>IFERROR(__xludf.DUMMYFUNCTION("SPLIT(I102, "","")"),0.043)</f>
        <v>0.043</v>
      </c>
      <c r="B110" s="9">
        <f>IFERROR(__xludf.DUMMYFUNCTION("""COMPUTED_VALUE"""),0.043)</f>
        <v>0.043</v>
      </c>
      <c r="C110" s="9">
        <f>IFERROR(__xludf.DUMMYFUNCTION("""COMPUTED_VALUE"""),0.043)</f>
        <v>0.043</v>
      </c>
      <c r="E110" s="11">
        <f>IFERROR(__xludf.DUMMYFUNCTION("SPLIT(J102, "","")"),0.038)</f>
        <v>0.038</v>
      </c>
      <c r="F110" s="9">
        <f>IFERROR(__xludf.DUMMYFUNCTION("""COMPUTED_VALUE"""),0.035)</f>
        <v>0.035</v>
      </c>
      <c r="G110" s="9">
        <f>IFERROR(__xludf.DUMMYFUNCTION("""COMPUTED_VALUE"""),0.135)</f>
        <v>0.135</v>
      </c>
      <c r="I110" s="9">
        <f>IFERROR(__xludf.DUMMYFUNCTION("SPLIT(K102, "","")"),0.042)</f>
        <v>0.042</v>
      </c>
      <c r="J110" s="9">
        <f>IFERROR(__xludf.DUMMYFUNCTION("""COMPUTED_VALUE"""),0.034)</f>
        <v>0.034</v>
      </c>
      <c r="K110" s="9">
        <f>IFERROR(__xludf.DUMMYFUNCTION("""COMPUTED_VALUE"""),0.234)</f>
        <v>0.234</v>
      </c>
      <c r="M110" s="9">
        <f>IFERROR(__xludf.DUMMYFUNCTION("SPLIT(L102, "","")"),0.044)</f>
        <v>0.044</v>
      </c>
      <c r="N110" s="9">
        <f>IFERROR(__xludf.DUMMYFUNCTION("""COMPUTED_VALUE"""),0.04)</f>
        <v>0.04</v>
      </c>
      <c r="O110" s="9">
        <f>IFERROR(__xludf.DUMMYFUNCTION("""COMPUTED_VALUE"""),0.14)</f>
        <v>0.14</v>
      </c>
      <c r="Q110" s="9">
        <f>IFERROR(__xludf.DUMMYFUNCTION("SPLIT(M102, "","")"),0.057)</f>
        <v>0.057</v>
      </c>
      <c r="R110" s="9">
        <f>IFERROR(__xludf.DUMMYFUNCTION("""COMPUTED_VALUE"""),0.045)</f>
        <v>0.045</v>
      </c>
      <c r="S110" s="9">
        <f>IFERROR(__xludf.DUMMYFUNCTION("""COMPUTED_VALUE"""),0.245)</f>
        <v>0.245</v>
      </c>
      <c r="U110" s="9">
        <f>IFERROR(__xludf.DUMMYFUNCTION("SPLIT(N102, "","")"),0.023)</f>
        <v>0.023</v>
      </c>
      <c r="V110" s="9">
        <f>IFERROR(__xludf.DUMMYFUNCTION("""COMPUTED_VALUE"""),0.021)</f>
        <v>0.021</v>
      </c>
      <c r="W110" s="9">
        <f>IFERROR(__xludf.DUMMYFUNCTION("""COMPUTED_VALUE"""),0.121)</f>
        <v>0.121</v>
      </c>
      <c r="Y110" s="9">
        <f>IFERROR(__xludf.DUMMYFUNCTION("SPLIT(O102, "","")"),0.019)</f>
        <v>0.019</v>
      </c>
      <c r="Z110" s="9">
        <f>IFERROR(__xludf.DUMMYFUNCTION("""COMPUTED_VALUE"""),0.015)</f>
        <v>0.015</v>
      </c>
      <c r="AA110" s="9">
        <f>IFERROR(__xludf.DUMMYFUNCTION("""COMPUTED_VALUE"""),0.215)</f>
        <v>0.215</v>
      </c>
    </row>
    <row r="111">
      <c r="A111" s="9">
        <f>IFERROR(__xludf.DUMMYFUNCTION("SPLIT(I103, "","")"),0.045)</f>
        <v>0.045</v>
      </c>
      <c r="B111" s="9">
        <f>IFERROR(__xludf.DUMMYFUNCTION("""COMPUTED_VALUE"""),0.045)</f>
        <v>0.045</v>
      </c>
      <c r="C111" s="9">
        <f>IFERROR(__xludf.DUMMYFUNCTION("""COMPUTED_VALUE"""),0.045)</f>
        <v>0.045</v>
      </c>
      <c r="E111" s="11">
        <f>IFERROR(__xludf.DUMMYFUNCTION("SPLIT(J103, "","")"),0.04)</f>
        <v>0.04</v>
      </c>
      <c r="F111" s="9">
        <f>IFERROR(__xludf.DUMMYFUNCTION("""COMPUTED_VALUE"""),0.036)</f>
        <v>0.036</v>
      </c>
      <c r="G111" s="9">
        <f>IFERROR(__xludf.DUMMYFUNCTION("""COMPUTED_VALUE"""),0.136)</f>
        <v>0.136</v>
      </c>
      <c r="I111" s="9">
        <f>IFERROR(__xludf.DUMMYFUNCTION("SPLIT(K103, "","")"),0.046)</f>
        <v>0.046</v>
      </c>
      <c r="J111" s="9">
        <f>IFERROR(__xludf.DUMMYFUNCTION("""COMPUTED_VALUE"""),0.037)</f>
        <v>0.037</v>
      </c>
      <c r="K111" s="9">
        <f>IFERROR(__xludf.DUMMYFUNCTION("""COMPUTED_VALUE"""),0.237)</f>
        <v>0.237</v>
      </c>
      <c r="M111" s="9">
        <f>IFERROR(__xludf.DUMMYFUNCTION("SPLIT(L103, "","")"),0.047)</f>
        <v>0.047</v>
      </c>
      <c r="N111" s="9">
        <f>IFERROR(__xludf.DUMMYFUNCTION("""COMPUTED_VALUE"""),0.042)</f>
        <v>0.042</v>
      </c>
      <c r="O111" s="9">
        <f>IFERROR(__xludf.DUMMYFUNCTION("""COMPUTED_VALUE"""),0.143)</f>
        <v>0.143</v>
      </c>
      <c r="Q111" s="9">
        <f>IFERROR(__xludf.DUMMYFUNCTION("SPLIT(M103, "","")"),0.06)</f>
        <v>0.06</v>
      </c>
      <c r="R111" s="9">
        <f>IFERROR(__xludf.DUMMYFUNCTION("""COMPUTED_VALUE"""),0.048)</f>
        <v>0.048</v>
      </c>
      <c r="S111" s="9">
        <f>IFERROR(__xludf.DUMMYFUNCTION("""COMPUTED_VALUE"""),0.248)</f>
        <v>0.248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"","")"),0.023)</f>
        <v>0.023</v>
      </c>
      <c r="Z111" s="9">
        <f>IFERROR(__xludf.DUMMYFUNCTION("""COMPUTED_VALUE"""),0.018)</f>
        <v>0.018</v>
      </c>
      <c r="AA111" s="9">
        <f>IFERROR(__xludf.DUMMYFUNCTION("""COMPUTED_VALUE"""),0.218)</f>
        <v>0.218</v>
      </c>
    </row>
    <row r="112">
      <c r="A112" s="9">
        <f>IFERROR(__xludf.DUMMYFUNCTION("SPLIT(I104, "","")"),0.044)</f>
        <v>0.044</v>
      </c>
      <c r="B112" s="9">
        <f>IFERROR(__xludf.DUMMYFUNCTION("""COMPUTED_VALUE"""),0.044)</f>
        <v>0.044</v>
      </c>
      <c r="C112" s="9">
        <f>IFERROR(__xludf.DUMMYFUNCTION("""COMPUTED_VALUE"""),0.044)</f>
        <v>0.044</v>
      </c>
      <c r="E112" s="11">
        <f>IFERROR(__xludf.DUMMYFUNCTION("SPLIT(J104, "","")"),0.039)</f>
        <v>0.039</v>
      </c>
      <c r="F112" s="9">
        <f>IFERROR(__xludf.DUMMYFUNCTION("""COMPUTED_VALUE"""),0.036)</f>
        <v>0.036</v>
      </c>
      <c r="G112" s="9">
        <f>IFERROR(__xludf.DUMMYFUNCTION("""COMPUTED_VALUE"""),0.136)</f>
        <v>0.136</v>
      </c>
      <c r="I112" s="9">
        <f>IFERROR(__xludf.DUMMYFUNCTION("SPLIT(K104, "","")"),0.042)</f>
        <v>0.042</v>
      </c>
      <c r="J112" s="9">
        <f>IFERROR(__xludf.DUMMYFUNCTION("""COMPUTED_VALUE"""),0.034)</f>
        <v>0.034</v>
      </c>
      <c r="K112" s="9">
        <f>IFERROR(__xludf.DUMMYFUNCTION("""COMPUTED_VALUE"""),0.234)</f>
        <v>0.234</v>
      </c>
      <c r="M112" s="9">
        <f>IFERROR(__xludf.DUMMYFUNCTION("SPLIT(L104, "","")"),0.044)</f>
        <v>0.044</v>
      </c>
      <c r="N112" s="9">
        <f>IFERROR(__xludf.DUMMYFUNCTION("""COMPUTED_VALUE"""),0.04)</f>
        <v>0.04</v>
      </c>
      <c r="O112" s="9">
        <f>IFERROR(__xludf.DUMMYFUNCTION("""COMPUTED_VALUE"""),0.14)</f>
        <v>0.14</v>
      </c>
      <c r="Q112" s="9">
        <f>IFERROR(__xludf.DUMMYFUNCTION("SPLIT(M104, "","")"),0.054)</f>
        <v>0.054</v>
      </c>
      <c r="R112" s="9">
        <f>IFERROR(__xludf.DUMMYFUNCTION("""COMPUTED_VALUE"""),0.043)</f>
        <v>0.043</v>
      </c>
      <c r="S112" s="9">
        <f>IFERROR(__xludf.DUMMYFUNCTION("""COMPUTED_VALUE"""),0.243)</f>
        <v>0.243</v>
      </c>
      <c r="U112" s="9">
        <f>IFERROR(__xludf.DUMMYFUNCTION("SPLIT(N104, "","")"),0.02)</f>
        <v>0.02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"","")"),0.012)</f>
        <v>0.012</v>
      </c>
      <c r="Z112" s="9">
        <f>IFERROR(__xludf.DUMMYFUNCTION("""COMPUTED_VALUE"""),0.01)</f>
        <v>0.01</v>
      </c>
      <c r="AA112" s="9">
        <f>IFERROR(__xludf.DUMMYFUNCTION("""COMPUTED_VALUE"""),0.21)</f>
        <v>0.21</v>
      </c>
    </row>
    <row r="113">
      <c r="A113" s="9">
        <f>IFERROR(__xludf.DUMMYFUNCTION("SPLIT(I105, "","")"),0.047)</f>
        <v>0.047</v>
      </c>
      <c r="B113" s="9">
        <f>IFERROR(__xludf.DUMMYFUNCTION("""COMPUTED_VALUE"""),0.047)</f>
        <v>0.047</v>
      </c>
      <c r="C113" s="9">
        <f>IFERROR(__xludf.DUMMYFUNCTION("""COMPUTED_VALUE"""),0.047)</f>
        <v>0.047</v>
      </c>
      <c r="E113" s="11">
        <f>IFERROR(__xludf.DUMMYFUNCTION("SPLIT(J105, "","")"),0.042)</f>
        <v>0.042</v>
      </c>
      <c r="F113" s="9">
        <f>IFERROR(__xludf.DUMMYFUNCTION("""COMPUTED_VALUE"""),0.037)</f>
        <v>0.037</v>
      </c>
      <c r="G113" s="9">
        <f>IFERROR(__xludf.DUMMYFUNCTION("""COMPUTED_VALUE"""),0.138)</f>
        <v>0.138</v>
      </c>
      <c r="I113" s="9">
        <f>IFERROR(__xludf.DUMMYFUNCTION("SPLIT(K105, "","")"),0.044)</f>
        <v>0.044</v>
      </c>
      <c r="J113" s="9">
        <f>IFERROR(__xludf.DUMMYFUNCTION("""COMPUTED_VALUE"""),0.036)</f>
        <v>0.036</v>
      </c>
      <c r="K113" s="9">
        <f>IFERROR(__xludf.DUMMYFUNCTION("""COMPUTED_VALUE"""),0.236)</f>
        <v>0.236</v>
      </c>
      <c r="M113" s="9">
        <f>IFERROR(__xludf.DUMMYFUNCTION("SPLIT(L105, "","")"),0.048)</f>
        <v>0.048</v>
      </c>
      <c r="N113" s="9">
        <f>IFERROR(__xludf.DUMMYFUNCTION("""COMPUTED_VALUE"""),0.043)</f>
        <v>0.043</v>
      </c>
      <c r="O113" s="9">
        <f>IFERROR(__xludf.DUMMYFUNCTION("""COMPUTED_VALUE"""),0.143)</f>
        <v>0.143</v>
      </c>
      <c r="Q113" s="9">
        <f>IFERROR(__xludf.DUMMYFUNCTION("SPLIT(M105, "","")"),0.053)</f>
        <v>0.053</v>
      </c>
      <c r="R113" s="9">
        <f>IFERROR(__xludf.DUMMYFUNCTION("""COMPUTED_VALUE"""),0.042)</f>
        <v>0.042</v>
      </c>
      <c r="S113" s="9">
        <f>IFERROR(__xludf.DUMMYFUNCTION("""COMPUTED_VALUE"""),0.242)</f>
        <v>0.242</v>
      </c>
      <c r="U113" s="9">
        <f>IFERROR(__xludf.DUMMYFUNCTION("SPLIT(N105, "","")"),0.019)</f>
        <v>0.019</v>
      </c>
      <c r="V113" s="9">
        <f>IFERROR(__xludf.DUMMYFUNCTION("""COMPUTED_VALUE"""),0.017)</f>
        <v>0.017</v>
      </c>
      <c r="W113" s="9">
        <f>IFERROR(__xludf.DUMMYFUNCTION("""COMPUTED_VALUE"""),0.117)</f>
        <v>0.117</v>
      </c>
      <c r="Y113" s="9">
        <f>IFERROR(__xludf.DUMMYFUNCTION("SPLIT(O105, "","")"),0.007)</f>
        <v>0.007</v>
      </c>
      <c r="Z113" s="9">
        <f>IFERROR(__xludf.DUMMYFUNCTION("""COMPUTED_VALUE"""),0.006)</f>
        <v>0.006</v>
      </c>
      <c r="AA113" s="9">
        <f>IFERROR(__xludf.DUMMYFUNCTION("""COMPUTED_VALUE"""),0.206)</f>
        <v>0.206</v>
      </c>
    </row>
    <row r="114">
      <c r="A114" s="9">
        <f>IFERROR(__xludf.DUMMYFUNCTION("SPLIT(I106, "","")"),0.051)</f>
        <v>0.051</v>
      </c>
      <c r="B114" s="9">
        <f>IFERROR(__xludf.DUMMYFUNCTION("""COMPUTED_VALUE"""),0.051)</f>
        <v>0.051</v>
      </c>
      <c r="C114" s="9">
        <f>IFERROR(__xludf.DUMMYFUNCTION("""COMPUTED_VALUE"""),0.051)</f>
        <v>0.051</v>
      </c>
      <c r="E114" s="11">
        <f>IFERROR(__xludf.DUMMYFUNCTION("SPLIT(J106, "","")"),0.047)</f>
        <v>0.047</v>
      </c>
      <c r="F114" s="9">
        <f>IFERROR(__xludf.DUMMYFUNCTION("""COMPUTED_VALUE"""),0.042)</f>
        <v>0.042</v>
      </c>
      <c r="G114" s="9">
        <f>IFERROR(__xludf.DUMMYFUNCTION("""COMPUTED_VALUE"""),0.142)</f>
        <v>0.142</v>
      </c>
      <c r="I114" s="9">
        <f>IFERROR(__xludf.DUMMYFUNCTION("SPLIT(K106, "","")"),0.049)</f>
        <v>0.049</v>
      </c>
      <c r="J114" s="9">
        <f>IFERROR(__xludf.DUMMYFUNCTION("""COMPUTED_VALUE"""),0.039)</f>
        <v>0.039</v>
      </c>
      <c r="K114" s="9">
        <f>IFERROR(__xludf.DUMMYFUNCTION("""COMPUTED_VALUE"""),0.239)</f>
        <v>0.239</v>
      </c>
      <c r="M114" s="9">
        <f>IFERROR(__xludf.DUMMYFUNCTION("SPLIT(L106, "","")"),0.051)</f>
        <v>0.051</v>
      </c>
      <c r="N114" s="9">
        <f>IFERROR(__xludf.DUMMYFUNCTION("""COMPUTED_VALUE"""),0.045)</f>
        <v>0.045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IFERROR(__xludf.DUMMYFUNCTION("""COMPUTED_VALUE"""),0.045)</f>
        <v>0.045</v>
      </c>
      <c r="S114" s="9">
        <f>IFERROR(__xludf.DUMMYFUNCTION("""COMPUTED_VALUE"""),0.245)</f>
        <v>0.245</v>
      </c>
      <c r="U114" s="9">
        <f>IFERROR(__xludf.DUMMYFUNCTION("SPLIT(N106, "","")"),0.018)</f>
        <v>0.018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IFERROR(__xludf.DUMMYFUNCTION("""COMPUTED_VALUE"""),0.005)</f>
        <v>0.005</v>
      </c>
      <c r="AA114" s="9">
        <f>IFERROR(__xludf.DUMMYFUNCTION("""COMPUTED_VALUE"""),0.206)</f>
        <v>0.206</v>
      </c>
    </row>
    <row r="115">
      <c r="A115" s="9">
        <f>IFERROR(__xludf.DUMMYFUNCTION("SPLIT(I107, "","")"),0.056)</f>
        <v>0.056</v>
      </c>
      <c r="B115" s="9">
        <f>IFERROR(__xludf.DUMMYFUNCTION("""COMPUTED_VALUE"""),0.056)</f>
        <v>0.056</v>
      </c>
      <c r="C115" s="9">
        <f>IFERROR(__xludf.DUMMYFUNCTION("""COMPUTED_VALUE"""),0.056)</f>
        <v>0.056</v>
      </c>
      <c r="E115" s="11">
        <f>IFERROR(__xludf.DUMMYFUNCTION("SPLIT(J107, "","")"),0.051)</f>
        <v>0.051</v>
      </c>
      <c r="F115" s="9">
        <f>IFERROR(__xludf.DUMMYFUNCTION("""COMPUTED_VALUE"""),0.045)</f>
        <v>0.045</v>
      </c>
      <c r="G115" s="9">
        <f>IFERROR(__xludf.DUMMYFUNCTION("""COMPUTED_VALUE"""),0.146)</f>
        <v>0.146</v>
      </c>
      <c r="I115" s="9">
        <f>IFERROR(__xludf.DUMMYFUNCTION("SPLIT(K107, "","")"),0.057)</f>
        <v>0.057</v>
      </c>
      <c r="J115" s="9">
        <f>IFERROR(__xludf.DUMMYFUNCTION("""COMPUTED_VALUE"""),0.045)</f>
        <v>0.045</v>
      </c>
      <c r="K115" s="9">
        <f>IFERROR(__xludf.DUMMYFUNCTION("""COMPUTED_VALUE"""),0.245)</f>
        <v>0.245</v>
      </c>
      <c r="M115" s="9">
        <f>IFERROR(__xludf.DUMMYFUNCTION("SPLIT(L107, "","")"),0.053)</f>
        <v>0.053</v>
      </c>
      <c r="N115" s="9">
        <f>IFERROR(__xludf.DUMMYFUNCTION("""COMPUTED_VALUE"""),0.048)</f>
        <v>0.048</v>
      </c>
      <c r="O115" s="9">
        <f>IFERROR(__xludf.DUMMYFUNCTION("""COMPUTED_VALUE"""),0.148)</f>
        <v>0.148</v>
      </c>
      <c r="Q115" s="9">
        <f>IFERROR(__xludf.DUMMYFUNCTION("SPLIT(M107, "","")"),0.056)</f>
        <v>0.056</v>
      </c>
      <c r="R115" s="9">
        <f>IFERROR(__xludf.DUMMYFUNCTION("""COMPUTED_VALUE"""),0.044)</f>
        <v>0.044</v>
      </c>
      <c r="S115" s="9">
        <f>IFERROR(__xludf.DUMMYFUNCTION("""COMPUTED_VALUE"""),0.244)</f>
        <v>0.244</v>
      </c>
      <c r="U115" s="9">
        <f>IFERROR(__xludf.DUMMYFUNCTION("SPLIT(N107, "","")"),0.018)</f>
        <v>0.018</v>
      </c>
      <c r="V115" s="9">
        <f>IFERROR(__xludf.DUMMYFUNCTION("""COMPUTED_VALUE"""),0.016)</f>
        <v>0.016</v>
      </c>
      <c r="W115" s="9">
        <f>IFERROR(__xludf.DUMMYFUNCTION("""COMPUTED_VALUE"""),0.116)</f>
        <v>0.116</v>
      </c>
      <c r="Y115" s="9">
        <f>IFERROR(__xludf.DUMMYFUNCTION("SPLIT(O107, "","")"),0.002)</f>
        <v>0.002</v>
      </c>
      <c r="Z115" s="9">
        <f>IFERROR(__xludf.DUMMYFUNCTION("""COMPUTED_VALUE"""),0.002)</f>
        <v>0.002</v>
      </c>
      <c r="AA115" s="9">
        <f>IFERROR(__xludf.DUMMYFUNCTION("""COMPUTED_VALUE"""),0.202)</f>
        <v>0.202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0.044</v>
      </c>
      <c r="D119" s="7">
        <f t="shared" ref="D119:D125" si="111">E109</f>
        <v>0.039</v>
      </c>
      <c r="E119" s="7">
        <f t="shared" ref="E119:E125" si="112">I109</f>
        <v>0.043</v>
      </c>
      <c r="F119" s="7">
        <f t="shared" ref="F119:G119" si="106">N109</f>
        <v>0.041</v>
      </c>
      <c r="G119" s="12">
        <f t="shared" si="106"/>
        <v>0.141</v>
      </c>
      <c r="H119" s="7">
        <f t="shared" ref="H119:I119" si="107">R109</f>
        <v>0.046</v>
      </c>
      <c r="I119" s="12">
        <f t="shared" si="107"/>
        <v>0.246</v>
      </c>
      <c r="J119" s="7">
        <f t="shared" ref="J119:K119" si="108">V109</f>
        <v>0.021</v>
      </c>
      <c r="K119" s="12">
        <f t="shared" si="108"/>
        <v>0.121</v>
      </c>
      <c r="L119" s="7">
        <f t="shared" ref="L119:M119" si="109">Z109</f>
        <v>0.014</v>
      </c>
      <c r="M119" s="7">
        <f t="shared" si="109"/>
        <v>0.214</v>
      </c>
    </row>
    <row r="120">
      <c r="B120" s="6" t="s">
        <v>5</v>
      </c>
      <c r="C120" s="7">
        <f t="shared" si="110"/>
        <v>0.043</v>
      </c>
      <c r="D120" s="7">
        <f t="shared" si="111"/>
        <v>0.038</v>
      </c>
      <c r="E120" s="7">
        <f t="shared" si="112"/>
        <v>0.042</v>
      </c>
      <c r="F120" s="7">
        <f t="shared" ref="F120:G120" si="113">N110</f>
        <v>0.04</v>
      </c>
      <c r="G120" s="12">
        <f t="shared" si="113"/>
        <v>0.14</v>
      </c>
      <c r="H120" s="7">
        <f t="shared" ref="H120:I120" si="114">R110</f>
        <v>0.045</v>
      </c>
      <c r="I120" s="12">
        <f t="shared" si="114"/>
        <v>0.245</v>
      </c>
      <c r="J120" s="7">
        <f t="shared" ref="J120:K120" si="115">V110</f>
        <v>0.021</v>
      </c>
      <c r="K120" s="12">
        <f t="shared" si="115"/>
        <v>0.121</v>
      </c>
      <c r="L120" s="7">
        <f t="shared" ref="L120:M120" si="116">Z110</f>
        <v>0.015</v>
      </c>
      <c r="M120" s="7">
        <f t="shared" si="116"/>
        <v>0.215</v>
      </c>
    </row>
    <row r="121">
      <c r="B121" s="6" t="s">
        <v>6</v>
      </c>
      <c r="C121" s="7">
        <f t="shared" si="110"/>
        <v>0.045</v>
      </c>
      <c r="D121" s="7">
        <f t="shared" si="111"/>
        <v>0.04</v>
      </c>
      <c r="E121" s="7">
        <f t="shared" si="112"/>
        <v>0.046</v>
      </c>
      <c r="F121" s="7">
        <f t="shared" ref="F121:G121" si="117">N111</f>
        <v>0.042</v>
      </c>
      <c r="G121" s="12">
        <f t="shared" si="117"/>
        <v>0.143</v>
      </c>
      <c r="H121" s="7">
        <f t="shared" ref="H121:I121" si="118">R111</f>
        <v>0.048</v>
      </c>
      <c r="I121" s="12">
        <f t="shared" si="118"/>
        <v>0.248</v>
      </c>
      <c r="J121" s="7">
        <f t="shared" ref="J121:K121" si="119">V111</f>
        <v>0.024</v>
      </c>
      <c r="K121" s="12">
        <f t="shared" si="119"/>
        <v>0.124</v>
      </c>
      <c r="L121" s="7">
        <f t="shared" ref="L121:M121" si="120">Z111</f>
        <v>0.018</v>
      </c>
      <c r="M121" s="7">
        <f t="shared" si="120"/>
        <v>0.218</v>
      </c>
    </row>
    <row r="122">
      <c r="B122" s="6" t="s">
        <v>7</v>
      </c>
      <c r="C122" s="7">
        <f t="shared" si="110"/>
        <v>0.044</v>
      </c>
      <c r="D122" s="7">
        <f t="shared" si="111"/>
        <v>0.039</v>
      </c>
      <c r="E122" s="7">
        <f t="shared" si="112"/>
        <v>0.042</v>
      </c>
      <c r="F122" s="7">
        <f t="shared" ref="F122:G122" si="121">N112</f>
        <v>0.04</v>
      </c>
      <c r="G122" s="12">
        <f t="shared" si="121"/>
        <v>0.14</v>
      </c>
      <c r="H122" s="7">
        <f t="shared" ref="H122:I122" si="122">R112</f>
        <v>0.043</v>
      </c>
      <c r="I122" s="12">
        <f t="shared" si="122"/>
        <v>0.243</v>
      </c>
      <c r="J122" s="7">
        <f t="shared" ref="J122:K122" si="123">V112</f>
        <v>0.018</v>
      </c>
      <c r="K122" s="12">
        <f t="shared" si="123"/>
        <v>0.118</v>
      </c>
      <c r="L122" s="7">
        <f t="shared" ref="L122:M122" si="124">Z112</f>
        <v>0.01</v>
      </c>
      <c r="M122" s="7">
        <f t="shared" si="124"/>
        <v>0.21</v>
      </c>
    </row>
    <row r="123">
      <c r="B123" s="6" t="s">
        <v>8</v>
      </c>
      <c r="C123" s="7">
        <f t="shared" si="110"/>
        <v>0.047</v>
      </c>
      <c r="D123" s="7">
        <f t="shared" si="111"/>
        <v>0.042</v>
      </c>
      <c r="E123" s="7">
        <f t="shared" si="112"/>
        <v>0.044</v>
      </c>
      <c r="F123" s="7">
        <f t="shared" ref="F123:G123" si="125">N113</f>
        <v>0.043</v>
      </c>
      <c r="G123" s="12">
        <f t="shared" si="125"/>
        <v>0.143</v>
      </c>
      <c r="H123" s="7">
        <f t="shared" ref="H123:I123" si="126">R113</f>
        <v>0.042</v>
      </c>
      <c r="I123" s="12">
        <f t="shared" si="126"/>
        <v>0.242</v>
      </c>
      <c r="J123" s="7">
        <f t="shared" ref="J123:K123" si="127">V113</f>
        <v>0.017</v>
      </c>
      <c r="K123" s="12">
        <f t="shared" si="127"/>
        <v>0.117</v>
      </c>
      <c r="L123" s="7">
        <f t="shared" ref="L123:M123" si="128">Z113</f>
        <v>0.006</v>
      </c>
      <c r="M123" s="7">
        <f t="shared" si="128"/>
        <v>0.206</v>
      </c>
    </row>
    <row r="124">
      <c r="B124" s="6" t="s">
        <v>9</v>
      </c>
      <c r="C124" s="7">
        <f t="shared" si="110"/>
        <v>0.051</v>
      </c>
      <c r="D124" s="7">
        <f t="shared" si="111"/>
        <v>0.047</v>
      </c>
      <c r="E124" s="7">
        <f t="shared" si="112"/>
        <v>0.049</v>
      </c>
      <c r="F124" s="7">
        <f t="shared" ref="F124:G124" si="129">N114</f>
        <v>0.045</v>
      </c>
      <c r="G124" s="12">
        <f t="shared" si="129"/>
        <v>0.146</v>
      </c>
      <c r="H124" s="7">
        <f t="shared" ref="H124:I124" si="130">R114</f>
        <v>0.045</v>
      </c>
      <c r="I124" s="12">
        <f t="shared" si="130"/>
        <v>0.245</v>
      </c>
      <c r="J124" s="7">
        <f t="shared" ref="J124:K124" si="131">V114</f>
        <v>0.017</v>
      </c>
      <c r="K124" s="12">
        <f t="shared" si="131"/>
        <v>0.117</v>
      </c>
      <c r="L124" s="7">
        <f t="shared" ref="L124:M124" si="132">Z114</f>
        <v>0.005</v>
      </c>
      <c r="M124" s="7">
        <f t="shared" si="132"/>
        <v>0.206</v>
      </c>
    </row>
    <row r="125">
      <c r="B125" s="6" t="s">
        <v>10</v>
      </c>
      <c r="C125" s="7">
        <f t="shared" si="110"/>
        <v>0.056</v>
      </c>
      <c r="D125" s="7">
        <f t="shared" si="111"/>
        <v>0.051</v>
      </c>
      <c r="E125" s="7">
        <f t="shared" si="112"/>
        <v>0.057</v>
      </c>
      <c r="F125" s="7">
        <f t="shared" ref="F125:G125" si="133">N115</f>
        <v>0.048</v>
      </c>
      <c r="G125" s="12">
        <f t="shared" si="133"/>
        <v>0.148</v>
      </c>
      <c r="H125" s="7">
        <f t="shared" ref="H125:I125" si="134">R115</f>
        <v>0.044</v>
      </c>
      <c r="I125" s="12">
        <f t="shared" si="134"/>
        <v>0.244</v>
      </c>
      <c r="J125" s="7">
        <f t="shared" ref="J125:K125" si="135">V115</f>
        <v>0.016</v>
      </c>
      <c r="K125" s="12">
        <f t="shared" si="135"/>
        <v>0.116</v>
      </c>
      <c r="L125" s="7">
        <f t="shared" ref="L125:M125" si="136">Z115</f>
        <v>0.002</v>
      </c>
      <c r="M125" s="7">
        <f t="shared" si="136"/>
        <v>0.202</v>
      </c>
    </row>
    <row r="127">
      <c r="A127" s="8" t="s">
        <v>568</v>
      </c>
      <c r="B127" s="8" t="s">
        <v>512</v>
      </c>
      <c r="C127" s="8" t="s">
        <v>569</v>
      </c>
      <c r="D127" s="8" t="s">
        <v>570</v>
      </c>
      <c r="E127" s="8" t="s">
        <v>571</v>
      </c>
      <c r="F127" s="8" t="s">
        <v>572</v>
      </c>
      <c r="G127" s="8" t="s">
        <v>354</v>
      </c>
      <c r="I127" s="9" t="str">
        <f t="shared" ref="I127:O127" si="137">substitute(SUBSTITUTE(A127, "(", ""), ")", "")</f>
        <v>0.269, 0.269, 0.269</v>
      </c>
      <c r="J127" s="9" t="str">
        <f t="shared" si="137"/>
        <v>0.274, 0.247, 0.347</v>
      </c>
      <c r="K127" s="9" t="str">
        <f t="shared" si="137"/>
        <v>0.291, 0.233, 0.433</v>
      </c>
      <c r="L127" s="9" t="str">
        <f t="shared" si="137"/>
        <v>0.269, 0.242, 0.342</v>
      </c>
      <c r="M127" s="9" t="str">
        <f t="shared" si="137"/>
        <v>0.267, 0.214, 0.414</v>
      </c>
      <c r="N127" s="9" t="str">
        <f t="shared" si="137"/>
        <v>0.266, 0.239, 0.339</v>
      </c>
      <c r="O127" s="9" t="str">
        <f t="shared" si="137"/>
        <v>0.257, 0.205, 0.405</v>
      </c>
      <c r="T127" s="6"/>
    </row>
    <row r="128">
      <c r="A128" s="8" t="s">
        <v>573</v>
      </c>
      <c r="B128" s="8" t="s">
        <v>574</v>
      </c>
      <c r="C128" s="8" t="s">
        <v>575</v>
      </c>
      <c r="D128" s="8" t="s">
        <v>576</v>
      </c>
      <c r="E128" s="8" t="s">
        <v>571</v>
      </c>
      <c r="F128" s="8" t="s">
        <v>577</v>
      </c>
      <c r="G128" s="8" t="s">
        <v>505</v>
      </c>
      <c r="I128" s="9" t="str">
        <f t="shared" ref="I128:O128" si="138">substitute(SUBSTITUTE(A128, "(", ""), ")", "")</f>
        <v>0.268, 0.268, 0.268</v>
      </c>
      <c r="J128" s="9" t="str">
        <f t="shared" si="138"/>
        <v>0.274, 0.246, 0.346</v>
      </c>
      <c r="K128" s="9" t="str">
        <f t="shared" si="138"/>
        <v>0.289, 0.232, 0.431</v>
      </c>
      <c r="L128" s="9" t="str">
        <f t="shared" si="138"/>
        <v>0.268, 0.241, 0.341</v>
      </c>
      <c r="M128" s="9" t="str">
        <f t="shared" si="138"/>
        <v>0.267, 0.214, 0.414</v>
      </c>
      <c r="N128" s="9" t="str">
        <f t="shared" si="138"/>
        <v>0.265, 0.238, 0.338</v>
      </c>
      <c r="O128" s="9" t="str">
        <f t="shared" si="138"/>
        <v>0.256, 0.205, 0.405</v>
      </c>
    </row>
    <row r="129">
      <c r="A129" s="8" t="s">
        <v>578</v>
      </c>
      <c r="B129" s="8" t="s">
        <v>579</v>
      </c>
      <c r="C129" s="8" t="s">
        <v>580</v>
      </c>
      <c r="D129" s="8" t="s">
        <v>581</v>
      </c>
      <c r="E129" s="8" t="s">
        <v>582</v>
      </c>
      <c r="F129" s="8" t="s">
        <v>583</v>
      </c>
      <c r="G129" s="8" t="s">
        <v>584</v>
      </c>
      <c r="I129" s="9" t="str">
        <f t="shared" ref="I129:O129" si="139">substitute(SUBSTITUTE(A129, "(", ""), ")", "")</f>
        <v>0.270, 0.270, 0.270</v>
      </c>
      <c r="J129" s="9" t="str">
        <f t="shared" si="139"/>
        <v>0.276, 0.248, 0.348</v>
      </c>
      <c r="K129" s="9" t="str">
        <f t="shared" si="139"/>
        <v>0.292, 0.233, 0.433</v>
      </c>
      <c r="L129" s="9" t="str">
        <f t="shared" si="139"/>
        <v>0.270, 0.243, 0.343</v>
      </c>
      <c r="M129" s="9" t="str">
        <f t="shared" si="139"/>
        <v>0.269, 0.215, 0.415</v>
      </c>
      <c r="N129" s="9" t="str">
        <f t="shared" si="139"/>
        <v>0.266, 0.240, 0.340</v>
      </c>
      <c r="O129" s="9" t="str">
        <f t="shared" si="139"/>
        <v>0.257, 0.206, 0.406</v>
      </c>
    </row>
    <row r="130">
      <c r="A130" s="8" t="s">
        <v>585</v>
      </c>
      <c r="B130" s="8" t="s">
        <v>586</v>
      </c>
      <c r="C130" s="8" t="s">
        <v>587</v>
      </c>
      <c r="D130" s="8" t="s">
        <v>579</v>
      </c>
      <c r="E130" s="8" t="s">
        <v>588</v>
      </c>
      <c r="F130" s="8" t="s">
        <v>589</v>
      </c>
      <c r="G130" s="8" t="s">
        <v>590</v>
      </c>
      <c r="I130" s="9" t="str">
        <f t="shared" ref="I130:O130" si="140">substitute(SUBSTITUTE(A130, "(", ""), ")", "")</f>
        <v>0.276, 0.276, 0.276</v>
      </c>
      <c r="J130" s="9" t="str">
        <f t="shared" si="140"/>
        <v>0.281, 0.253, 0.353</v>
      </c>
      <c r="K130" s="9" t="str">
        <f t="shared" si="140"/>
        <v>0.300, 0.240, 0.440</v>
      </c>
      <c r="L130" s="9" t="str">
        <f t="shared" si="140"/>
        <v>0.276, 0.248, 0.348</v>
      </c>
      <c r="M130" s="9" t="str">
        <f t="shared" si="140"/>
        <v>0.276, 0.221, 0.421</v>
      </c>
      <c r="N130" s="9" t="str">
        <f t="shared" si="140"/>
        <v>0.273, 0.246, 0.346</v>
      </c>
      <c r="O130" s="9" t="str">
        <f t="shared" si="140"/>
        <v>0.265, 0.212, 0.412</v>
      </c>
    </row>
    <row r="131">
      <c r="A131" s="8" t="s">
        <v>371</v>
      </c>
      <c r="B131" s="8" t="s">
        <v>591</v>
      </c>
      <c r="C131" s="8" t="s">
        <v>373</v>
      </c>
      <c r="D131" s="8" t="s">
        <v>591</v>
      </c>
      <c r="E131" s="8" t="s">
        <v>482</v>
      </c>
      <c r="F131" s="8" t="s">
        <v>592</v>
      </c>
      <c r="G131" s="8" t="s">
        <v>127</v>
      </c>
      <c r="I131" s="9" t="str">
        <f t="shared" ref="I131:O131" si="141">substitute(SUBSTITUTE(A131, "(", ""), ")", "")</f>
        <v>0.357, 0.357, 0.357</v>
      </c>
      <c r="J131" s="9" t="str">
        <f t="shared" si="141"/>
        <v>0.367, 0.330, 0.430</v>
      </c>
      <c r="K131" s="9" t="str">
        <f t="shared" si="141"/>
        <v>0.389, 0.311, 0.511</v>
      </c>
      <c r="L131" s="9" t="str">
        <f t="shared" si="141"/>
        <v>0.367, 0.330, 0.430</v>
      </c>
      <c r="M131" s="9" t="str">
        <f t="shared" si="141"/>
        <v>0.379, 0.303, 0.503</v>
      </c>
      <c r="N131" s="9" t="str">
        <f t="shared" si="141"/>
        <v>0.364, 0.328, 0.427</v>
      </c>
      <c r="O131" s="9" t="str">
        <f t="shared" si="141"/>
        <v>0.369, 0.295, 0.495</v>
      </c>
    </row>
    <row r="132">
      <c r="A132" s="8" t="s">
        <v>593</v>
      </c>
      <c r="B132" s="8" t="s">
        <v>594</v>
      </c>
      <c r="C132" s="8" t="s">
        <v>595</v>
      </c>
      <c r="D132" s="8" t="s">
        <v>596</v>
      </c>
      <c r="E132" s="8" t="s">
        <v>597</v>
      </c>
      <c r="F132" s="8" t="s">
        <v>598</v>
      </c>
      <c r="G132" s="8" t="s">
        <v>599</v>
      </c>
      <c r="I132" s="9" t="str">
        <f t="shared" ref="I132:O132" si="142">substitute(SUBSTITUTE(A132, "(", ""), ")", "")</f>
        <v>0.279, 0.279, 0.279</v>
      </c>
      <c r="J132" s="9" t="str">
        <f t="shared" si="142"/>
        <v>0.284, 0.256, 0.356</v>
      </c>
      <c r="K132" s="9" t="str">
        <f t="shared" si="142"/>
        <v>0.302, 0.242, 0.442</v>
      </c>
      <c r="L132" s="9" t="str">
        <f t="shared" si="142"/>
        <v>0.280, 0.252, 0.352</v>
      </c>
      <c r="M132" s="9" t="str">
        <f t="shared" si="142"/>
        <v>0.280, 0.224, 0.424</v>
      </c>
      <c r="N132" s="9" t="str">
        <f t="shared" si="142"/>
        <v>0.277, 0.249, 0.349</v>
      </c>
      <c r="O132" s="9" t="str">
        <f t="shared" si="142"/>
        <v>0.270, 0.216, 0.416</v>
      </c>
    </row>
    <row r="133">
      <c r="A133" s="8" t="s">
        <v>600</v>
      </c>
      <c r="B133" s="8" t="s">
        <v>478</v>
      </c>
      <c r="C133" s="8" t="s">
        <v>601</v>
      </c>
      <c r="D133" s="8" t="s">
        <v>602</v>
      </c>
      <c r="E133" s="8" t="s">
        <v>603</v>
      </c>
      <c r="F133" s="8" t="s">
        <v>604</v>
      </c>
      <c r="G133" s="8" t="s">
        <v>605</v>
      </c>
      <c r="I133" s="9" t="str">
        <f t="shared" ref="I133:O133" si="143">substitute(SUBSTITUTE(A133, "(", ""), ")", "")</f>
        <v>0.292, 0.292, 0.292</v>
      </c>
      <c r="J133" s="9" t="str">
        <f t="shared" si="143"/>
        <v>0.299, 0.269, 0.369</v>
      </c>
      <c r="K133" s="9" t="str">
        <f t="shared" si="143"/>
        <v>0.318, 0.254, 0.454</v>
      </c>
      <c r="L133" s="9" t="str">
        <f t="shared" si="143"/>
        <v>0.295, 0.266, 0.366</v>
      </c>
      <c r="M133" s="9" t="str">
        <f t="shared" si="143"/>
        <v>0.297, 0.238, 0.438</v>
      </c>
      <c r="N133" s="9" t="str">
        <f t="shared" si="143"/>
        <v>0.292, 0.263, 0.363</v>
      </c>
      <c r="O133" s="9" t="str">
        <f t="shared" si="143"/>
        <v>0.287, 0.230, 0.429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"","")"),0.269)</f>
        <v>0.269</v>
      </c>
      <c r="B135" s="9">
        <f>IFERROR(__xludf.DUMMYFUNCTION("""COMPUTED_VALUE"""),0.269)</f>
        <v>0.269</v>
      </c>
      <c r="C135" s="9">
        <f>IFERROR(__xludf.DUMMYFUNCTION("""COMPUTED_VALUE"""),0.269)</f>
        <v>0.269</v>
      </c>
      <c r="E135" s="11">
        <f>IFERROR(__xludf.DUMMYFUNCTION("SPLIT(J127, "","")"),0.274)</f>
        <v>0.274</v>
      </c>
      <c r="F135" s="9">
        <f>IFERROR(__xludf.DUMMYFUNCTION("""COMPUTED_VALUE"""),0.247)</f>
        <v>0.247</v>
      </c>
      <c r="G135" s="9">
        <f>IFERROR(__xludf.DUMMYFUNCTION("""COMPUTED_VALUE"""),0.347)</f>
        <v>0.347</v>
      </c>
      <c r="I135" s="9">
        <f>IFERROR(__xludf.DUMMYFUNCTION("SPLIT(K127, "","")"),0.291)</f>
        <v>0.291</v>
      </c>
      <c r="J135" s="9">
        <f>IFERROR(__xludf.DUMMYFUNCTION("""COMPUTED_VALUE"""),0.233)</f>
        <v>0.233</v>
      </c>
      <c r="K135" s="9">
        <f>IFERROR(__xludf.DUMMYFUNCTION("""COMPUTED_VALUE"""),0.433)</f>
        <v>0.433</v>
      </c>
      <c r="M135" s="9">
        <f>IFERROR(__xludf.DUMMYFUNCTION("SPLIT(L127, "","")"),0.269)</f>
        <v>0.269</v>
      </c>
      <c r="N135" s="9">
        <f>IFERROR(__xludf.DUMMYFUNCTION("""COMPUTED_VALUE"""),0.242)</f>
        <v>0.242</v>
      </c>
      <c r="O135" s="9">
        <f>IFERROR(__xludf.DUMMYFUNCTION("""COMPUTED_VALUE"""),0.342)</f>
        <v>0.342</v>
      </c>
      <c r="Q135" s="9">
        <f>IFERROR(__xludf.DUMMYFUNCTION("SPLIT(M127, "","")"),0.267)</f>
        <v>0.267</v>
      </c>
      <c r="R135" s="9">
        <f>IFERROR(__xludf.DUMMYFUNCTION("""COMPUTED_VALUE"""),0.214)</f>
        <v>0.214</v>
      </c>
      <c r="S135" s="9">
        <f>IFERROR(__xludf.DUMMYFUNCTION("""COMPUTED_VALUE"""),0.414)</f>
        <v>0.414</v>
      </c>
      <c r="U135" s="9">
        <f>IFERROR(__xludf.DUMMYFUNCTION("SPLIT(N127, "","")"),0.266)</f>
        <v>0.266</v>
      </c>
      <c r="V135" s="9">
        <f>IFERROR(__xludf.DUMMYFUNCTION("""COMPUTED_VALUE"""),0.239)</f>
        <v>0.239</v>
      </c>
      <c r="W135" s="9">
        <f>IFERROR(__xludf.DUMMYFUNCTION("""COMPUTED_VALUE"""),0.339)</f>
        <v>0.339</v>
      </c>
      <c r="Y135" s="9">
        <f>IFERROR(__xludf.DUMMYFUNCTION("SPLIT(O127, "","")"),0.257)</f>
        <v>0.257</v>
      </c>
      <c r="Z135" s="9">
        <f>IFERROR(__xludf.DUMMYFUNCTION("""COMPUTED_VALUE"""),0.205)</f>
        <v>0.205</v>
      </c>
      <c r="AA135" s="9">
        <f>IFERROR(__xludf.DUMMYFUNCTION("""COMPUTED_VALUE"""),0.405)</f>
        <v>0.405</v>
      </c>
    </row>
    <row r="136">
      <c r="A136" s="9">
        <f>IFERROR(__xludf.DUMMYFUNCTION("SPLIT(I128, "","")"),0.268)</f>
        <v>0.268</v>
      </c>
      <c r="B136" s="9">
        <f>IFERROR(__xludf.DUMMYFUNCTION("""COMPUTED_VALUE"""),0.268)</f>
        <v>0.268</v>
      </c>
      <c r="C136" s="9">
        <f>IFERROR(__xludf.DUMMYFUNCTION("""COMPUTED_VALUE"""),0.268)</f>
        <v>0.268</v>
      </c>
      <c r="E136" s="11">
        <f>IFERROR(__xludf.DUMMYFUNCTION("SPLIT(J128, "","")"),0.274)</f>
        <v>0.274</v>
      </c>
      <c r="F136" s="9">
        <f>IFERROR(__xludf.DUMMYFUNCTION("""COMPUTED_VALUE"""),0.246)</f>
        <v>0.246</v>
      </c>
      <c r="G136" s="9">
        <f>IFERROR(__xludf.DUMMYFUNCTION("""COMPUTED_VALUE"""),0.346)</f>
        <v>0.346</v>
      </c>
      <c r="I136" s="9">
        <f>IFERROR(__xludf.DUMMYFUNCTION("SPLIT(K128, "","")"),0.289)</f>
        <v>0.289</v>
      </c>
      <c r="J136" s="9">
        <f>IFERROR(__xludf.DUMMYFUNCTION("""COMPUTED_VALUE"""),0.232)</f>
        <v>0.232</v>
      </c>
      <c r="K136" s="9">
        <f>IFERROR(__xludf.DUMMYFUNCTION("""COMPUTED_VALUE"""),0.431)</f>
        <v>0.431</v>
      </c>
      <c r="M136" s="9">
        <f>IFERROR(__xludf.DUMMYFUNCTION("SPLIT(L128, "","")"),0.268)</f>
        <v>0.268</v>
      </c>
      <c r="N136" s="9">
        <f>IFERROR(__xludf.DUMMYFUNCTION("""COMPUTED_VALUE"""),0.241)</f>
        <v>0.241</v>
      </c>
      <c r="O136" s="9">
        <f>IFERROR(__xludf.DUMMYFUNCTION("""COMPUTED_VALUE"""),0.341)</f>
        <v>0.341</v>
      </c>
      <c r="Q136" s="9">
        <f>IFERROR(__xludf.DUMMYFUNCTION("SPLIT(M128, "","")"),0.267)</f>
        <v>0.267</v>
      </c>
      <c r="R136" s="9">
        <f>IFERROR(__xludf.DUMMYFUNCTION("""COMPUTED_VALUE"""),0.214)</f>
        <v>0.214</v>
      </c>
      <c r="S136" s="9">
        <f>IFERROR(__xludf.DUMMYFUNCTION("""COMPUTED_VALUE"""),0.414)</f>
        <v>0.414</v>
      </c>
      <c r="U136" s="9">
        <f>IFERROR(__xludf.DUMMYFUNCTION("SPLIT(N128, "","")"),0.265)</f>
        <v>0.265</v>
      </c>
      <c r="V136" s="9">
        <f>IFERROR(__xludf.DUMMYFUNCTION("""COMPUTED_VALUE"""),0.238)</f>
        <v>0.238</v>
      </c>
      <c r="W136" s="9">
        <f>IFERROR(__xludf.DUMMYFUNCTION("""COMPUTED_VALUE"""),0.338)</f>
        <v>0.338</v>
      </c>
      <c r="Y136" s="9">
        <f>IFERROR(__xludf.DUMMYFUNCTION("SPLIT(O128, "","")"),0.256)</f>
        <v>0.256</v>
      </c>
      <c r="Z136" s="9">
        <f>IFERROR(__xludf.DUMMYFUNCTION("""COMPUTED_VALUE"""),0.205)</f>
        <v>0.205</v>
      </c>
      <c r="AA136" s="9">
        <f>IFERROR(__xludf.DUMMYFUNCTION("""COMPUTED_VALUE"""),0.405)</f>
        <v>0.405</v>
      </c>
    </row>
    <row r="137">
      <c r="A137" s="9">
        <f>IFERROR(__xludf.DUMMYFUNCTION("SPLIT(I129, "","")"),0.27)</f>
        <v>0.27</v>
      </c>
      <c r="B137" s="9">
        <f>IFERROR(__xludf.DUMMYFUNCTION("""COMPUTED_VALUE"""),0.27)</f>
        <v>0.27</v>
      </c>
      <c r="C137" s="9">
        <f>IFERROR(__xludf.DUMMYFUNCTION("""COMPUTED_VALUE"""),0.27)</f>
        <v>0.27</v>
      </c>
      <c r="E137" s="11">
        <f>IFERROR(__xludf.DUMMYFUNCTION("SPLIT(J129, "","")"),0.276)</f>
        <v>0.276</v>
      </c>
      <c r="F137" s="9">
        <f>IFERROR(__xludf.DUMMYFUNCTION("""COMPUTED_VALUE"""),0.248)</f>
        <v>0.248</v>
      </c>
      <c r="G137" s="9">
        <f>IFERROR(__xludf.DUMMYFUNCTION("""COMPUTED_VALUE"""),0.348)</f>
        <v>0.348</v>
      </c>
      <c r="I137" s="9">
        <f>IFERROR(__xludf.DUMMYFUNCTION("SPLIT(K129, "","")"),0.292)</f>
        <v>0.292</v>
      </c>
      <c r="J137" s="9">
        <f>IFERROR(__xludf.DUMMYFUNCTION("""COMPUTED_VALUE"""),0.233)</f>
        <v>0.233</v>
      </c>
      <c r="K137" s="9">
        <f>IFERROR(__xludf.DUMMYFUNCTION("""COMPUTED_VALUE"""),0.433)</f>
        <v>0.433</v>
      </c>
      <c r="M137" s="9">
        <f>IFERROR(__xludf.DUMMYFUNCTION("SPLIT(L129, "","")"),0.27)</f>
        <v>0.27</v>
      </c>
      <c r="N137" s="9">
        <f>IFERROR(__xludf.DUMMYFUNCTION("""COMPUTED_VALUE"""),0.243)</f>
        <v>0.243</v>
      </c>
      <c r="O137" s="9">
        <f>IFERROR(__xludf.DUMMYFUNCTION("""COMPUTED_VALUE"""),0.343)</f>
        <v>0.343</v>
      </c>
      <c r="Q137" s="9">
        <f>IFERROR(__xludf.DUMMYFUNCTION("SPLIT(M129, "","")"),0.269)</f>
        <v>0.269</v>
      </c>
      <c r="R137" s="9">
        <f>IFERROR(__xludf.DUMMYFUNCTION("""COMPUTED_VALUE"""),0.215)</f>
        <v>0.215</v>
      </c>
      <c r="S137" s="9">
        <f>IFERROR(__xludf.DUMMYFUNCTION("""COMPUTED_VALUE"""),0.415)</f>
        <v>0.415</v>
      </c>
      <c r="U137" s="9">
        <f>IFERROR(__xludf.DUMMYFUNCTION("SPLIT(N129, "","")"),0.266)</f>
        <v>0.266</v>
      </c>
      <c r="V137" s="9">
        <f>IFERROR(__xludf.DUMMYFUNCTION("""COMPUTED_VALUE"""),0.24)</f>
        <v>0.24</v>
      </c>
      <c r="W137" s="9">
        <f>IFERROR(__xludf.DUMMYFUNCTION("""COMPUTED_VALUE"""),0.34)</f>
        <v>0.34</v>
      </c>
      <c r="Y137" s="9">
        <f>IFERROR(__xludf.DUMMYFUNCTION("SPLIT(O129, "","")"),0.257)</f>
        <v>0.257</v>
      </c>
      <c r="Z137" s="9">
        <f>IFERROR(__xludf.DUMMYFUNCTION("""COMPUTED_VALUE"""),0.206)</f>
        <v>0.206</v>
      </c>
      <c r="AA137" s="9">
        <f>IFERROR(__xludf.DUMMYFUNCTION("""COMPUTED_VALUE"""),0.406)</f>
        <v>0.406</v>
      </c>
    </row>
    <row r="138">
      <c r="A138" s="9">
        <f>IFERROR(__xludf.DUMMYFUNCTION("SPLIT(I130, "","")"),0.276)</f>
        <v>0.276</v>
      </c>
      <c r="B138" s="9">
        <f>IFERROR(__xludf.DUMMYFUNCTION("""COMPUTED_VALUE"""),0.276)</f>
        <v>0.276</v>
      </c>
      <c r="C138" s="9">
        <f>IFERROR(__xludf.DUMMYFUNCTION("""COMPUTED_VALUE"""),0.276)</f>
        <v>0.276</v>
      </c>
      <c r="E138" s="11">
        <f>IFERROR(__xludf.DUMMYFUNCTION("SPLIT(J130, "","")"),0.281)</f>
        <v>0.281</v>
      </c>
      <c r="F138" s="9">
        <f>IFERROR(__xludf.DUMMYFUNCTION("""COMPUTED_VALUE"""),0.253)</f>
        <v>0.253</v>
      </c>
      <c r="G138" s="9">
        <f>IFERROR(__xludf.DUMMYFUNCTION("""COMPUTED_VALUE"""),0.353)</f>
        <v>0.353</v>
      </c>
      <c r="I138" s="9">
        <f>IFERROR(__xludf.DUMMYFUNCTION("SPLIT(K130, "","")"),0.3)</f>
        <v>0.3</v>
      </c>
      <c r="J138" s="9">
        <f>IFERROR(__xludf.DUMMYFUNCTION("""COMPUTED_VALUE"""),0.24)</f>
        <v>0.24</v>
      </c>
      <c r="K138" s="9">
        <f>IFERROR(__xludf.DUMMYFUNCTION("""COMPUTED_VALUE"""),0.44)</f>
        <v>0.44</v>
      </c>
      <c r="M138" s="9">
        <f>IFERROR(__xludf.DUMMYFUNCTION("SPLIT(L130, "","")"),0.276)</f>
        <v>0.276</v>
      </c>
      <c r="N138" s="9">
        <f>IFERROR(__xludf.DUMMYFUNCTION("""COMPUTED_VALUE"""),0.248)</f>
        <v>0.248</v>
      </c>
      <c r="O138" s="9">
        <f>IFERROR(__xludf.DUMMYFUNCTION("""COMPUTED_VALUE"""),0.348)</f>
        <v>0.348</v>
      </c>
      <c r="Q138" s="9">
        <f>IFERROR(__xludf.DUMMYFUNCTION("SPLIT(M130, "","")"),0.276)</f>
        <v>0.276</v>
      </c>
      <c r="R138" s="9">
        <f>IFERROR(__xludf.DUMMYFUNCTION("""COMPUTED_VALUE"""),0.221)</f>
        <v>0.221</v>
      </c>
      <c r="S138" s="9">
        <f>IFERROR(__xludf.DUMMYFUNCTION("""COMPUTED_VALUE"""),0.421)</f>
        <v>0.421</v>
      </c>
      <c r="U138" s="9">
        <f>IFERROR(__xludf.DUMMYFUNCTION("SPLIT(N130, "","")"),0.273)</f>
        <v>0.273</v>
      </c>
      <c r="V138" s="9">
        <f>IFERROR(__xludf.DUMMYFUNCTION("""COMPUTED_VALUE"""),0.246)</f>
        <v>0.246</v>
      </c>
      <c r="W138" s="9">
        <f>IFERROR(__xludf.DUMMYFUNCTION("""COMPUTED_VALUE"""),0.346)</f>
        <v>0.346</v>
      </c>
      <c r="Y138" s="9">
        <f>IFERROR(__xludf.DUMMYFUNCTION("SPLIT(O130, "","")"),0.265)</f>
        <v>0.265</v>
      </c>
      <c r="Z138" s="9">
        <f>IFERROR(__xludf.DUMMYFUNCTION("""COMPUTED_VALUE"""),0.212)</f>
        <v>0.212</v>
      </c>
      <c r="AA138" s="9">
        <f>IFERROR(__xludf.DUMMYFUNCTION("""COMPUTED_VALUE"""),0.412)</f>
        <v>0.412</v>
      </c>
    </row>
    <row r="139">
      <c r="A139" s="9">
        <f>IFERROR(__xludf.DUMMYFUNCTION("SPLIT(I131, "","")"),0.357)</f>
        <v>0.357</v>
      </c>
      <c r="B139" s="9">
        <f>IFERROR(__xludf.DUMMYFUNCTION("""COMPUTED_VALUE"""),0.357)</f>
        <v>0.357</v>
      </c>
      <c r="C139" s="9">
        <f>IFERROR(__xludf.DUMMYFUNCTION("""COMPUTED_VALUE"""),0.357)</f>
        <v>0.357</v>
      </c>
      <c r="E139" s="11">
        <f>IFERROR(__xludf.DUMMYFUNCTION("SPLIT(J131, "","")"),0.367)</f>
        <v>0.367</v>
      </c>
      <c r="F139" s="9">
        <f>IFERROR(__xludf.DUMMYFUNCTION("""COMPUTED_VALUE"""),0.33)</f>
        <v>0.33</v>
      </c>
      <c r="G139" s="9">
        <f>IFERROR(__xludf.DUMMYFUNCTION("""COMPUTED_VALUE"""),0.43)</f>
        <v>0.43</v>
      </c>
      <c r="I139" s="9">
        <f>IFERROR(__xludf.DUMMYFUNCTION("SPLIT(K131, "","")"),0.389)</f>
        <v>0.389</v>
      </c>
      <c r="J139" s="9">
        <f>IFERROR(__xludf.DUMMYFUNCTION("""COMPUTED_VALUE"""),0.311)</f>
        <v>0.311</v>
      </c>
      <c r="K139" s="9">
        <f>IFERROR(__xludf.DUMMYFUNCTION("""COMPUTED_VALUE"""),0.511)</f>
        <v>0.511</v>
      </c>
      <c r="M139" s="9">
        <f>IFERROR(__xludf.DUMMYFUNCTION("SPLIT(L131, "","")"),0.367)</f>
        <v>0.367</v>
      </c>
      <c r="N139" s="9">
        <f>IFERROR(__xludf.DUMMYFUNCTION("""COMPUTED_VALUE"""),0.33)</f>
        <v>0.33</v>
      </c>
      <c r="O139" s="9">
        <f>IFERROR(__xludf.DUMMYFUNCTION("""COMPUTED_VALUE"""),0.43)</f>
        <v>0.43</v>
      </c>
      <c r="Q139" s="9">
        <f>IFERROR(__xludf.DUMMYFUNCTION("SPLIT(M131, "","")"),0.379)</f>
        <v>0.379</v>
      </c>
      <c r="R139" s="9">
        <f>IFERROR(__xludf.DUMMYFUNCTION("""COMPUTED_VALUE"""),0.303)</f>
        <v>0.303</v>
      </c>
      <c r="S139" s="9">
        <f>IFERROR(__xludf.DUMMYFUNCTION("""COMPUTED_VALUE"""),0.503)</f>
        <v>0.503</v>
      </c>
      <c r="U139" s="9">
        <f>IFERROR(__xludf.DUMMYFUNCTION("SPLIT(N131, "","")"),0.364)</f>
        <v>0.364</v>
      </c>
      <c r="V139" s="9">
        <f>IFERROR(__xludf.DUMMYFUNCTION("""COMPUTED_VALUE"""),0.328)</f>
        <v>0.328</v>
      </c>
      <c r="W139" s="9">
        <f>IFERROR(__xludf.DUMMYFUNCTION("""COMPUTED_VALUE"""),0.427)</f>
        <v>0.427</v>
      </c>
      <c r="Y139" s="9">
        <f>IFERROR(__xludf.DUMMYFUNCTION("SPLIT(O131, "","")"),0.369)</f>
        <v>0.369</v>
      </c>
      <c r="Z139" s="9">
        <f>IFERROR(__xludf.DUMMYFUNCTION("""COMPUTED_VALUE"""),0.295)</f>
        <v>0.295</v>
      </c>
      <c r="AA139" s="9">
        <f>IFERROR(__xludf.DUMMYFUNCTION("""COMPUTED_VALUE"""),0.495)</f>
        <v>0.495</v>
      </c>
    </row>
    <row r="140">
      <c r="A140" s="9">
        <f>IFERROR(__xludf.DUMMYFUNCTION("SPLIT(I132, "","")"),0.279)</f>
        <v>0.279</v>
      </c>
      <c r="B140" s="9">
        <f>IFERROR(__xludf.DUMMYFUNCTION("""COMPUTED_VALUE"""),0.279)</f>
        <v>0.279</v>
      </c>
      <c r="C140" s="9">
        <f>IFERROR(__xludf.DUMMYFUNCTION("""COMPUTED_VALUE"""),0.279)</f>
        <v>0.279</v>
      </c>
      <c r="E140" s="11">
        <f>IFERROR(__xludf.DUMMYFUNCTION("SPLIT(J132, "","")"),0.284)</f>
        <v>0.284</v>
      </c>
      <c r="F140" s="9">
        <f>IFERROR(__xludf.DUMMYFUNCTION("""COMPUTED_VALUE"""),0.256)</f>
        <v>0.256</v>
      </c>
      <c r="G140" s="9">
        <f>IFERROR(__xludf.DUMMYFUNCTION("""COMPUTED_VALUE"""),0.356)</f>
        <v>0.356</v>
      </c>
      <c r="I140" s="9">
        <f>IFERROR(__xludf.DUMMYFUNCTION("SPLIT(K132, "","")"),0.302)</f>
        <v>0.302</v>
      </c>
      <c r="J140" s="9">
        <f>IFERROR(__xludf.DUMMYFUNCTION("""COMPUTED_VALUE"""),0.242)</f>
        <v>0.242</v>
      </c>
      <c r="K140" s="9">
        <f>IFERROR(__xludf.DUMMYFUNCTION("""COMPUTED_VALUE"""),0.442)</f>
        <v>0.442</v>
      </c>
      <c r="M140" s="9">
        <f>IFERROR(__xludf.DUMMYFUNCTION("SPLIT(L132, "","")"),0.28)</f>
        <v>0.28</v>
      </c>
      <c r="N140" s="9">
        <f>IFERROR(__xludf.DUMMYFUNCTION("""COMPUTED_VALUE"""),0.252)</f>
        <v>0.252</v>
      </c>
      <c r="O140" s="9">
        <f>IFERROR(__xludf.DUMMYFUNCTION("""COMPUTED_VALUE"""),0.352)</f>
        <v>0.352</v>
      </c>
      <c r="Q140" s="9">
        <f>IFERROR(__xludf.DUMMYFUNCTION("SPLIT(M132, "","")"),0.28)</f>
        <v>0.28</v>
      </c>
      <c r="R140" s="9">
        <f>IFERROR(__xludf.DUMMYFUNCTION("""COMPUTED_VALUE"""),0.224)</f>
        <v>0.224</v>
      </c>
      <c r="S140" s="9">
        <f>IFERROR(__xludf.DUMMYFUNCTION("""COMPUTED_VALUE"""),0.424)</f>
        <v>0.424</v>
      </c>
      <c r="U140" s="9">
        <f>IFERROR(__xludf.DUMMYFUNCTION("SPLIT(N132, "","")"),0.277)</f>
        <v>0.277</v>
      </c>
      <c r="V140" s="9">
        <f>IFERROR(__xludf.DUMMYFUNCTION("""COMPUTED_VALUE"""),0.249)</f>
        <v>0.249</v>
      </c>
      <c r="W140" s="9">
        <f>IFERROR(__xludf.DUMMYFUNCTION("""COMPUTED_VALUE"""),0.349)</f>
        <v>0.349</v>
      </c>
      <c r="Y140" s="9">
        <f>IFERROR(__xludf.DUMMYFUNCTION("SPLIT(O132, "","")"),0.27)</f>
        <v>0.27</v>
      </c>
      <c r="Z140" s="9">
        <f>IFERROR(__xludf.DUMMYFUNCTION("""COMPUTED_VALUE"""),0.216)</f>
        <v>0.216</v>
      </c>
      <c r="AA140" s="9">
        <f>IFERROR(__xludf.DUMMYFUNCTION("""COMPUTED_VALUE"""),0.416)</f>
        <v>0.416</v>
      </c>
    </row>
    <row r="141">
      <c r="A141" s="9">
        <f>IFERROR(__xludf.DUMMYFUNCTION("SPLIT(I133, "","")"),0.292)</f>
        <v>0.292</v>
      </c>
      <c r="B141" s="9">
        <f>IFERROR(__xludf.DUMMYFUNCTION("""COMPUTED_VALUE"""),0.292)</f>
        <v>0.292</v>
      </c>
      <c r="C141" s="9">
        <f>IFERROR(__xludf.DUMMYFUNCTION("""COMPUTED_VALUE"""),0.292)</f>
        <v>0.292</v>
      </c>
      <c r="E141" s="11">
        <f>IFERROR(__xludf.DUMMYFUNCTION("SPLIT(J133, "","")"),0.299)</f>
        <v>0.299</v>
      </c>
      <c r="F141" s="9">
        <f>IFERROR(__xludf.DUMMYFUNCTION("""COMPUTED_VALUE"""),0.269)</f>
        <v>0.269</v>
      </c>
      <c r="G141" s="9">
        <f>IFERROR(__xludf.DUMMYFUNCTION("""COMPUTED_VALUE"""),0.369)</f>
        <v>0.369</v>
      </c>
      <c r="I141" s="9">
        <f>IFERROR(__xludf.DUMMYFUNCTION("SPLIT(K133, "","")"),0.318)</f>
        <v>0.318</v>
      </c>
      <c r="J141" s="9">
        <f>IFERROR(__xludf.DUMMYFUNCTION("""COMPUTED_VALUE"""),0.254)</f>
        <v>0.254</v>
      </c>
      <c r="K141" s="9">
        <f>IFERROR(__xludf.DUMMYFUNCTION("""COMPUTED_VALUE"""),0.454)</f>
        <v>0.454</v>
      </c>
      <c r="M141" s="9">
        <f>IFERROR(__xludf.DUMMYFUNCTION("SPLIT(L133, "","")"),0.295)</f>
        <v>0.295</v>
      </c>
      <c r="N141" s="9">
        <f>IFERROR(__xludf.DUMMYFUNCTION("""COMPUTED_VALUE"""),0.266)</f>
        <v>0.266</v>
      </c>
      <c r="O141" s="9">
        <f>IFERROR(__xludf.DUMMYFUNCTION("""COMPUTED_VALUE"""),0.366)</f>
        <v>0.366</v>
      </c>
      <c r="Q141" s="9">
        <f>IFERROR(__xludf.DUMMYFUNCTION("SPLIT(M133, "","")"),0.297)</f>
        <v>0.297</v>
      </c>
      <c r="R141" s="9">
        <f>IFERROR(__xludf.DUMMYFUNCTION("""COMPUTED_VALUE"""),0.238)</f>
        <v>0.238</v>
      </c>
      <c r="S141" s="9">
        <f>IFERROR(__xludf.DUMMYFUNCTION("""COMPUTED_VALUE"""),0.438)</f>
        <v>0.438</v>
      </c>
      <c r="U141" s="9">
        <f>IFERROR(__xludf.DUMMYFUNCTION("SPLIT(N133, "","")"),0.292)</f>
        <v>0.292</v>
      </c>
      <c r="V141" s="9">
        <f>IFERROR(__xludf.DUMMYFUNCTION("""COMPUTED_VALUE"""),0.263)</f>
        <v>0.263</v>
      </c>
      <c r="W141" s="9">
        <f>IFERROR(__xludf.DUMMYFUNCTION("""COMPUTED_VALUE"""),0.363)</f>
        <v>0.363</v>
      </c>
      <c r="Y141" s="9">
        <f>IFERROR(__xludf.DUMMYFUNCTION("SPLIT(O133, "","")"),0.287)</f>
        <v>0.287</v>
      </c>
      <c r="Z141" s="9">
        <f>IFERROR(__xludf.DUMMYFUNCTION("""COMPUTED_VALUE"""),0.23)</f>
        <v>0.23</v>
      </c>
      <c r="AA141" s="9">
        <f>IFERROR(__xludf.DUMMYFUNCTION("""COMPUTED_VALUE"""),0.429)</f>
        <v>0.429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0.269</v>
      </c>
      <c r="D145" s="7">
        <f t="shared" ref="D145:D151" si="149">E135</f>
        <v>0.274</v>
      </c>
      <c r="E145" s="7">
        <f t="shared" ref="E145:E151" si="150">I135</f>
        <v>0.291</v>
      </c>
      <c r="F145" s="7">
        <f t="shared" ref="F145:G145" si="144">N135</f>
        <v>0.242</v>
      </c>
      <c r="G145" s="12">
        <f t="shared" si="144"/>
        <v>0.342</v>
      </c>
      <c r="H145" s="7">
        <f t="shared" ref="H145:I145" si="145">R135</f>
        <v>0.214</v>
      </c>
      <c r="I145" s="12">
        <f t="shared" si="145"/>
        <v>0.414</v>
      </c>
      <c r="J145" s="7">
        <f t="shared" ref="J145:K145" si="146">V135</f>
        <v>0.239</v>
      </c>
      <c r="K145" s="12">
        <f t="shared" si="146"/>
        <v>0.339</v>
      </c>
      <c r="L145" s="7">
        <f t="shared" ref="L145:M145" si="147">Z135</f>
        <v>0.205</v>
      </c>
      <c r="M145" s="7">
        <f t="shared" si="147"/>
        <v>0.405</v>
      </c>
    </row>
    <row r="146">
      <c r="B146" s="6" t="s">
        <v>5</v>
      </c>
      <c r="C146" s="7">
        <f t="shared" si="148"/>
        <v>0.268</v>
      </c>
      <c r="D146" s="7">
        <f t="shared" si="149"/>
        <v>0.274</v>
      </c>
      <c r="E146" s="7">
        <f t="shared" si="150"/>
        <v>0.289</v>
      </c>
      <c r="F146" s="7">
        <f t="shared" ref="F146:G146" si="151">N136</f>
        <v>0.241</v>
      </c>
      <c r="G146" s="12">
        <f t="shared" si="151"/>
        <v>0.341</v>
      </c>
      <c r="H146" s="7">
        <f t="shared" ref="H146:I146" si="152">R136</f>
        <v>0.214</v>
      </c>
      <c r="I146" s="12">
        <f t="shared" si="152"/>
        <v>0.414</v>
      </c>
      <c r="J146" s="7">
        <f t="shared" ref="J146:K146" si="153">V136</f>
        <v>0.238</v>
      </c>
      <c r="K146" s="12">
        <f t="shared" si="153"/>
        <v>0.338</v>
      </c>
      <c r="L146" s="7">
        <f t="shared" ref="L146:M146" si="154">Z136</f>
        <v>0.205</v>
      </c>
      <c r="M146" s="7">
        <f t="shared" si="154"/>
        <v>0.405</v>
      </c>
    </row>
    <row r="147">
      <c r="B147" s="6" t="s">
        <v>6</v>
      </c>
      <c r="C147" s="7">
        <f t="shared" si="148"/>
        <v>0.27</v>
      </c>
      <c r="D147" s="7">
        <f t="shared" si="149"/>
        <v>0.276</v>
      </c>
      <c r="E147" s="7">
        <f t="shared" si="150"/>
        <v>0.292</v>
      </c>
      <c r="F147" s="7">
        <f t="shared" ref="F147:G147" si="155">N137</f>
        <v>0.243</v>
      </c>
      <c r="G147" s="12">
        <f t="shared" si="155"/>
        <v>0.343</v>
      </c>
      <c r="H147" s="7">
        <f t="shared" ref="H147:I147" si="156">R137</f>
        <v>0.215</v>
      </c>
      <c r="I147" s="12">
        <f t="shared" si="156"/>
        <v>0.415</v>
      </c>
      <c r="J147" s="7">
        <f t="shared" ref="J147:K147" si="157">V137</f>
        <v>0.24</v>
      </c>
      <c r="K147" s="12">
        <f t="shared" si="157"/>
        <v>0.34</v>
      </c>
      <c r="L147" s="7">
        <f t="shared" ref="L147:M147" si="158">Z137</f>
        <v>0.206</v>
      </c>
      <c r="M147" s="7">
        <f t="shared" si="158"/>
        <v>0.406</v>
      </c>
    </row>
    <row r="148">
      <c r="B148" s="6" t="s">
        <v>7</v>
      </c>
      <c r="C148" s="7">
        <f t="shared" si="148"/>
        <v>0.276</v>
      </c>
      <c r="D148" s="7">
        <f t="shared" si="149"/>
        <v>0.281</v>
      </c>
      <c r="E148" s="7">
        <f t="shared" si="150"/>
        <v>0.3</v>
      </c>
      <c r="F148" s="7">
        <f t="shared" ref="F148:G148" si="159">N138</f>
        <v>0.248</v>
      </c>
      <c r="G148" s="12">
        <f t="shared" si="159"/>
        <v>0.348</v>
      </c>
      <c r="H148" s="7">
        <f t="shared" ref="H148:I148" si="160">R138</f>
        <v>0.221</v>
      </c>
      <c r="I148" s="12">
        <f t="shared" si="160"/>
        <v>0.421</v>
      </c>
      <c r="J148" s="7">
        <f t="shared" ref="J148:K148" si="161">V138</f>
        <v>0.246</v>
      </c>
      <c r="K148" s="12">
        <f t="shared" si="161"/>
        <v>0.346</v>
      </c>
      <c r="L148" s="7">
        <f t="shared" ref="L148:M148" si="162">Z138</f>
        <v>0.212</v>
      </c>
      <c r="M148" s="7">
        <f t="shared" si="162"/>
        <v>0.412</v>
      </c>
    </row>
    <row r="149">
      <c r="B149" s="6" t="s">
        <v>8</v>
      </c>
      <c r="C149" s="7">
        <f t="shared" si="148"/>
        <v>0.357</v>
      </c>
      <c r="D149" s="7">
        <f t="shared" si="149"/>
        <v>0.367</v>
      </c>
      <c r="E149" s="7">
        <f t="shared" si="150"/>
        <v>0.389</v>
      </c>
      <c r="F149" s="7">
        <f t="shared" ref="F149:G149" si="163">N139</f>
        <v>0.33</v>
      </c>
      <c r="G149" s="12">
        <f t="shared" si="163"/>
        <v>0.43</v>
      </c>
      <c r="H149" s="7">
        <f t="shared" ref="H149:I149" si="164">R139</f>
        <v>0.303</v>
      </c>
      <c r="I149" s="12">
        <f t="shared" si="164"/>
        <v>0.503</v>
      </c>
      <c r="J149" s="7">
        <f t="shared" ref="J149:K149" si="165">V139</f>
        <v>0.328</v>
      </c>
      <c r="K149" s="12">
        <f t="shared" si="165"/>
        <v>0.427</v>
      </c>
      <c r="L149" s="7">
        <f t="shared" ref="L149:M149" si="166">Z139</f>
        <v>0.295</v>
      </c>
      <c r="M149" s="7">
        <f t="shared" si="166"/>
        <v>0.495</v>
      </c>
    </row>
    <row r="150">
      <c r="B150" s="6" t="s">
        <v>9</v>
      </c>
      <c r="C150" s="7">
        <f t="shared" si="148"/>
        <v>0.279</v>
      </c>
      <c r="D150" s="7">
        <f t="shared" si="149"/>
        <v>0.284</v>
      </c>
      <c r="E150" s="7">
        <f t="shared" si="150"/>
        <v>0.302</v>
      </c>
      <c r="F150" s="7">
        <f t="shared" ref="F150:G150" si="167">N140</f>
        <v>0.252</v>
      </c>
      <c r="G150" s="12">
        <f t="shared" si="167"/>
        <v>0.352</v>
      </c>
      <c r="H150" s="7">
        <f t="shared" ref="H150:I150" si="168">R140</f>
        <v>0.224</v>
      </c>
      <c r="I150" s="12">
        <f t="shared" si="168"/>
        <v>0.424</v>
      </c>
      <c r="J150" s="7">
        <f t="shared" ref="J150:K150" si="169">V140</f>
        <v>0.249</v>
      </c>
      <c r="K150" s="12">
        <f t="shared" si="169"/>
        <v>0.349</v>
      </c>
      <c r="L150" s="7">
        <f t="shared" ref="L150:M150" si="170">Z140</f>
        <v>0.216</v>
      </c>
      <c r="M150" s="7">
        <f t="shared" si="170"/>
        <v>0.416</v>
      </c>
    </row>
    <row r="151">
      <c r="B151" s="6" t="s">
        <v>10</v>
      </c>
      <c r="C151" s="7">
        <f t="shared" si="148"/>
        <v>0.292</v>
      </c>
      <c r="D151" s="7">
        <f t="shared" si="149"/>
        <v>0.299</v>
      </c>
      <c r="E151" s="7">
        <f t="shared" si="150"/>
        <v>0.318</v>
      </c>
      <c r="F151" s="7">
        <f t="shared" ref="F151:G151" si="171">N141</f>
        <v>0.266</v>
      </c>
      <c r="G151" s="12">
        <f t="shared" si="171"/>
        <v>0.366</v>
      </c>
      <c r="H151" s="7">
        <f t="shared" ref="H151:I151" si="172">R141</f>
        <v>0.238</v>
      </c>
      <c r="I151" s="12">
        <f t="shared" si="172"/>
        <v>0.438</v>
      </c>
      <c r="J151" s="7">
        <f t="shared" ref="J151:K151" si="173">V141</f>
        <v>0.263</v>
      </c>
      <c r="K151" s="12">
        <f t="shared" si="173"/>
        <v>0.363</v>
      </c>
      <c r="L151" s="7">
        <f t="shared" ref="L151:M151" si="174">Z141</f>
        <v>0.23</v>
      </c>
      <c r="M151" s="7">
        <f t="shared" si="174"/>
        <v>0.429</v>
      </c>
    </row>
    <row r="153">
      <c r="A153" s="8" t="s">
        <v>606</v>
      </c>
      <c r="B153" s="8" t="s">
        <v>607</v>
      </c>
      <c r="C153" s="8" t="s">
        <v>608</v>
      </c>
      <c r="D153" s="8" t="s">
        <v>166</v>
      </c>
      <c r="E153" s="8" t="s">
        <v>400</v>
      </c>
      <c r="F153" s="8" t="s">
        <v>141</v>
      </c>
      <c r="G153" s="8" t="s">
        <v>609</v>
      </c>
      <c r="I153" s="9" t="str">
        <f t="shared" ref="I153:O153" si="175">substitute(SUBSTITUTE(A153, "(", ""), ")", "")</f>
        <v>0.463, 0.463, 0.463</v>
      </c>
      <c r="J153" s="9" t="str">
        <f t="shared" si="175"/>
        <v>0.465, 0.418, 0.518</v>
      </c>
      <c r="K153" s="9" t="str">
        <f t="shared" si="175"/>
        <v>0.463, 0.371, 0.571</v>
      </c>
      <c r="L153" s="9" t="str">
        <f t="shared" si="175"/>
        <v>0.463, 0.417, 0.517</v>
      </c>
      <c r="M153" s="9" t="str">
        <f t="shared" si="175"/>
        <v>0.461, 0.369, 0.569</v>
      </c>
      <c r="N153" s="9" t="str">
        <f t="shared" si="175"/>
        <v>0.462, 0.416, 0.516</v>
      </c>
      <c r="O153" s="9" t="str">
        <f t="shared" si="175"/>
        <v>0.456, 0.365, 0.565</v>
      </c>
      <c r="T153" s="6"/>
    </row>
    <row r="154">
      <c r="A154" s="8" t="s">
        <v>418</v>
      </c>
      <c r="B154" s="8" t="s">
        <v>212</v>
      </c>
      <c r="C154" s="8" t="s">
        <v>419</v>
      </c>
      <c r="D154" s="8" t="s">
        <v>610</v>
      </c>
      <c r="E154" s="8" t="s">
        <v>139</v>
      </c>
      <c r="F154" s="8" t="s">
        <v>212</v>
      </c>
      <c r="G154" s="8" t="s">
        <v>611</v>
      </c>
      <c r="I154" s="9" t="str">
        <f t="shared" ref="I154:O154" si="176">substitute(SUBSTITUTE(A154, "(", ""), ")", "")</f>
        <v>0.467, 0.467, 0.467</v>
      </c>
      <c r="J154" s="9" t="str">
        <f t="shared" si="176"/>
        <v>0.468, 0.421, 0.521</v>
      </c>
      <c r="K154" s="9" t="str">
        <f t="shared" si="176"/>
        <v>0.467, 0.374, 0.574</v>
      </c>
      <c r="L154" s="9" t="str">
        <f t="shared" si="176"/>
        <v>0.468, 0.422, 0.522</v>
      </c>
      <c r="M154" s="9" t="str">
        <f t="shared" si="176"/>
        <v>0.468, 0.375, 0.575</v>
      </c>
      <c r="N154" s="9" t="str">
        <f t="shared" si="176"/>
        <v>0.468, 0.421, 0.521</v>
      </c>
      <c r="O154" s="9" t="str">
        <f t="shared" si="176"/>
        <v>0.467, 0.373, 0.573</v>
      </c>
    </row>
    <row r="155">
      <c r="A155" s="8" t="s">
        <v>612</v>
      </c>
      <c r="B155" s="8" t="s">
        <v>613</v>
      </c>
      <c r="C155" s="8" t="s">
        <v>614</v>
      </c>
      <c r="D155" s="8" t="s">
        <v>415</v>
      </c>
      <c r="E155" s="8" t="s">
        <v>615</v>
      </c>
      <c r="F155" s="8" t="s">
        <v>616</v>
      </c>
      <c r="G155" s="8" t="s">
        <v>615</v>
      </c>
      <c r="I155" s="9" t="str">
        <f t="shared" ref="I155:O155" si="177">substitute(SUBSTITUTE(A155, "(", ""), ")", "")</f>
        <v>0.462, 0.462, 0.462</v>
      </c>
      <c r="J155" s="9" t="str">
        <f t="shared" si="177"/>
        <v>0.464, 0.418, 0.518</v>
      </c>
      <c r="K155" s="9" t="str">
        <f t="shared" si="177"/>
        <v>0.462, 0.370, 0.570</v>
      </c>
      <c r="L155" s="9" t="str">
        <f t="shared" si="177"/>
        <v>0.467, 0.421, 0.521</v>
      </c>
      <c r="M155" s="9" t="str">
        <f t="shared" si="177"/>
        <v>0.470, 0.376, 0.576</v>
      </c>
      <c r="N155" s="9" t="str">
        <f t="shared" si="177"/>
        <v>0.466, 0.419, 0.519</v>
      </c>
      <c r="O155" s="9" t="str">
        <f t="shared" si="177"/>
        <v>0.470, 0.376, 0.576</v>
      </c>
    </row>
    <row r="156">
      <c r="A156" s="8" t="s">
        <v>186</v>
      </c>
      <c r="B156" s="8" t="s">
        <v>617</v>
      </c>
      <c r="C156" s="8" t="s">
        <v>618</v>
      </c>
      <c r="D156" s="8" t="s">
        <v>619</v>
      </c>
      <c r="E156" s="8" t="s">
        <v>620</v>
      </c>
      <c r="F156" s="8" t="s">
        <v>459</v>
      </c>
      <c r="G156" s="8" t="s">
        <v>621</v>
      </c>
      <c r="I156" s="9" t="str">
        <f t="shared" ref="I156:O156" si="178">substitute(SUBSTITUTE(A156, "(", ""), ")", "")</f>
        <v>0.461, 0.461, 0.461</v>
      </c>
      <c r="J156" s="9" t="str">
        <f t="shared" si="178"/>
        <v>0.464, 0.417, 0.517</v>
      </c>
      <c r="K156" s="9" t="str">
        <f t="shared" si="178"/>
        <v>0.458, 0.367, 0.567</v>
      </c>
      <c r="L156" s="9" t="str">
        <f t="shared" si="178"/>
        <v>0.453, 0.407, 0.507</v>
      </c>
      <c r="M156" s="9" t="str">
        <f t="shared" si="178"/>
        <v>0.437, 0.350, 0.550</v>
      </c>
      <c r="N156" s="9" t="str">
        <f t="shared" si="178"/>
        <v>0.451, 0.406, 0.506</v>
      </c>
      <c r="O156" s="9" t="str">
        <f t="shared" si="178"/>
        <v>0.433, 0.346, 0.546</v>
      </c>
    </row>
    <row r="157">
      <c r="A157" s="8" t="s">
        <v>622</v>
      </c>
      <c r="B157" s="8" t="s">
        <v>417</v>
      </c>
      <c r="C157" s="8" t="s">
        <v>623</v>
      </c>
      <c r="D157" s="8" t="s">
        <v>624</v>
      </c>
      <c r="E157" s="8" t="s">
        <v>378</v>
      </c>
      <c r="F157" s="8" t="s">
        <v>399</v>
      </c>
      <c r="G157" s="8" t="s">
        <v>625</v>
      </c>
      <c r="I157" s="9" t="str">
        <f t="shared" ref="I157:O157" si="179">substitute(SUBSTITUTE(A157, "(", ""), ")", "")</f>
        <v>0.452, 0.452, 0.452</v>
      </c>
      <c r="J157" s="9" t="str">
        <f t="shared" si="179"/>
        <v>0.456, 0.410, 0.510</v>
      </c>
      <c r="K157" s="9" t="str">
        <f t="shared" si="179"/>
        <v>0.453, 0.362, 0.562</v>
      </c>
      <c r="L157" s="9" t="str">
        <f t="shared" si="179"/>
        <v>0.437, 0.394, 0.494</v>
      </c>
      <c r="M157" s="9" t="str">
        <f t="shared" si="179"/>
        <v>0.413, 0.330, 0.530</v>
      </c>
      <c r="N157" s="9" t="str">
        <f t="shared" si="179"/>
        <v>0.437, 0.393, 0.493</v>
      </c>
      <c r="O157" s="9" t="str">
        <f t="shared" si="179"/>
        <v>0.410, 0.328, 0.528</v>
      </c>
    </row>
    <row r="158">
      <c r="A158" s="8" t="s">
        <v>626</v>
      </c>
      <c r="B158" s="8" t="s">
        <v>627</v>
      </c>
      <c r="C158" s="8" t="s">
        <v>628</v>
      </c>
      <c r="D158" s="8" t="s">
        <v>629</v>
      </c>
      <c r="E158" s="8" t="s">
        <v>194</v>
      </c>
      <c r="F158" s="8" t="s">
        <v>630</v>
      </c>
      <c r="G158" s="8" t="s">
        <v>631</v>
      </c>
      <c r="I158" s="9" t="str">
        <f t="shared" ref="I158:O158" si="180">substitute(SUBSTITUTE(A158, "(", ""), ")", "")</f>
        <v>0.459, 0.459, 0.459</v>
      </c>
      <c r="J158" s="9" t="str">
        <f t="shared" si="180"/>
        <v>0.463, 0.416, 0.516</v>
      </c>
      <c r="K158" s="9" t="str">
        <f t="shared" si="180"/>
        <v>0.458, 0.366, 0.566</v>
      </c>
      <c r="L158" s="9" t="str">
        <f t="shared" si="180"/>
        <v>0.451, 0.405, 0.505</v>
      </c>
      <c r="M158" s="9" t="str">
        <f t="shared" si="180"/>
        <v>0.436, 0.349, 0.549</v>
      </c>
      <c r="N158" s="9" t="str">
        <f t="shared" si="180"/>
        <v>0.449, 0.405, 0.505</v>
      </c>
      <c r="O158" s="9" t="str">
        <f t="shared" si="180"/>
        <v>0.432, 0.346, 0.546</v>
      </c>
    </row>
    <row r="159">
      <c r="A159" s="8" t="s">
        <v>626</v>
      </c>
      <c r="B159" s="8" t="s">
        <v>141</v>
      </c>
      <c r="C159" s="8" t="s">
        <v>632</v>
      </c>
      <c r="D159" s="8" t="s">
        <v>633</v>
      </c>
      <c r="E159" s="8" t="s">
        <v>634</v>
      </c>
      <c r="F159" s="8" t="s">
        <v>635</v>
      </c>
      <c r="G159" s="8" t="s">
        <v>636</v>
      </c>
      <c r="I159" s="9" t="str">
        <f t="shared" ref="I159:O159" si="181">substitute(SUBSTITUTE(A159, "(", ""), ")", "")</f>
        <v>0.459, 0.459, 0.459</v>
      </c>
      <c r="J159" s="9" t="str">
        <f t="shared" si="181"/>
        <v>0.462, 0.416, 0.516</v>
      </c>
      <c r="K159" s="9" t="str">
        <f t="shared" si="181"/>
        <v>0.460, 0.368, 0.568</v>
      </c>
      <c r="L159" s="9" t="str">
        <f t="shared" si="181"/>
        <v>0.445, 0.401, 0.501</v>
      </c>
      <c r="M159" s="9" t="str">
        <f t="shared" si="181"/>
        <v>0.421, 0.337, 0.537</v>
      </c>
      <c r="N159" s="9" t="str">
        <f t="shared" si="181"/>
        <v>0.443, 0.399, 0.499</v>
      </c>
      <c r="O159" s="9" t="str">
        <f t="shared" si="181"/>
        <v>0.419, 0.336, 0.536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"","")"),0.463)</f>
        <v>0.463</v>
      </c>
      <c r="B161" s="9">
        <f>IFERROR(__xludf.DUMMYFUNCTION("""COMPUTED_VALUE"""),0.463)</f>
        <v>0.463</v>
      </c>
      <c r="C161" s="9">
        <f>IFERROR(__xludf.DUMMYFUNCTION("""COMPUTED_VALUE"""),0.463)</f>
        <v>0.463</v>
      </c>
      <c r="E161" s="11">
        <f>IFERROR(__xludf.DUMMYFUNCTION("SPLIT(J153, "","")"),0.465)</f>
        <v>0.465</v>
      </c>
      <c r="F161" s="9">
        <f>IFERROR(__xludf.DUMMYFUNCTION("""COMPUTED_VALUE"""),0.418)</f>
        <v>0.418</v>
      </c>
      <c r="G161" s="9">
        <f>IFERROR(__xludf.DUMMYFUNCTION("""COMPUTED_VALUE"""),0.518)</f>
        <v>0.518</v>
      </c>
      <c r="I161" s="9">
        <f>IFERROR(__xludf.DUMMYFUNCTION("SPLIT(K153, "","")"),0.463)</f>
        <v>0.463</v>
      </c>
      <c r="J161" s="9">
        <f>IFERROR(__xludf.DUMMYFUNCTION("""COMPUTED_VALUE"""),0.371)</f>
        <v>0.371</v>
      </c>
      <c r="K161" s="9">
        <f>IFERROR(__xludf.DUMMYFUNCTION("""COMPUTED_VALUE"""),0.571)</f>
        <v>0.571</v>
      </c>
      <c r="M161" s="9">
        <f>IFERROR(__xludf.DUMMYFUNCTION("SPLIT(L153, "","")"),0.463)</f>
        <v>0.463</v>
      </c>
      <c r="N161" s="9">
        <f>IFERROR(__xludf.DUMMYFUNCTION("""COMPUTED_VALUE"""),0.417)</f>
        <v>0.417</v>
      </c>
      <c r="O161" s="9">
        <f>IFERROR(__xludf.DUMMYFUNCTION("""COMPUTED_VALUE"""),0.517)</f>
        <v>0.517</v>
      </c>
      <c r="Q161" s="9">
        <f>IFERROR(__xludf.DUMMYFUNCTION("SPLIT(M153, "","")"),0.461)</f>
        <v>0.461</v>
      </c>
      <c r="R161" s="9">
        <f>IFERROR(__xludf.DUMMYFUNCTION("""COMPUTED_VALUE"""),0.369)</f>
        <v>0.369</v>
      </c>
      <c r="S161" s="9">
        <f>IFERROR(__xludf.DUMMYFUNCTION("""COMPUTED_VALUE"""),0.569)</f>
        <v>0.569</v>
      </c>
      <c r="U161" s="9">
        <f>IFERROR(__xludf.DUMMYFUNCTION("SPLIT(N153, "","")"),0.462)</f>
        <v>0.462</v>
      </c>
      <c r="V161" s="9">
        <f>IFERROR(__xludf.DUMMYFUNCTION("""COMPUTED_VALUE"""),0.416)</f>
        <v>0.416</v>
      </c>
      <c r="W161" s="9">
        <f>IFERROR(__xludf.DUMMYFUNCTION("""COMPUTED_VALUE"""),0.516)</f>
        <v>0.516</v>
      </c>
      <c r="Y161" s="9">
        <f>IFERROR(__xludf.DUMMYFUNCTION("SPLIT(O153, "","")"),0.456)</f>
        <v>0.456</v>
      </c>
      <c r="Z161" s="9">
        <f>IFERROR(__xludf.DUMMYFUNCTION("""COMPUTED_VALUE"""),0.365)</f>
        <v>0.365</v>
      </c>
      <c r="AA161" s="9">
        <f>IFERROR(__xludf.DUMMYFUNCTION("""COMPUTED_VALUE"""),0.565)</f>
        <v>0.565</v>
      </c>
    </row>
    <row r="162">
      <c r="A162" s="9">
        <f>IFERROR(__xludf.DUMMYFUNCTION("SPLIT(I154, "","")"),0.467)</f>
        <v>0.467</v>
      </c>
      <c r="B162" s="9">
        <f>IFERROR(__xludf.DUMMYFUNCTION("""COMPUTED_VALUE"""),0.467)</f>
        <v>0.467</v>
      </c>
      <c r="C162" s="9">
        <f>IFERROR(__xludf.DUMMYFUNCTION("""COMPUTED_VALUE"""),0.467)</f>
        <v>0.467</v>
      </c>
      <c r="E162" s="11">
        <f>IFERROR(__xludf.DUMMYFUNCTION("SPLIT(J154, "","")"),0.468)</f>
        <v>0.468</v>
      </c>
      <c r="F162" s="9">
        <f>IFERROR(__xludf.DUMMYFUNCTION("""COMPUTED_VALUE"""),0.421)</f>
        <v>0.421</v>
      </c>
      <c r="G162" s="9">
        <f>IFERROR(__xludf.DUMMYFUNCTION("""COMPUTED_VALUE"""),0.521)</f>
        <v>0.521</v>
      </c>
      <c r="I162" s="9">
        <f>IFERROR(__xludf.DUMMYFUNCTION("SPLIT(K154, "","")"),0.467)</f>
        <v>0.467</v>
      </c>
      <c r="J162" s="9">
        <f>IFERROR(__xludf.DUMMYFUNCTION("""COMPUTED_VALUE"""),0.374)</f>
        <v>0.374</v>
      </c>
      <c r="K162" s="9">
        <f>IFERROR(__xludf.DUMMYFUNCTION("""COMPUTED_VALUE"""),0.574)</f>
        <v>0.574</v>
      </c>
      <c r="M162" s="9">
        <f>IFERROR(__xludf.DUMMYFUNCTION("SPLIT(L154, "","")"),0.468)</f>
        <v>0.468</v>
      </c>
      <c r="N162" s="9">
        <f>IFERROR(__xludf.DUMMYFUNCTION("""COMPUTED_VALUE"""),0.422)</f>
        <v>0.422</v>
      </c>
      <c r="O162" s="9">
        <f>IFERROR(__xludf.DUMMYFUNCTION("""COMPUTED_VALUE"""),0.522)</f>
        <v>0.522</v>
      </c>
      <c r="Q162" s="9">
        <f>IFERROR(__xludf.DUMMYFUNCTION("SPLIT(M154, "","")"),0.468)</f>
        <v>0.468</v>
      </c>
      <c r="R162" s="9">
        <f>IFERROR(__xludf.DUMMYFUNCTION("""COMPUTED_VALUE"""),0.375)</f>
        <v>0.375</v>
      </c>
      <c r="S162" s="9">
        <f>IFERROR(__xludf.DUMMYFUNCTION("""COMPUTED_VALUE"""),0.575)</f>
        <v>0.575</v>
      </c>
      <c r="U162" s="9">
        <f>IFERROR(__xludf.DUMMYFUNCTION("SPLIT(N154, "","")"),0.468)</f>
        <v>0.468</v>
      </c>
      <c r="V162" s="9">
        <f>IFERROR(__xludf.DUMMYFUNCTION("""COMPUTED_VALUE"""),0.421)</f>
        <v>0.421</v>
      </c>
      <c r="W162" s="9">
        <f>IFERROR(__xludf.DUMMYFUNCTION("""COMPUTED_VALUE"""),0.521)</f>
        <v>0.521</v>
      </c>
      <c r="Y162" s="9">
        <f>IFERROR(__xludf.DUMMYFUNCTION("SPLIT(O154, "","")"),0.467)</f>
        <v>0.467</v>
      </c>
      <c r="Z162" s="9">
        <f>IFERROR(__xludf.DUMMYFUNCTION("""COMPUTED_VALUE"""),0.373)</f>
        <v>0.373</v>
      </c>
      <c r="AA162" s="9">
        <f>IFERROR(__xludf.DUMMYFUNCTION("""COMPUTED_VALUE"""),0.573)</f>
        <v>0.573</v>
      </c>
    </row>
    <row r="163">
      <c r="A163" s="9">
        <f>IFERROR(__xludf.DUMMYFUNCTION("SPLIT(I155, "","")"),0.462)</f>
        <v>0.462</v>
      </c>
      <c r="B163" s="9">
        <f>IFERROR(__xludf.DUMMYFUNCTION("""COMPUTED_VALUE"""),0.462)</f>
        <v>0.462</v>
      </c>
      <c r="C163" s="9">
        <f>IFERROR(__xludf.DUMMYFUNCTION("""COMPUTED_VALUE"""),0.462)</f>
        <v>0.462</v>
      </c>
      <c r="E163" s="11">
        <f>IFERROR(__xludf.DUMMYFUNCTION("SPLIT(J155, "","")"),0.464)</f>
        <v>0.464</v>
      </c>
      <c r="F163" s="9">
        <f>IFERROR(__xludf.DUMMYFUNCTION("""COMPUTED_VALUE"""),0.418)</f>
        <v>0.418</v>
      </c>
      <c r="G163" s="9">
        <f>IFERROR(__xludf.DUMMYFUNCTION("""COMPUTED_VALUE"""),0.518)</f>
        <v>0.518</v>
      </c>
      <c r="I163" s="9">
        <f>IFERROR(__xludf.DUMMYFUNCTION("SPLIT(K155, "","")"),0.462)</f>
        <v>0.462</v>
      </c>
      <c r="J163" s="9">
        <f>IFERROR(__xludf.DUMMYFUNCTION("""COMPUTED_VALUE"""),0.37)</f>
        <v>0.37</v>
      </c>
      <c r="K163" s="9">
        <f>IFERROR(__xludf.DUMMYFUNCTION("""COMPUTED_VALUE"""),0.57)</f>
        <v>0.57</v>
      </c>
      <c r="M163" s="9">
        <f>IFERROR(__xludf.DUMMYFUNCTION("SPLIT(L155, "","")"),0.467)</f>
        <v>0.467</v>
      </c>
      <c r="N163" s="9">
        <f>IFERROR(__xludf.DUMMYFUNCTION("""COMPUTED_VALUE"""),0.421)</f>
        <v>0.421</v>
      </c>
      <c r="O163" s="9">
        <f>IFERROR(__xludf.DUMMYFUNCTION("""COMPUTED_VALUE"""),0.521)</f>
        <v>0.521</v>
      </c>
      <c r="Q163" s="9">
        <f>IFERROR(__xludf.DUMMYFUNCTION("SPLIT(M155, "","")"),0.47)</f>
        <v>0.47</v>
      </c>
      <c r="R163" s="9">
        <f>IFERROR(__xludf.DUMMYFUNCTION("""COMPUTED_VALUE"""),0.376)</f>
        <v>0.376</v>
      </c>
      <c r="S163" s="9">
        <f>IFERROR(__xludf.DUMMYFUNCTION("""COMPUTED_VALUE"""),0.576)</f>
        <v>0.576</v>
      </c>
      <c r="U163" s="9">
        <f>IFERROR(__xludf.DUMMYFUNCTION("SPLIT(N155, "","")"),0.466)</f>
        <v>0.466</v>
      </c>
      <c r="V163" s="9">
        <f>IFERROR(__xludf.DUMMYFUNCTION("""COMPUTED_VALUE"""),0.419)</f>
        <v>0.419</v>
      </c>
      <c r="W163" s="9">
        <f>IFERROR(__xludf.DUMMYFUNCTION("""COMPUTED_VALUE"""),0.519)</f>
        <v>0.519</v>
      </c>
      <c r="Y163" s="9">
        <f>IFERROR(__xludf.DUMMYFUNCTION("SPLIT(O155, "","")"),0.47)</f>
        <v>0.47</v>
      </c>
      <c r="Z163" s="9">
        <f>IFERROR(__xludf.DUMMYFUNCTION("""COMPUTED_VALUE"""),0.376)</f>
        <v>0.376</v>
      </c>
      <c r="AA163" s="9">
        <f>IFERROR(__xludf.DUMMYFUNCTION("""COMPUTED_VALUE"""),0.576)</f>
        <v>0.576</v>
      </c>
    </row>
    <row r="164">
      <c r="A164" s="9">
        <f>IFERROR(__xludf.DUMMYFUNCTION("SPLIT(I156, "","")"),0.461)</f>
        <v>0.461</v>
      </c>
      <c r="B164" s="9">
        <f>IFERROR(__xludf.DUMMYFUNCTION("""COMPUTED_VALUE"""),0.461)</f>
        <v>0.461</v>
      </c>
      <c r="C164" s="9">
        <f>IFERROR(__xludf.DUMMYFUNCTION("""COMPUTED_VALUE"""),0.461)</f>
        <v>0.461</v>
      </c>
      <c r="E164" s="11">
        <f>IFERROR(__xludf.DUMMYFUNCTION("SPLIT(J156, "","")"),0.464)</f>
        <v>0.464</v>
      </c>
      <c r="F164" s="9">
        <f>IFERROR(__xludf.DUMMYFUNCTION("""COMPUTED_VALUE"""),0.417)</f>
        <v>0.417</v>
      </c>
      <c r="G164" s="9">
        <f>IFERROR(__xludf.DUMMYFUNCTION("""COMPUTED_VALUE"""),0.517)</f>
        <v>0.517</v>
      </c>
      <c r="I164" s="9">
        <f>IFERROR(__xludf.DUMMYFUNCTION("SPLIT(K156, "","")"),0.458)</f>
        <v>0.458</v>
      </c>
      <c r="J164" s="9">
        <f>IFERROR(__xludf.DUMMYFUNCTION("""COMPUTED_VALUE"""),0.367)</f>
        <v>0.367</v>
      </c>
      <c r="K164" s="9">
        <f>IFERROR(__xludf.DUMMYFUNCTION("""COMPUTED_VALUE"""),0.567)</f>
        <v>0.567</v>
      </c>
      <c r="M164" s="9">
        <f>IFERROR(__xludf.DUMMYFUNCTION("SPLIT(L156, "","")"),0.453)</f>
        <v>0.453</v>
      </c>
      <c r="N164" s="9">
        <f>IFERROR(__xludf.DUMMYFUNCTION("""COMPUTED_VALUE"""),0.407)</f>
        <v>0.407</v>
      </c>
      <c r="O164" s="9">
        <f>IFERROR(__xludf.DUMMYFUNCTION("""COMPUTED_VALUE"""),0.507)</f>
        <v>0.507</v>
      </c>
      <c r="Q164" s="9">
        <f>IFERROR(__xludf.DUMMYFUNCTION("SPLIT(M156, "","")"),0.437)</f>
        <v>0.437</v>
      </c>
      <c r="R164" s="9">
        <f>IFERROR(__xludf.DUMMYFUNCTION("""COMPUTED_VALUE"""),0.35)</f>
        <v>0.35</v>
      </c>
      <c r="S164" s="9">
        <f>IFERROR(__xludf.DUMMYFUNCTION("""COMPUTED_VALUE"""),0.55)</f>
        <v>0.55</v>
      </c>
      <c r="U164" s="9">
        <f>IFERROR(__xludf.DUMMYFUNCTION("SPLIT(N156, "","")"),0.451)</f>
        <v>0.451</v>
      </c>
      <c r="V164" s="9">
        <f>IFERROR(__xludf.DUMMYFUNCTION("""COMPUTED_VALUE"""),0.406)</f>
        <v>0.406</v>
      </c>
      <c r="W164" s="9">
        <f>IFERROR(__xludf.DUMMYFUNCTION("""COMPUTED_VALUE"""),0.506)</f>
        <v>0.506</v>
      </c>
      <c r="Y164" s="9">
        <f>IFERROR(__xludf.DUMMYFUNCTION("SPLIT(O156, "","")"),0.433)</f>
        <v>0.433</v>
      </c>
      <c r="Z164" s="9">
        <f>IFERROR(__xludf.DUMMYFUNCTION("""COMPUTED_VALUE"""),0.346)</f>
        <v>0.346</v>
      </c>
      <c r="AA164" s="9">
        <f>IFERROR(__xludf.DUMMYFUNCTION("""COMPUTED_VALUE"""),0.546)</f>
        <v>0.546</v>
      </c>
    </row>
    <row r="165">
      <c r="A165" s="9">
        <f>IFERROR(__xludf.DUMMYFUNCTION("SPLIT(I157, "","")"),0.452)</f>
        <v>0.452</v>
      </c>
      <c r="B165" s="9">
        <f>IFERROR(__xludf.DUMMYFUNCTION("""COMPUTED_VALUE"""),0.452)</f>
        <v>0.452</v>
      </c>
      <c r="C165" s="9">
        <f>IFERROR(__xludf.DUMMYFUNCTION("""COMPUTED_VALUE"""),0.452)</f>
        <v>0.452</v>
      </c>
      <c r="E165" s="11">
        <f>IFERROR(__xludf.DUMMYFUNCTION("SPLIT(J157, "","")"),0.456)</f>
        <v>0.456</v>
      </c>
      <c r="F165" s="9">
        <f>IFERROR(__xludf.DUMMYFUNCTION("""COMPUTED_VALUE"""),0.41)</f>
        <v>0.41</v>
      </c>
      <c r="G165" s="9">
        <f>IFERROR(__xludf.DUMMYFUNCTION("""COMPUTED_VALUE"""),0.51)</f>
        <v>0.51</v>
      </c>
      <c r="I165" s="9">
        <f>IFERROR(__xludf.DUMMYFUNCTION("SPLIT(K157, "","")"),0.453)</f>
        <v>0.453</v>
      </c>
      <c r="J165" s="9">
        <f>IFERROR(__xludf.DUMMYFUNCTION("""COMPUTED_VALUE"""),0.362)</f>
        <v>0.362</v>
      </c>
      <c r="K165" s="9">
        <f>IFERROR(__xludf.DUMMYFUNCTION("""COMPUTED_VALUE"""),0.562)</f>
        <v>0.562</v>
      </c>
      <c r="M165" s="9">
        <f>IFERROR(__xludf.DUMMYFUNCTION("SPLIT(L157, "","")"),0.437)</f>
        <v>0.437</v>
      </c>
      <c r="N165" s="9">
        <f>IFERROR(__xludf.DUMMYFUNCTION("""COMPUTED_VALUE"""),0.394)</f>
        <v>0.394</v>
      </c>
      <c r="O165" s="9">
        <f>IFERROR(__xludf.DUMMYFUNCTION("""COMPUTED_VALUE"""),0.494)</f>
        <v>0.494</v>
      </c>
      <c r="Q165" s="9">
        <f>IFERROR(__xludf.DUMMYFUNCTION("SPLIT(M157, "","")"),0.413)</f>
        <v>0.413</v>
      </c>
      <c r="R165" s="9">
        <f>IFERROR(__xludf.DUMMYFUNCTION("""COMPUTED_VALUE"""),0.33)</f>
        <v>0.33</v>
      </c>
      <c r="S165" s="9">
        <f>IFERROR(__xludf.DUMMYFUNCTION("""COMPUTED_VALUE"""),0.53)</f>
        <v>0.53</v>
      </c>
      <c r="U165" s="9">
        <f>IFERROR(__xludf.DUMMYFUNCTION("SPLIT(N157, "","")"),0.437)</f>
        <v>0.437</v>
      </c>
      <c r="V165" s="9">
        <f>IFERROR(__xludf.DUMMYFUNCTION("""COMPUTED_VALUE"""),0.393)</f>
        <v>0.393</v>
      </c>
      <c r="W165" s="9">
        <f>IFERROR(__xludf.DUMMYFUNCTION("""COMPUTED_VALUE"""),0.493)</f>
        <v>0.493</v>
      </c>
      <c r="Y165" s="9">
        <f>IFERROR(__xludf.DUMMYFUNCTION("SPLIT(O157, "","")"),0.41)</f>
        <v>0.41</v>
      </c>
      <c r="Z165" s="9">
        <f>IFERROR(__xludf.DUMMYFUNCTION("""COMPUTED_VALUE"""),0.328)</f>
        <v>0.328</v>
      </c>
      <c r="AA165" s="9">
        <f>IFERROR(__xludf.DUMMYFUNCTION("""COMPUTED_VALUE"""),0.528)</f>
        <v>0.528</v>
      </c>
    </row>
    <row r="166">
      <c r="A166" s="9">
        <f>IFERROR(__xludf.DUMMYFUNCTION("SPLIT(I158, "","")"),0.459)</f>
        <v>0.459</v>
      </c>
      <c r="B166" s="9">
        <f>IFERROR(__xludf.DUMMYFUNCTION("""COMPUTED_VALUE"""),0.459)</f>
        <v>0.459</v>
      </c>
      <c r="C166" s="9">
        <f>IFERROR(__xludf.DUMMYFUNCTION("""COMPUTED_VALUE"""),0.459)</f>
        <v>0.459</v>
      </c>
      <c r="E166" s="11">
        <f>IFERROR(__xludf.DUMMYFUNCTION("SPLIT(J158, "","")"),0.463)</f>
        <v>0.463</v>
      </c>
      <c r="F166" s="9">
        <f>IFERROR(__xludf.DUMMYFUNCTION("""COMPUTED_VALUE"""),0.416)</f>
        <v>0.416</v>
      </c>
      <c r="G166" s="9">
        <f>IFERROR(__xludf.DUMMYFUNCTION("""COMPUTED_VALUE"""),0.516)</f>
        <v>0.516</v>
      </c>
      <c r="I166" s="9">
        <f>IFERROR(__xludf.DUMMYFUNCTION("SPLIT(K158, "","")"),0.458)</f>
        <v>0.458</v>
      </c>
      <c r="J166" s="9">
        <f>IFERROR(__xludf.DUMMYFUNCTION("""COMPUTED_VALUE"""),0.366)</f>
        <v>0.366</v>
      </c>
      <c r="K166" s="9">
        <f>IFERROR(__xludf.DUMMYFUNCTION("""COMPUTED_VALUE"""),0.566)</f>
        <v>0.566</v>
      </c>
      <c r="M166" s="9">
        <f>IFERROR(__xludf.DUMMYFUNCTION("SPLIT(L158, "","")"),0.451)</f>
        <v>0.451</v>
      </c>
      <c r="N166" s="9">
        <f>IFERROR(__xludf.DUMMYFUNCTION("""COMPUTED_VALUE"""),0.405)</f>
        <v>0.405</v>
      </c>
      <c r="O166" s="9">
        <f>IFERROR(__xludf.DUMMYFUNCTION("""COMPUTED_VALUE"""),0.505)</f>
        <v>0.505</v>
      </c>
      <c r="Q166" s="9">
        <f>IFERROR(__xludf.DUMMYFUNCTION("SPLIT(M158, "","")"),0.436)</f>
        <v>0.436</v>
      </c>
      <c r="R166" s="9">
        <f>IFERROR(__xludf.DUMMYFUNCTION("""COMPUTED_VALUE"""),0.349)</f>
        <v>0.349</v>
      </c>
      <c r="S166" s="9">
        <f>IFERROR(__xludf.DUMMYFUNCTION("""COMPUTED_VALUE"""),0.549)</f>
        <v>0.549</v>
      </c>
      <c r="U166" s="9">
        <f>IFERROR(__xludf.DUMMYFUNCTION("SPLIT(N158, "","")"),0.449)</f>
        <v>0.449</v>
      </c>
      <c r="V166" s="9">
        <f>IFERROR(__xludf.DUMMYFUNCTION("""COMPUTED_VALUE"""),0.405)</f>
        <v>0.405</v>
      </c>
      <c r="W166" s="9">
        <f>IFERROR(__xludf.DUMMYFUNCTION("""COMPUTED_VALUE"""),0.505)</f>
        <v>0.505</v>
      </c>
      <c r="Y166" s="9">
        <f>IFERROR(__xludf.DUMMYFUNCTION("SPLIT(O158, "","")"),0.432)</f>
        <v>0.432</v>
      </c>
      <c r="Z166" s="9">
        <f>IFERROR(__xludf.DUMMYFUNCTION("""COMPUTED_VALUE"""),0.346)</f>
        <v>0.346</v>
      </c>
      <c r="AA166" s="9">
        <f>IFERROR(__xludf.DUMMYFUNCTION("""COMPUTED_VALUE"""),0.546)</f>
        <v>0.546</v>
      </c>
    </row>
    <row r="167">
      <c r="A167" s="9">
        <f>IFERROR(__xludf.DUMMYFUNCTION("SPLIT(I159, "","")"),0.459)</f>
        <v>0.459</v>
      </c>
      <c r="B167" s="9">
        <f>IFERROR(__xludf.DUMMYFUNCTION("""COMPUTED_VALUE"""),0.459)</f>
        <v>0.459</v>
      </c>
      <c r="C167" s="9">
        <f>IFERROR(__xludf.DUMMYFUNCTION("""COMPUTED_VALUE"""),0.459)</f>
        <v>0.459</v>
      </c>
      <c r="E167" s="11">
        <f>IFERROR(__xludf.DUMMYFUNCTION("SPLIT(J159, "","")"),0.462)</f>
        <v>0.462</v>
      </c>
      <c r="F167" s="9">
        <f>IFERROR(__xludf.DUMMYFUNCTION("""COMPUTED_VALUE"""),0.416)</f>
        <v>0.416</v>
      </c>
      <c r="G167" s="9">
        <f>IFERROR(__xludf.DUMMYFUNCTION("""COMPUTED_VALUE"""),0.516)</f>
        <v>0.516</v>
      </c>
      <c r="I167" s="9">
        <f>IFERROR(__xludf.DUMMYFUNCTION("SPLIT(K159, "","")"),0.46)</f>
        <v>0.46</v>
      </c>
      <c r="J167" s="9">
        <f>IFERROR(__xludf.DUMMYFUNCTION("""COMPUTED_VALUE"""),0.368)</f>
        <v>0.368</v>
      </c>
      <c r="K167" s="9">
        <f>IFERROR(__xludf.DUMMYFUNCTION("""COMPUTED_VALUE"""),0.568)</f>
        <v>0.568</v>
      </c>
      <c r="M167" s="9">
        <f>IFERROR(__xludf.DUMMYFUNCTION("SPLIT(L159, "","")"),0.445)</f>
        <v>0.445</v>
      </c>
      <c r="N167" s="9">
        <f>IFERROR(__xludf.DUMMYFUNCTION("""COMPUTED_VALUE"""),0.401)</f>
        <v>0.401</v>
      </c>
      <c r="O167" s="9">
        <f>IFERROR(__xludf.DUMMYFUNCTION("""COMPUTED_VALUE"""),0.501)</f>
        <v>0.501</v>
      </c>
      <c r="Q167" s="9">
        <f>IFERROR(__xludf.DUMMYFUNCTION("SPLIT(M159, "","")"),0.421)</f>
        <v>0.421</v>
      </c>
      <c r="R167" s="9">
        <f>IFERROR(__xludf.DUMMYFUNCTION("""COMPUTED_VALUE"""),0.337)</f>
        <v>0.337</v>
      </c>
      <c r="S167" s="9">
        <f>IFERROR(__xludf.DUMMYFUNCTION("""COMPUTED_VALUE"""),0.537)</f>
        <v>0.537</v>
      </c>
      <c r="U167" s="9">
        <f>IFERROR(__xludf.DUMMYFUNCTION("SPLIT(N159, "","")"),0.443)</f>
        <v>0.443</v>
      </c>
      <c r="V167" s="9">
        <f>IFERROR(__xludf.DUMMYFUNCTION("""COMPUTED_VALUE"""),0.399)</f>
        <v>0.399</v>
      </c>
      <c r="W167" s="9">
        <f>IFERROR(__xludf.DUMMYFUNCTION("""COMPUTED_VALUE"""),0.499)</f>
        <v>0.499</v>
      </c>
      <c r="Y167" s="9">
        <f>IFERROR(__xludf.DUMMYFUNCTION("SPLIT(O159, "","")"),0.419)</f>
        <v>0.419</v>
      </c>
      <c r="Z167" s="9">
        <f>IFERROR(__xludf.DUMMYFUNCTION("""COMPUTED_VALUE"""),0.336)</f>
        <v>0.336</v>
      </c>
      <c r="AA167" s="9">
        <f>IFERROR(__xludf.DUMMYFUNCTION("""COMPUTED_VALUE"""),0.536)</f>
        <v>0.536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0.463</v>
      </c>
      <c r="D171" s="7">
        <f t="shared" ref="D171:D177" si="187">E161</f>
        <v>0.465</v>
      </c>
      <c r="E171" s="7">
        <f t="shared" ref="E171:E177" si="188">I161</f>
        <v>0.463</v>
      </c>
      <c r="F171" s="7">
        <f t="shared" ref="F171:G171" si="182">N161</f>
        <v>0.417</v>
      </c>
      <c r="G171" s="12">
        <f t="shared" si="182"/>
        <v>0.517</v>
      </c>
      <c r="H171" s="7">
        <f t="shared" ref="H171:I171" si="183">R161</f>
        <v>0.369</v>
      </c>
      <c r="I171" s="12">
        <f t="shared" si="183"/>
        <v>0.569</v>
      </c>
      <c r="J171" s="7">
        <f t="shared" ref="J171:K171" si="184">V161</f>
        <v>0.416</v>
      </c>
      <c r="K171" s="12">
        <f t="shared" si="184"/>
        <v>0.516</v>
      </c>
      <c r="L171" s="7">
        <f t="shared" ref="L171:M171" si="185">Z161</f>
        <v>0.365</v>
      </c>
      <c r="M171" s="7">
        <f t="shared" si="185"/>
        <v>0.565</v>
      </c>
    </row>
    <row r="172">
      <c r="B172" s="6" t="s">
        <v>5</v>
      </c>
      <c r="C172" s="7">
        <f t="shared" si="186"/>
        <v>0.467</v>
      </c>
      <c r="D172" s="7">
        <f t="shared" si="187"/>
        <v>0.468</v>
      </c>
      <c r="E172" s="7">
        <f t="shared" si="188"/>
        <v>0.467</v>
      </c>
      <c r="F172" s="7">
        <f t="shared" ref="F172:G172" si="189">N162</f>
        <v>0.422</v>
      </c>
      <c r="G172" s="12">
        <f t="shared" si="189"/>
        <v>0.522</v>
      </c>
      <c r="H172" s="7">
        <f t="shared" ref="H172:I172" si="190">R162</f>
        <v>0.375</v>
      </c>
      <c r="I172" s="12">
        <f t="shared" si="190"/>
        <v>0.575</v>
      </c>
      <c r="J172" s="7">
        <f t="shared" ref="J172:K172" si="191">V162</f>
        <v>0.421</v>
      </c>
      <c r="K172" s="12">
        <f t="shared" si="191"/>
        <v>0.521</v>
      </c>
      <c r="L172" s="7">
        <f t="shared" ref="L172:M172" si="192">Z162</f>
        <v>0.373</v>
      </c>
      <c r="M172" s="7">
        <f t="shared" si="192"/>
        <v>0.573</v>
      </c>
    </row>
    <row r="173">
      <c r="B173" s="6" t="s">
        <v>6</v>
      </c>
      <c r="C173" s="7">
        <f t="shared" si="186"/>
        <v>0.462</v>
      </c>
      <c r="D173" s="7">
        <f t="shared" si="187"/>
        <v>0.464</v>
      </c>
      <c r="E173" s="7">
        <f t="shared" si="188"/>
        <v>0.462</v>
      </c>
      <c r="F173" s="7">
        <f t="shared" ref="F173:G173" si="193">N163</f>
        <v>0.421</v>
      </c>
      <c r="G173" s="12">
        <f t="shared" si="193"/>
        <v>0.521</v>
      </c>
      <c r="H173" s="7">
        <f t="shared" ref="H173:I173" si="194">R163</f>
        <v>0.376</v>
      </c>
      <c r="I173" s="12">
        <f t="shared" si="194"/>
        <v>0.576</v>
      </c>
      <c r="J173" s="7">
        <f t="shared" ref="J173:K173" si="195">V163</f>
        <v>0.419</v>
      </c>
      <c r="K173" s="12">
        <f t="shared" si="195"/>
        <v>0.519</v>
      </c>
      <c r="L173" s="7">
        <f t="shared" ref="L173:M173" si="196">Z163</f>
        <v>0.376</v>
      </c>
      <c r="M173" s="7">
        <f t="shared" si="196"/>
        <v>0.576</v>
      </c>
    </row>
    <row r="174">
      <c r="B174" s="6" t="s">
        <v>7</v>
      </c>
      <c r="C174" s="7">
        <f t="shared" si="186"/>
        <v>0.461</v>
      </c>
      <c r="D174" s="7">
        <f t="shared" si="187"/>
        <v>0.464</v>
      </c>
      <c r="E174" s="7">
        <f t="shared" si="188"/>
        <v>0.458</v>
      </c>
      <c r="F174" s="7">
        <f t="shared" ref="F174:G174" si="197">N164</f>
        <v>0.407</v>
      </c>
      <c r="G174" s="12">
        <f t="shared" si="197"/>
        <v>0.507</v>
      </c>
      <c r="H174" s="7">
        <f t="shared" ref="H174:I174" si="198">R164</f>
        <v>0.35</v>
      </c>
      <c r="I174" s="12">
        <f t="shared" si="198"/>
        <v>0.55</v>
      </c>
      <c r="J174" s="7">
        <f t="shared" ref="J174:K174" si="199">V164</f>
        <v>0.406</v>
      </c>
      <c r="K174" s="12">
        <f t="shared" si="199"/>
        <v>0.506</v>
      </c>
      <c r="L174" s="7">
        <f t="shared" ref="L174:M174" si="200">Z164</f>
        <v>0.346</v>
      </c>
      <c r="M174" s="7">
        <f t="shared" si="200"/>
        <v>0.546</v>
      </c>
    </row>
    <row r="175">
      <c r="B175" s="6" t="s">
        <v>8</v>
      </c>
      <c r="C175" s="7">
        <f t="shared" si="186"/>
        <v>0.452</v>
      </c>
      <c r="D175" s="7">
        <f t="shared" si="187"/>
        <v>0.456</v>
      </c>
      <c r="E175" s="7">
        <f t="shared" si="188"/>
        <v>0.453</v>
      </c>
      <c r="F175" s="7">
        <f t="shared" ref="F175:G175" si="201">N165</f>
        <v>0.394</v>
      </c>
      <c r="G175" s="12">
        <f t="shared" si="201"/>
        <v>0.494</v>
      </c>
      <c r="H175" s="7">
        <f t="shared" ref="H175:I175" si="202">R165</f>
        <v>0.33</v>
      </c>
      <c r="I175" s="12">
        <f t="shared" si="202"/>
        <v>0.53</v>
      </c>
      <c r="J175" s="7">
        <f t="shared" ref="J175:K175" si="203">V165</f>
        <v>0.393</v>
      </c>
      <c r="K175" s="12">
        <f t="shared" si="203"/>
        <v>0.493</v>
      </c>
      <c r="L175" s="7">
        <f t="shared" ref="L175:M175" si="204">Z165</f>
        <v>0.328</v>
      </c>
      <c r="M175" s="7">
        <f t="shared" si="204"/>
        <v>0.528</v>
      </c>
    </row>
    <row r="176">
      <c r="B176" s="6" t="s">
        <v>9</v>
      </c>
      <c r="C176" s="7">
        <f t="shared" si="186"/>
        <v>0.459</v>
      </c>
      <c r="D176" s="7">
        <f t="shared" si="187"/>
        <v>0.463</v>
      </c>
      <c r="E176" s="7">
        <f t="shared" si="188"/>
        <v>0.458</v>
      </c>
      <c r="F176" s="7">
        <f t="shared" ref="F176:G176" si="205">N166</f>
        <v>0.405</v>
      </c>
      <c r="G176" s="12">
        <f t="shared" si="205"/>
        <v>0.505</v>
      </c>
      <c r="H176" s="7">
        <f t="shared" ref="H176:I176" si="206">R166</f>
        <v>0.349</v>
      </c>
      <c r="I176" s="12">
        <f t="shared" si="206"/>
        <v>0.549</v>
      </c>
      <c r="J176" s="7">
        <f t="shared" ref="J176:K176" si="207">V166</f>
        <v>0.405</v>
      </c>
      <c r="K176" s="12">
        <f t="shared" si="207"/>
        <v>0.505</v>
      </c>
      <c r="L176" s="7">
        <f t="shared" ref="L176:M176" si="208">Z166</f>
        <v>0.346</v>
      </c>
      <c r="M176" s="7">
        <f t="shared" si="208"/>
        <v>0.546</v>
      </c>
    </row>
    <row r="177">
      <c r="B177" s="6" t="s">
        <v>10</v>
      </c>
      <c r="C177" s="7">
        <f t="shared" si="186"/>
        <v>0.459</v>
      </c>
      <c r="D177" s="7">
        <f t="shared" si="187"/>
        <v>0.462</v>
      </c>
      <c r="E177" s="7">
        <f t="shared" si="188"/>
        <v>0.46</v>
      </c>
      <c r="F177" s="7">
        <f t="shared" ref="F177:G177" si="209">N167</f>
        <v>0.401</v>
      </c>
      <c r="G177" s="12">
        <f t="shared" si="209"/>
        <v>0.501</v>
      </c>
      <c r="H177" s="7">
        <f t="shared" ref="H177:I177" si="210">R167</f>
        <v>0.337</v>
      </c>
      <c r="I177" s="12">
        <f t="shared" si="210"/>
        <v>0.537</v>
      </c>
      <c r="J177" s="7">
        <f t="shared" ref="J177:K177" si="211">V167</f>
        <v>0.399</v>
      </c>
      <c r="K177" s="12">
        <f t="shared" si="211"/>
        <v>0.499</v>
      </c>
      <c r="L177" s="7">
        <f t="shared" ref="L177:M177" si="212">Z167</f>
        <v>0.336</v>
      </c>
      <c r="M177" s="7">
        <f t="shared" si="212"/>
        <v>0.536</v>
      </c>
    </row>
    <row r="179">
      <c r="A179" s="8" t="s">
        <v>198</v>
      </c>
      <c r="B179" s="8" t="s">
        <v>199</v>
      </c>
      <c r="C179" s="8" t="s">
        <v>637</v>
      </c>
      <c r="D179" s="8" t="s">
        <v>207</v>
      </c>
      <c r="E179" s="8" t="s">
        <v>208</v>
      </c>
      <c r="F179" s="8" t="s">
        <v>209</v>
      </c>
      <c r="G179" s="8" t="s">
        <v>210</v>
      </c>
      <c r="I179" s="9" t="str">
        <f t="shared" ref="I179:O179" si="213">substitute(SUBSTITUTE(A179, "(", ""), ")", "")</f>
        <v>0.453, 0.453, 0.453</v>
      </c>
      <c r="J179" s="9" t="str">
        <f t="shared" si="213"/>
        <v>0.445, 0.400, 0.500</v>
      </c>
      <c r="K179" s="9" t="str">
        <f t="shared" si="213"/>
        <v>0.463, 0.370, 0.570</v>
      </c>
      <c r="L179" s="9" t="str">
        <f t="shared" si="213"/>
        <v>0.503, 0.453, 0.553</v>
      </c>
      <c r="M179" s="9" t="str">
        <f t="shared" si="213"/>
        <v>0.570, 0.456, 0.656</v>
      </c>
      <c r="N179" s="9" t="str">
        <f t="shared" si="213"/>
        <v>0.504, 0.453, 0.553</v>
      </c>
      <c r="O179" s="9" t="str">
        <f t="shared" si="213"/>
        <v>0.567, 0.454, 0.654</v>
      </c>
      <c r="T179" s="6"/>
    </row>
    <row r="180">
      <c r="A180" s="8" t="s">
        <v>198</v>
      </c>
      <c r="B180" s="8" t="s">
        <v>199</v>
      </c>
      <c r="C180" s="8" t="s">
        <v>637</v>
      </c>
      <c r="D180" s="8" t="s">
        <v>207</v>
      </c>
      <c r="E180" s="8" t="s">
        <v>208</v>
      </c>
      <c r="F180" s="8" t="s">
        <v>209</v>
      </c>
      <c r="G180" s="8" t="s">
        <v>210</v>
      </c>
      <c r="I180" s="9" t="str">
        <f t="shared" ref="I180:O180" si="214">substitute(SUBSTITUTE(A180, "(", ""), ")", "")</f>
        <v>0.453, 0.453, 0.453</v>
      </c>
      <c r="J180" s="9" t="str">
        <f t="shared" si="214"/>
        <v>0.445, 0.400, 0.500</v>
      </c>
      <c r="K180" s="9" t="str">
        <f t="shared" si="214"/>
        <v>0.463, 0.370, 0.570</v>
      </c>
      <c r="L180" s="9" t="str">
        <f t="shared" si="214"/>
        <v>0.503, 0.453, 0.553</v>
      </c>
      <c r="M180" s="9" t="str">
        <f t="shared" si="214"/>
        <v>0.570, 0.456, 0.656</v>
      </c>
      <c r="N180" s="9" t="str">
        <f t="shared" si="214"/>
        <v>0.504, 0.453, 0.553</v>
      </c>
      <c r="O180" s="9" t="str">
        <f t="shared" si="214"/>
        <v>0.567, 0.454, 0.654</v>
      </c>
    </row>
    <row r="181">
      <c r="A181" s="8" t="s">
        <v>198</v>
      </c>
      <c r="B181" s="8" t="s">
        <v>199</v>
      </c>
      <c r="C181" s="8" t="s">
        <v>637</v>
      </c>
      <c r="D181" s="8" t="s">
        <v>207</v>
      </c>
      <c r="E181" s="8" t="s">
        <v>208</v>
      </c>
      <c r="F181" s="8" t="s">
        <v>209</v>
      </c>
      <c r="G181" s="8" t="s">
        <v>210</v>
      </c>
      <c r="I181" s="9" t="str">
        <f t="shared" ref="I181:O181" si="215">substitute(SUBSTITUTE(A181, "(", ""), ")", "")</f>
        <v>0.453, 0.453, 0.453</v>
      </c>
      <c r="J181" s="9" t="str">
        <f t="shared" si="215"/>
        <v>0.445, 0.400, 0.500</v>
      </c>
      <c r="K181" s="9" t="str">
        <f t="shared" si="215"/>
        <v>0.463, 0.370, 0.570</v>
      </c>
      <c r="L181" s="9" t="str">
        <f t="shared" si="215"/>
        <v>0.503, 0.453, 0.553</v>
      </c>
      <c r="M181" s="9" t="str">
        <f t="shared" si="215"/>
        <v>0.570, 0.456, 0.656</v>
      </c>
      <c r="N181" s="9" t="str">
        <f t="shared" si="215"/>
        <v>0.504, 0.453, 0.553</v>
      </c>
      <c r="O181" s="9" t="str">
        <f t="shared" si="215"/>
        <v>0.567, 0.454, 0.654</v>
      </c>
    </row>
    <row r="182">
      <c r="A182" s="8" t="s">
        <v>198</v>
      </c>
      <c r="B182" s="8" t="s">
        <v>199</v>
      </c>
      <c r="C182" s="8" t="s">
        <v>637</v>
      </c>
      <c r="D182" s="8" t="s">
        <v>207</v>
      </c>
      <c r="E182" s="8" t="s">
        <v>208</v>
      </c>
      <c r="F182" s="8" t="s">
        <v>209</v>
      </c>
      <c r="G182" s="8" t="s">
        <v>210</v>
      </c>
      <c r="I182" s="9" t="str">
        <f t="shared" ref="I182:O182" si="216">substitute(SUBSTITUTE(A182, "(", ""), ")", "")</f>
        <v>0.453, 0.453, 0.453</v>
      </c>
      <c r="J182" s="9" t="str">
        <f t="shared" si="216"/>
        <v>0.445, 0.400, 0.500</v>
      </c>
      <c r="K182" s="9" t="str">
        <f t="shared" si="216"/>
        <v>0.463, 0.370, 0.570</v>
      </c>
      <c r="L182" s="9" t="str">
        <f t="shared" si="216"/>
        <v>0.503, 0.453, 0.553</v>
      </c>
      <c r="M182" s="9" t="str">
        <f t="shared" si="216"/>
        <v>0.570, 0.456, 0.656</v>
      </c>
      <c r="N182" s="9" t="str">
        <f t="shared" si="216"/>
        <v>0.504, 0.453, 0.553</v>
      </c>
      <c r="O182" s="9" t="str">
        <f t="shared" si="216"/>
        <v>0.567, 0.454, 0.654</v>
      </c>
    </row>
    <row r="183">
      <c r="A183" s="8" t="s">
        <v>198</v>
      </c>
      <c r="B183" s="8" t="s">
        <v>199</v>
      </c>
      <c r="C183" s="8" t="s">
        <v>637</v>
      </c>
      <c r="D183" s="8" t="s">
        <v>207</v>
      </c>
      <c r="E183" s="8" t="s">
        <v>208</v>
      </c>
      <c r="F183" s="8" t="s">
        <v>209</v>
      </c>
      <c r="G183" s="8" t="s">
        <v>210</v>
      </c>
      <c r="I183" s="9" t="str">
        <f t="shared" ref="I183:O183" si="217">substitute(SUBSTITUTE(A183, "(", ""), ")", "")</f>
        <v>0.453, 0.453, 0.453</v>
      </c>
      <c r="J183" s="9" t="str">
        <f t="shared" si="217"/>
        <v>0.445, 0.400, 0.500</v>
      </c>
      <c r="K183" s="9" t="str">
        <f t="shared" si="217"/>
        <v>0.463, 0.370, 0.570</v>
      </c>
      <c r="L183" s="9" t="str">
        <f t="shared" si="217"/>
        <v>0.503, 0.453, 0.553</v>
      </c>
      <c r="M183" s="9" t="str">
        <f t="shared" si="217"/>
        <v>0.570, 0.456, 0.656</v>
      </c>
      <c r="N183" s="9" t="str">
        <f t="shared" si="217"/>
        <v>0.504, 0.453, 0.553</v>
      </c>
      <c r="O183" s="9" t="str">
        <f t="shared" si="217"/>
        <v>0.567, 0.454, 0.654</v>
      </c>
    </row>
    <row r="184">
      <c r="A184" s="8" t="s">
        <v>198</v>
      </c>
      <c r="B184" s="8" t="s">
        <v>199</v>
      </c>
      <c r="C184" s="8" t="s">
        <v>637</v>
      </c>
      <c r="D184" s="8" t="s">
        <v>207</v>
      </c>
      <c r="E184" s="8" t="s">
        <v>208</v>
      </c>
      <c r="F184" s="8" t="s">
        <v>209</v>
      </c>
      <c r="G184" s="8" t="s">
        <v>210</v>
      </c>
      <c r="I184" s="9" t="str">
        <f t="shared" ref="I184:O184" si="218">substitute(SUBSTITUTE(A184, "(", ""), ")", "")</f>
        <v>0.453, 0.453, 0.453</v>
      </c>
      <c r="J184" s="9" t="str">
        <f t="shared" si="218"/>
        <v>0.445, 0.400, 0.500</v>
      </c>
      <c r="K184" s="9" t="str">
        <f t="shared" si="218"/>
        <v>0.463, 0.370, 0.570</v>
      </c>
      <c r="L184" s="9" t="str">
        <f t="shared" si="218"/>
        <v>0.503, 0.453, 0.553</v>
      </c>
      <c r="M184" s="9" t="str">
        <f t="shared" si="218"/>
        <v>0.570, 0.456, 0.656</v>
      </c>
      <c r="N184" s="9" t="str">
        <f t="shared" si="218"/>
        <v>0.504, 0.453, 0.553</v>
      </c>
      <c r="O184" s="9" t="str">
        <f t="shared" si="218"/>
        <v>0.567, 0.454, 0.654</v>
      </c>
    </row>
    <row r="185">
      <c r="A185" s="8" t="s">
        <v>198</v>
      </c>
      <c r="B185" s="8" t="s">
        <v>199</v>
      </c>
      <c r="C185" s="8" t="s">
        <v>637</v>
      </c>
      <c r="D185" s="8" t="s">
        <v>207</v>
      </c>
      <c r="E185" s="8" t="s">
        <v>208</v>
      </c>
      <c r="F185" s="8" t="s">
        <v>209</v>
      </c>
      <c r="G185" s="8" t="s">
        <v>210</v>
      </c>
      <c r="I185" s="9" t="str">
        <f t="shared" ref="I185:O185" si="219">substitute(SUBSTITUTE(A185, "(", ""), ")", "")</f>
        <v>0.453, 0.453, 0.453</v>
      </c>
      <c r="J185" s="9" t="str">
        <f t="shared" si="219"/>
        <v>0.445, 0.400, 0.500</v>
      </c>
      <c r="K185" s="9" t="str">
        <f t="shared" si="219"/>
        <v>0.463, 0.370, 0.570</v>
      </c>
      <c r="L185" s="9" t="str">
        <f t="shared" si="219"/>
        <v>0.503, 0.453, 0.553</v>
      </c>
      <c r="M185" s="9" t="str">
        <f t="shared" si="219"/>
        <v>0.570, 0.456, 0.656</v>
      </c>
      <c r="N185" s="9" t="str">
        <f t="shared" si="219"/>
        <v>0.504, 0.453, 0.553</v>
      </c>
      <c r="O185" s="9" t="str">
        <f t="shared" si="219"/>
        <v>0.567, 0.454, 0.654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"","")"),0.453)</f>
        <v>0.453</v>
      </c>
      <c r="B187" s="9">
        <f>IFERROR(__xludf.DUMMYFUNCTION("""COMPUTED_VALUE"""),0.453)</f>
        <v>0.453</v>
      </c>
      <c r="C187" s="9">
        <f>IFERROR(__xludf.DUMMYFUNCTION("""COMPUTED_VALUE"""),0.453)</f>
        <v>0.453</v>
      </c>
      <c r="E187" s="11">
        <f>IFERROR(__xludf.DUMMYFUNCTION("SPLIT(J179, "","")"),0.445)</f>
        <v>0.445</v>
      </c>
      <c r="F187" s="9">
        <f>IFERROR(__xludf.DUMMYFUNCTION("""COMPUTED_VALUE"""),0.4)</f>
        <v>0.4</v>
      </c>
      <c r="G187" s="9">
        <f>IFERROR(__xludf.DUMMYFUNCTION("""COMPUTED_VALUE"""),0.5)</f>
        <v>0.5</v>
      </c>
      <c r="I187" s="9">
        <f>IFERROR(__xludf.DUMMYFUNCTION("SPLIT(K179, "","")"),0.463)</f>
        <v>0.463</v>
      </c>
      <c r="J187" s="9">
        <f>IFERROR(__xludf.DUMMYFUNCTION("""COMPUTED_VALUE"""),0.37)</f>
        <v>0.37</v>
      </c>
      <c r="K187" s="9">
        <f>IFERROR(__xludf.DUMMYFUNCTION("""COMPUTED_VALUE"""),0.57)</f>
        <v>0.57</v>
      </c>
      <c r="M187" s="9">
        <f>IFERROR(__xludf.DUMMYFUNCTION("SPLIT(L179, "","")"),0.503)</f>
        <v>0.503</v>
      </c>
      <c r="N187" s="9">
        <f>IFERROR(__xludf.DUMMYFUNCTION("""COMPUTED_VALUE"""),0.453)</f>
        <v>0.453</v>
      </c>
      <c r="O187" s="9">
        <f>IFERROR(__xludf.DUMMYFUNCTION("""COMPUTED_VALUE"""),0.553)</f>
        <v>0.553</v>
      </c>
      <c r="Q187" s="9">
        <f>IFERROR(__xludf.DUMMYFUNCTION("SPLIT(M179, "","")"),0.57)</f>
        <v>0.57</v>
      </c>
      <c r="R187" s="9">
        <f>IFERROR(__xludf.DUMMYFUNCTION("""COMPUTED_VALUE"""),0.456)</f>
        <v>0.456</v>
      </c>
      <c r="S187" s="9">
        <f>IFERROR(__xludf.DUMMYFUNCTION("""COMPUTED_VALUE"""),0.656)</f>
        <v>0.656</v>
      </c>
      <c r="U187" s="9">
        <f>IFERROR(__xludf.DUMMYFUNCTION("SPLIT(N179, "","")"),0.504)</f>
        <v>0.504</v>
      </c>
      <c r="V187" s="9">
        <f>IFERROR(__xludf.DUMMYFUNCTION("""COMPUTED_VALUE"""),0.453)</f>
        <v>0.453</v>
      </c>
      <c r="W187" s="9">
        <f>IFERROR(__xludf.DUMMYFUNCTION("""COMPUTED_VALUE"""),0.553)</f>
        <v>0.553</v>
      </c>
      <c r="Y187" s="9">
        <f>IFERROR(__xludf.DUMMYFUNCTION("SPLIT(O179, "","")"),0.567)</f>
        <v>0.567</v>
      </c>
      <c r="Z187" s="9">
        <f>IFERROR(__xludf.DUMMYFUNCTION("""COMPUTED_VALUE"""),0.454)</f>
        <v>0.454</v>
      </c>
      <c r="AA187" s="9">
        <f>IFERROR(__xludf.DUMMYFUNCTION("""COMPUTED_VALUE"""),0.654)</f>
        <v>0.654</v>
      </c>
    </row>
    <row r="188">
      <c r="A188" s="9">
        <f>IFERROR(__xludf.DUMMYFUNCTION("SPLIT(I180, "","")"),0.453)</f>
        <v>0.453</v>
      </c>
      <c r="B188" s="9">
        <f>IFERROR(__xludf.DUMMYFUNCTION("""COMPUTED_VALUE"""),0.453)</f>
        <v>0.453</v>
      </c>
      <c r="C188" s="9">
        <f>IFERROR(__xludf.DUMMYFUNCTION("""COMPUTED_VALUE"""),0.453)</f>
        <v>0.453</v>
      </c>
      <c r="E188" s="11">
        <f>IFERROR(__xludf.DUMMYFUNCTION("SPLIT(J180, "","")"),0.445)</f>
        <v>0.445</v>
      </c>
      <c r="F188" s="9">
        <f>IFERROR(__xludf.DUMMYFUNCTION("""COMPUTED_VALUE"""),0.4)</f>
        <v>0.4</v>
      </c>
      <c r="G188" s="9">
        <f>IFERROR(__xludf.DUMMYFUNCTION("""COMPUTED_VALUE"""),0.5)</f>
        <v>0.5</v>
      </c>
      <c r="I188" s="9">
        <f>IFERROR(__xludf.DUMMYFUNCTION("SPLIT(K180, "","")"),0.463)</f>
        <v>0.463</v>
      </c>
      <c r="J188" s="9">
        <f>IFERROR(__xludf.DUMMYFUNCTION("""COMPUTED_VALUE"""),0.37)</f>
        <v>0.37</v>
      </c>
      <c r="K188" s="9">
        <f>IFERROR(__xludf.DUMMYFUNCTION("""COMPUTED_VALUE"""),0.57)</f>
        <v>0.57</v>
      </c>
      <c r="M188" s="9">
        <f>IFERROR(__xludf.DUMMYFUNCTION("SPLIT(L180, "","")"),0.503)</f>
        <v>0.503</v>
      </c>
      <c r="N188" s="9">
        <f>IFERROR(__xludf.DUMMYFUNCTION("""COMPUTED_VALUE"""),0.453)</f>
        <v>0.453</v>
      </c>
      <c r="O188" s="9">
        <f>IFERROR(__xludf.DUMMYFUNCTION("""COMPUTED_VALUE"""),0.553)</f>
        <v>0.553</v>
      </c>
      <c r="Q188" s="9">
        <f>IFERROR(__xludf.DUMMYFUNCTION("SPLIT(M180, "","")"),0.57)</f>
        <v>0.57</v>
      </c>
      <c r="R188" s="9">
        <f>IFERROR(__xludf.DUMMYFUNCTION("""COMPUTED_VALUE"""),0.456)</f>
        <v>0.456</v>
      </c>
      <c r="S188" s="9">
        <f>IFERROR(__xludf.DUMMYFUNCTION("""COMPUTED_VALUE"""),0.656)</f>
        <v>0.656</v>
      </c>
      <c r="U188" s="9">
        <f>IFERROR(__xludf.DUMMYFUNCTION("SPLIT(N180, "","")"),0.504)</f>
        <v>0.504</v>
      </c>
      <c r="V188" s="9">
        <f>IFERROR(__xludf.DUMMYFUNCTION("""COMPUTED_VALUE"""),0.453)</f>
        <v>0.453</v>
      </c>
      <c r="W188" s="9">
        <f>IFERROR(__xludf.DUMMYFUNCTION("""COMPUTED_VALUE"""),0.553)</f>
        <v>0.553</v>
      </c>
      <c r="Y188" s="9">
        <f>IFERROR(__xludf.DUMMYFUNCTION("SPLIT(O180, "","")"),0.567)</f>
        <v>0.567</v>
      </c>
      <c r="Z188" s="9">
        <f>IFERROR(__xludf.DUMMYFUNCTION("""COMPUTED_VALUE"""),0.454)</f>
        <v>0.454</v>
      </c>
      <c r="AA188" s="9">
        <f>IFERROR(__xludf.DUMMYFUNCTION("""COMPUTED_VALUE"""),0.654)</f>
        <v>0.654</v>
      </c>
    </row>
    <row r="189">
      <c r="A189" s="9">
        <f>IFERROR(__xludf.DUMMYFUNCTION("SPLIT(I181, "","")"),0.453)</f>
        <v>0.453</v>
      </c>
      <c r="B189" s="9">
        <f>IFERROR(__xludf.DUMMYFUNCTION("""COMPUTED_VALUE"""),0.453)</f>
        <v>0.453</v>
      </c>
      <c r="C189" s="9">
        <f>IFERROR(__xludf.DUMMYFUNCTION("""COMPUTED_VALUE"""),0.453)</f>
        <v>0.453</v>
      </c>
      <c r="E189" s="11">
        <f>IFERROR(__xludf.DUMMYFUNCTION("SPLIT(J181, "","")"),0.445)</f>
        <v>0.445</v>
      </c>
      <c r="F189" s="9">
        <f>IFERROR(__xludf.DUMMYFUNCTION("""COMPUTED_VALUE"""),0.4)</f>
        <v>0.4</v>
      </c>
      <c r="G189" s="9">
        <f>IFERROR(__xludf.DUMMYFUNCTION("""COMPUTED_VALUE"""),0.5)</f>
        <v>0.5</v>
      </c>
      <c r="I189" s="9">
        <f>IFERROR(__xludf.DUMMYFUNCTION("SPLIT(K181, "","")"),0.463)</f>
        <v>0.463</v>
      </c>
      <c r="J189" s="9">
        <f>IFERROR(__xludf.DUMMYFUNCTION("""COMPUTED_VALUE"""),0.37)</f>
        <v>0.37</v>
      </c>
      <c r="K189" s="9">
        <f>IFERROR(__xludf.DUMMYFUNCTION("""COMPUTED_VALUE"""),0.57)</f>
        <v>0.57</v>
      </c>
      <c r="M189" s="9">
        <f>IFERROR(__xludf.DUMMYFUNCTION("SPLIT(L181, "","")"),0.503)</f>
        <v>0.503</v>
      </c>
      <c r="N189" s="9">
        <f>IFERROR(__xludf.DUMMYFUNCTION("""COMPUTED_VALUE"""),0.453)</f>
        <v>0.453</v>
      </c>
      <c r="O189" s="9">
        <f>IFERROR(__xludf.DUMMYFUNCTION("""COMPUTED_VALUE"""),0.553)</f>
        <v>0.553</v>
      </c>
      <c r="Q189" s="9">
        <f>IFERROR(__xludf.DUMMYFUNCTION("SPLIT(M181, "","")"),0.57)</f>
        <v>0.57</v>
      </c>
      <c r="R189" s="9">
        <f>IFERROR(__xludf.DUMMYFUNCTION("""COMPUTED_VALUE"""),0.456)</f>
        <v>0.456</v>
      </c>
      <c r="S189" s="9">
        <f>IFERROR(__xludf.DUMMYFUNCTION("""COMPUTED_VALUE"""),0.656)</f>
        <v>0.656</v>
      </c>
      <c r="U189" s="9">
        <f>IFERROR(__xludf.DUMMYFUNCTION("SPLIT(N181, "","")"),0.504)</f>
        <v>0.504</v>
      </c>
      <c r="V189" s="9">
        <f>IFERROR(__xludf.DUMMYFUNCTION("""COMPUTED_VALUE"""),0.453)</f>
        <v>0.453</v>
      </c>
      <c r="W189" s="9">
        <f>IFERROR(__xludf.DUMMYFUNCTION("""COMPUTED_VALUE"""),0.553)</f>
        <v>0.553</v>
      </c>
      <c r="Y189" s="9">
        <f>IFERROR(__xludf.DUMMYFUNCTION("SPLIT(O181, "","")"),0.567)</f>
        <v>0.567</v>
      </c>
      <c r="Z189" s="9">
        <f>IFERROR(__xludf.DUMMYFUNCTION("""COMPUTED_VALUE"""),0.454)</f>
        <v>0.454</v>
      </c>
      <c r="AA189" s="9">
        <f>IFERROR(__xludf.DUMMYFUNCTION("""COMPUTED_VALUE"""),0.654)</f>
        <v>0.654</v>
      </c>
    </row>
    <row r="190">
      <c r="A190" s="9">
        <f>IFERROR(__xludf.DUMMYFUNCTION("SPLIT(I182, "","")"),0.453)</f>
        <v>0.453</v>
      </c>
      <c r="B190" s="9">
        <f>IFERROR(__xludf.DUMMYFUNCTION("""COMPUTED_VALUE"""),0.453)</f>
        <v>0.453</v>
      </c>
      <c r="C190" s="9">
        <f>IFERROR(__xludf.DUMMYFUNCTION("""COMPUTED_VALUE"""),0.453)</f>
        <v>0.453</v>
      </c>
      <c r="E190" s="11">
        <f>IFERROR(__xludf.DUMMYFUNCTION("SPLIT(J182, "","")"),0.445)</f>
        <v>0.445</v>
      </c>
      <c r="F190" s="9">
        <f>IFERROR(__xludf.DUMMYFUNCTION("""COMPUTED_VALUE"""),0.4)</f>
        <v>0.4</v>
      </c>
      <c r="G190" s="9">
        <f>IFERROR(__xludf.DUMMYFUNCTION("""COMPUTED_VALUE"""),0.5)</f>
        <v>0.5</v>
      </c>
      <c r="I190" s="9">
        <f>IFERROR(__xludf.DUMMYFUNCTION("SPLIT(K182, "","")"),0.463)</f>
        <v>0.463</v>
      </c>
      <c r="J190" s="9">
        <f>IFERROR(__xludf.DUMMYFUNCTION("""COMPUTED_VALUE"""),0.37)</f>
        <v>0.37</v>
      </c>
      <c r="K190" s="9">
        <f>IFERROR(__xludf.DUMMYFUNCTION("""COMPUTED_VALUE"""),0.57)</f>
        <v>0.57</v>
      </c>
      <c r="M190" s="9">
        <f>IFERROR(__xludf.DUMMYFUNCTION("SPLIT(L182, "","")"),0.503)</f>
        <v>0.503</v>
      </c>
      <c r="N190" s="9">
        <f>IFERROR(__xludf.DUMMYFUNCTION("""COMPUTED_VALUE"""),0.453)</f>
        <v>0.453</v>
      </c>
      <c r="O190" s="9">
        <f>IFERROR(__xludf.DUMMYFUNCTION("""COMPUTED_VALUE"""),0.553)</f>
        <v>0.553</v>
      </c>
      <c r="Q190" s="9">
        <f>IFERROR(__xludf.DUMMYFUNCTION("SPLIT(M182, "","")"),0.57)</f>
        <v>0.57</v>
      </c>
      <c r="R190" s="9">
        <f>IFERROR(__xludf.DUMMYFUNCTION("""COMPUTED_VALUE"""),0.456)</f>
        <v>0.456</v>
      </c>
      <c r="S190" s="9">
        <f>IFERROR(__xludf.DUMMYFUNCTION("""COMPUTED_VALUE"""),0.656)</f>
        <v>0.656</v>
      </c>
      <c r="U190" s="9">
        <f>IFERROR(__xludf.DUMMYFUNCTION("SPLIT(N182, "","")"),0.504)</f>
        <v>0.504</v>
      </c>
      <c r="V190" s="9">
        <f>IFERROR(__xludf.DUMMYFUNCTION("""COMPUTED_VALUE"""),0.453)</f>
        <v>0.453</v>
      </c>
      <c r="W190" s="9">
        <f>IFERROR(__xludf.DUMMYFUNCTION("""COMPUTED_VALUE"""),0.553)</f>
        <v>0.553</v>
      </c>
      <c r="Y190" s="9">
        <f>IFERROR(__xludf.DUMMYFUNCTION("SPLIT(O182, "","")"),0.567)</f>
        <v>0.567</v>
      </c>
      <c r="Z190" s="9">
        <f>IFERROR(__xludf.DUMMYFUNCTION("""COMPUTED_VALUE"""),0.454)</f>
        <v>0.454</v>
      </c>
      <c r="AA190" s="9">
        <f>IFERROR(__xludf.DUMMYFUNCTION("""COMPUTED_VALUE"""),0.654)</f>
        <v>0.654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"","")"),0.463)</f>
        <v>0.463</v>
      </c>
      <c r="J191" s="9">
        <f>IFERROR(__xludf.DUMMYFUNCTION("""COMPUTED_VALUE"""),0.37)</f>
        <v>0.37</v>
      </c>
      <c r="K191" s="9">
        <f>IFERROR(__xludf.DUMMYFUNCTION("""COMPUTED_VALUE"""),0.57)</f>
        <v>0.57</v>
      </c>
      <c r="M191" s="9">
        <f>IFERROR(__xludf.DUMMYFUNCTION("SPLIT(L183, "","")"),0.503)</f>
        <v>0.503</v>
      </c>
      <c r="N191" s="9">
        <f>IFERROR(__xludf.DUMMYFUNCTION("""COMPUTED_VALUE"""),0.453)</f>
        <v>0.453</v>
      </c>
      <c r="O191" s="9">
        <f>IFERROR(__xludf.DUMMYFUNCTION("""COMPUTED_VALUE"""),0.553)</f>
        <v>0.553</v>
      </c>
      <c r="Q191" s="9">
        <f>IFERROR(__xludf.DUMMYFUNCTION("SPLIT(M183, "","")"),0.57)</f>
        <v>0.57</v>
      </c>
      <c r="R191" s="9">
        <f>IFERROR(__xludf.DUMMYFUNCTION("""COMPUTED_VALUE"""),0.456)</f>
        <v>0.456</v>
      </c>
      <c r="S191" s="9">
        <f>IFERROR(__xludf.DUMMYFUNCTION("""COMPUTED_VALUE"""),0.656)</f>
        <v>0.656</v>
      </c>
      <c r="U191" s="9">
        <f>IFERROR(__xludf.DUMMYFUNCTION("SPLIT(N183, "","")"),0.504)</f>
        <v>0.504</v>
      </c>
      <c r="V191" s="9">
        <f>IFERROR(__xludf.DUMMYFUNCTION("""COMPUTED_VALUE"""),0.453)</f>
        <v>0.453</v>
      </c>
      <c r="W191" s="9">
        <f>IFERROR(__xludf.DUMMYFUNCTION("""COMPUTED_VALUE"""),0.553)</f>
        <v>0.553</v>
      </c>
      <c r="Y191" s="9">
        <f>IFERROR(__xludf.DUMMYFUNCTION("SPLIT(O183, "","")"),0.567)</f>
        <v>0.567</v>
      </c>
      <c r="Z191" s="9">
        <f>IFERROR(__xludf.DUMMYFUNCTION("""COMPUTED_VALUE"""),0.454)</f>
        <v>0.454</v>
      </c>
      <c r="AA191" s="9">
        <f>IFERROR(__xludf.DUMMYFUNCTION("""COMPUTED_VALUE"""),0.654)</f>
        <v>0.654</v>
      </c>
    </row>
    <row r="192">
      <c r="A192" s="9">
        <f>IFERROR(__xludf.DUMMYFUNCTION("SPLIT(I184, "","")"),0.453)</f>
        <v>0.453</v>
      </c>
      <c r="B192" s="9">
        <f>IFERROR(__xludf.DUMMYFUNCTION("""COMPUTED_VALUE"""),0.453)</f>
        <v>0.453</v>
      </c>
      <c r="C192" s="9">
        <f>IFERROR(__xludf.DUMMYFUNCTION("""COMPUTED_VALUE"""),0.453)</f>
        <v>0.453</v>
      </c>
      <c r="E192" s="11">
        <f>IFERROR(__xludf.DUMMYFUNCTION("SPLIT(J184, "","")"),0.445)</f>
        <v>0.445</v>
      </c>
      <c r="F192" s="9">
        <f>IFERROR(__xludf.DUMMYFUNCTION("""COMPUTED_VALUE"""),0.4)</f>
        <v>0.4</v>
      </c>
      <c r="G192" s="9">
        <f>IFERROR(__xludf.DUMMYFUNCTION("""COMPUTED_VALUE"""),0.5)</f>
        <v>0.5</v>
      </c>
      <c r="I192" s="9">
        <f>IFERROR(__xludf.DUMMYFUNCTION("SPLIT(K184, "","")"),0.463)</f>
        <v>0.463</v>
      </c>
      <c r="J192" s="9">
        <f>IFERROR(__xludf.DUMMYFUNCTION("""COMPUTED_VALUE"""),0.37)</f>
        <v>0.37</v>
      </c>
      <c r="K192" s="9">
        <f>IFERROR(__xludf.DUMMYFUNCTION("""COMPUTED_VALUE"""),0.57)</f>
        <v>0.57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"","")"),0.453)</f>
        <v>0.453</v>
      </c>
      <c r="B193" s="9">
        <f>IFERROR(__xludf.DUMMYFUNCTION("""COMPUTED_VALUE"""),0.453)</f>
        <v>0.453</v>
      </c>
      <c r="C193" s="9">
        <f>IFERROR(__xludf.DUMMYFUNCTION("""COMPUTED_VALUE"""),0.453)</f>
        <v>0.453</v>
      </c>
      <c r="E193" s="11">
        <f>IFERROR(__xludf.DUMMYFUNCTION("SPLIT(J185, "","")"),0.445)</f>
        <v>0.445</v>
      </c>
      <c r="F193" s="9">
        <f>IFERROR(__xludf.DUMMYFUNCTION("""COMPUTED_VALUE"""),0.4)</f>
        <v>0.4</v>
      </c>
      <c r="G193" s="9">
        <f>IFERROR(__xludf.DUMMYFUNCTION("""COMPUTED_VALUE"""),0.5)</f>
        <v>0.5</v>
      </c>
      <c r="I193" s="9">
        <f>IFERROR(__xludf.DUMMYFUNCTION("SPLIT(K185, "","")"),0.463)</f>
        <v>0.463</v>
      </c>
      <c r="J193" s="9">
        <f>IFERROR(__xludf.DUMMYFUNCTION("""COMPUTED_VALUE"""),0.37)</f>
        <v>0.37</v>
      </c>
      <c r="K193" s="9">
        <f>IFERROR(__xludf.DUMMYFUNCTION("""COMPUTED_VALUE"""),0.57)</f>
        <v>0.57</v>
      </c>
      <c r="M193" s="9">
        <f>IFERROR(__xludf.DUMMYFUNCTION("SPLIT(L185, "","")"),0.503)</f>
        <v>0.503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"","")"),0.57)</f>
        <v>0.57</v>
      </c>
      <c r="R193" s="9">
        <f>IFERROR(__xludf.DUMMYFUNCTION("""COMPUTED_VALUE"""),0.456)</f>
        <v>0.456</v>
      </c>
      <c r="S193" s="9">
        <f>IFERROR(__xludf.DUMMYFUNCTION("""COMPUTED_VALUE"""),0.656)</f>
        <v>0.656</v>
      </c>
      <c r="U193" s="9">
        <f>IFERROR(__xludf.DUMMYFUNCTION("SPLIT(N185, "","")"),0.504)</f>
        <v>0.504</v>
      </c>
      <c r="V193" s="9">
        <f>IFERROR(__xludf.DUMMYFUNCTION("""COMPUTED_VALUE"""),0.453)</f>
        <v>0.453</v>
      </c>
      <c r="W193" s="9">
        <f>IFERROR(__xludf.DUMMYFUNCTION("""COMPUTED_VALUE"""),0.553)</f>
        <v>0.553</v>
      </c>
      <c r="Y193" s="9">
        <f>IFERROR(__xludf.DUMMYFUNCTION("SPLIT(O185, "","")"),0.567)</f>
        <v>0.567</v>
      </c>
      <c r="Z193" s="9">
        <f>IFERROR(__xludf.DUMMYFUNCTION("""COMPUTED_VALUE"""),0.454)</f>
        <v>0.454</v>
      </c>
      <c r="AA193" s="9">
        <f>IFERROR(__xludf.DUMMYFUNCTION("""COMPUTED_VALUE"""),0.654)</f>
        <v>0.654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0.453</v>
      </c>
      <c r="D197" s="7">
        <f t="shared" ref="D197:D203" si="225">E187</f>
        <v>0.445</v>
      </c>
      <c r="E197" s="7">
        <f t="shared" ref="E197:E203" si="226">I187</f>
        <v>0.463</v>
      </c>
      <c r="F197" s="7">
        <f t="shared" ref="F197:G197" si="220">N187</f>
        <v>0.453</v>
      </c>
      <c r="G197" s="12">
        <f t="shared" si="220"/>
        <v>0.553</v>
      </c>
      <c r="H197" s="7">
        <f t="shared" ref="H197:I197" si="221">R187</f>
        <v>0.456</v>
      </c>
      <c r="I197" s="12">
        <f t="shared" si="221"/>
        <v>0.656</v>
      </c>
      <c r="J197" s="7">
        <f t="shared" ref="J197:K197" si="222">V187</f>
        <v>0.453</v>
      </c>
      <c r="K197" s="12">
        <f t="shared" si="222"/>
        <v>0.553</v>
      </c>
      <c r="L197" s="7">
        <f t="shared" ref="L197:M197" si="223">Z187</f>
        <v>0.454</v>
      </c>
      <c r="M197" s="7">
        <f t="shared" si="223"/>
        <v>0.654</v>
      </c>
    </row>
    <row r="198">
      <c r="B198" s="6" t="s">
        <v>5</v>
      </c>
      <c r="C198" s="7">
        <f t="shared" si="224"/>
        <v>0.453</v>
      </c>
      <c r="D198" s="7">
        <f t="shared" si="225"/>
        <v>0.445</v>
      </c>
      <c r="E198" s="7">
        <f t="shared" si="226"/>
        <v>0.463</v>
      </c>
      <c r="F198" s="7">
        <f t="shared" ref="F198:G198" si="227">N188</f>
        <v>0.453</v>
      </c>
      <c r="G198" s="12">
        <f t="shared" si="227"/>
        <v>0.553</v>
      </c>
      <c r="H198" s="7">
        <f t="shared" ref="H198:I198" si="228">R188</f>
        <v>0.456</v>
      </c>
      <c r="I198" s="12">
        <f t="shared" si="228"/>
        <v>0.656</v>
      </c>
      <c r="J198" s="7">
        <f t="shared" ref="J198:K198" si="229">V188</f>
        <v>0.453</v>
      </c>
      <c r="K198" s="12">
        <f t="shared" si="229"/>
        <v>0.553</v>
      </c>
      <c r="L198" s="7">
        <f t="shared" ref="L198:M198" si="230">Z188</f>
        <v>0.454</v>
      </c>
      <c r="M198" s="7">
        <f t="shared" si="230"/>
        <v>0.654</v>
      </c>
    </row>
    <row r="199">
      <c r="B199" s="6" t="s">
        <v>6</v>
      </c>
      <c r="C199" s="7">
        <f t="shared" si="224"/>
        <v>0.453</v>
      </c>
      <c r="D199" s="7">
        <f t="shared" si="225"/>
        <v>0.445</v>
      </c>
      <c r="E199" s="7">
        <f t="shared" si="226"/>
        <v>0.463</v>
      </c>
      <c r="F199" s="7">
        <f t="shared" ref="F199:G199" si="231">N189</f>
        <v>0.453</v>
      </c>
      <c r="G199" s="12">
        <f t="shared" si="231"/>
        <v>0.553</v>
      </c>
      <c r="H199" s="7">
        <f t="shared" ref="H199:I199" si="232">R189</f>
        <v>0.456</v>
      </c>
      <c r="I199" s="12">
        <f t="shared" si="232"/>
        <v>0.656</v>
      </c>
      <c r="J199" s="7">
        <f t="shared" ref="J199:K199" si="233">V189</f>
        <v>0.453</v>
      </c>
      <c r="K199" s="12">
        <f t="shared" si="233"/>
        <v>0.553</v>
      </c>
      <c r="L199" s="7">
        <f t="shared" ref="L199:M199" si="234">Z189</f>
        <v>0.454</v>
      </c>
      <c r="M199" s="7">
        <f t="shared" si="234"/>
        <v>0.654</v>
      </c>
    </row>
    <row r="200">
      <c r="B200" s="6" t="s">
        <v>7</v>
      </c>
      <c r="C200" s="7">
        <f t="shared" si="224"/>
        <v>0.453</v>
      </c>
      <c r="D200" s="7">
        <f t="shared" si="225"/>
        <v>0.445</v>
      </c>
      <c r="E200" s="7">
        <f t="shared" si="226"/>
        <v>0.463</v>
      </c>
      <c r="F200" s="7">
        <f t="shared" ref="F200:G200" si="235">N190</f>
        <v>0.453</v>
      </c>
      <c r="G200" s="12">
        <f t="shared" si="235"/>
        <v>0.553</v>
      </c>
      <c r="H200" s="7">
        <f t="shared" ref="H200:I200" si="236">R190</f>
        <v>0.456</v>
      </c>
      <c r="I200" s="12">
        <f t="shared" si="236"/>
        <v>0.656</v>
      </c>
      <c r="J200" s="7">
        <f t="shared" ref="J200:K200" si="237">V190</f>
        <v>0.453</v>
      </c>
      <c r="K200" s="12">
        <f t="shared" si="237"/>
        <v>0.553</v>
      </c>
      <c r="L200" s="7">
        <f t="shared" ref="L200:M200" si="238">Z190</f>
        <v>0.454</v>
      </c>
      <c r="M200" s="7">
        <f t="shared" si="238"/>
        <v>0.654</v>
      </c>
    </row>
    <row r="201">
      <c r="B201" s="6" t="s">
        <v>8</v>
      </c>
      <c r="C201" s="7">
        <f t="shared" si="224"/>
        <v>0.453</v>
      </c>
      <c r="D201" s="7">
        <f t="shared" si="225"/>
        <v>0.445</v>
      </c>
      <c r="E201" s="7">
        <f t="shared" si="226"/>
        <v>0.463</v>
      </c>
      <c r="F201" s="7">
        <f t="shared" ref="F201:G201" si="239">N191</f>
        <v>0.453</v>
      </c>
      <c r="G201" s="12">
        <f t="shared" si="239"/>
        <v>0.553</v>
      </c>
      <c r="H201" s="7">
        <f t="shared" ref="H201:I201" si="240">R191</f>
        <v>0.456</v>
      </c>
      <c r="I201" s="12">
        <f t="shared" si="240"/>
        <v>0.656</v>
      </c>
      <c r="J201" s="7">
        <f t="shared" ref="J201:K201" si="241">V191</f>
        <v>0.453</v>
      </c>
      <c r="K201" s="12">
        <f t="shared" si="241"/>
        <v>0.553</v>
      </c>
      <c r="L201" s="7">
        <f t="shared" ref="L201:M201" si="242">Z191</f>
        <v>0.454</v>
      </c>
      <c r="M201" s="7">
        <f t="shared" si="242"/>
        <v>0.654</v>
      </c>
    </row>
    <row r="202">
      <c r="B202" s="6" t="s">
        <v>9</v>
      </c>
      <c r="C202" s="7">
        <f t="shared" si="224"/>
        <v>0.453</v>
      </c>
      <c r="D202" s="7">
        <f t="shared" si="225"/>
        <v>0.445</v>
      </c>
      <c r="E202" s="7">
        <f t="shared" si="226"/>
        <v>0.463</v>
      </c>
      <c r="F202" s="7">
        <f t="shared" ref="F202:G202" si="243">N192</f>
        <v>0.453</v>
      </c>
      <c r="G202" s="12">
        <f t="shared" si="243"/>
        <v>0.553</v>
      </c>
      <c r="H202" s="7">
        <f t="shared" ref="H202:I202" si="244">R192</f>
        <v>0.456</v>
      </c>
      <c r="I202" s="12">
        <f t="shared" si="244"/>
        <v>0.656</v>
      </c>
      <c r="J202" s="7">
        <f t="shared" ref="J202:K202" si="245">V192</f>
        <v>0.453</v>
      </c>
      <c r="K202" s="12">
        <f t="shared" si="245"/>
        <v>0.553</v>
      </c>
      <c r="L202" s="7">
        <f t="shared" ref="L202:M202" si="246">Z192</f>
        <v>0.454</v>
      </c>
      <c r="M202" s="7">
        <f t="shared" si="246"/>
        <v>0.654</v>
      </c>
    </row>
    <row r="203">
      <c r="B203" s="6" t="s">
        <v>10</v>
      </c>
      <c r="C203" s="7">
        <f t="shared" si="224"/>
        <v>0.453</v>
      </c>
      <c r="D203" s="7">
        <f t="shared" si="225"/>
        <v>0.445</v>
      </c>
      <c r="E203" s="7">
        <f t="shared" si="226"/>
        <v>0.463</v>
      </c>
      <c r="F203" s="7">
        <f t="shared" ref="F203:G203" si="247">N193</f>
        <v>0.453</v>
      </c>
      <c r="G203" s="12">
        <f t="shared" si="247"/>
        <v>0.553</v>
      </c>
      <c r="H203" s="7">
        <f t="shared" ref="H203:I203" si="248">R193</f>
        <v>0.456</v>
      </c>
      <c r="I203" s="12">
        <f t="shared" si="248"/>
        <v>0.656</v>
      </c>
      <c r="J203" s="7">
        <f t="shared" ref="J203:K203" si="249">V193</f>
        <v>0.453</v>
      </c>
      <c r="K203" s="12">
        <f t="shared" si="249"/>
        <v>0.553</v>
      </c>
      <c r="L203" s="7">
        <f t="shared" ref="L203:M203" si="250">Z193</f>
        <v>0.454</v>
      </c>
      <c r="M203" s="7">
        <f t="shared" si="250"/>
        <v>0.654</v>
      </c>
    </row>
    <row r="205">
      <c r="A205" s="8" t="s">
        <v>638</v>
      </c>
      <c r="B205" s="8" t="s">
        <v>50</v>
      </c>
      <c r="C205" s="8" t="s">
        <v>639</v>
      </c>
      <c r="D205" s="8" t="s">
        <v>640</v>
      </c>
      <c r="E205" s="8" t="s">
        <v>641</v>
      </c>
      <c r="F205" s="8" t="s">
        <v>642</v>
      </c>
      <c r="G205" s="8" t="s">
        <v>643</v>
      </c>
      <c r="I205" s="9" t="str">
        <f t="shared" ref="I205:O205" si="251">substitute(SUBSTITUTE(A205, "(", ""), ")", "")</f>
        <v>0.200, 0.200, 0.200</v>
      </c>
      <c r="J205" s="9" t="str">
        <f t="shared" si="251"/>
        <v>0.200, 0.180, 0.280</v>
      </c>
      <c r="K205" s="9" t="str">
        <f t="shared" si="251"/>
        <v>0.204, 0.163, 0.363</v>
      </c>
      <c r="L205" s="9" t="str">
        <f t="shared" si="251"/>
        <v>0.195, 0.175, 0.275</v>
      </c>
      <c r="M205" s="9" t="str">
        <f t="shared" si="251"/>
        <v>0.174, 0.139, 0.339</v>
      </c>
      <c r="N205" s="9" t="str">
        <f t="shared" si="251"/>
        <v>0.180, 0.162, 0.262</v>
      </c>
      <c r="O205" s="9" t="str">
        <f t="shared" si="251"/>
        <v>0.169, 0.136, 0.336</v>
      </c>
      <c r="T205" s="6"/>
    </row>
    <row r="206">
      <c r="A206" s="8" t="s">
        <v>644</v>
      </c>
      <c r="B206" s="8" t="s">
        <v>66</v>
      </c>
      <c r="C206" s="8" t="s">
        <v>645</v>
      </c>
      <c r="D206" s="8" t="s">
        <v>498</v>
      </c>
      <c r="E206" s="8" t="s">
        <v>646</v>
      </c>
      <c r="F206" s="8" t="s">
        <v>642</v>
      </c>
      <c r="G206" s="8" t="s">
        <v>647</v>
      </c>
      <c r="I206" s="9" t="str">
        <f t="shared" ref="I206:O206" si="252">substitute(SUBSTITUTE(A206, "(", ""), ")", "")</f>
        <v>0.198, 0.198, 0.198</v>
      </c>
      <c r="J206" s="9" t="str">
        <f t="shared" si="252"/>
        <v>0.199, 0.179, 0.279</v>
      </c>
      <c r="K206" s="9" t="str">
        <f t="shared" si="252"/>
        <v>0.200, 0.160, 0.360</v>
      </c>
      <c r="L206" s="9" t="str">
        <f t="shared" si="252"/>
        <v>0.190, 0.171, 0.271</v>
      </c>
      <c r="M206" s="9" t="str">
        <f t="shared" si="252"/>
        <v>0.168, 0.135, 0.335</v>
      </c>
      <c r="N206" s="9" t="str">
        <f t="shared" si="252"/>
        <v>0.180, 0.162, 0.262</v>
      </c>
      <c r="O206" s="9" t="str">
        <f t="shared" si="252"/>
        <v>0.163, 0.130, 0.330</v>
      </c>
    </row>
    <row r="207">
      <c r="A207" s="8" t="s">
        <v>648</v>
      </c>
      <c r="B207" s="8" t="s">
        <v>649</v>
      </c>
      <c r="C207" s="8" t="s">
        <v>643</v>
      </c>
      <c r="D207" s="8" t="s">
        <v>75</v>
      </c>
      <c r="E207" s="8" t="s">
        <v>650</v>
      </c>
      <c r="F207" s="8" t="s">
        <v>32</v>
      </c>
      <c r="G207" s="8" t="s">
        <v>651</v>
      </c>
      <c r="I207" s="9" t="str">
        <f t="shared" ref="I207:O207" si="253">substitute(SUBSTITUTE(A207, "(", ""), ")", "")</f>
        <v>0.170, 0.170, 0.170</v>
      </c>
      <c r="J207" s="9" t="str">
        <f t="shared" si="253"/>
        <v>0.166, 0.150, 0.250</v>
      </c>
      <c r="K207" s="9" t="str">
        <f t="shared" si="253"/>
        <v>0.169, 0.136, 0.336</v>
      </c>
      <c r="L207" s="9" t="str">
        <f t="shared" si="253"/>
        <v>0.170, 0.153, 0.253</v>
      </c>
      <c r="M207" s="9" t="str">
        <f t="shared" si="253"/>
        <v>0.149, 0.119, 0.319</v>
      </c>
      <c r="N207" s="9" t="str">
        <f t="shared" si="253"/>
        <v>0.150, 0.135, 0.235</v>
      </c>
      <c r="O207" s="9" t="str">
        <f t="shared" si="253"/>
        <v>0.152, 0.122, 0.322</v>
      </c>
    </row>
    <row r="208">
      <c r="A208" s="8" t="s">
        <v>363</v>
      </c>
      <c r="B208" s="8" t="s">
        <v>362</v>
      </c>
      <c r="C208" s="8" t="s">
        <v>652</v>
      </c>
      <c r="D208" s="8" t="s">
        <v>653</v>
      </c>
      <c r="E208" s="8" t="s">
        <v>654</v>
      </c>
      <c r="F208" s="8" t="s">
        <v>655</v>
      </c>
      <c r="G208" s="8" t="s">
        <v>656</v>
      </c>
      <c r="I208" s="9" t="str">
        <f t="shared" ref="I208:O208" si="254">substitute(SUBSTITUTE(A208, "(", ""), ")", "")</f>
        <v>0.239, 0.239, 0.239</v>
      </c>
      <c r="J208" s="9" t="str">
        <f t="shared" si="254"/>
        <v>0.242, 0.218, 0.318</v>
      </c>
      <c r="K208" s="9" t="str">
        <f t="shared" si="254"/>
        <v>0.246, 0.197, 0.397</v>
      </c>
      <c r="L208" s="9" t="str">
        <f t="shared" si="254"/>
        <v>0.214, 0.193, 0.293</v>
      </c>
      <c r="M208" s="9" t="str">
        <f t="shared" si="254"/>
        <v>0.184, 0.147, 0.347</v>
      </c>
      <c r="N208" s="9" t="str">
        <f t="shared" si="254"/>
        <v>0.213, 0.192, 0.292</v>
      </c>
      <c r="O208" s="9" t="str">
        <f t="shared" si="254"/>
        <v>0.183, 0.147, 0.347</v>
      </c>
    </row>
    <row r="209">
      <c r="A209" s="8" t="s">
        <v>657</v>
      </c>
      <c r="B209" s="8" t="s">
        <v>658</v>
      </c>
      <c r="C209" s="8" t="s">
        <v>659</v>
      </c>
      <c r="D209" s="8" t="s">
        <v>660</v>
      </c>
      <c r="E209" s="8" t="s">
        <v>291</v>
      </c>
      <c r="F209" s="8" t="s">
        <v>660</v>
      </c>
      <c r="G209" s="8" t="s">
        <v>291</v>
      </c>
      <c r="I209" s="9" t="str">
        <f t="shared" ref="I209:O209" si="255">substitute(SUBSTITUTE(A209, "(", ""), ")", "")</f>
        <v>0.251, 0.251, 0.251</v>
      </c>
      <c r="J209" s="9" t="str">
        <f t="shared" si="255"/>
        <v>0.258, 0.232, 0.332</v>
      </c>
      <c r="K209" s="9" t="str">
        <f t="shared" si="255"/>
        <v>0.258, 0.206, 0.406</v>
      </c>
      <c r="L209" s="9" t="str">
        <f t="shared" si="255"/>
        <v>0.223, 0.201, 0.301</v>
      </c>
      <c r="M209" s="9" t="str">
        <f t="shared" si="255"/>
        <v>0.189, 0.151, 0.351</v>
      </c>
      <c r="N209" s="9" t="str">
        <f t="shared" si="255"/>
        <v>0.223, 0.201, 0.301</v>
      </c>
      <c r="O209" s="9" t="str">
        <f t="shared" si="255"/>
        <v>0.189, 0.151, 0.351</v>
      </c>
    </row>
    <row r="210">
      <c r="A210" s="8" t="s">
        <v>300</v>
      </c>
      <c r="B210" s="8" t="s">
        <v>355</v>
      </c>
      <c r="C210" s="8" t="s">
        <v>361</v>
      </c>
      <c r="D210" s="8" t="s">
        <v>661</v>
      </c>
      <c r="E210" s="8" t="s">
        <v>662</v>
      </c>
      <c r="F210" s="8" t="s">
        <v>661</v>
      </c>
      <c r="G210" s="8" t="s">
        <v>662</v>
      </c>
      <c r="I210" s="9" t="str">
        <f t="shared" ref="I210:O210" si="256">substitute(SUBSTITUTE(A210, "(", ""), ")", "")</f>
        <v>0.235, 0.235, 0.235</v>
      </c>
      <c r="J210" s="9" t="str">
        <f t="shared" si="256"/>
        <v>0.237, 0.213, 0.313</v>
      </c>
      <c r="K210" s="9" t="str">
        <f t="shared" si="256"/>
        <v>0.239, 0.191, 0.391</v>
      </c>
      <c r="L210" s="9" t="str">
        <f t="shared" si="256"/>
        <v>0.209, 0.188, 0.288</v>
      </c>
      <c r="M210" s="9" t="str">
        <f t="shared" si="256"/>
        <v>0.179, 0.143, 0.343</v>
      </c>
      <c r="N210" s="9" t="str">
        <f t="shared" si="256"/>
        <v>0.209, 0.188, 0.288</v>
      </c>
      <c r="O210" s="9" t="str">
        <f t="shared" si="256"/>
        <v>0.179, 0.143, 0.343</v>
      </c>
    </row>
    <row r="211">
      <c r="A211" s="8" t="s">
        <v>663</v>
      </c>
      <c r="B211" s="8" t="s">
        <v>358</v>
      </c>
      <c r="C211" s="8" t="s">
        <v>359</v>
      </c>
      <c r="D211" s="8" t="s">
        <v>664</v>
      </c>
      <c r="E211" s="8" t="s">
        <v>665</v>
      </c>
      <c r="F211" s="8" t="s">
        <v>664</v>
      </c>
      <c r="G211" s="8" t="s">
        <v>665</v>
      </c>
      <c r="I211" s="9" t="str">
        <f t="shared" ref="I211:O211" si="257">substitute(SUBSTITUTE(A211, "(", ""), ")", "")</f>
        <v>0.253, 0.253, 0.253</v>
      </c>
      <c r="J211" s="9" t="str">
        <f t="shared" si="257"/>
        <v>0.259, 0.233, 0.333</v>
      </c>
      <c r="K211" s="9" t="str">
        <f t="shared" si="257"/>
        <v>0.260, 0.208, 0.408</v>
      </c>
      <c r="L211" s="9" t="str">
        <f t="shared" si="257"/>
        <v>0.226, 0.203, 0.303</v>
      </c>
      <c r="M211" s="9" t="str">
        <f t="shared" si="257"/>
        <v>0.191, 0.153, 0.353</v>
      </c>
      <c r="N211" s="9" t="str">
        <f t="shared" si="257"/>
        <v>0.226, 0.203, 0.303</v>
      </c>
      <c r="O211" s="9" t="str">
        <f t="shared" si="257"/>
        <v>0.191, 0.153, 0.353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"","")"),0.2)</f>
        <v>0.2</v>
      </c>
      <c r="B213" s="9">
        <f>IFERROR(__xludf.DUMMYFUNCTION("""COMPUTED_VALUE"""),0.2)</f>
        <v>0.2</v>
      </c>
      <c r="C213" s="9">
        <f>IFERROR(__xludf.DUMMYFUNCTION("""COMPUTED_VALUE"""),0.2)</f>
        <v>0.2</v>
      </c>
      <c r="E213" s="11">
        <f>IFERROR(__xludf.DUMMYFUNCTION("SPLIT(J205, "","")"),0.2)</f>
        <v>0.2</v>
      </c>
      <c r="F213" s="9">
        <f>IFERROR(__xludf.DUMMYFUNCTION("""COMPUTED_VALUE"""),0.18)</f>
        <v>0.18</v>
      </c>
      <c r="G213" s="9">
        <f>IFERROR(__xludf.DUMMYFUNCTION("""COMPUTED_VALUE"""),0.28)</f>
        <v>0.28</v>
      </c>
      <c r="I213" s="9">
        <f>IFERROR(__xludf.DUMMYFUNCTION("SPLIT(K205, "","")"),0.204)</f>
        <v>0.204</v>
      </c>
      <c r="J213" s="9">
        <f>IFERROR(__xludf.DUMMYFUNCTION("""COMPUTED_VALUE"""),0.163)</f>
        <v>0.163</v>
      </c>
      <c r="K213" s="9">
        <f>IFERROR(__xludf.DUMMYFUNCTION("""COMPUTED_VALUE"""),0.363)</f>
        <v>0.363</v>
      </c>
      <c r="M213" s="9">
        <f>IFERROR(__xludf.DUMMYFUNCTION("SPLIT(L205, "","")"),0.195)</f>
        <v>0.195</v>
      </c>
      <c r="N213" s="9">
        <f>IFERROR(__xludf.DUMMYFUNCTION("""COMPUTED_VALUE"""),0.175)</f>
        <v>0.175</v>
      </c>
      <c r="O213" s="9">
        <f>IFERROR(__xludf.DUMMYFUNCTION("""COMPUTED_VALUE"""),0.275)</f>
        <v>0.275</v>
      </c>
      <c r="Q213" s="9">
        <f>IFERROR(__xludf.DUMMYFUNCTION("SPLIT(M205, "","")"),0.174)</f>
        <v>0.174</v>
      </c>
      <c r="R213" s="9">
        <f>IFERROR(__xludf.DUMMYFUNCTION("""COMPUTED_VALUE"""),0.139)</f>
        <v>0.139</v>
      </c>
      <c r="S213" s="9">
        <f>IFERROR(__xludf.DUMMYFUNCTION("""COMPUTED_VALUE"""),0.339)</f>
        <v>0.339</v>
      </c>
      <c r="U213" s="9">
        <f>IFERROR(__xludf.DUMMYFUNCTION("SPLIT(N205, "","")"),0.18)</f>
        <v>0.18</v>
      </c>
      <c r="V213" s="9">
        <f>IFERROR(__xludf.DUMMYFUNCTION("""COMPUTED_VALUE"""),0.162)</f>
        <v>0.162</v>
      </c>
      <c r="W213" s="9">
        <f>IFERROR(__xludf.DUMMYFUNCTION("""COMPUTED_VALUE"""),0.262)</f>
        <v>0.262</v>
      </c>
      <c r="Y213" s="9">
        <f>IFERROR(__xludf.DUMMYFUNCTION("SPLIT(O205, "","")"),0.169)</f>
        <v>0.169</v>
      </c>
      <c r="Z213" s="9">
        <f>IFERROR(__xludf.DUMMYFUNCTION("""COMPUTED_VALUE"""),0.136)</f>
        <v>0.136</v>
      </c>
      <c r="AA213" s="9">
        <f>IFERROR(__xludf.DUMMYFUNCTION("""COMPUTED_VALUE"""),0.336)</f>
        <v>0.336</v>
      </c>
    </row>
    <row r="214">
      <c r="A214" s="9">
        <f>IFERROR(__xludf.DUMMYFUNCTION("SPLIT(I206, "","")"),0.198)</f>
        <v>0.198</v>
      </c>
      <c r="B214" s="9">
        <f>IFERROR(__xludf.DUMMYFUNCTION("""COMPUTED_VALUE"""),0.198)</f>
        <v>0.198</v>
      </c>
      <c r="C214" s="9">
        <f>IFERROR(__xludf.DUMMYFUNCTION("""COMPUTED_VALUE"""),0.198)</f>
        <v>0.198</v>
      </c>
      <c r="E214" s="11">
        <f>IFERROR(__xludf.DUMMYFUNCTION("SPLIT(J206, "","")"),0.199)</f>
        <v>0.199</v>
      </c>
      <c r="F214" s="9">
        <f>IFERROR(__xludf.DUMMYFUNCTION("""COMPUTED_VALUE"""),0.179)</f>
        <v>0.179</v>
      </c>
      <c r="G214" s="9">
        <f>IFERROR(__xludf.DUMMYFUNCTION("""COMPUTED_VALUE"""),0.279)</f>
        <v>0.279</v>
      </c>
      <c r="I214" s="9">
        <f>IFERROR(__xludf.DUMMYFUNCTION("SPLIT(K206, "","")"),0.2)</f>
        <v>0.2</v>
      </c>
      <c r="J214" s="9">
        <f>IFERROR(__xludf.DUMMYFUNCTION("""COMPUTED_VALUE"""),0.16)</f>
        <v>0.16</v>
      </c>
      <c r="K214" s="9">
        <f>IFERROR(__xludf.DUMMYFUNCTION("""COMPUTED_VALUE"""),0.36)</f>
        <v>0.36</v>
      </c>
      <c r="M214" s="9">
        <f>IFERROR(__xludf.DUMMYFUNCTION("SPLIT(L206, "","")"),0.19)</f>
        <v>0.19</v>
      </c>
      <c r="N214" s="9">
        <f>IFERROR(__xludf.DUMMYFUNCTION("""COMPUTED_VALUE"""),0.171)</f>
        <v>0.171</v>
      </c>
      <c r="O214" s="9">
        <f>IFERROR(__xludf.DUMMYFUNCTION("""COMPUTED_VALUE"""),0.271)</f>
        <v>0.271</v>
      </c>
      <c r="Q214" s="9">
        <f>IFERROR(__xludf.DUMMYFUNCTION("SPLIT(M206, "","")"),0.168)</f>
        <v>0.168</v>
      </c>
      <c r="R214" s="9">
        <f>IFERROR(__xludf.DUMMYFUNCTION("""COMPUTED_VALUE"""),0.135)</f>
        <v>0.135</v>
      </c>
      <c r="S214" s="9">
        <f>IFERROR(__xludf.DUMMYFUNCTION("""COMPUTED_VALUE"""),0.335)</f>
        <v>0.335</v>
      </c>
      <c r="U214" s="9">
        <f>IFERROR(__xludf.DUMMYFUNCTION("SPLIT(N206, "","")"),0.18)</f>
        <v>0.18</v>
      </c>
      <c r="V214" s="9">
        <f>IFERROR(__xludf.DUMMYFUNCTION("""COMPUTED_VALUE"""),0.162)</f>
        <v>0.162</v>
      </c>
      <c r="W214" s="9">
        <f>IFERROR(__xludf.DUMMYFUNCTION("""COMPUTED_VALUE"""),0.262)</f>
        <v>0.262</v>
      </c>
      <c r="Y214" s="9">
        <f>IFERROR(__xludf.DUMMYFUNCTION("SPLIT(O206, "","")"),0.163)</f>
        <v>0.163</v>
      </c>
      <c r="Z214" s="9">
        <f>IFERROR(__xludf.DUMMYFUNCTION("""COMPUTED_VALUE"""),0.13)</f>
        <v>0.13</v>
      </c>
      <c r="AA214" s="9">
        <f>IFERROR(__xludf.DUMMYFUNCTION("""COMPUTED_VALUE"""),0.33)</f>
        <v>0.33</v>
      </c>
    </row>
    <row r="215">
      <c r="A215" s="9">
        <f>IFERROR(__xludf.DUMMYFUNCTION("SPLIT(I207, "","")"),0.17)</f>
        <v>0.17</v>
      </c>
      <c r="B215" s="9">
        <f>IFERROR(__xludf.DUMMYFUNCTION("""COMPUTED_VALUE"""),0.17)</f>
        <v>0.17</v>
      </c>
      <c r="C215" s="9">
        <f>IFERROR(__xludf.DUMMYFUNCTION("""COMPUTED_VALUE"""),0.17)</f>
        <v>0.17</v>
      </c>
      <c r="E215" s="11">
        <f>IFERROR(__xludf.DUMMYFUNCTION("SPLIT(J207, "","")"),0.166)</f>
        <v>0.166</v>
      </c>
      <c r="F215" s="9">
        <f>IFERROR(__xludf.DUMMYFUNCTION("""COMPUTED_VALUE"""),0.15)</f>
        <v>0.15</v>
      </c>
      <c r="G215" s="9">
        <f>IFERROR(__xludf.DUMMYFUNCTION("""COMPUTED_VALUE"""),0.25)</f>
        <v>0.25</v>
      </c>
      <c r="I215" s="9">
        <f>IFERROR(__xludf.DUMMYFUNCTION("SPLIT(K207, "","")"),0.169)</f>
        <v>0.169</v>
      </c>
      <c r="J215" s="9">
        <f>IFERROR(__xludf.DUMMYFUNCTION("""COMPUTED_VALUE"""),0.136)</f>
        <v>0.136</v>
      </c>
      <c r="K215" s="9">
        <f>IFERROR(__xludf.DUMMYFUNCTION("""COMPUTED_VALUE"""),0.336)</f>
        <v>0.336</v>
      </c>
      <c r="M215" s="9">
        <f>IFERROR(__xludf.DUMMYFUNCTION("SPLIT(L207, "","")"),0.17)</f>
        <v>0.17</v>
      </c>
      <c r="N215" s="9">
        <f>IFERROR(__xludf.DUMMYFUNCTION("""COMPUTED_VALUE"""),0.153)</f>
        <v>0.153</v>
      </c>
      <c r="O215" s="9">
        <f>IFERROR(__xludf.DUMMYFUNCTION("""COMPUTED_VALUE"""),0.253)</f>
        <v>0.253</v>
      </c>
      <c r="Q215" s="9">
        <f>IFERROR(__xludf.DUMMYFUNCTION("SPLIT(M207, "","")"),0.149)</f>
        <v>0.149</v>
      </c>
      <c r="R215" s="9">
        <f>IFERROR(__xludf.DUMMYFUNCTION("""COMPUTED_VALUE"""),0.119)</f>
        <v>0.119</v>
      </c>
      <c r="S215" s="9">
        <f>IFERROR(__xludf.DUMMYFUNCTION("""COMPUTED_VALUE"""),0.319)</f>
        <v>0.319</v>
      </c>
      <c r="U215" s="9">
        <f>IFERROR(__xludf.DUMMYFUNCTION("SPLIT(N207, "","")"),0.15)</f>
        <v>0.15</v>
      </c>
      <c r="V215" s="9">
        <f>IFERROR(__xludf.DUMMYFUNCTION("""COMPUTED_VALUE"""),0.135)</f>
        <v>0.135</v>
      </c>
      <c r="W215" s="9">
        <f>IFERROR(__xludf.DUMMYFUNCTION("""COMPUTED_VALUE"""),0.235)</f>
        <v>0.235</v>
      </c>
      <c r="Y215" s="9">
        <f>IFERROR(__xludf.DUMMYFUNCTION("SPLIT(O207, "","")"),0.152)</f>
        <v>0.152</v>
      </c>
      <c r="Z215" s="9">
        <f>IFERROR(__xludf.DUMMYFUNCTION("""COMPUTED_VALUE"""),0.122)</f>
        <v>0.122</v>
      </c>
      <c r="AA215" s="9">
        <f>IFERROR(__xludf.DUMMYFUNCTION("""COMPUTED_VALUE"""),0.322)</f>
        <v>0.322</v>
      </c>
    </row>
    <row r="216">
      <c r="A216" s="9">
        <f>IFERROR(__xludf.DUMMYFUNCTION("SPLIT(I208, "","")"),0.239)</f>
        <v>0.239</v>
      </c>
      <c r="B216" s="9">
        <f>IFERROR(__xludf.DUMMYFUNCTION("""COMPUTED_VALUE"""),0.239)</f>
        <v>0.239</v>
      </c>
      <c r="C216" s="9">
        <f>IFERROR(__xludf.DUMMYFUNCTION("""COMPUTED_VALUE"""),0.239)</f>
        <v>0.239</v>
      </c>
      <c r="E216" s="11">
        <f>IFERROR(__xludf.DUMMYFUNCTION("SPLIT(J208, "","")"),0.242)</f>
        <v>0.242</v>
      </c>
      <c r="F216" s="9">
        <f>IFERROR(__xludf.DUMMYFUNCTION("""COMPUTED_VALUE"""),0.218)</f>
        <v>0.218</v>
      </c>
      <c r="G216" s="9">
        <f>IFERROR(__xludf.DUMMYFUNCTION("""COMPUTED_VALUE"""),0.318)</f>
        <v>0.318</v>
      </c>
      <c r="I216" s="9">
        <f>IFERROR(__xludf.DUMMYFUNCTION("SPLIT(K208, "","")"),0.246)</f>
        <v>0.246</v>
      </c>
      <c r="J216" s="9">
        <f>IFERROR(__xludf.DUMMYFUNCTION("""COMPUTED_VALUE"""),0.197)</f>
        <v>0.197</v>
      </c>
      <c r="K216" s="9">
        <f>IFERROR(__xludf.DUMMYFUNCTION("""COMPUTED_VALUE"""),0.397)</f>
        <v>0.397</v>
      </c>
      <c r="M216" s="9">
        <f>IFERROR(__xludf.DUMMYFUNCTION("SPLIT(L208, "","")"),0.214)</f>
        <v>0.214</v>
      </c>
      <c r="N216" s="9">
        <f>IFERROR(__xludf.DUMMYFUNCTION("""COMPUTED_VALUE"""),0.193)</f>
        <v>0.193</v>
      </c>
      <c r="O216" s="9">
        <f>IFERROR(__xludf.DUMMYFUNCTION("""COMPUTED_VALUE"""),0.293)</f>
        <v>0.293</v>
      </c>
      <c r="Q216" s="9">
        <f>IFERROR(__xludf.DUMMYFUNCTION("SPLIT(M208, "","")"),0.184)</f>
        <v>0.184</v>
      </c>
      <c r="R216" s="9">
        <f>IFERROR(__xludf.DUMMYFUNCTION("""COMPUTED_VALUE"""),0.147)</f>
        <v>0.147</v>
      </c>
      <c r="S216" s="9">
        <f>IFERROR(__xludf.DUMMYFUNCTION("""COMPUTED_VALUE"""),0.347)</f>
        <v>0.347</v>
      </c>
      <c r="U216" s="9">
        <f>IFERROR(__xludf.DUMMYFUNCTION("SPLIT(N208, "","")"),0.213)</f>
        <v>0.213</v>
      </c>
      <c r="V216" s="9">
        <f>IFERROR(__xludf.DUMMYFUNCTION("""COMPUTED_VALUE"""),0.192)</f>
        <v>0.192</v>
      </c>
      <c r="W216" s="9">
        <f>IFERROR(__xludf.DUMMYFUNCTION("""COMPUTED_VALUE"""),0.292)</f>
        <v>0.292</v>
      </c>
      <c r="Y216" s="9">
        <f>IFERROR(__xludf.DUMMYFUNCTION("SPLIT(O208, "","")"),0.183)</f>
        <v>0.183</v>
      </c>
      <c r="Z216" s="9">
        <f>IFERROR(__xludf.DUMMYFUNCTION("""COMPUTED_VALUE"""),0.147)</f>
        <v>0.147</v>
      </c>
      <c r="AA216" s="9">
        <f>IFERROR(__xludf.DUMMYFUNCTION("""COMPUTED_VALUE"""),0.347)</f>
        <v>0.347</v>
      </c>
    </row>
    <row r="217">
      <c r="A217" s="9">
        <f>IFERROR(__xludf.DUMMYFUNCTION("SPLIT(I209, "","")"),0.251)</f>
        <v>0.251</v>
      </c>
      <c r="B217" s="9">
        <f>IFERROR(__xludf.DUMMYFUNCTION("""COMPUTED_VALUE"""),0.251)</f>
        <v>0.251</v>
      </c>
      <c r="C217" s="9">
        <f>IFERROR(__xludf.DUMMYFUNCTION("""COMPUTED_VALUE"""),0.251)</f>
        <v>0.251</v>
      </c>
      <c r="E217" s="11">
        <f>IFERROR(__xludf.DUMMYFUNCTION("SPLIT(J209, "","")"),0.258)</f>
        <v>0.258</v>
      </c>
      <c r="F217" s="9">
        <f>IFERROR(__xludf.DUMMYFUNCTION("""COMPUTED_VALUE"""),0.232)</f>
        <v>0.232</v>
      </c>
      <c r="G217" s="9">
        <f>IFERROR(__xludf.DUMMYFUNCTION("""COMPUTED_VALUE"""),0.332)</f>
        <v>0.332</v>
      </c>
      <c r="I217" s="9">
        <f>IFERROR(__xludf.DUMMYFUNCTION("SPLIT(K209, "","")"),0.258)</f>
        <v>0.258</v>
      </c>
      <c r="J217" s="9">
        <f>IFERROR(__xludf.DUMMYFUNCTION("""COMPUTED_VALUE"""),0.206)</f>
        <v>0.206</v>
      </c>
      <c r="K217" s="9">
        <f>IFERROR(__xludf.DUMMYFUNCTION("""COMPUTED_VALUE"""),0.406)</f>
        <v>0.406</v>
      </c>
      <c r="M217" s="9">
        <f>IFERROR(__xludf.DUMMYFUNCTION("SPLIT(L209, "","")"),0.223)</f>
        <v>0.223</v>
      </c>
      <c r="N217" s="9">
        <f>IFERROR(__xludf.DUMMYFUNCTION("""COMPUTED_VALUE"""),0.201)</f>
        <v>0.201</v>
      </c>
      <c r="O217" s="9">
        <f>IFERROR(__xludf.DUMMYFUNCTION("""COMPUTED_VALUE"""),0.301)</f>
        <v>0.301</v>
      </c>
      <c r="Q217" s="9">
        <f>IFERROR(__xludf.DUMMYFUNCTION("SPLIT(M209, "","")"),0.189)</f>
        <v>0.189</v>
      </c>
      <c r="R217" s="9">
        <f>IFERROR(__xludf.DUMMYFUNCTION("""COMPUTED_VALUE"""),0.151)</f>
        <v>0.151</v>
      </c>
      <c r="S217" s="9">
        <f>IFERROR(__xludf.DUMMYFUNCTION("""COMPUTED_VALUE"""),0.351)</f>
        <v>0.351</v>
      </c>
      <c r="U217" s="9">
        <f>IFERROR(__xludf.DUMMYFUNCTION("SPLIT(N209, "","")"),0.223)</f>
        <v>0.223</v>
      </c>
      <c r="V217" s="9">
        <f>IFERROR(__xludf.DUMMYFUNCTION("""COMPUTED_VALUE"""),0.201)</f>
        <v>0.201</v>
      </c>
      <c r="W217" s="9">
        <f>IFERROR(__xludf.DUMMYFUNCTION("""COMPUTED_VALUE"""),0.301)</f>
        <v>0.301</v>
      </c>
      <c r="Y217" s="9">
        <f>IFERROR(__xludf.DUMMYFUNCTION("SPLIT(O209, "","")"),0.189)</f>
        <v>0.189</v>
      </c>
      <c r="Z217" s="9">
        <f>IFERROR(__xludf.DUMMYFUNCTION("""COMPUTED_VALUE"""),0.151)</f>
        <v>0.151</v>
      </c>
      <c r="AA217" s="9">
        <f>IFERROR(__xludf.DUMMYFUNCTION("""COMPUTED_VALUE"""),0.351)</f>
        <v>0.351</v>
      </c>
    </row>
    <row r="218">
      <c r="A218" s="9">
        <f>IFERROR(__xludf.DUMMYFUNCTION("SPLIT(I210, "","")"),0.235)</f>
        <v>0.235</v>
      </c>
      <c r="B218" s="9">
        <f>IFERROR(__xludf.DUMMYFUNCTION("""COMPUTED_VALUE"""),0.235)</f>
        <v>0.235</v>
      </c>
      <c r="C218" s="9">
        <f>IFERROR(__xludf.DUMMYFUNCTION("""COMPUTED_VALUE"""),0.235)</f>
        <v>0.235</v>
      </c>
      <c r="E218" s="11">
        <f>IFERROR(__xludf.DUMMYFUNCTION("SPLIT(J210, "","")"),0.237)</f>
        <v>0.237</v>
      </c>
      <c r="F218" s="9">
        <f>IFERROR(__xludf.DUMMYFUNCTION("""COMPUTED_VALUE"""),0.213)</f>
        <v>0.213</v>
      </c>
      <c r="G218" s="9">
        <f>IFERROR(__xludf.DUMMYFUNCTION("""COMPUTED_VALUE"""),0.313)</f>
        <v>0.313</v>
      </c>
      <c r="I218" s="9">
        <f>IFERROR(__xludf.DUMMYFUNCTION("SPLIT(K210, "","")"),0.239)</f>
        <v>0.239</v>
      </c>
      <c r="J218" s="9">
        <f>IFERROR(__xludf.DUMMYFUNCTION("""COMPUTED_VALUE"""),0.191)</f>
        <v>0.191</v>
      </c>
      <c r="K218" s="9">
        <f>IFERROR(__xludf.DUMMYFUNCTION("""COMPUTED_VALUE"""),0.391)</f>
        <v>0.391</v>
      </c>
      <c r="M218" s="9">
        <f>IFERROR(__xludf.DUMMYFUNCTION("SPLIT(L210, "","")"),0.209)</f>
        <v>0.209</v>
      </c>
      <c r="N218" s="9">
        <f>IFERROR(__xludf.DUMMYFUNCTION("""COMPUTED_VALUE"""),0.188)</f>
        <v>0.188</v>
      </c>
      <c r="O218" s="9">
        <f>IFERROR(__xludf.DUMMYFUNCTION("""COMPUTED_VALUE"""),0.288)</f>
        <v>0.288</v>
      </c>
      <c r="Q218" s="9">
        <f>IFERROR(__xludf.DUMMYFUNCTION("SPLIT(M210, "","")"),0.179)</f>
        <v>0.179</v>
      </c>
      <c r="R218" s="9">
        <f>IFERROR(__xludf.DUMMYFUNCTION("""COMPUTED_VALUE"""),0.143)</f>
        <v>0.143</v>
      </c>
      <c r="S218" s="9">
        <f>IFERROR(__xludf.DUMMYFUNCTION("""COMPUTED_VALUE"""),0.343)</f>
        <v>0.343</v>
      </c>
      <c r="U218" s="9">
        <f>IFERROR(__xludf.DUMMYFUNCTION("SPLIT(N210, "","")"),0.209)</f>
        <v>0.209</v>
      </c>
      <c r="V218" s="9">
        <f>IFERROR(__xludf.DUMMYFUNCTION("""COMPUTED_VALUE"""),0.188)</f>
        <v>0.188</v>
      </c>
      <c r="W218" s="9">
        <f>IFERROR(__xludf.DUMMYFUNCTION("""COMPUTED_VALUE"""),0.288)</f>
        <v>0.288</v>
      </c>
      <c r="Y218" s="9">
        <f>IFERROR(__xludf.DUMMYFUNCTION("SPLIT(O210, "","")"),0.179)</f>
        <v>0.179</v>
      </c>
      <c r="Z218" s="9">
        <f>IFERROR(__xludf.DUMMYFUNCTION("""COMPUTED_VALUE"""),0.143)</f>
        <v>0.143</v>
      </c>
      <c r="AA218" s="9">
        <f>IFERROR(__xludf.DUMMYFUNCTION("""COMPUTED_VALUE"""),0.343)</f>
        <v>0.343</v>
      </c>
    </row>
    <row r="219">
      <c r="A219" s="9">
        <f>IFERROR(__xludf.DUMMYFUNCTION("SPLIT(I211, "","")"),0.253)</f>
        <v>0.253</v>
      </c>
      <c r="B219" s="9">
        <f>IFERROR(__xludf.DUMMYFUNCTION("""COMPUTED_VALUE"""),0.253)</f>
        <v>0.253</v>
      </c>
      <c r="C219" s="9">
        <f>IFERROR(__xludf.DUMMYFUNCTION("""COMPUTED_VALUE"""),0.253)</f>
        <v>0.253</v>
      </c>
      <c r="E219" s="11">
        <f>IFERROR(__xludf.DUMMYFUNCTION("SPLIT(J211, "","")"),0.259)</f>
        <v>0.259</v>
      </c>
      <c r="F219" s="9">
        <f>IFERROR(__xludf.DUMMYFUNCTION("""COMPUTED_VALUE"""),0.233)</f>
        <v>0.233</v>
      </c>
      <c r="G219" s="9">
        <f>IFERROR(__xludf.DUMMYFUNCTION("""COMPUTED_VALUE"""),0.333)</f>
        <v>0.333</v>
      </c>
      <c r="I219" s="9">
        <f>IFERROR(__xludf.DUMMYFUNCTION("SPLIT(K211, "","")"),0.26)</f>
        <v>0.26</v>
      </c>
      <c r="J219" s="9">
        <f>IFERROR(__xludf.DUMMYFUNCTION("""COMPUTED_VALUE"""),0.208)</f>
        <v>0.208</v>
      </c>
      <c r="K219" s="9">
        <f>IFERROR(__xludf.DUMMYFUNCTION("""COMPUTED_VALUE"""),0.408)</f>
        <v>0.408</v>
      </c>
      <c r="M219" s="9">
        <f>IFERROR(__xludf.DUMMYFUNCTION("SPLIT(L211, "","")"),0.226)</f>
        <v>0.226</v>
      </c>
      <c r="N219" s="9">
        <f>IFERROR(__xludf.DUMMYFUNCTION("""COMPUTED_VALUE"""),0.203)</f>
        <v>0.203</v>
      </c>
      <c r="O219" s="9">
        <f>IFERROR(__xludf.DUMMYFUNCTION("""COMPUTED_VALUE"""),0.303)</f>
        <v>0.303</v>
      </c>
      <c r="Q219" s="9">
        <f>IFERROR(__xludf.DUMMYFUNCTION("SPLIT(M211, "","")"),0.191)</f>
        <v>0.191</v>
      </c>
      <c r="R219" s="9">
        <f>IFERROR(__xludf.DUMMYFUNCTION("""COMPUTED_VALUE"""),0.153)</f>
        <v>0.153</v>
      </c>
      <c r="S219" s="9">
        <f>IFERROR(__xludf.DUMMYFUNCTION("""COMPUTED_VALUE"""),0.353)</f>
        <v>0.353</v>
      </c>
      <c r="U219" s="9">
        <f>IFERROR(__xludf.DUMMYFUNCTION("SPLIT(N211, "","")"),0.226)</f>
        <v>0.226</v>
      </c>
      <c r="V219" s="9">
        <f>IFERROR(__xludf.DUMMYFUNCTION("""COMPUTED_VALUE"""),0.203)</f>
        <v>0.203</v>
      </c>
      <c r="W219" s="9">
        <f>IFERROR(__xludf.DUMMYFUNCTION("""COMPUTED_VALUE"""),0.303)</f>
        <v>0.303</v>
      </c>
      <c r="Y219" s="9">
        <f>IFERROR(__xludf.DUMMYFUNCTION("SPLIT(O211, "","")"),0.191)</f>
        <v>0.191</v>
      </c>
      <c r="Z219" s="9">
        <f>IFERROR(__xludf.DUMMYFUNCTION("""COMPUTED_VALUE"""),0.153)</f>
        <v>0.153</v>
      </c>
      <c r="AA219" s="9">
        <f>IFERROR(__xludf.DUMMYFUNCTION("""COMPUTED_VALUE"""),0.353)</f>
        <v>0.353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0.2</v>
      </c>
      <c r="D223" s="7">
        <f t="shared" ref="D223:D229" si="263">E213</f>
        <v>0.2</v>
      </c>
      <c r="E223" s="7">
        <f t="shared" ref="E223:E229" si="264">I213</f>
        <v>0.204</v>
      </c>
      <c r="F223" s="7">
        <f t="shared" ref="F223:G223" si="258">N213</f>
        <v>0.175</v>
      </c>
      <c r="G223" s="12">
        <f t="shared" si="258"/>
        <v>0.275</v>
      </c>
      <c r="H223" s="7">
        <f t="shared" ref="H223:I223" si="259">R213</f>
        <v>0.139</v>
      </c>
      <c r="I223" s="12">
        <f t="shared" si="259"/>
        <v>0.339</v>
      </c>
      <c r="J223" s="7">
        <f t="shared" ref="J223:K223" si="260">V213</f>
        <v>0.162</v>
      </c>
      <c r="K223" s="12">
        <f t="shared" si="260"/>
        <v>0.262</v>
      </c>
      <c r="L223" s="7">
        <f t="shared" ref="L223:M223" si="261">Z213</f>
        <v>0.136</v>
      </c>
      <c r="M223" s="7">
        <f t="shared" si="261"/>
        <v>0.336</v>
      </c>
    </row>
    <row r="224">
      <c r="B224" s="6" t="s">
        <v>5</v>
      </c>
      <c r="C224" s="7">
        <f t="shared" si="262"/>
        <v>0.198</v>
      </c>
      <c r="D224" s="7">
        <f t="shared" si="263"/>
        <v>0.199</v>
      </c>
      <c r="E224" s="7">
        <f t="shared" si="264"/>
        <v>0.2</v>
      </c>
      <c r="F224" s="7">
        <f t="shared" ref="F224:G224" si="265">N214</f>
        <v>0.171</v>
      </c>
      <c r="G224" s="12">
        <f t="shared" si="265"/>
        <v>0.271</v>
      </c>
      <c r="H224" s="7">
        <f t="shared" ref="H224:I224" si="266">R214</f>
        <v>0.135</v>
      </c>
      <c r="I224" s="12">
        <f t="shared" si="266"/>
        <v>0.335</v>
      </c>
      <c r="J224" s="7">
        <f t="shared" ref="J224:K224" si="267">V214</f>
        <v>0.162</v>
      </c>
      <c r="K224" s="12">
        <f t="shared" si="267"/>
        <v>0.262</v>
      </c>
      <c r="L224" s="7">
        <f t="shared" ref="L224:M224" si="268">Z214</f>
        <v>0.13</v>
      </c>
      <c r="M224" s="7">
        <f t="shared" si="268"/>
        <v>0.33</v>
      </c>
    </row>
    <row r="225">
      <c r="B225" s="6" t="s">
        <v>6</v>
      </c>
      <c r="C225" s="7">
        <f t="shared" si="262"/>
        <v>0.17</v>
      </c>
      <c r="D225" s="7">
        <f t="shared" si="263"/>
        <v>0.166</v>
      </c>
      <c r="E225" s="7">
        <f t="shared" si="264"/>
        <v>0.169</v>
      </c>
      <c r="F225" s="7">
        <f t="shared" ref="F225:G225" si="269">N215</f>
        <v>0.153</v>
      </c>
      <c r="G225" s="12">
        <f t="shared" si="269"/>
        <v>0.253</v>
      </c>
      <c r="H225" s="7">
        <f t="shared" ref="H225:I225" si="270">R215</f>
        <v>0.119</v>
      </c>
      <c r="I225" s="12">
        <f t="shared" si="270"/>
        <v>0.319</v>
      </c>
      <c r="J225" s="7">
        <f t="shared" ref="J225:K225" si="271">V215</f>
        <v>0.135</v>
      </c>
      <c r="K225" s="12">
        <f t="shared" si="271"/>
        <v>0.235</v>
      </c>
      <c r="L225" s="7">
        <f t="shared" ref="L225:M225" si="272">Z215</f>
        <v>0.122</v>
      </c>
      <c r="M225" s="7">
        <f t="shared" si="272"/>
        <v>0.322</v>
      </c>
    </row>
    <row r="226">
      <c r="B226" s="6" t="s">
        <v>7</v>
      </c>
      <c r="C226" s="7">
        <f t="shared" si="262"/>
        <v>0.239</v>
      </c>
      <c r="D226" s="7">
        <f t="shared" si="263"/>
        <v>0.242</v>
      </c>
      <c r="E226" s="7">
        <f t="shared" si="264"/>
        <v>0.246</v>
      </c>
      <c r="F226" s="7">
        <f t="shared" ref="F226:G226" si="273">N216</f>
        <v>0.193</v>
      </c>
      <c r="G226" s="12">
        <f t="shared" si="273"/>
        <v>0.293</v>
      </c>
      <c r="H226" s="7">
        <f t="shared" ref="H226:I226" si="274">R216</f>
        <v>0.147</v>
      </c>
      <c r="I226" s="12">
        <f t="shared" si="274"/>
        <v>0.347</v>
      </c>
      <c r="J226" s="7">
        <f t="shared" ref="J226:K226" si="275">V216</f>
        <v>0.192</v>
      </c>
      <c r="K226" s="12">
        <f t="shared" si="275"/>
        <v>0.292</v>
      </c>
      <c r="L226" s="7">
        <f t="shared" ref="L226:M226" si="276">Z216</f>
        <v>0.147</v>
      </c>
      <c r="M226" s="7">
        <f t="shared" si="276"/>
        <v>0.347</v>
      </c>
    </row>
    <row r="227">
      <c r="B227" s="6" t="s">
        <v>8</v>
      </c>
      <c r="C227" s="7">
        <f t="shared" si="262"/>
        <v>0.251</v>
      </c>
      <c r="D227" s="7">
        <f t="shared" si="263"/>
        <v>0.258</v>
      </c>
      <c r="E227" s="7">
        <f t="shared" si="264"/>
        <v>0.258</v>
      </c>
      <c r="F227" s="7">
        <f t="shared" ref="F227:G227" si="277">N217</f>
        <v>0.201</v>
      </c>
      <c r="G227" s="12">
        <f t="shared" si="277"/>
        <v>0.301</v>
      </c>
      <c r="H227" s="7">
        <f t="shared" ref="H227:I227" si="278">R217</f>
        <v>0.151</v>
      </c>
      <c r="I227" s="12">
        <f t="shared" si="278"/>
        <v>0.351</v>
      </c>
      <c r="J227" s="7">
        <f t="shared" ref="J227:K227" si="279">V217</f>
        <v>0.201</v>
      </c>
      <c r="K227" s="12">
        <f t="shared" si="279"/>
        <v>0.301</v>
      </c>
      <c r="L227" s="7">
        <f t="shared" ref="L227:M227" si="280">Z217</f>
        <v>0.151</v>
      </c>
      <c r="M227" s="7">
        <f t="shared" si="280"/>
        <v>0.351</v>
      </c>
    </row>
    <row r="228">
      <c r="B228" s="6" t="s">
        <v>9</v>
      </c>
      <c r="C228" s="7">
        <f t="shared" si="262"/>
        <v>0.235</v>
      </c>
      <c r="D228" s="7">
        <f t="shared" si="263"/>
        <v>0.237</v>
      </c>
      <c r="E228" s="7">
        <f t="shared" si="264"/>
        <v>0.239</v>
      </c>
      <c r="F228" s="7">
        <f t="shared" ref="F228:G228" si="281">N218</f>
        <v>0.188</v>
      </c>
      <c r="G228" s="12">
        <f t="shared" si="281"/>
        <v>0.288</v>
      </c>
      <c r="H228" s="7">
        <f t="shared" ref="H228:I228" si="282">R218</f>
        <v>0.143</v>
      </c>
      <c r="I228" s="12">
        <f t="shared" si="282"/>
        <v>0.343</v>
      </c>
      <c r="J228" s="7">
        <f t="shared" ref="J228:K228" si="283">V218</f>
        <v>0.188</v>
      </c>
      <c r="K228" s="12">
        <f t="shared" si="283"/>
        <v>0.288</v>
      </c>
      <c r="L228" s="7">
        <f t="shared" ref="L228:M228" si="284">Z218</f>
        <v>0.143</v>
      </c>
      <c r="M228" s="7">
        <f t="shared" si="284"/>
        <v>0.343</v>
      </c>
    </row>
    <row r="229">
      <c r="B229" s="6" t="s">
        <v>10</v>
      </c>
      <c r="C229" s="7">
        <f t="shared" si="262"/>
        <v>0.253</v>
      </c>
      <c r="D229" s="7">
        <f t="shared" si="263"/>
        <v>0.259</v>
      </c>
      <c r="E229" s="7">
        <f t="shared" si="264"/>
        <v>0.26</v>
      </c>
      <c r="F229" s="7">
        <f t="shared" ref="F229:G229" si="285">N219</f>
        <v>0.203</v>
      </c>
      <c r="G229" s="12">
        <f t="shared" si="285"/>
        <v>0.303</v>
      </c>
      <c r="H229" s="7">
        <f t="shared" ref="H229:I229" si="286">R219</f>
        <v>0.153</v>
      </c>
      <c r="I229" s="12">
        <f t="shared" si="286"/>
        <v>0.353</v>
      </c>
      <c r="J229" s="7">
        <f t="shared" ref="J229:K229" si="287">V219</f>
        <v>0.203</v>
      </c>
      <c r="K229" s="12">
        <f t="shared" si="287"/>
        <v>0.303</v>
      </c>
      <c r="L229" s="7">
        <f t="shared" ref="L229:M229" si="288">Z219</f>
        <v>0.153</v>
      </c>
      <c r="M229" s="7">
        <f t="shared" si="288"/>
        <v>0.353</v>
      </c>
    </row>
    <row r="231">
      <c r="A231" s="8" t="s">
        <v>666</v>
      </c>
      <c r="B231" s="8" t="s">
        <v>667</v>
      </c>
      <c r="C231" s="8" t="s">
        <v>668</v>
      </c>
      <c r="D231" s="8" t="s">
        <v>669</v>
      </c>
      <c r="E231" s="8" t="s">
        <v>464</v>
      </c>
      <c r="F231" s="8" t="s">
        <v>670</v>
      </c>
      <c r="G231" s="8" t="s">
        <v>668</v>
      </c>
      <c r="I231" s="9" t="str">
        <f t="shared" ref="I231:O231" si="289">substitute(SUBSTITUTE(A231, "(", ""), ")", "")</f>
        <v>0.366, 0.366, 0.366</v>
      </c>
      <c r="J231" s="9" t="str">
        <f t="shared" si="289"/>
        <v>0.386, 0.347, 0.447</v>
      </c>
      <c r="K231" s="9" t="str">
        <f t="shared" si="289"/>
        <v>0.395, 0.316, 0.516</v>
      </c>
      <c r="L231" s="9" t="str">
        <f t="shared" si="289"/>
        <v>0.380, 0.342, 0.442</v>
      </c>
      <c r="M231" s="9" t="str">
        <f t="shared" si="289"/>
        <v>0.397, 0.318, 0.518</v>
      </c>
      <c r="N231" s="9" t="str">
        <f t="shared" si="289"/>
        <v>0.378, 0.341, 0.441</v>
      </c>
      <c r="O231" s="9" t="str">
        <f t="shared" si="289"/>
        <v>0.395, 0.316, 0.516</v>
      </c>
      <c r="T231" s="6"/>
    </row>
    <row r="232">
      <c r="A232" s="8" t="s">
        <v>671</v>
      </c>
      <c r="B232" s="8" t="s">
        <v>672</v>
      </c>
      <c r="C232" s="8" t="s">
        <v>464</v>
      </c>
      <c r="D232" s="8" t="s">
        <v>463</v>
      </c>
      <c r="E232" s="8" t="s">
        <v>673</v>
      </c>
      <c r="F232" s="8" t="s">
        <v>674</v>
      </c>
      <c r="G232" s="8" t="s">
        <v>675</v>
      </c>
      <c r="I232" s="9" t="str">
        <f t="shared" ref="I232:O232" si="290">substitute(SUBSTITUTE(A232, "(", ""), ")", "")</f>
        <v>0.368, 0.368, 0.368</v>
      </c>
      <c r="J232" s="9" t="str">
        <f t="shared" si="290"/>
        <v>0.387, 0.348, 0.448</v>
      </c>
      <c r="K232" s="9" t="str">
        <f t="shared" si="290"/>
        <v>0.397, 0.318, 0.518</v>
      </c>
      <c r="L232" s="9" t="str">
        <f t="shared" si="290"/>
        <v>0.382, 0.344, 0.444</v>
      </c>
      <c r="M232" s="9" t="str">
        <f t="shared" si="290"/>
        <v>0.400, 0.320, 0.520</v>
      </c>
      <c r="N232" s="9" t="str">
        <f t="shared" si="290"/>
        <v>0.381, 0.343, 0.443</v>
      </c>
      <c r="O232" s="9" t="str">
        <f t="shared" si="290"/>
        <v>0.397, 0.317, 0.517</v>
      </c>
    </row>
    <row r="233">
      <c r="A233" s="8" t="s">
        <v>489</v>
      </c>
      <c r="B233" s="8" t="s">
        <v>676</v>
      </c>
      <c r="C233" s="8" t="s">
        <v>677</v>
      </c>
      <c r="D233" s="8" t="s">
        <v>247</v>
      </c>
      <c r="E233" s="8" t="s">
        <v>678</v>
      </c>
      <c r="F233" s="8" t="s">
        <v>679</v>
      </c>
      <c r="G233" s="8" t="s">
        <v>486</v>
      </c>
      <c r="I233" s="9" t="str">
        <f t="shared" ref="I233:O233" si="291">substitute(SUBSTITUTE(A233, "(", ""), ")", "")</f>
        <v>0.381, 0.381, 0.381</v>
      </c>
      <c r="J233" s="9" t="str">
        <f t="shared" si="291"/>
        <v>0.403, 0.362, 0.462</v>
      </c>
      <c r="K233" s="9" t="str">
        <f t="shared" si="291"/>
        <v>0.409, 0.328, 0.528</v>
      </c>
      <c r="L233" s="9" t="str">
        <f t="shared" si="291"/>
        <v>0.397, 0.357, 0.457</v>
      </c>
      <c r="M233" s="9" t="str">
        <f t="shared" si="291"/>
        <v>0.417, 0.333, 0.533</v>
      </c>
      <c r="N233" s="9" t="str">
        <f t="shared" si="291"/>
        <v>0.396, 0.356, 0.456</v>
      </c>
      <c r="O233" s="9" t="str">
        <f t="shared" si="291"/>
        <v>0.413, 0.331, 0.531</v>
      </c>
    </row>
    <row r="234">
      <c r="A234" s="8" t="s">
        <v>680</v>
      </c>
      <c r="B234" s="8" t="s">
        <v>681</v>
      </c>
      <c r="C234" s="8" t="s">
        <v>682</v>
      </c>
      <c r="D234" s="8" t="s">
        <v>683</v>
      </c>
      <c r="E234" s="8" t="s">
        <v>388</v>
      </c>
      <c r="F234" s="8" t="s">
        <v>683</v>
      </c>
      <c r="G234" s="8" t="s">
        <v>381</v>
      </c>
      <c r="I234" s="9" t="str">
        <f t="shared" ref="I234:O234" si="292">substitute(SUBSTITUTE(A234, "(", ""), ")", "")</f>
        <v>0.377, 0.377, 0.377</v>
      </c>
      <c r="J234" s="9" t="str">
        <f t="shared" si="292"/>
        <v>0.398, 0.359, 0.459</v>
      </c>
      <c r="K234" s="9" t="str">
        <f t="shared" si="292"/>
        <v>0.406, 0.325, 0.525</v>
      </c>
      <c r="L234" s="9" t="str">
        <f t="shared" si="292"/>
        <v>0.390, 0.351, 0.451</v>
      </c>
      <c r="M234" s="9" t="str">
        <f t="shared" si="292"/>
        <v>0.408, 0.327, 0.527</v>
      </c>
      <c r="N234" s="9" t="str">
        <f t="shared" si="292"/>
        <v>0.390, 0.351, 0.451</v>
      </c>
      <c r="O234" s="9" t="str">
        <f t="shared" si="292"/>
        <v>0.405, 0.324, 0.524</v>
      </c>
    </row>
    <row r="235">
      <c r="A235" s="8" t="s">
        <v>684</v>
      </c>
      <c r="B235" s="8" t="s">
        <v>201</v>
      </c>
      <c r="C235" s="8" t="s">
        <v>685</v>
      </c>
      <c r="D235" s="8" t="s">
        <v>401</v>
      </c>
      <c r="E235" s="8" t="s">
        <v>464</v>
      </c>
      <c r="F235" s="8" t="s">
        <v>401</v>
      </c>
      <c r="G235" s="8" t="s">
        <v>686</v>
      </c>
      <c r="I235" s="9" t="str">
        <f t="shared" ref="I235:O235" si="293">substitute(SUBSTITUTE(A235, "(", ""), ")", "")</f>
        <v>0.464, 0.464, 0.464</v>
      </c>
      <c r="J235" s="9" t="str">
        <f t="shared" si="293"/>
        <v>0.489, 0.440, 0.540</v>
      </c>
      <c r="K235" s="9" t="str">
        <f t="shared" si="293"/>
        <v>0.508, 0.407, 0.607</v>
      </c>
      <c r="L235" s="9" t="str">
        <f t="shared" si="293"/>
        <v>0.434, 0.391, 0.491</v>
      </c>
      <c r="M235" s="9" t="str">
        <f t="shared" si="293"/>
        <v>0.397, 0.318, 0.518</v>
      </c>
      <c r="N235" s="9" t="str">
        <f t="shared" si="293"/>
        <v>0.434, 0.391, 0.491</v>
      </c>
      <c r="O235" s="9" t="str">
        <f t="shared" si="293"/>
        <v>0.398, 0.319, 0.519</v>
      </c>
    </row>
    <row r="236">
      <c r="A236" s="8" t="s">
        <v>485</v>
      </c>
      <c r="B236" s="8" t="s">
        <v>687</v>
      </c>
      <c r="C236" s="8" t="s">
        <v>625</v>
      </c>
      <c r="D236" s="8" t="s">
        <v>688</v>
      </c>
      <c r="E236" s="8" t="s">
        <v>677</v>
      </c>
      <c r="F236" s="8" t="s">
        <v>689</v>
      </c>
      <c r="G236" s="8" t="s">
        <v>690</v>
      </c>
      <c r="I236" s="9" t="str">
        <f t="shared" ref="I236:O236" si="294">substitute(SUBSTITUTE(A236, "(", ""), ")", "")</f>
        <v>0.379, 0.379, 0.379</v>
      </c>
      <c r="J236" s="9" t="str">
        <f t="shared" si="294"/>
        <v>0.401, 0.361, 0.461</v>
      </c>
      <c r="K236" s="9" t="str">
        <f t="shared" si="294"/>
        <v>0.410, 0.328, 0.528</v>
      </c>
      <c r="L236" s="9" t="str">
        <f t="shared" si="294"/>
        <v>0.393, 0.353, 0.453</v>
      </c>
      <c r="M236" s="9" t="str">
        <f t="shared" si="294"/>
        <v>0.409, 0.328, 0.528</v>
      </c>
      <c r="N236" s="9" t="str">
        <f t="shared" si="294"/>
        <v>0.392, 0.353, 0.453</v>
      </c>
      <c r="O236" s="9" t="str">
        <f t="shared" si="294"/>
        <v>0.407, 0.326, 0.526</v>
      </c>
    </row>
    <row r="237">
      <c r="A237" s="8" t="s">
        <v>684</v>
      </c>
      <c r="B237" s="8" t="s">
        <v>172</v>
      </c>
      <c r="C237" s="8" t="s">
        <v>691</v>
      </c>
      <c r="D237" s="8" t="s">
        <v>692</v>
      </c>
      <c r="E237" s="8" t="s">
        <v>693</v>
      </c>
      <c r="F237" s="8" t="s">
        <v>692</v>
      </c>
      <c r="G237" s="8" t="s">
        <v>694</v>
      </c>
      <c r="I237" s="9" t="str">
        <f t="shared" ref="I237:O237" si="295">substitute(SUBSTITUTE(A237, "(", ""), ")", "")</f>
        <v>0.464, 0.464, 0.464</v>
      </c>
      <c r="J237" s="9" t="str">
        <f t="shared" si="295"/>
        <v>0.488, 0.439, 0.539</v>
      </c>
      <c r="K237" s="9" t="str">
        <f t="shared" si="295"/>
        <v>0.508, 0.406, 0.606</v>
      </c>
      <c r="L237" s="9" t="str">
        <f t="shared" si="295"/>
        <v>0.433, 0.390, 0.490</v>
      </c>
      <c r="M237" s="9" t="str">
        <f t="shared" si="295"/>
        <v>0.396, 0.317, 0.517</v>
      </c>
      <c r="N237" s="9" t="str">
        <f t="shared" si="295"/>
        <v>0.433, 0.390, 0.490</v>
      </c>
      <c r="O237" s="9" t="str">
        <f t="shared" si="295"/>
        <v>0.398, 0.318, 0.518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"","")"),0.386)</f>
        <v>0.386</v>
      </c>
      <c r="F239" s="9">
        <f>IFERROR(__xludf.DUMMYFUNCTION("""COMPUTED_VALUE"""),0.347)</f>
        <v>0.347</v>
      </c>
      <c r="G239" s="9">
        <f>IFERROR(__xludf.DUMMYFUNCTION("""COMPUTED_VALUE"""),0.447)</f>
        <v>0.447</v>
      </c>
      <c r="I239" s="9">
        <f>IFERROR(__xludf.DUMMYFUNCTION("SPLIT(K231, "","")"),0.395)</f>
        <v>0.395</v>
      </c>
      <c r="J239" s="9">
        <f>IFERROR(__xludf.DUMMYFUNCTION("""COMPUTED_VALUE"""),0.316)</f>
        <v>0.316</v>
      </c>
      <c r="K239" s="9">
        <f>IFERROR(__xludf.DUMMYFUNCTION("""COMPUTED_VALUE"""),0.516)</f>
        <v>0.516</v>
      </c>
      <c r="M239" s="9">
        <f>IFERROR(__xludf.DUMMYFUNCTION("SPLIT(L231, "","")"),0.38)</f>
        <v>0.38</v>
      </c>
      <c r="N239" s="9">
        <f>IFERROR(__xludf.DUMMYFUNCTION("""COMPUTED_VALUE"""),0.342)</f>
        <v>0.342</v>
      </c>
      <c r="O239" s="9">
        <f>IFERROR(__xludf.DUMMYFUNCTION("""COMPUTED_VALUE"""),0.442)</f>
        <v>0.442</v>
      </c>
      <c r="Q239" s="9">
        <f>IFERROR(__xludf.DUMMYFUNCTION("SPLIT(M231, "","")"),0.397)</f>
        <v>0.397</v>
      </c>
      <c r="R239" s="9">
        <f>IFERROR(__xludf.DUMMYFUNCTION("""COMPUTED_VALUE"""),0.318)</f>
        <v>0.318</v>
      </c>
      <c r="S239" s="9">
        <f>IFERROR(__xludf.DUMMYFUNCTION("""COMPUTED_VALUE"""),0.518)</f>
        <v>0.518</v>
      </c>
      <c r="U239" s="9">
        <f>IFERROR(__xludf.DUMMYFUNCTION("SPLIT(N231, "","")"),0.378)</f>
        <v>0.378</v>
      </c>
      <c r="V239" s="9">
        <f>IFERROR(__xludf.DUMMYFUNCTION("""COMPUTED_VALUE"""),0.341)</f>
        <v>0.341</v>
      </c>
      <c r="W239" s="9">
        <f>IFERROR(__xludf.DUMMYFUNCTION("""COMPUTED_VALUE"""),0.441)</f>
        <v>0.441</v>
      </c>
      <c r="Y239" s="9">
        <f>IFERROR(__xludf.DUMMYFUNCTION("SPLIT(O231, "","")"),0.395)</f>
        <v>0.395</v>
      </c>
      <c r="Z239" s="9">
        <f>IFERROR(__xludf.DUMMYFUNCTION("""COMPUTED_VALUE"""),0.316)</f>
        <v>0.316</v>
      </c>
      <c r="AA239" s="9">
        <f>IFERROR(__xludf.DUMMYFUNCTION("""COMPUTED_VALUE"""),0.516)</f>
        <v>0.516</v>
      </c>
    </row>
    <row r="240">
      <c r="A240" s="9">
        <f>IFERROR(__xludf.DUMMYFUNCTION("SPLIT(I232, "","")"),0.368)</f>
        <v>0.368</v>
      </c>
      <c r="B240" s="9">
        <f>IFERROR(__xludf.DUMMYFUNCTION("""COMPUTED_VALUE"""),0.368)</f>
        <v>0.368</v>
      </c>
      <c r="C240" s="9">
        <f>IFERROR(__xludf.DUMMYFUNCTION("""COMPUTED_VALUE"""),0.368)</f>
        <v>0.368</v>
      </c>
      <c r="E240" s="11">
        <f>IFERROR(__xludf.DUMMYFUNCTION("SPLIT(J232, "","")"),0.387)</f>
        <v>0.387</v>
      </c>
      <c r="F240" s="9">
        <f>IFERROR(__xludf.DUMMYFUNCTION("""COMPUTED_VALUE"""),0.348)</f>
        <v>0.348</v>
      </c>
      <c r="G240" s="9">
        <f>IFERROR(__xludf.DUMMYFUNCTION("""COMPUTED_VALUE"""),0.448)</f>
        <v>0.448</v>
      </c>
      <c r="I240" s="9">
        <f>IFERROR(__xludf.DUMMYFUNCTION("SPLIT(K232, "","")"),0.397)</f>
        <v>0.397</v>
      </c>
      <c r="J240" s="9">
        <f>IFERROR(__xludf.DUMMYFUNCTION("""COMPUTED_VALUE"""),0.318)</f>
        <v>0.318</v>
      </c>
      <c r="K240" s="9">
        <f>IFERROR(__xludf.DUMMYFUNCTION("""COMPUTED_VALUE"""),0.518)</f>
        <v>0.518</v>
      </c>
      <c r="M240" s="9">
        <f>IFERROR(__xludf.DUMMYFUNCTION("SPLIT(L232, "","")"),0.382)</f>
        <v>0.382</v>
      </c>
      <c r="N240" s="9">
        <f>IFERROR(__xludf.DUMMYFUNCTION("""COMPUTED_VALUE"""),0.344)</f>
        <v>0.344</v>
      </c>
      <c r="O240" s="9">
        <f>IFERROR(__xludf.DUMMYFUNCTION("""COMPUTED_VALUE"""),0.444)</f>
        <v>0.444</v>
      </c>
      <c r="Q240" s="9">
        <f>IFERROR(__xludf.DUMMYFUNCTION("SPLIT(M232, "","")"),0.4)</f>
        <v>0.4</v>
      </c>
      <c r="R240" s="9">
        <f>IFERROR(__xludf.DUMMYFUNCTION("""COMPUTED_VALUE"""),0.32)</f>
        <v>0.32</v>
      </c>
      <c r="S240" s="9">
        <f>IFERROR(__xludf.DUMMYFUNCTION("""COMPUTED_VALUE"""),0.52)</f>
        <v>0.52</v>
      </c>
      <c r="U240" s="9">
        <f>IFERROR(__xludf.DUMMYFUNCTION("SPLIT(N232, "","")"),0.381)</f>
        <v>0.381</v>
      </c>
      <c r="V240" s="9">
        <f>IFERROR(__xludf.DUMMYFUNCTION("""COMPUTED_VALUE"""),0.343)</f>
        <v>0.343</v>
      </c>
      <c r="W240" s="9">
        <f>IFERROR(__xludf.DUMMYFUNCTION("""COMPUTED_VALUE"""),0.443)</f>
        <v>0.443</v>
      </c>
      <c r="Y240" s="9">
        <f>IFERROR(__xludf.DUMMYFUNCTION("SPLIT(O232, "","")"),0.397)</f>
        <v>0.397</v>
      </c>
      <c r="Z240" s="9">
        <f>IFERROR(__xludf.DUMMYFUNCTION("""COMPUTED_VALUE"""),0.317)</f>
        <v>0.317</v>
      </c>
      <c r="AA240" s="9">
        <f>IFERROR(__xludf.DUMMYFUNCTION("""COMPUTED_VALUE"""),0.517)</f>
        <v>0.517</v>
      </c>
    </row>
    <row r="241">
      <c r="A241" s="9">
        <f>IFERROR(__xludf.DUMMYFUNCTION("SPLIT(I233, "","")"),0.381)</f>
        <v>0.381</v>
      </c>
      <c r="B241" s="9">
        <f>IFERROR(__xludf.DUMMYFUNCTION("""COMPUTED_VALUE"""),0.381)</f>
        <v>0.381</v>
      </c>
      <c r="C241" s="9">
        <f>IFERROR(__xludf.DUMMYFUNCTION("""COMPUTED_VALUE"""),0.381)</f>
        <v>0.381</v>
      </c>
      <c r="E241" s="11">
        <f>IFERROR(__xludf.DUMMYFUNCTION("SPLIT(J233, "","")"),0.403)</f>
        <v>0.403</v>
      </c>
      <c r="F241" s="9">
        <f>IFERROR(__xludf.DUMMYFUNCTION("""COMPUTED_VALUE"""),0.362)</f>
        <v>0.362</v>
      </c>
      <c r="G241" s="9">
        <f>IFERROR(__xludf.DUMMYFUNCTION("""COMPUTED_VALUE"""),0.462)</f>
        <v>0.462</v>
      </c>
      <c r="I241" s="9">
        <f>IFERROR(__xludf.DUMMYFUNCTION("SPLIT(K233, "","")"),0.409)</f>
        <v>0.409</v>
      </c>
      <c r="J241" s="9">
        <f>IFERROR(__xludf.DUMMYFUNCTION("""COMPUTED_VALUE"""),0.328)</f>
        <v>0.328</v>
      </c>
      <c r="K241" s="9">
        <f>IFERROR(__xludf.DUMMYFUNCTION("""COMPUTED_VALUE"""),0.528)</f>
        <v>0.528</v>
      </c>
      <c r="M241" s="9">
        <f>IFERROR(__xludf.DUMMYFUNCTION("SPLIT(L233, "","")"),0.397)</f>
        <v>0.397</v>
      </c>
      <c r="N241" s="9">
        <f>IFERROR(__xludf.DUMMYFUNCTION("""COMPUTED_VALUE"""),0.357)</f>
        <v>0.357</v>
      </c>
      <c r="O241" s="9">
        <f>IFERROR(__xludf.DUMMYFUNCTION("""COMPUTED_VALUE"""),0.457)</f>
        <v>0.457</v>
      </c>
      <c r="Q241" s="9">
        <f>IFERROR(__xludf.DUMMYFUNCTION("SPLIT(M233, "","")"),0.417)</f>
        <v>0.417</v>
      </c>
      <c r="R241" s="9">
        <f>IFERROR(__xludf.DUMMYFUNCTION("""COMPUTED_VALUE"""),0.333)</f>
        <v>0.333</v>
      </c>
      <c r="S241" s="9">
        <f>IFERROR(__xludf.DUMMYFUNCTION("""COMPUTED_VALUE"""),0.533)</f>
        <v>0.533</v>
      </c>
      <c r="U241" s="9">
        <f>IFERROR(__xludf.DUMMYFUNCTION("SPLIT(N233, "","")"),0.396)</f>
        <v>0.396</v>
      </c>
      <c r="V241" s="9">
        <f>IFERROR(__xludf.DUMMYFUNCTION("""COMPUTED_VALUE"""),0.356)</f>
        <v>0.356</v>
      </c>
      <c r="W241" s="9">
        <f>IFERROR(__xludf.DUMMYFUNCTION("""COMPUTED_VALUE"""),0.456)</f>
        <v>0.456</v>
      </c>
      <c r="Y241" s="9">
        <f>IFERROR(__xludf.DUMMYFUNCTION("SPLIT(O233, "","")"),0.413)</f>
        <v>0.413</v>
      </c>
      <c r="Z241" s="9">
        <f>IFERROR(__xludf.DUMMYFUNCTION("""COMPUTED_VALUE"""),0.331)</f>
        <v>0.331</v>
      </c>
      <c r="AA241" s="9">
        <f>IFERROR(__xludf.DUMMYFUNCTION("""COMPUTED_VALUE"""),0.531)</f>
        <v>0.531</v>
      </c>
    </row>
    <row r="242">
      <c r="A242" s="9">
        <f>IFERROR(__xludf.DUMMYFUNCTION("SPLIT(I234, "","")"),0.377)</f>
        <v>0.377</v>
      </c>
      <c r="B242" s="9">
        <f>IFERROR(__xludf.DUMMYFUNCTION("""COMPUTED_VALUE"""),0.377)</f>
        <v>0.377</v>
      </c>
      <c r="C242" s="9">
        <f>IFERROR(__xludf.DUMMYFUNCTION("""COMPUTED_VALUE"""),0.377)</f>
        <v>0.377</v>
      </c>
      <c r="E242" s="11">
        <f>IFERROR(__xludf.DUMMYFUNCTION("SPLIT(J234, "","")"),0.398)</f>
        <v>0.398</v>
      </c>
      <c r="F242" s="9">
        <f>IFERROR(__xludf.DUMMYFUNCTION("""COMPUTED_VALUE"""),0.359)</f>
        <v>0.359</v>
      </c>
      <c r="G242" s="9">
        <f>IFERROR(__xludf.DUMMYFUNCTION("""COMPUTED_VALUE"""),0.459)</f>
        <v>0.459</v>
      </c>
      <c r="I242" s="9">
        <f>IFERROR(__xludf.DUMMYFUNCTION("SPLIT(K234, "","")"),0.406)</f>
        <v>0.406</v>
      </c>
      <c r="J242" s="9">
        <f>IFERROR(__xludf.DUMMYFUNCTION("""COMPUTED_VALUE"""),0.325)</f>
        <v>0.325</v>
      </c>
      <c r="K242" s="9">
        <f>IFERROR(__xludf.DUMMYFUNCTION("""COMPUTED_VALUE"""),0.525)</f>
        <v>0.525</v>
      </c>
      <c r="M242" s="9">
        <f>IFERROR(__xludf.DUMMYFUNCTION("SPLIT(L234, "","")"),0.39)</f>
        <v>0.39</v>
      </c>
      <c r="N242" s="9">
        <f>IFERROR(__xludf.DUMMYFUNCTION("""COMPUTED_VALUE"""),0.351)</f>
        <v>0.351</v>
      </c>
      <c r="O242" s="9">
        <f>IFERROR(__xludf.DUMMYFUNCTION("""COMPUTED_VALUE"""),0.451)</f>
        <v>0.451</v>
      </c>
      <c r="Q242" s="9">
        <f>IFERROR(__xludf.DUMMYFUNCTION("SPLIT(M234, "","")"),0.408)</f>
        <v>0.408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"","")"),0.39)</f>
        <v>0.39</v>
      </c>
      <c r="V242" s="9">
        <f>IFERROR(__xludf.DUMMYFUNCTION("""COMPUTED_VALUE"""),0.351)</f>
        <v>0.351</v>
      </c>
      <c r="W242" s="9">
        <f>IFERROR(__xludf.DUMMYFUNCTION("""COMPUTED_VALUE"""),0.451)</f>
        <v>0.451</v>
      </c>
      <c r="Y242" s="9">
        <f>IFERROR(__xludf.DUMMYFUNCTION("SPLIT(O234, "","")"),0.405)</f>
        <v>0.405</v>
      </c>
      <c r="Z242" s="9">
        <f>IFERROR(__xludf.DUMMYFUNCTION("""COMPUTED_VALUE"""),0.324)</f>
        <v>0.324</v>
      </c>
      <c r="AA242" s="9">
        <f>IFERROR(__xludf.DUMMYFUNCTION("""COMPUTED_VALUE"""),0.524)</f>
        <v>0.524</v>
      </c>
    </row>
    <row r="243">
      <c r="A243" s="9">
        <f>IFERROR(__xludf.DUMMYFUNCTION("SPLIT(I235, "","")"),0.464)</f>
        <v>0.464</v>
      </c>
      <c r="B243" s="9">
        <f>IFERROR(__xludf.DUMMYFUNCTION("""COMPUTED_VALUE"""),0.464)</f>
        <v>0.464</v>
      </c>
      <c r="C243" s="9">
        <f>IFERROR(__xludf.DUMMYFUNCTION("""COMPUTED_VALUE"""),0.464)</f>
        <v>0.464</v>
      </c>
      <c r="E243" s="11">
        <f>IFERROR(__xludf.DUMMYFUNCTION("SPLIT(J235, "","")"),0.489)</f>
        <v>0.489</v>
      </c>
      <c r="F243" s="9">
        <f>IFERROR(__xludf.DUMMYFUNCTION("""COMPUTED_VALUE"""),0.44)</f>
        <v>0.44</v>
      </c>
      <c r="G243" s="9">
        <f>IFERROR(__xludf.DUMMYFUNCTION("""COMPUTED_VALUE"""),0.54)</f>
        <v>0.54</v>
      </c>
      <c r="I243" s="9">
        <f>IFERROR(__xludf.DUMMYFUNCTION("SPLIT(K235, "","")"),0.508)</f>
        <v>0.508</v>
      </c>
      <c r="J243" s="9">
        <f>IFERROR(__xludf.DUMMYFUNCTION("""COMPUTED_VALUE"""),0.407)</f>
        <v>0.407</v>
      </c>
      <c r="K243" s="9">
        <f>IFERROR(__xludf.DUMMYFUNCTION("""COMPUTED_VALUE"""),0.607)</f>
        <v>0.607</v>
      </c>
      <c r="M243" s="9">
        <f>IFERROR(__xludf.DUMMYFUNCTION("SPLIT(L235, "","")"),0.434)</f>
        <v>0.434</v>
      </c>
      <c r="N243" s="9">
        <f>IFERROR(__xludf.DUMMYFUNCTION("""COMPUTED_VALUE"""),0.391)</f>
        <v>0.391</v>
      </c>
      <c r="O243" s="9">
        <f>IFERROR(__xludf.DUMMYFUNCTION("""COMPUTED_VALUE"""),0.491)</f>
        <v>0.491</v>
      </c>
      <c r="Q243" s="9">
        <f>IFERROR(__xludf.DUMMYFUNCTION("SPLIT(M235, "","")"),0.397)</f>
        <v>0.397</v>
      </c>
      <c r="R243" s="9">
        <f>IFERROR(__xludf.DUMMYFUNCTION("""COMPUTED_VALUE"""),0.318)</f>
        <v>0.318</v>
      </c>
      <c r="S243" s="9">
        <f>IFERROR(__xludf.DUMMYFUNCTION("""COMPUTED_VALUE"""),0.518)</f>
        <v>0.518</v>
      </c>
      <c r="U243" s="9">
        <f>IFERROR(__xludf.DUMMYFUNCTION("SPLIT(N235, "","")"),0.434)</f>
        <v>0.434</v>
      </c>
      <c r="V243" s="9">
        <f>IFERROR(__xludf.DUMMYFUNCTION("""COMPUTED_VALUE"""),0.391)</f>
        <v>0.391</v>
      </c>
      <c r="W243" s="9">
        <f>IFERROR(__xludf.DUMMYFUNCTION("""COMPUTED_VALUE"""),0.491)</f>
        <v>0.491</v>
      </c>
      <c r="Y243" s="9">
        <f>IFERROR(__xludf.DUMMYFUNCTION("SPLIT(O235, "","")"),0.398)</f>
        <v>0.398</v>
      </c>
      <c r="Z243" s="9">
        <f>IFERROR(__xludf.DUMMYFUNCTION("""COMPUTED_VALUE"""),0.319)</f>
        <v>0.319</v>
      </c>
      <c r="AA243" s="9">
        <f>IFERROR(__xludf.DUMMYFUNCTION("""COMPUTED_VALUE"""),0.519)</f>
        <v>0.519</v>
      </c>
    </row>
    <row r="244">
      <c r="A244" s="9">
        <f>IFERROR(__xludf.DUMMYFUNCTION("SPLIT(I236, "","")"),0.379)</f>
        <v>0.379</v>
      </c>
      <c r="B244" s="9">
        <f>IFERROR(__xludf.DUMMYFUNCTION("""COMPUTED_VALUE"""),0.379)</f>
        <v>0.379</v>
      </c>
      <c r="C244" s="9">
        <f>IFERROR(__xludf.DUMMYFUNCTION("""COMPUTED_VALUE"""),0.379)</f>
        <v>0.379</v>
      </c>
      <c r="E244" s="11">
        <f>IFERROR(__xludf.DUMMYFUNCTION("SPLIT(J236, "","")"),0.401)</f>
        <v>0.401</v>
      </c>
      <c r="F244" s="9">
        <f>IFERROR(__xludf.DUMMYFUNCTION("""COMPUTED_VALUE"""),0.361)</f>
        <v>0.361</v>
      </c>
      <c r="G244" s="9">
        <f>IFERROR(__xludf.DUMMYFUNCTION("""COMPUTED_VALUE"""),0.461)</f>
        <v>0.461</v>
      </c>
      <c r="I244" s="9">
        <f>IFERROR(__xludf.DUMMYFUNCTION("SPLIT(K236, "","")"),0.41)</f>
        <v>0.41</v>
      </c>
      <c r="J244" s="9">
        <f>IFERROR(__xludf.DUMMYFUNCTION("""COMPUTED_VALUE"""),0.328)</f>
        <v>0.328</v>
      </c>
      <c r="K244" s="9">
        <f>IFERROR(__xludf.DUMMYFUNCTION("""COMPUTED_VALUE"""),0.528)</f>
        <v>0.528</v>
      </c>
      <c r="M244" s="9">
        <f>IFERROR(__xludf.DUMMYFUNCTION("SPLIT(L236, "","")"),0.393)</f>
        <v>0.393</v>
      </c>
      <c r="N244" s="9">
        <f>IFERROR(__xludf.DUMMYFUNCTION("""COMPUTED_VALUE"""),0.353)</f>
        <v>0.353</v>
      </c>
      <c r="O244" s="9">
        <f>IFERROR(__xludf.DUMMYFUNCTION("""COMPUTED_VALUE"""),0.453)</f>
        <v>0.453</v>
      </c>
      <c r="Q244" s="9">
        <f>IFERROR(__xludf.DUMMYFUNCTION("SPLIT(M236, "","")"),0.409)</f>
        <v>0.409</v>
      </c>
      <c r="R244" s="9">
        <f>IFERROR(__xludf.DUMMYFUNCTION("""COMPUTED_VALUE"""),0.328)</f>
        <v>0.328</v>
      </c>
      <c r="S244" s="9">
        <f>IFERROR(__xludf.DUMMYFUNCTION("""COMPUTED_VALUE"""),0.528)</f>
        <v>0.528</v>
      </c>
      <c r="U244" s="9">
        <f>IFERROR(__xludf.DUMMYFUNCTION("SPLIT(N236, "","")"),0.392)</f>
        <v>0.392</v>
      </c>
      <c r="V244" s="9">
        <f>IFERROR(__xludf.DUMMYFUNCTION("""COMPUTED_VALUE"""),0.353)</f>
        <v>0.353</v>
      </c>
      <c r="W244" s="9">
        <f>IFERROR(__xludf.DUMMYFUNCTION("""COMPUTED_VALUE"""),0.453)</f>
        <v>0.453</v>
      </c>
      <c r="Y244" s="9">
        <f>IFERROR(__xludf.DUMMYFUNCTION("SPLIT(O236, "","")"),0.407)</f>
        <v>0.407</v>
      </c>
      <c r="Z244" s="9">
        <f>IFERROR(__xludf.DUMMYFUNCTION("""COMPUTED_VALUE"""),0.326)</f>
        <v>0.326</v>
      </c>
      <c r="AA244" s="9">
        <f>IFERROR(__xludf.DUMMYFUNCTION("""COMPUTED_VALUE"""),0.526)</f>
        <v>0.526</v>
      </c>
    </row>
    <row r="245">
      <c r="A245" s="9">
        <f>IFERROR(__xludf.DUMMYFUNCTION("SPLIT(I237, "","")"),0.464)</f>
        <v>0.464</v>
      </c>
      <c r="B245" s="9">
        <f>IFERROR(__xludf.DUMMYFUNCTION("""COMPUTED_VALUE"""),0.464)</f>
        <v>0.464</v>
      </c>
      <c r="C245" s="9">
        <f>IFERROR(__xludf.DUMMYFUNCTION("""COMPUTED_VALUE"""),0.464)</f>
        <v>0.464</v>
      </c>
      <c r="E245" s="11">
        <f>IFERROR(__xludf.DUMMYFUNCTION("SPLIT(J237, "","")"),0.488)</f>
        <v>0.488</v>
      </c>
      <c r="F245" s="9">
        <f>IFERROR(__xludf.DUMMYFUNCTION("""COMPUTED_VALUE"""),0.439)</f>
        <v>0.439</v>
      </c>
      <c r="G245" s="9">
        <f>IFERROR(__xludf.DUMMYFUNCTION("""COMPUTED_VALUE"""),0.539)</f>
        <v>0.539</v>
      </c>
      <c r="I245" s="9">
        <f>IFERROR(__xludf.DUMMYFUNCTION("SPLIT(K237, "","")"),0.508)</f>
        <v>0.508</v>
      </c>
      <c r="J245" s="9">
        <f>IFERROR(__xludf.DUMMYFUNCTION("""COMPUTED_VALUE"""),0.406)</f>
        <v>0.406</v>
      </c>
      <c r="K245" s="9">
        <f>IFERROR(__xludf.DUMMYFUNCTION("""COMPUTED_VALUE"""),0.606)</f>
        <v>0.606</v>
      </c>
      <c r="M245" s="9">
        <f>IFERROR(__xludf.DUMMYFUNCTION("SPLIT(L237, "","")"),0.433)</f>
        <v>0.433</v>
      </c>
      <c r="N245" s="9">
        <f>IFERROR(__xludf.DUMMYFUNCTION("""COMPUTED_VALUE"""),0.39)</f>
        <v>0.39</v>
      </c>
      <c r="O245" s="9">
        <f>IFERROR(__xludf.DUMMYFUNCTION("""COMPUTED_VALUE"""),0.49)</f>
        <v>0.49</v>
      </c>
      <c r="Q245" s="9">
        <f>IFERROR(__xludf.DUMMYFUNCTION("SPLIT(M237, "","")"),0.396)</f>
        <v>0.396</v>
      </c>
      <c r="R245" s="9">
        <f>IFERROR(__xludf.DUMMYFUNCTION("""COMPUTED_VALUE"""),0.317)</f>
        <v>0.317</v>
      </c>
      <c r="S245" s="9">
        <f>IFERROR(__xludf.DUMMYFUNCTION("""COMPUTED_VALUE"""),0.517)</f>
        <v>0.517</v>
      </c>
      <c r="U245" s="9">
        <f>IFERROR(__xludf.DUMMYFUNCTION("SPLIT(N237, "","")"),0.433)</f>
        <v>0.433</v>
      </c>
      <c r="V245" s="9">
        <f>IFERROR(__xludf.DUMMYFUNCTION("""COMPUTED_VALUE"""),0.39)</f>
        <v>0.39</v>
      </c>
      <c r="W245" s="9">
        <f>IFERROR(__xludf.DUMMYFUNCTION("""COMPUTED_VALUE"""),0.49)</f>
        <v>0.49</v>
      </c>
      <c r="Y245" s="9">
        <f>IFERROR(__xludf.DUMMYFUNCTION("SPLIT(O237, "","")"),0.398)</f>
        <v>0.398</v>
      </c>
      <c r="Z245" s="9">
        <f>IFERROR(__xludf.DUMMYFUNCTION("""COMPUTED_VALUE"""),0.318)</f>
        <v>0.318</v>
      </c>
      <c r="AA245" s="9">
        <f>IFERROR(__xludf.DUMMYFUNCTION("""COMPUTED_VALUE"""),0.518)</f>
        <v>0.518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0.366</v>
      </c>
      <c r="D249" s="7">
        <f t="shared" ref="D249:D255" si="302">E239</f>
        <v>0.386</v>
      </c>
      <c r="E249" s="7">
        <f t="shared" ref="E249:E255" si="303">I239</f>
        <v>0.395</v>
      </c>
      <c r="F249" s="7">
        <f t="shared" ref="F249:G249" si="296">N239</f>
        <v>0.342</v>
      </c>
      <c r="G249" s="12">
        <f t="shared" si="296"/>
        <v>0.442</v>
      </c>
      <c r="H249" s="7">
        <f t="shared" ref="H249:I249" si="297">R239</f>
        <v>0.318</v>
      </c>
      <c r="I249" s="12">
        <f t="shared" si="297"/>
        <v>0.518</v>
      </c>
      <c r="J249" s="7">
        <f t="shared" ref="J249:K249" si="298">V239</f>
        <v>0.341</v>
      </c>
      <c r="K249" s="12">
        <f t="shared" si="298"/>
        <v>0.441</v>
      </c>
      <c r="L249" s="7">
        <f t="shared" ref="L249:M249" si="299">Z239</f>
        <v>0.316</v>
      </c>
      <c r="M249" s="7">
        <f t="shared" si="299"/>
        <v>0.516</v>
      </c>
      <c r="P249" s="6" t="s">
        <v>4</v>
      </c>
      <c r="Q249" s="7">
        <f t="shared" ref="Q249:AA249" si="300">C249-$C$249</f>
        <v>0</v>
      </c>
      <c r="R249" s="7">
        <f t="shared" si="300"/>
        <v>0.02</v>
      </c>
      <c r="S249" s="7">
        <f t="shared" si="300"/>
        <v>0.029</v>
      </c>
      <c r="T249" s="7">
        <f t="shared" si="300"/>
        <v>-0.024</v>
      </c>
      <c r="U249" s="7">
        <f t="shared" si="300"/>
        <v>0.076</v>
      </c>
      <c r="V249" s="7">
        <f t="shared" si="300"/>
        <v>-0.048</v>
      </c>
      <c r="W249" s="7">
        <f t="shared" si="300"/>
        <v>0.152</v>
      </c>
      <c r="X249" s="7">
        <f t="shared" si="300"/>
        <v>-0.025</v>
      </c>
      <c r="Y249" s="7">
        <f t="shared" si="300"/>
        <v>0.075</v>
      </c>
      <c r="Z249" s="7">
        <f t="shared" si="300"/>
        <v>-0.05</v>
      </c>
      <c r="AA249" s="7">
        <f t="shared" si="300"/>
        <v>0.15</v>
      </c>
    </row>
    <row r="250">
      <c r="B250" s="6" t="s">
        <v>5</v>
      </c>
      <c r="C250" s="7">
        <f t="shared" si="301"/>
        <v>0.368</v>
      </c>
      <c r="D250" s="7">
        <f t="shared" si="302"/>
        <v>0.387</v>
      </c>
      <c r="E250" s="7">
        <f t="shared" si="303"/>
        <v>0.397</v>
      </c>
      <c r="F250" s="7">
        <f t="shared" ref="F250:G250" si="304">N240</f>
        <v>0.344</v>
      </c>
      <c r="G250" s="12">
        <f t="shared" si="304"/>
        <v>0.444</v>
      </c>
      <c r="H250" s="7">
        <f t="shared" ref="H250:I250" si="305">R240</f>
        <v>0.32</v>
      </c>
      <c r="I250" s="12">
        <f t="shared" si="305"/>
        <v>0.52</v>
      </c>
      <c r="J250" s="7">
        <f t="shared" ref="J250:K250" si="306">V240</f>
        <v>0.343</v>
      </c>
      <c r="K250" s="12">
        <f t="shared" si="306"/>
        <v>0.443</v>
      </c>
      <c r="L250" s="7">
        <f t="shared" ref="L250:M250" si="307">Z240</f>
        <v>0.317</v>
      </c>
      <c r="M250" s="7">
        <f t="shared" si="307"/>
        <v>0.517</v>
      </c>
      <c r="P250" s="6" t="s">
        <v>5</v>
      </c>
      <c r="Q250" s="7">
        <f t="shared" ref="Q250:AA250" si="308">C250-$C$249</f>
        <v>0.002</v>
      </c>
      <c r="R250" s="7">
        <f t="shared" si="308"/>
        <v>0.021</v>
      </c>
      <c r="S250" s="7">
        <f t="shared" si="308"/>
        <v>0.031</v>
      </c>
      <c r="T250" s="7">
        <f t="shared" si="308"/>
        <v>-0.022</v>
      </c>
      <c r="U250" s="7">
        <f t="shared" si="308"/>
        <v>0.078</v>
      </c>
      <c r="V250" s="7">
        <f t="shared" si="308"/>
        <v>-0.046</v>
      </c>
      <c r="W250" s="7">
        <f t="shared" si="308"/>
        <v>0.154</v>
      </c>
      <c r="X250" s="7">
        <f t="shared" si="308"/>
        <v>-0.023</v>
      </c>
      <c r="Y250" s="7">
        <f t="shared" si="308"/>
        <v>0.077</v>
      </c>
      <c r="Z250" s="7">
        <f t="shared" si="308"/>
        <v>-0.049</v>
      </c>
      <c r="AA250" s="7">
        <f t="shared" si="308"/>
        <v>0.151</v>
      </c>
    </row>
    <row r="251">
      <c r="B251" s="6" t="s">
        <v>6</v>
      </c>
      <c r="C251" s="7">
        <f t="shared" si="301"/>
        <v>0.381</v>
      </c>
      <c r="D251" s="7">
        <f t="shared" si="302"/>
        <v>0.403</v>
      </c>
      <c r="E251" s="7">
        <f t="shared" si="303"/>
        <v>0.409</v>
      </c>
      <c r="F251" s="7">
        <f t="shared" ref="F251:G251" si="309">N241</f>
        <v>0.357</v>
      </c>
      <c r="G251" s="12">
        <f t="shared" si="309"/>
        <v>0.457</v>
      </c>
      <c r="H251" s="7">
        <f t="shared" ref="H251:I251" si="310">R241</f>
        <v>0.333</v>
      </c>
      <c r="I251" s="12">
        <f t="shared" si="310"/>
        <v>0.533</v>
      </c>
      <c r="J251" s="7">
        <f t="shared" ref="J251:K251" si="311">V241</f>
        <v>0.356</v>
      </c>
      <c r="K251" s="12">
        <f t="shared" si="311"/>
        <v>0.456</v>
      </c>
      <c r="L251" s="7">
        <f t="shared" ref="L251:M251" si="312">Z241</f>
        <v>0.331</v>
      </c>
      <c r="M251" s="7">
        <f t="shared" si="312"/>
        <v>0.531</v>
      </c>
      <c r="P251" s="6" t="s">
        <v>6</v>
      </c>
      <c r="Q251" s="7">
        <f t="shared" ref="Q251:AA251" si="313">C251-$C$249</f>
        <v>0.015</v>
      </c>
      <c r="R251" s="7">
        <f t="shared" si="313"/>
        <v>0.037</v>
      </c>
      <c r="S251" s="7">
        <f t="shared" si="313"/>
        <v>0.043</v>
      </c>
      <c r="T251" s="7">
        <f t="shared" si="313"/>
        <v>-0.009</v>
      </c>
      <c r="U251" s="7">
        <f t="shared" si="313"/>
        <v>0.091</v>
      </c>
      <c r="V251" s="7">
        <f t="shared" si="313"/>
        <v>-0.033</v>
      </c>
      <c r="W251" s="7">
        <f t="shared" si="313"/>
        <v>0.167</v>
      </c>
      <c r="X251" s="7">
        <f t="shared" si="313"/>
        <v>-0.01</v>
      </c>
      <c r="Y251" s="7">
        <f t="shared" si="313"/>
        <v>0.09</v>
      </c>
      <c r="Z251" s="7">
        <f t="shared" si="313"/>
        <v>-0.035</v>
      </c>
      <c r="AA251" s="7">
        <f t="shared" si="313"/>
        <v>0.165</v>
      </c>
    </row>
    <row r="252">
      <c r="B252" s="6" t="s">
        <v>7</v>
      </c>
      <c r="C252" s="7">
        <f t="shared" si="301"/>
        <v>0.377</v>
      </c>
      <c r="D252" s="7">
        <f t="shared" si="302"/>
        <v>0.398</v>
      </c>
      <c r="E252" s="7">
        <f t="shared" si="303"/>
        <v>0.406</v>
      </c>
      <c r="F252" s="7">
        <f t="shared" ref="F252:G252" si="314">N242</f>
        <v>0.351</v>
      </c>
      <c r="G252" s="12">
        <f t="shared" si="314"/>
        <v>0.451</v>
      </c>
      <c r="H252" s="7">
        <f t="shared" ref="H252:I252" si="315">R242</f>
        <v>0.327</v>
      </c>
      <c r="I252" s="12">
        <f t="shared" si="315"/>
        <v>0.527</v>
      </c>
      <c r="J252" s="7">
        <f t="shared" ref="J252:K252" si="316">V242</f>
        <v>0.351</v>
      </c>
      <c r="K252" s="12">
        <f t="shared" si="316"/>
        <v>0.451</v>
      </c>
      <c r="L252" s="7">
        <f t="shared" ref="L252:M252" si="317">Z242</f>
        <v>0.324</v>
      </c>
      <c r="M252" s="7">
        <f t="shared" si="317"/>
        <v>0.524</v>
      </c>
      <c r="P252" s="6" t="s">
        <v>7</v>
      </c>
      <c r="Q252" s="7">
        <f t="shared" ref="Q252:AA252" si="318">C252-$C$249</f>
        <v>0.011</v>
      </c>
      <c r="R252" s="7">
        <f t="shared" si="318"/>
        <v>0.032</v>
      </c>
      <c r="S252" s="7">
        <f t="shared" si="318"/>
        <v>0.04</v>
      </c>
      <c r="T252" s="7">
        <f t="shared" si="318"/>
        <v>-0.015</v>
      </c>
      <c r="U252" s="7">
        <f t="shared" si="318"/>
        <v>0.085</v>
      </c>
      <c r="V252" s="7">
        <f t="shared" si="318"/>
        <v>-0.039</v>
      </c>
      <c r="W252" s="7">
        <f t="shared" si="318"/>
        <v>0.161</v>
      </c>
      <c r="X252" s="7">
        <f t="shared" si="318"/>
        <v>-0.015</v>
      </c>
      <c r="Y252" s="7">
        <f t="shared" si="318"/>
        <v>0.085</v>
      </c>
      <c r="Z252" s="7">
        <f t="shared" si="318"/>
        <v>-0.042</v>
      </c>
      <c r="AA252" s="7">
        <f t="shared" si="318"/>
        <v>0.158</v>
      </c>
    </row>
    <row r="253">
      <c r="B253" s="6" t="s">
        <v>8</v>
      </c>
      <c r="C253" s="7">
        <f t="shared" si="301"/>
        <v>0.464</v>
      </c>
      <c r="D253" s="7">
        <f t="shared" si="302"/>
        <v>0.489</v>
      </c>
      <c r="E253" s="7">
        <f t="shared" si="303"/>
        <v>0.508</v>
      </c>
      <c r="F253" s="7">
        <f t="shared" ref="F253:G253" si="319">N243</f>
        <v>0.391</v>
      </c>
      <c r="G253" s="12">
        <f t="shared" si="319"/>
        <v>0.491</v>
      </c>
      <c r="H253" s="7">
        <f t="shared" ref="H253:I253" si="320">R243</f>
        <v>0.318</v>
      </c>
      <c r="I253" s="12">
        <f t="shared" si="320"/>
        <v>0.518</v>
      </c>
      <c r="J253" s="7">
        <f t="shared" ref="J253:K253" si="321">V243</f>
        <v>0.391</v>
      </c>
      <c r="K253" s="12">
        <f t="shared" si="321"/>
        <v>0.491</v>
      </c>
      <c r="L253" s="7">
        <f t="shared" ref="L253:M253" si="322">Z243</f>
        <v>0.319</v>
      </c>
      <c r="M253" s="7">
        <f t="shared" si="322"/>
        <v>0.519</v>
      </c>
      <c r="P253" s="6" t="s">
        <v>8</v>
      </c>
      <c r="Q253" s="7">
        <f t="shared" ref="Q253:AA253" si="323">C253-$C$249</f>
        <v>0.098</v>
      </c>
      <c r="R253" s="7">
        <f t="shared" si="323"/>
        <v>0.123</v>
      </c>
      <c r="S253" s="7">
        <f t="shared" si="323"/>
        <v>0.142</v>
      </c>
      <c r="T253" s="7">
        <f t="shared" si="323"/>
        <v>0.025</v>
      </c>
      <c r="U253" s="7">
        <f t="shared" si="323"/>
        <v>0.125</v>
      </c>
      <c r="V253" s="7">
        <f t="shared" si="323"/>
        <v>-0.048</v>
      </c>
      <c r="W253" s="7">
        <f t="shared" si="323"/>
        <v>0.152</v>
      </c>
      <c r="X253" s="7">
        <f t="shared" si="323"/>
        <v>0.025</v>
      </c>
      <c r="Y253" s="7">
        <f t="shared" si="323"/>
        <v>0.125</v>
      </c>
      <c r="Z253" s="7">
        <f t="shared" si="323"/>
        <v>-0.047</v>
      </c>
      <c r="AA253" s="7">
        <f t="shared" si="323"/>
        <v>0.153</v>
      </c>
    </row>
    <row r="254">
      <c r="B254" s="6" t="s">
        <v>9</v>
      </c>
      <c r="C254" s="7">
        <f t="shared" si="301"/>
        <v>0.379</v>
      </c>
      <c r="D254" s="7">
        <f t="shared" si="302"/>
        <v>0.401</v>
      </c>
      <c r="E254" s="7">
        <f t="shared" si="303"/>
        <v>0.41</v>
      </c>
      <c r="F254" s="7">
        <f t="shared" ref="F254:G254" si="324">N244</f>
        <v>0.353</v>
      </c>
      <c r="G254" s="12">
        <f t="shared" si="324"/>
        <v>0.453</v>
      </c>
      <c r="H254" s="7">
        <f t="shared" ref="H254:I254" si="325">R244</f>
        <v>0.328</v>
      </c>
      <c r="I254" s="12">
        <f t="shared" si="325"/>
        <v>0.528</v>
      </c>
      <c r="J254" s="7">
        <f t="shared" ref="J254:K254" si="326">V244</f>
        <v>0.353</v>
      </c>
      <c r="K254" s="12">
        <f t="shared" si="326"/>
        <v>0.453</v>
      </c>
      <c r="L254" s="7">
        <f t="shared" ref="L254:M254" si="327">Z244</f>
        <v>0.326</v>
      </c>
      <c r="M254" s="7">
        <f t="shared" si="327"/>
        <v>0.526</v>
      </c>
      <c r="P254" s="6" t="s">
        <v>9</v>
      </c>
      <c r="Q254" s="7">
        <f t="shared" ref="Q254:AA254" si="328">C254-$C$249</f>
        <v>0.013</v>
      </c>
      <c r="R254" s="7">
        <f t="shared" si="328"/>
        <v>0.035</v>
      </c>
      <c r="S254" s="7">
        <f t="shared" si="328"/>
        <v>0.044</v>
      </c>
      <c r="T254" s="7">
        <f t="shared" si="328"/>
        <v>-0.013</v>
      </c>
      <c r="U254" s="7">
        <f t="shared" si="328"/>
        <v>0.087</v>
      </c>
      <c r="V254" s="7">
        <f t="shared" si="328"/>
        <v>-0.038</v>
      </c>
      <c r="W254" s="7">
        <f t="shared" si="328"/>
        <v>0.162</v>
      </c>
      <c r="X254" s="7">
        <f t="shared" si="328"/>
        <v>-0.013</v>
      </c>
      <c r="Y254" s="7">
        <f t="shared" si="328"/>
        <v>0.087</v>
      </c>
      <c r="Z254" s="7">
        <f t="shared" si="328"/>
        <v>-0.04</v>
      </c>
      <c r="AA254" s="7">
        <f t="shared" si="328"/>
        <v>0.16</v>
      </c>
    </row>
    <row r="255">
      <c r="B255" s="6" t="s">
        <v>10</v>
      </c>
      <c r="C255" s="7">
        <f t="shared" si="301"/>
        <v>0.464</v>
      </c>
      <c r="D255" s="7">
        <f t="shared" si="302"/>
        <v>0.488</v>
      </c>
      <c r="E255" s="7">
        <f t="shared" si="303"/>
        <v>0.508</v>
      </c>
      <c r="F255" s="7">
        <f t="shared" ref="F255:G255" si="329">N245</f>
        <v>0.39</v>
      </c>
      <c r="G255" s="12">
        <f t="shared" si="329"/>
        <v>0.49</v>
      </c>
      <c r="H255" s="7">
        <f t="shared" ref="H255:I255" si="330">R245</f>
        <v>0.317</v>
      </c>
      <c r="I255" s="12">
        <f t="shared" si="330"/>
        <v>0.517</v>
      </c>
      <c r="J255" s="7">
        <f t="shared" ref="J255:K255" si="331">V245</f>
        <v>0.39</v>
      </c>
      <c r="K255" s="12">
        <f t="shared" si="331"/>
        <v>0.49</v>
      </c>
      <c r="L255" s="7">
        <f t="shared" ref="L255:M255" si="332">Z245</f>
        <v>0.318</v>
      </c>
      <c r="M255" s="7">
        <f t="shared" si="332"/>
        <v>0.518</v>
      </c>
      <c r="P255" s="6" t="s">
        <v>10</v>
      </c>
      <c r="Q255" s="7">
        <f t="shared" ref="Q255:AA255" si="333">C255-$C$249</f>
        <v>0.098</v>
      </c>
      <c r="R255" s="7">
        <f t="shared" si="333"/>
        <v>0.122</v>
      </c>
      <c r="S255" s="7">
        <f t="shared" si="333"/>
        <v>0.142</v>
      </c>
      <c r="T255" s="7">
        <f t="shared" si="333"/>
        <v>0.024</v>
      </c>
      <c r="U255" s="7">
        <f t="shared" si="333"/>
        <v>0.124</v>
      </c>
      <c r="V255" s="7">
        <f t="shared" si="333"/>
        <v>-0.049</v>
      </c>
      <c r="W255" s="7">
        <f t="shared" si="333"/>
        <v>0.151</v>
      </c>
      <c r="X255" s="7">
        <f t="shared" si="333"/>
        <v>0.024</v>
      </c>
      <c r="Y255" s="7">
        <f t="shared" si="333"/>
        <v>0.124</v>
      </c>
      <c r="Z255" s="7">
        <f t="shared" si="333"/>
        <v>-0.048</v>
      </c>
      <c r="AA255" s="7">
        <f t="shared" si="333"/>
        <v>0.152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0.1565</v>
      </c>
      <c r="D259" s="7">
        <f t="shared" si="334"/>
        <v>0.1565</v>
      </c>
      <c r="E259" s="7">
        <f t="shared" si="334"/>
        <v>0.167</v>
      </c>
      <c r="F259" s="7">
        <f t="shared" si="334"/>
        <v>0.1415</v>
      </c>
      <c r="G259" s="7">
        <f t="shared" si="334"/>
        <v>0.2415</v>
      </c>
      <c r="H259" s="7">
        <f t="shared" si="334"/>
        <v>0.13</v>
      </c>
      <c r="I259" s="7">
        <f t="shared" si="334"/>
        <v>0.33</v>
      </c>
      <c r="J259" s="7">
        <f t="shared" si="334"/>
        <v>0.13</v>
      </c>
      <c r="K259" s="7">
        <f t="shared" si="334"/>
        <v>0.23</v>
      </c>
      <c r="L259" s="7">
        <f t="shared" si="334"/>
        <v>0.1095</v>
      </c>
      <c r="M259" s="7">
        <f t="shared" si="334"/>
        <v>0.3095</v>
      </c>
      <c r="P259" s="6" t="s">
        <v>4</v>
      </c>
      <c r="Q259" s="7">
        <f t="shared" ref="Q259:AA259" si="335">C259-$C$259</f>
        <v>0</v>
      </c>
      <c r="R259" s="7">
        <f t="shared" si="335"/>
        <v>0</v>
      </c>
      <c r="S259" s="7">
        <f t="shared" si="335"/>
        <v>0.0105</v>
      </c>
      <c r="T259" s="7">
        <f t="shared" si="335"/>
        <v>-0.015</v>
      </c>
      <c r="U259" s="7">
        <f t="shared" si="335"/>
        <v>0.085</v>
      </c>
      <c r="V259" s="7">
        <f t="shared" si="335"/>
        <v>-0.0265</v>
      </c>
      <c r="W259" s="7">
        <f t="shared" si="335"/>
        <v>0.1735</v>
      </c>
      <c r="X259" s="7">
        <f t="shared" si="335"/>
        <v>-0.0265</v>
      </c>
      <c r="Y259" s="7">
        <f t="shared" si="335"/>
        <v>0.0735</v>
      </c>
      <c r="Z259" s="7">
        <f t="shared" si="335"/>
        <v>-0.047</v>
      </c>
      <c r="AA259" s="7">
        <f t="shared" si="335"/>
        <v>0.153</v>
      </c>
    </row>
    <row r="260">
      <c r="B260" s="6" t="s">
        <v>5</v>
      </c>
      <c r="C260" s="7">
        <f t="shared" ref="C260:M260" si="336">AVERAGE(C120, C146)</f>
        <v>0.1555</v>
      </c>
      <c r="D260" s="7">
        <f t="shared" si="336"/>
        <v>0.156</v>
      </c>
      <c r="E260" s="7">
        <f t="shared" si="336"/>
        <v>0.1655</v>
      </c>
      <c r="F260" s="7">
        <f t="shared" si="336"/>
        <v>0.1405</v>
      </c>
      <c r="G260" s="7">
        <f t="shared" si="336"/>
        <v>0.2405</v>
      </c>
      <c r="H260" s="7">
        <f t="shared" si="336"/>
        <v>0.1295</v>
      </c>
      <c r="I260" s="7">
        <f t="shared" si="336"/>
        <v>0.3295</v>
      </c>
      <c r="J260" s="7">
        <f t="shared" si="336"/>
        <v>0.1295</v>
      </c>
      <c r="K260" s="7">
        <f t="shared" si="336"/>
        <v>0.2295</v>
      </c>
      <c r="L260" s="7">
        <f t="shared" si="336"/>
        <v>0.11</v>
      </c>
      <c r="M260" s="7">
        <f t="shared" si="336"/>
        <v>0.31</v>
      </c>
      <c r="P260" s="6" t="s">
        <v>5</v>
      </c>
      <c r="Q260" s="7">
        <f t="shared" ref="Q260:AA260" si="337">C260-$C$259</f>
        <v>-0.001</v>
      </c>
      <c r="R260" s="7">
        <f t="shared" si="337"/>
        <v>-0.0005</v>
      </c>
      <c r="S260" s="7">
        <f t="shared" si="337"/>
        <v>0.009</v>
      </c>
      <c r="T260" s="7">
        <f t="shared" si="337"/>
        <v>-0.016</v>
      </c>
      <c r="U260" s="7">
        <f t="shared" si="337"/>
        <v>0.084</v>
      </c>
      <c r="V260" s="7">
        <f t="shared" si="337"/>
        <v>-0.027</v>
      </c>
      <c r="W260" s="7">
        <f t="shared" si="337"/>
        <v>0.173</v>
      </c>
      <c r="X260" s="7">
        <f t="shared" si="337"/>
        <v>-0.027</v>
      </c>
      <c r="Y260" s="7">
        <f t="shared" si="337"/>
        <v>0.073</v>
      </c>
      <c r="Z260" s="7">
        <f t="shared" si="337"/>
        <v>-0.0465</v>
      </c>
      <c r="AA260" s="7">
        <f t="shared" si="337"/>
        <v>0.1535</v>
      </c>
    </row>
    <row r="261">
      <c r="B261" s="6" t="s">
        <v>6</v>
      </c>
      <c r="C261" s="7">
        <f t="shared" ref="C261:M261" si="338">AVERAGE(C121, C147)</f>
        <v>0.1575</v>
      </c>
      <c r="D261" s="7">
        <f t="shared" si="338"/>
        <v>0.158</v>
      </c>
      <c r="E261" s="7">
        <f t="shared" si="338"/>
        <v>0.169</v>
      </c>
      <c r="F261" s="7">
        <f t="shared" si="338"/>
        <v>0.1425</v>
      </c>
      <c r="G261" s="7">
        <f t="shared" si="338"/>
        <v>0.243</v>
      </c>
      <c r="H261" s="7">
        <f t="shared" si="338"/>
        <v>0.1315</v>
      </c>
      <c r="I261" s="7">
        <f t="shared" si="338"/>
        <v>0.3315</v>
      </c>
      <c r="J261" s="7">
        <f t="shared" si="338"/>
        <v>0.132</v>
      </c>
      <c r="K261" s="7">
        <f t="shared" si="338"/>
        <v>0.232</v>
      </c>
      <c r="L261" s="7">
        <f t="shared" si="338"/>
        <v>0.112</v>
      </c>
      <c r="M261" s="7">
        <f t="shared" si="338"/>
        <v>0.312</v>
      </c>
      <c r="P261" s="6" t="s">
        <v>6</v>
      </c>
      <c r="Q261" s="7">
        <f t="shared" ref="Q261:AA261" si="339">C261-$C$259</f>
        <v>0.001</v>
      </c>
      <c r="R261" s="7">
        <f t="shared" si="339"/>
        <v>0.0015</v>
      </c>
      <c r="S261" s="7">
        <f t="shared" si="339"/>
        <v>0.0125</v>
      </c>
      <c r="T261" s="7">
        <f t="shared" si="339"/>
        <v>-0.014</v>
      </c>
      <c r="U261" s="7">
        <f t="shared" si="339"/>
        <v>0.0865</v>
      </c>
      <c r="V261" s="7">
        <f t="shared" si="339"/>
        <v>-0.025</v>
      </c>
      <c r="W261" s="7">
        <f t="shared" si="339"/>
        <v>0.175</v>
      </c>
      <c r="X261" s="7">
        <f t="shared" si="339"/>
        <v>-0.0245</v>
      </c>
      <c r="Y261" s="7">
        <f t="shared" si="339"/>
        <v>0.0755</v>
      </c>
      <c r="Z261" s="7">
        <f t="shared" si="339"/>
        <v>-0.0445</v>
      </c>
      <c r="AA261" s="7">
        <f t="shared" si="339"/>
        <v>0.1555</v>
      </c>
    </row>
    <row r="262">
      <c r="B262" s="6" t="s">
        <v>7</v>
      </c>
      <c r="C262" s="7">
        <f t="shared" ref="C262:M262" si="340">AVERAGE(C122, C148)</f>
        <v>0.16</v>
      </c>
      <c r="D262" s="7">
        <f t="shared" si="340"/>
        <v>0.16</v>
      </c>
      <c r="E262" s="7">
        <f t="shared" si="340"/>
        <v>0.171</v>
      </c>
      <c r="F262" s="7">
        <f t="shared" si="340"/>
        <v>0.144</v>
      </c>
      <c r="G262" s="7">
        <f t="shared" si="340"/>
        <v>0.244</v>
      </c>
      <c r="H262" s="7">
        <f t="shared" si="340"/>
        <v>0.132</v>
      </c>
      <c r="I262" s="7">
        <f t="shared" si="340"/>
        <v>0.332</v>
      </c>
      <c r="J262" s="7">
        <f t="shared" si="340"/>
        <v>0.132</v>
      </c>
      <c r="K262" s="7">
        <f t="shared" si="340"/>
        <v>0.232</v>
      </c>
      <c r="L262" s="7">
        <f t="shared" si="340"/>
        <v>0.111</v>
      </c>
      <c r="M262" s="7">
        <f t="shared" si="340"/>
        <v>0.311</v>
      </c>
      <c r="P262" s="6" t="s">
        <v>7</v>
      </c>
      <c r="Q262" s="7">
        <f t="shared" ref="Q262:AA262" si="341">C262-$C$259</f>
        <v>0.0035</v>
      </c>
      <c r="R262" s="7">
        <f t="shared" si="341"/>
        <v>0.0035</v>
      </c>
      <c r="S262" s="7">
        <f t="shared" si="341"/>
        <v>0.0145</v>
      </c>
      <c r="T262" s="7">
        <f t="shared" si="341"/>
        <v>-0.0125</v>
      </c>
      <c r="U262" s="7">
        <f t="shared" si="341"/>
        <v>0.0875</v>
      </c>
      <c r="V262" s="7">
        <f t="shared" si="341"/>
        <v>-0.0245</v>
      </c>
      <c r="W262" s="7">
        <f t="shared" si="341"/>
        <v>0.1755</v>
      </c>
      <c r="X262" s="7">
        <f t="shared" si="341"/>
        <v>-0.0245</v>
      </c>
      <c r="Y262" s="7">
        <f t="shared" si="341"/>
        <v>0.0755</v>
      </c>
      <c r="Z262" s="7">
        <f t="shared" si="341"/>
        <v>-0.0455</v>
      </c>
      <c r="AA262" s="7">
        <f t="shared" si="341"/>
        <v>0.1545</v>
      </c>
    </row>
    <row r="263">
      <c r="B263" s="6" t="s">
        <v>8</v>
      </c>
      <c r="C263" s="7">
        <f t="shared" ref="C263:M263" si="342">AVERAGE(C123, C149)</f>
        <v>0.202</v>
      </c>
      <c r="D263" s="7">
        <f t="shared" si="342"/>
        <v>0.2045</v>
      </c>
      <c r="E263" s="7">
        <f t="shared" si="342"/>
        <v>0.2165</v>
      </c>
      <c r="F263" s="7">
        <f t="shared" si="342"/>
        <v>0.1865</v>
      </c>
      <c r="G263" s="7">
        <f t="shared" si="342"/>
        <v>0.2865</v>
      </c>
      <c r="H263" s="7">
        <f t="shared" si="342"/>
        <v>0.1725</v>
      </c>
      <c r="I263" s="7">
        <f t="shared" si="342"/>
        <v>0.3725</v>
      </c>
      <c r="J263" s="7">
        <f t="shared" si="342"/>
        <v>0.1725</v>
      </c>
      <c r="K263" s="7">
        <f t="shared" si="342"/>
        <v>0.272</v>
      </c>
      <c r="L263" s="7">
        <f t="shared" si="342"/>
        <v>0.1505</v>
      </c>
      <c r="M263" s="7">
        <f t="shared" si="342"/>
        <v>0.3505</v>
      </c>
      <c r="P263" s="6" t="s">
        <v>8</v>
      </c>
      <c r="Q263" s="7">
        <f t="shared" ref="Q263:AA263" si="343">C263-$C$259</f>
        <v>0.0455</v>
      </c>
      <c r="R263" s="7">
        <f t="shared" si="343"/>
        <v>0.048</v>
      </c>
      <c r="S263" s="7">
        <f t="shared" si="343"/>
        <v>0.06</v>
      </c>
      <c r="T263" s="7">
        <f t="shared" si="343"/>
        <v>0.03</v>
      </c>
      <c r="U263" s="7">
        <f t="shared" si="343"/>
        <v>0.13</v>
      </c>
      <c r="V263" s="7">
        <f t="shared" si="343"/>
        <v>0.016</v>
      </c>
      <c r="W263" s="7">
        <f t="shared" si="343"/>
        <v>0.216</v>
      </c>
      <c r="X263" s="7">
        <f t="shared" si="343"/>
        <v>0.016</v>
      </c>
      <c r="Y263" s="7">
        <f t="shared" si="343"/>
        <v>0.1155</v>
      </c>
      <c r="Z263" s="7">
        <f t="shared" si="343"/>
        <v>-0.006</v>
      </c>
      <c r="AA263" s="7">
        <f t="shared" si="343"/>
        <v>0.194</v>
      </c>
    </row>
    <row r="264">
      <c r="B264" s="6" t="s">
        <v>9</v>
      </c>
      <c r="C264" s="7">
        <f t="shared" ref="C264:M264" si="344">AVERAGE(C124, C150)</f>
        <v>0.165</v>
      </c>
      <c r="D264" s="7">
        <f t="shared" si="344"/>
        <v>0.1655</v>
      </c>
      <c r="E264" s="7">
        <f t="shared" si="344"/>
        <v>0.1755</v>
      </c>
      <c r="F264" s="7">
        <f t="shared" si="344"/>
        <v>0.1485</v>
      </c>
      <c r="G264" s="7">
        <f t="shared" si="344"/>
        <v>0.249</v>
      </c>
      <c r="H264" s="7">
        <f t="shared" si="344"/>
        <v>0.1345</v>
      </c>
      <c r="I264" s="7">
        <f t="shared" si="344"/>
        <v>0.3345</v>
      </c>
      <c r="J264" s="7">
        <f t="shared" si="344"/>
        <v>0.133</v>
      </c>
      <c r="K264" s="7">
        <f t="shared" si="344"/>
        <v>0.233</v>
      </c>
      <c r="L264" s="7">
        <f t="shared" si="344"/>
        <v>0.1105</v>
      </c>
      <c r="M264" s="7">
        <f t="shared" si="344"/>
        <v>0.311</v>
      </c>
      <c r="P264" s="6" t="s">
        <v>9</v>
      </c>
      <c r="Q264" s="7">
        <f t="shared" ref="Q264:AA264" si="345">C264-$C$259</f>
        <v>0.0085</v>
      </c>
      <c r="R264" s="7">
        <f t="shared" si="345"/>
        <v>0.009</v>
      </c>
      <c r="S264" s="7">
        <f t="shared" si="345"/>
        <v>0.019</v>
      </c>
      <c r="T264" s="7">
        <f t="shared" si="345"/>
        <v>-0.008</v>
      </c>
      <c r="U264" s="7">
        <f t="shared" si="345"/>
        <v>0.0925</v>
      </c>
      <c r="V264" s="7">
        <f t="shared" si="345"/>
        <v>-0.022</v>
      </c>
      <c r="W264" s="7">
        <f t="shared" si="345"/>
        <v>0.178</v>
      </c>
      <c r="X264" s="7">
        <f t="shared" si="345"/>
        <v>-0.0235</v>
      </c>
      <c r="Y264" s="7">
        <f t="shared" si="345"/>
        <v>0.0765</v>
      </c>
      <c r="Z264" s="7">
        <f t="shared" si="345"/>
        <v>-0.046</v>
      </c>
      <c r="AA264" s="7">
        <f t="shared" si="345"/>
        <v>0.1545</v>
      </c>
    </row>
    <row r="265">
      <c r="B265" s="6" t="s">
        <v>10</v>
      </c>
      <c r="C265" s="7">
        <f t="shared" ref="C265:M265" si="346">AVERAGE(C125, C151)</f>
        <v>0.174</v>
      </c>
      <c r="D265" s="7">
        <f t="shared" si="346"/>
        <v>0.175</v>
      </c>
      <c r="E265" s="7">
        <f t="shared" si="346"/>
        <v>0.1875</v>
      </c>
      <c r="F265" s="7">
        <f t="shared" si="346"/>
        <v>0.157</v>
      </c>
      <c r="G265" s="7">
        <f t="shared" si="346"/>
        <v>0.257</v>
      </c>
      <c r="H265" s="7">
        <f t="shared" si="346"/>
        <v>0.141</v>
      </c>
      <c r="I265" s="7">
        <f t="shared" si="346"/>
        <v>0.341</v>
      </c>
      <c r="J265" s="7">
        <f t="shared" si="346"/>
        <v>0.1395</v>
      </c>
      <c r="K265" s="7">
        <f t="shared" si="346"/>
        <v>0.2395</v>
      </c>
      <c r="L265" s="7">
        <f t="shared" si="346"/>
        <v>0.116</v>
      </c>
      <c r="M265" s="7">
        <f t="shared" si="346"/>
        <v>0.3155</v>
      </c>
      <c r="P265" s="6" t="s">
        <v>10</v>
      </c>
      <c r="Q265" s="7">
        <f t="shared" ref="Q265:AA265" si="347">C265-$C$259</f>
        <v>0.0175</v>
      </c>
      <c r="R265" s="7">
        <f t="shared" si="347"/>
        <v>0.0185</v>
      </c>
      <c r="S265" s="7">
        <f t="shared" si="347"/>
        <v>0.031</v>
      </c>
      <c r="T265" s="7">
        <f t="shared" si="347"/>
        <v>0.0005</v>
      </c>
      <c r="U265" s="7">
        <f t="shared" si="347"/>
        <v>0.1005</v>
      </c>
      <c r="V265" s="7">
        <f t="shared" si="347"/>
        <v>-0.0155</v>
      </c>
      <c r="W265" s="7">
        <f t="shared" si="347"/>
        <v>0.1845</v>
      </c>
      <c r="X265" s="7">
        <f t="shared" si="347"/>
        <v>-0.017</v>
      </c>
      <c r="Y265" s="7">
        <f t="shared" si="347"/>
        <v>0.083</v>
      </c>
      <c r="Z265" s="7">
        <f t="shared" si="347"/>
        <v>-0.0405</v>
      </c>
      <c r="AA265" s="7">
        <f t="shared" si="347"/>
        <v>0.159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0.458</v>
      </c>
      <c r="D269" s="7">
        <f t="shared" si="348"/>
        <v>0.455</v>
      </c>
      <c r="E269" s="7">
        <f t="shared" si="348"/>
        <v>0.463</v>
      </c>
      <c r="F269" s="7">
        <f t="shared" si="348"/>
        <v>0.435</v>
      </c>
      <c r="G269" s="7">
        <f t="shared" si="348"/>
        <v>0.535</v>
      </c>
      <c r="H269" s="7">
        <f t="shared" si="348"/>
        <v>0.4125</v>
      </c>
      <c r="I269" s="7">
        <f t="shared" si="348"/>
        <v>0.6125</v>
      </c>
      <c r="J269" s="7">
        <f t="shared" si="348"/>
        <v>0.4345</v>
      </c>
      <c r="K269" s="7">
        <f t="shared" si="348"/>
        <v>0.5345</v>
      </c>
      <c r="L269" s="7">
        <f t="shared" si="348"/>
        <v>0.4095</v>
      </c>
      <c r="M269" s="7">
        <f t="shared" si="348"/>
        <v>0.6095</v>
      </c>
      <c r="P269" s="6" t="s">
        <v>4</v>
      </c>
      <c r="Q269" s="7">
        <f t="shared" ref="Q269:AA269" si="349">C269-$C$269</f>
        <v>0</v>
      </c>
      <c r="R269" s="7">
        <f t="shared" si="349"/>
        <v>-0.003</v>
      </c>
      <c r="S269" s="7">
        <f t="shared" si="349"/>
        <v>0.005</v>
      </c>
      <c r="T269" s="7">
        <f t="shared" si="349"/>
        <v>-0.023</v>
      </c>
      <c r="U269" s="7">
        <f t="shared" si="349"/>
        <v>0.077</v>
      </c>
      <c r="V269" s="7">
        <f t="shared" si="349"/>
        <v>-0.0455</v>
      </c>
      <c r="W269" s="7">
        <f t="shared" si="349"/>
        <v>0.1545</v>
      </c>
      <c r="X269" s="7">
        <f t="shared" si="349"/>
        <v>-0.0235</v>
      </c>
      <c r="Y269" s="7">
        <f t="shared" si="349"/>
        <v>0.0765</v>
      </c>
      <c r="Z269" s="7">
        <f t="shared" si="349"/>
        <v>-0.0485</v>
      </c>
      <c r="AA269" s="7">
        <f t="shared" si="349"/>
        <v>0.1515</v>
      </c>
    </row>
    <row r="270">
      <c r="B270" s="6" t="s">
        <v>5</v>
      </c>
      <c r="C270" s="7">
        <f t="shared" ref="C270:M270" si="350">AVERAGE(C172, C198)</f>
        <v>0.46</v>
      </c>
      <c r="D270" s="7">
        <f t="shared" si="350"/>
        <v>0.4565</v>
      </c>
      <c r="E270" s="7">
        <f t="shared" si="350"/>
        <v>0.465</v>
      </c>
      <c r="F270" s="7">
        <f t="shared" si="350"/>
        <v>0.4375</v>
      </c>
      <c r="G270" s="7">
        <f t="shared" si="350"/>
        <v>0.5375</v>
      </c>
      <c r="H270" s="7">
        <f t="shared" si="350"/>
        <v>0.4155</v>
      </c>
      <c r="I270" s="7">
        <f t="shared" si="350"/>
        <v>0.6155</v>
      </c>
      <c r="J270" s="7">
        <f t="shared" si="350"/>
        <v>0.437</v>
      </c>
      <c r="K270" s="7">
        <f t="shared" si="350"/>
        <v>0.537</v>
      </c>
      <c r="L270" s="7">
        <f t="shared" si="350"/>
        <v>0.4135</v>
      </c>
      <c r="M270" s="7">
        <f t="shared" si="350"/>
        <v>0.6135</v>
      </c>
      <c r="P270" s="6" t="s">
        <v>5</v>
      </c>
      <c r="Q270" s="7">
        <f t="shared" ref="Q270:AA270" si="351">C270-$C$269</f>
        <v>0.002</v>
      </c>
      <c r="R270" s="7">
        <f t="shared" si="351"/>
        <v>-0.0015</v>
      </c>
      <c r="S270" s="7">
        <f t="shared" si="351"/>
        <v>0.007</v>
      </c>
      <c r="T270" s="7">
        <f t="shared" si="351"/>
        <v>-0.0205</v>
      </c>
      <c r="U270" s="7">
        <f t="shared" si="351"/>
        <v>0.0795</v>
      </c>
      <c r="V270" s="7">
        <f t="shared" si="351"/>
        <v>-0.0425</v>
      </c>
      <c r="W270" s="7">
        <f t="shared" si="351"/>
        <v>0.1575</v>
      </c>
      <c r="X270" s="7">
        <f t="shared" si="351"/>
        <v>-0.021</v>
      </c>
      <c r="Y270" s="7">
        <f t="shared" si="351"/>
        <v>0.079</v>
      </c>
      <c r="Z270" s="7">
        <f t="shared" si="351"/>
        <v>-0.0445</v>
      </c>
      <c r="AA270" s="7">
        <f t="shared" si="351"/>
        <v>0.1555</v>
      </c>
    </row>
    <row r="271">
      <c r="B271" s="6" t="s">
        <v>6</v>
      </c>
      <c r="C271" s="7">
        <f t="shared" ref="C271:M271" si="352">AVERAGE(C173, C199)</f>
        <v>0.4575</v>
      </c>
      <c r="D271" s="7">
        <f t="shared" si="352"/>
        <v>0.4545</v>
      </c>
      <c r="E271" s="7">
        <f t="shared" si="352"/>
        <v>0.4625</v>
      </c>
      <c r="F271" s="7">
        <f t="shared" si="352"/>
        <v>0.437</v>
      </c>
      <c r="G271" s="7">
        <f t="shared" si="352"/>
        <v>0.537</v>
      </c>
      <c r="H271" s="7">
        <f t="shared" si="352"/>
        <v>0.416</v>
      </c>
      <c r="I271" s="7">
        <f t="shared" si="352"/>
        <v>0.616</v>
      </c>
      <c r="J271" s="7">
        <f t="shared" si="352"/>
        <v>0.436</v>
      </c>
      <c r="K271" s="7">
        <f t="shared" si="352"/>
        <v>0.536</v>
      </c>
      <c r="L271" s="7">
        <f t="shared" si="352"/>
        <v>0.415</v>
      </c>
      <c r="M271" s="7">
        <f t="shared" si="352"/>
        <v>0.615</v>
      </c>
      <c r="P271" s="6" t="s">
        <v>6</v>
      </c>
      <c r="Q271" s="7">
        <f t="shared" ref="Q271:AA271" si="353">C271-$C$269</f>
        <v>-0.0005</v>
      </c>
      <c r="R271" s="7">
        <f t="shared" si="353"/>
        <v>-0.0035</v>
      </c>
      <c r="S271" s="7">
        <f t="shared" si="353"/>
        <v>0.0045</v>
      </c>
      <c r="T271" s="7">
        <f t="shared" si="353"/>
        <v>-0.021</v>
      </c>
      <c r="U271" s="7">
        <f t="shared" si="353"/>
        <v>0.079</v>
      </c>
      <c r="V271" s="7">
        <f t="shared" si="353"/>
        <v>-0.042</v>
      </c>
      <c r="W271" s="7">
        <f t="shared" si="353"/>
        <v>0.158</v>
      </c>
      <c r="X271" s="7">
        <f t="shared" si="353"/>
        <v>-0.022</v>
      </c>
      <c r="Y271" s="7">
        <f t="shared" si="353"/>
        <v>0.078</v>
      </c>
      <c r="Z271" s="7">
        <f t="shared" si="353"/>
        <v>-0.043</v>
      </c>
      <c r="AA271" s="7">
        <f t="shared" si="353"/>
        <v>0.157</v>
      </c>
    </row>
    <row r="272">
      <c r="B272" s="6" t="s">
        <v>7</v>
      </c>
      <c r="C272" s="7">
        <f t="shared" ref="C272:M272" si="354">AVERAGE(C174, C200)</f>
        <v>0.457</v>
      </c>
      <c r="D272" s="7">
        <f t="shared" si="354"/>
        <v>0.4545</v>
      </c>
      <c r="E272" s="7">
        <f t="shared" si="354"/>
        <v>0.4605</v>
      </c>
      <c r="F272" s="7">
        <f t="shared" si="354"/>
        <v>0.43</v>
      </c>
      <c r="G272" s="7">
        <f t="shared" si="354"/>
        <v>0.53</v>
      </c>
      <c r="H272" s="7">
        <f t="shared" si="354"/>
        <v>0.403</v>
      </c>
      <c r="I272" s="7">
        <f t="shared" si="354"/>
        <v>0.603</v>
      </c>
      <c r="J272" s="7">
        <f t="shared" si="354"/>
        <v>0.4295</v>
      </c>
      <c r="K272" s="7">
        <f t="shared" si="354"/>
        <v>0.5295</v>
      </c>
      <c r="L272" s="7">
        <f t="shared" si="354"/>
        <v>0.4</v>
      </c>
      <c r="M272" s="7">
        <f t="shared" si="354"/>
        <v>0.6</v>
      </c>
      <c r="P272" s="6" t="s">
        <v>7</v>
      </c>
      <c r="Q272" s="7">
        <f t="shared" ref="Q272:AA272" si="355">C272-$C$269</f>
        <v>-0.001</v>
      </c>
      <c r="R272" s="7">
        <f t="shared" si="355"/>
        <v>-0.0035</v>
      </c>
      <c r="S272" s="7">
        <f t="shared" si="355"/>
        <v>0.0025</v>
      </c>
      <c r="T272" s="7">
        <f t="shared" si="355"/>
        <v>-0.028</v>
      </c>
      <c r="U272" s="7">
        <f t="shared" si="355"/>
        <v>0.072</v>
      </c>
      <c r="V272" s="7">
        <f t="shared" si="355"/>
        <v>-0.055</v>
      </c>
      <c r="W272" s="7">
        <f t="shared" si="355"/>
        <v>0.145</v>
      </c>
      <c r="X272" s="7">
        <f t="shared" si="355"/>
        <v>-0.0285</v>
      </c>
      <c r="Y272" s="7">
        <f t="shared" si="355"/>
        <v>0.0715</v>
      </c>
      <c r="Z272" s="7">
        <f t="shared" si="355"/>
        <v>-0.058</v>
      </c>
      <c r="AA272" s="7">
        <f t="shared" si="355"/>
        <v>0.142</v>
      </c>
    </row>
    <row r="273">
      <c r="B273" s="6" t="s">
        <v>8</v>
      </c>
      <c r="C273" s="7">
        <f t="shared" ref="C273:M273" si="356">AVERAGE(C175, C201)</f>
        <v>0.4525</v>
      </c>
      <c r="D273" s="7">
        <f t="shared" si="356"/>
        <v>0.4505</v>
      </c>
      <c r="E273" s="7">
        <f t="shared" si="356"/>
        <v>0.458</v>
      </c>
      <c r="F273" s="7">
        <f t="shared" si="356"/>
        <v>0.4235</v>
      </c>
      <c r="G273" s="7">
        <f t="shared" si="356"/>
        <v>0.5235</v>
      </c>
      <c r="H273" s="7">
        <f t="shared" si="356"/>
        <v>0.393</v>
      </c>
      <c r="I273" s="7">
        <f t="shared" si="356"/>
        <v>0.593</v>
      </c>
      <c r="J273" s="7">
        <f t="shared" si="356"/>
        <v>0.423</v>
      </c>
      <c r="K273" s="7">
        <f t="shared" si="356"/>
        <v>0.523</v>
      </c>
      <c r="L273" s="7">
        <f t="shared" si="356"/>
        <v>0.391</v>
      </c>
      <c r="M273" s="7">
        <f t="shared" si="356"/>
        <v>0.591</v>
      </c>
      <c r="P273" s="6" t="s">
        <v>8</v>
      </c>
      <c r="Q273" s="7">
        <f t="shared" ref="Q273:AA273" si="357">C273-$C$269</f>
        <v>-0.0055</v>
      </c>
      <c r="R273" s="7">
        <f t="shared" si="357"/>
        <v>-0.0075</v>
      </c>
      <c r="S273" s="7">
        <f t="shared" si="357"/>
        <v>0</v>
      </c>
      <c r="T273" s="7">
        <f t="shared" si="357"/>
        <v>-0.0345</v>
      </c>
      <c r="U273" s="7">
        <f t="shared" si="357"/>
        <v>0.0655</v>
      </c>
      <c r="V273" s="7">
        <f t="shared" si="357"/>
        <v>-0.065</v>
      </c>
      <c r="W273" s="7">
        <f t="shared" si="357"/>
        <v>0.135</v>
      </c>
      <c r="X273" s="7">
        <f t="shared" si="357"/>
        <v>-0.035</v>
      </c>
      <c r="Y273" s="7">
        <f t="shared" si="357"/>
        <v>0.065</v>
      </c>
      <c r="Z273" s="7">
        <f t="shared" si="357"/>
        <v>-0.067</v>
      </c>
      <c r="AA273" s="7">
        <f t="shared" si="357"/>
        <v>0.133</v>
      </c>
    </row>
    <row r="274">
      <c r="B274" s="6" t="s">
        <v>9</v>
      </c>
      <c r="C274" s="7">
        <f t="shared" ref="C274:M274" si="358">AVERAGE(C176, C202)</f>
        <v>0.456</v>
      </c>
      <c r="D274" s="7">
        <f t="shared" si="358"/>
        <v>0.454</v>
      </c>
      <c r="E274" s="7">
        <f t="shared" si="358"/>
        <v>0.4605</v>
      </c>
      <c r="F274" s="7">
        <f t="shared" si="358"/>
        <v>0.429</v>
      </c>
      <c r="G274" s="7">
        <f t="shared" si="358"/>
        <v>0.529</v>
      </c>
      <c r="H274" s="7">
        <f t="shared" si="358"/>
        <v>0.4025</v>
      </c>
      <c r="I274" s="7">
        <f t="shared" si="358"/>
        <v>0.6025</v>
      </c>
      <c r="J274" s="7">
        <f t="shared" si="358"/>
        <v>0.429</v>
      </c>
      <c r="K274" s="7">
        <f t="shared" si="358"/>
        <v>0.529</v>
      </c>
      <c r="L274" s="7">
        <f t="shared" si="358"/>
        <v>0.4</v>
      </c>
      <c r="M274" s="7">
        <f t="shared" si="358"/>
        <v>0.6</v>
      </c>
      <c r="P274" s="6" t="s">
        <v>9</v>
      </c>
      <c r="Q274" s="7">
        <f t="shared" ref="Q274:AA274" si="359">C274-$C$269</f>
        <v>-0.002</v>
      </c>
      <c r="R274" s="7">
        <f t="shared" si="359"/>
        <v>-0.004</v>
      </c>
      <c r="S274" s="7">
        <f t="shared" si="359"/>
        <v>0.0025</v>
      </c>
      <c r="T274" s="7">
        <f t="shared" si="359"/>
        <v>-0.029</v>
      </c>
      <c r="U274" s="7">
        <f t="shared" si="359"/>
        <v>0.071</v>
      </c>
      <c r="V274" s="7">
        <f t="shared" si="359"/>
        <v>-0.0555</v>
      </c>
      <c r="W274" s="7">
        <f t="shared" si="359"/>
        <v>0.1445</v>
      </c>
      <c r="X274" s="7">
        <f t="shared" si="359"/>
        <v>-0.029</v>
      </c>
      <c r="Y274" s="7">
        <f t="shared" si="359"/>
        <v>0.071</v>
      </c>
      <c r="Z274" s="7">
        <f t="shared" si="359"/>
        <v>-0.058</v>
      </c>
      <c r="AA274" s="7">
        <f t="shared" si="359"/>
        <v>0.142</v>
      </c>
    </row>
    <row r="275">
      <c r="B275" s="6" t="s">
        <v>10</v>
      </c>
      <c r="C275" s="7">
        <f t="shared" ref="C275:M275" si="360">AVERAGE(C177, C203)</f>
        <v>0.456</v>
      </c>
      <c r="D275" s="7">
        <f t="shared" si="360"/>
        <v>0.4535</v>
      </c>
      <c r="E275" s="7">
        <f t="shared" si="360"/>
        <v>0.4615</v>
      </c>
      <c r="F275" s="7">
        <f t="shared" si="360"/>
        <v>0.427</v>
      </c>
      <c r="G275" s="7">
        <f t="shared" si="360"/>
        <v>0.527</v>
      </c>
      <c r="H275" s="7">
        <f t="shared" si="360"/>
        <v>0.3965</v>
      </c>
      <c r="I275" s="7">
        <f t="shared" si="360"/>
        <v>0.5965</v>
      </c>
      <c r="J275" s="7">
        <f t="shared" si="360"/>
        <v>0.426</v>
      </c>
      <c r="K275" s="7">
        <f t="shared" si="360"/>
        <v>0.526</v>
      </c>
      <c r="L275" s="7">
        <f t="shared" si="360"/>
        <v>0.395</v>
      </c>
      <c r="M275" s="7">
        <f t="shared" si="360"/>
        <v>0.595</v>
      </c>
      <c r="P275" s="6" t="s">
        <v>10</v>
      </c>
      <c r="Q275" s="7">
        <f t="shared" ref="Q275:AA275" si="361">C275-$C$269</f>
        <v>-0.002</v>
      </c>
      <c r="R275" s="7">
        <f t="shared" si="361"/>
        <v>-0.0045</v>
      </c>
      <c r="S275" s="7">
        <f t="shared" si="361"/>
        <v>0.0035</v>
      </c>
      <c r="T275" s="7">
        <f t="shared" si="361"/>
        <v>-0.031</v>
      </c>
      <c r="U275" s="7">
        <f t="shared" si="361"/>
        <v>0.069</v>
      </c>
      <c r="V275" s="7">
        <f t="shared" si="361"/>
        <v>-0.0615</v>
      </c>
      <c r="W275" s="7">
        <f t="shared" si="361"/>
        <v>0.1385</v>
      </c>
      <c r="X275" s="7">
        <f t="shared" si="361"/>
        <v>-0.032</v>
      </c>
      <c r="Y275" s="7">
        <f t="shared" si="361"/>
        <v>0.068</v>
      </c>
      <c r="Z275" s="7">
        <f t="shared" si="361"/>
        <v>-0.063</v>
      </c>
      <c r="AA275" s="7">
        <f t="shared" si="361"/>
        <v>0.137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0.283</v>
      </c>
      <c r="D279" s="7">
        <f t="shared" si="362"/>
        <v>0.293</v>
      </c>
      <c r="E279" s="7">
        <f t="shared" si="362"/>
        <v>0.2995</v>
      </c>
      <c r="F279" s="7">
        <f t="shared" si="362"/>
        <v>0.2585</v>
      </c>
      <c r="G279" s="7">
        <f t="shared" si="362"/>
        <v>0.3585</v>
      </c>
      <c r="H279" s="7">
        <f t="shared" si="362"/>
        <v>0.2285</v>
      </c>
      <c r="I279" s="7">
        <f t="shared" si="362"/>
        <v>0.4285</v>
      </c>
      <c r="J279" s="7">
        <f t="shared" si="362"/>
        <v>0.2515</v>
      </c>
      <c r="K279" s="7">
        <f t="shared" si="362"/>
        <v>0.3515</v>
      </c>
      <c r="L279" s="7">
        <f t="shared" si="362"/>
        <v>0.226</v>
      </c>
      <c r="M279" s="7">
        <f t="shared" si="362"/>
        <v>0.426</v>
      </c>
      <c r="P279" s="6" t="s">
        <v>4</v>
      </c>
      <c r="Q279" s="7">
        <f t="shared" ref="Q279:AA279" si="363">C279-$C$279</f>
        <v>0</v>
      </c>
      <c r="R279" s="7">
        <f t="shared" si="363"/>
        <v>0.01</v>
      </c>
      <c r="S279" s="7">
        <f t="shared" si="363"/>
        <v>0.0165</v>
      </c>
      <c r="T279" s="7">
        <f t="shared" si="363"/>
        <v>-0.0245</v>
      </c>
      <c r="U279" s="7">
        <f t="shared" si="363"/>
        <v>0.0755</v>
      </c>
      <c r="V279" s="7">
        <f t="shared" si="363"/>
        <v>-0.0545</v>
      </c>
      <c r="W279" s="7">
        <f t="shared" si="363"/>
        <v>0.1455</v>
      </c>
      <c r="X279" s="7">
        <f t="shared" si="363"/>
        <v>-0.0315</v>
      </c>
      <c r="Y279" s="7">
        <f t="shared" si="363"/>
        <v>0.0685</v>
      </c>
      <c r="Z279" s="7">
        <f t="shared" si="363"/>
        <v>-0.057</v>
      </c>
      <c r="AA279" s="7">
        <f t="shared" si="363"/>
        <v>0.143</v>
      </c>
    </row>
    <row r="280">
      <c r="B280" s="6" t="s">
        <v>5</v>
      </c>
      <c r="C280" s="7">
        <f t="shared" ref="C280:M280" si="364">AVERAGE(C224, C250)</f>
        <v>0.283</v>
      </c>
      <c r="D280" s="7">
        <f t="shared" si="364"/>
        <v>0.293</v>
      </c>
      <c r="E280" s="7">
        <f t="shared" si="364"/>
        <v>0.2985</v>
      </c>
      <c r="F280" s="7">
        <f t="shared" si="364"/>
        <v>0.2575</v>
      </c>
      <c r="G280" s="7">
        <f t="shared" si="364"/>
        <v>0.3575</v>
      </c>
      <c r="H280" s="7">
        <f t="shared" si="364"/>
        <v>0.2275</v>
      </c>
      <c r="I280" s="7">
        <f t="shared" si="364"/>
        <v>0.4275</v>
      </c>
      <c r="J280" s="7">
        <f t="shared" si="364"/>
        <v>0.2525</v>
      </c>
      <c r="K280" s="7">
        <f t="shared" si="364"/>
        <v>0.3525</v>
      </c>
      <c r="L280" s="7">
        <f t="shared" si="364"/>
        <v>0.2235</v>
      </c>
      <c r="M280" s="7">
        <f t="shared" si="364"/>
        <v>0.4235</v>
      </c>
      <c r="P280" s="6" t="s">
        <v>5</v>
      </c>
      <c r="Q280" s="7">
        <f t="shared" ref="Q280:AA280" si="365">C280-$C$279</f>
        <v>0</v>
      </c>
      <c r="R280" s="7">
        <f t="shared" si="365"/>
        <v>0.01</v>
      </c>
      <c r="S280" s="7">
        <f t="shared" si="365"/>
        <v>0.0155</v>
      </c>
      <c r="T280" s="7">
        <f t="shared" si="365"/>
        <v>-0.0255</v>
      </c>
      <c r="U280" s="7">
        <f t="shared" si="365"/>
        <v>0.0745</v>
      </c>
      <c r="V280" s="7">
        <f t="shared" si="365"/>
        <v>-0.0555</v>
      </c>
      <c r="W280" s="7">
        <f t="shared" si="365"/>
        <v>0.1445</v>
      </c>
      <c r="X280" s="7">
        <f t="shared" si="365"/>
        <v>-0.0305</v>
      </c>
      <c r="Y280" s="7">
        <f t="shared" si="365"/>
        <v>0.0695</v>
      </c>
      <c r="Z280" s="7">
        <f t="shared" si="365"/>
        <v>-0.0595</v>
      </c>
      <c r="AA280" s="7">
        <f t="shared" si="365"/>
        <v>0.1405</v>
      </c>
    </row>
    <row r="281">
      <c r="B281" s="6" t="s">
        <v>6</v>
      </c>
      <c r="C281" s="7">
        <f t="shared" ref="C281:M281" si="366">AVERAGE(C225, C251)</f>
        <v>0.2755</v>
      </c>
      <c r="D281" s="7">
        <f t="shared" si="366"/>
        <v>0.2845</v>
      </c>
      <c r="E281" s="7">
        <f t="shared" si="366"/>
        <v>0.289</v>
      </c>
      <c r="F281" s="7">
        <f t="shared" si="366"/>
        <v>0.255</v>
      </c>
      <c r="G281" s="7">
        <f t="shared" si="366"/>
        <v>0.355</v>
      </c>
      <c r="H281" s="7">
        <f t="shared" si="366"/>
        <v>0.226</v>
      </c>
      <c r="I281" s="7">
        <f t="shared" si="366"/>
        <v>0.426</v>
      </c>
      <c r="J281" s="7">
        <f t="shared" si="366"/>
        <v>0.2455</v>
      </c>
      <c r="K281" s="7">
        <f t="shared" si="366"/>
        <v>0.3455</v>
      </c>
      <c r="L281" s="7">
        <f t="shared" si="366"/>
        <v>0.2265</v>
      </c>
      <c r="M281" s="7">
        <f t="shared" si="366"/>
        <v>0.4265</v>
      </c>
      <c r="P281" s="6" t="s">
        <v>6</v>
      </c>
      <c r="Q281" s="7">
        <f t="shared" ref="Q281:AA281" si="367">C281-$C$279</f>
        <v>-0.0075</v>
      </c>
      <c r="R281" s="7">
        <f t="shared" si="367"/>
        <v>0.0015</v>
      </c>
      <c r="S281" s="7">
        <f t="shared" si="367"/>
        <v>0.006</v>
      </c>
      <c r="T281" s="7">
        <f t="shared" si="367"/>
        <v>-0.028</v>
      </c>
      <c r="U281" s="7">
        <f t="shared" si="367"/>
        <v>0.072</v>
      </c>
      <c r="V281" s="7">
        <f t="shared" si="367"/>
        <v>-0.057</v>
      </c>
      <c r="W281" s="7">
        <f t="shared" si="367"/>
        <v>0.143</v>
      </c>
      <c r="X281" s="7">
        <f t="shared" si="367"/>
        <v>-0.0375</v>
      </c>
      <c r="Y281" s="7">
        <f t="shared" si="367"/>
        <v>0.0625</v>
      </c>
      <c r="Z281" s="7">
        <f t="shared" si="367"/>
        <v>-0.0565</v>
      </c>
      <c r="AA281" s="7">
        <f t="shared" si="367"/>
        <v>0.1435</v>
      </c>
    </row>
    <row r="282">
      <c r="B282" s="6" t="s">
        <v>7</v>
      </c>
      <c r="C282" s="7">
        <f t="shared" ref="C282:M282" si="368">AVERAGE(C226, C252)</f>
        <v>0.308</v>
      </c>
      <c r="D282" s="7">
        <f t="shared" si="368"/>
        <v>0.32</v>
      </c>
      <c r="E282" s="7">
        <f t="shared" si="368"/>
        <v>0.326</v>
      </c>
      <c r="F282" s="7">
        <f t="shared" si="368"/>
        <v>0.272</v>
      </c>
      <c r="G282" s="7">
        <f t="shared" si="368"/>
        <v>0.372</v>
      </c>
      <c r="H282" s="7">
        <f t="shared" si="368"/>
        <v>0.237</v>
      </c>
      <c r="I282" s="7">
        <f t="shared" si="368"/>
        <v>0.437</v>
      </c>
      <c r="J282" s="7">
        <f t="shared" si="368"/>
        <v>0.2715</v>
      </c>
      <c r="K282" s="7">
        <f t="shared" si="368"/>
        <v>0.3715</v>
      </c>
      <c r="L282" s="7">
        <f t="shared" si="368"/>
        <v>0.2355</v>
      </c>
      <c r="M282" s="7">
        <f t="shared" si="368"/>
        <v>0.4355</v>
      </c>
      <c r="P282" s="6" t="s">
        <v>7</v>
      </c>
      <c r="Q282" s="7">
        <f t="shared" ref="Q282:AA282" si="369">C282-$C$279</f>
        <v>0.025</v>
      </c>
      <c r="R282" s="7">
        <f t="shared" si="369"/>
        <v>0.037</v>
      </c>
      <c r="S282" s="7">
        <f t="shared" si="369"/>
        <v>0.043</v>
      </c>
      <c r="T282" s="7">
        <f t="shared" si="369"/>
        <v>-0.011</v>
      </c>
      <c r="U282" s="7">
        <f t="shared" si="369"/>
        <v>0.089</v>
      </c>
      <c r="V282" s="7">
        <f t="shared" si="369"/>
        <v>-0.046</v>
      </c>
      <c r="W282" s="7">
        <f t="shared" si="369"/>
        <v>0.154</v>
      </c>
      <c r="X282" s="7">
        <f t="shared" si="369"/>
        <v>-0.0115</v>
      </c>
      <c r="Y282" s="7">
        <f t="shared" si="369"/>
        <v>0.0885</v>
      </c>
      <c r="Z282" s="7">
        <f t="shared" si="369"/>
        <v>-0.0475</v>
      </c>
      <c r="AA282" s="7">
        <f t="shared" si="369"/>
        <v>0.1525</v>
      </c>
    </row>
    <row r="283">
      <c r="B283" s="6" t="s">
        <v>8</v>
      </c>
      <c r="C283" s="7">
        <f t="shared" ref="C283:M283" si="370">AVERAGE(C227, C253)</f>
        <v>0.3575</v>
      </c>
      <c r="D283" s="7">
        <f t="shared" si="370"/>
        <v>0.3735</v>
      </c>
      <c r="E283" s="7">
        <f t="shared" si="370"/>
        <v>0.383</v>
      </c>
      <c r="F283" s="7">
        <f t="shared" si="370"/>
        <v>0.296</v>
      </c>
      <c r="G283" s="7">
        <f t="shared" si="370"/>
        <v>0.396</v>
      </c>
      <c r="H283" s="7">
        <f t="shared" si="370"/>
        <v>0.2345</v>
      </c>
      <c r="I283" s="7">
        <f t="shared" si="370"/>
        <v>0.4345</v>
      </c>
      <c r="J283" s="7">
        <f t="shared" si="370"/>
        <v>0.296</v>
      </c>
      <c r="K283" s="7">
        <f t="shared" si="370"/>
        <v>0.396</v>
      </c>
      <c r="L283" s="7">
        <f t="shared" si="370"/>
        <v>0.235</v>
      </c>
      <c r="M283" s="7">
        <f t="shared" si="370"/>
        <v>0.435</v>
      </c>
      <c r="P283" s="6" t="s">
        <v>8</v>
      </c>
      <c r="Q283" s="7">
        <f t="shared" ref="Q283:AA283" si="371">C283-$C$279</f>
        <v>0.0745</v>
      </c>
      <c r="R283" s="7">
        <f t="shared" si="371"/>
        <v>0.0905</v>
      </c>
      <c r="S283" s="7">
        <f t="shared" si="371"/>
        <v>0.1</v>
      </c>
      <c r="T283" s="7">
        <f t="shared" si="371"/>
        <v>0.013</v>
      </c>
      <c r="U283" s="7">
        <f t="shared" si="371"/>
        <v>0.113</v>
      </c>
      <c r="V283" s="7">
        <f t="shared" si="371"/>
        <v>-0.0485</v>
      </c>
      <c r="W283" s="7">
        <f t="shared" si="371"/>
        <v>0.1515</v>
      </c>
      <c r="X283" s="7">
        <f t="shared" si="371"/>
        <v>0.013</v>
      </c>
      <c r="Y283" s="7">
        <f t="shared" si="371"/>
        <v>0.113</v>
      </c>
      <c r="Z283" s="7">
        <f t="shared" si="371"/>
        <v>-0.048</v>
      </c>
      <c r="AA283" s="7">
        <f t="shared" si="371"/>
        <v>0.152</v>
      </c>
    </row>
    <row r="284">
      <c r="B284" s="6" t="s">
        <v>9</v>
      </c>
      <c r="C284" s="7">
        <f t="shared" ref="C284:M284" si="372">AVERAGE(C228, C254)</f>
        <v>0.307</v>
      </c>
      <c r="D284" s="7">
        <f t="shared" si="372"/>
        <v>0.319</v>
      </c>
      <c r="E284" s="7">
        <f t="shared" si="372"/>
        <v>0.3245</v>
      </c>
      <c r="F284" s="7">
        <f t="shared" si="372"/>
        <v>0.2705</v>
      </c>
      <c r="G284" s="7">
        <f t="shared" si="372"/>
        <v>0.3705</v>
      </c>
      <c r="H284" s="7">
        <f t="shared" si="372"/>
        <v>0.2355</v>
      </c>
      <c r="I284" s="7">
        <f t="shared" si="372"/>
        <v>0.4355</v>
      </c>
      <c r="J284" s="7">
        <f t="shared" si="372"/>
        <v>0.2705</v>
      </c>
      <c r="K284" s="7">
        <f t="shared" si="372"/>
        <v>0.3705</v>
      </c>
      <c r="L284" s="7">
        <f t="shared" si="372"/>
        <v>0.2345</v>
      </c>
      <c r="M284" s="7">
        <f t="shared" si="372"/>
        <v>0.4345</v>
      </c>
      <c r="P284" s="6" t="s">
        <v>9</v>
      </c>
      <c r="Q284" s="7">
        <f t="shared" ref="Q284:AA284" si="373">C284-$C$279</f>
        <v>0.024</v>
      </c>
      <c r="R284" s="7">
        <f t="shared" si="373"/>
        <v>0.036</v>
      </c>
      <c r="S284" s="7">
        <f t="shared" si="373"/>
        <v>0.0415</v>
      </c>
      <c r="T284" s="7">
        <f t="shared" si="373"/>
        <v>-0.0125</v>
      </c>
      <c r="U284" s="7">
        <f t="shared" si="373"/>
        <v>0.0875</v>
      </c>
      <c r="V284" s="7">
        <f t="shared" si="373"/>
        <v>-0.0475</v>
      </c>
      <c r="W284" s="7">
        <f t="shared" si="373"/>
        <v>0.1525</v>
      </c>
      <c r="X284" s="7">
        <f t="shared" si="373"/>
        <v>-0.0125</v>
      </c>
      <c r="Y284" s="7">
        <f t="shared" si="373"/>
        <v>0.0875</v>
      </c>
      <c r="Z284" s="7">
        <f t="shared" si="373"/>
        <v>-0.0485</v>
      </c>
      <c r="AA284" s="7">
        <f t="shared" si="373"/>
        <v>0.1515</v>
      </c>
    </row>
    <row r="285">
      <c r="B285" s="6" t="s">
        <v>10</v>
      </c>
      <c r="C285" s="7">
        <f t="shared" ref="C285:M285" si="374">AVERAGE(C229, C255)</f>
        <v>0.3585</v>
      </c>
      <c r="D285" s="7">
        <f t="shared" si="374"/>
        <v>0.3735</v>
      </c>
      <c r="E285" s="7">
        <f t="shared" si="374"/>
        <v>0.384</v>
      </c>
      <c r="F285" s="7">
        <f t="shared" si="374"/>
        <v>0.2965</v>
      </c>
      <c r="G285" s="7">
        <f t="shared" si="374"/>
        <v>0.3965</v>
      </c>
      <c r="H285" s="7">
        <f t="shared" si="374"/>
        <v>0.235</v>
      </c>
      <c r="I285" s="7">
        <f t="shared" si="374"/>
        <v>0.435</v>
      </c>
      <c r="J285" s="7">
        <f t="shared" si="374"/>
        <v>0.2965</v>
      </c>
      <c r="K285" s="7">
        <f t="shared" si="374"/>
        <v>0.3965</v>
      </c>
      <c r="L285" s="7">
        <f t="shared" si="374"/>
        <v>0.2355</v>
      </c>
      <c r="M285" s="7">
        <f t="shared" si="374"/>
        <v>0.4355</v>
      </c>
      <c r="P285" s="6" t="s">
        <v>10</v>
      </c>
      <c r="Q285" s="7">
        <f t="shared" ref="Q285:AA285" si="375">C285-$C$279</f>
        <v>0.0755</v>
      </c>
      <c r="R285" s="7">
        <f t="shared" si="375"/>
        <v>0.0905</v>
      </c>
      <c r="S285" s="7">
        <f t="shared" si="375"/>
        <v>0.101</v>
      </c>
      <c r="T285" s="7">
        <f t="shared" si="375"/>
        <v>0.0135</v>
      </c>
      <c r="U285" s="7">
        <f t="shared" si="375"/>
        <v>0.1135</v>
      </c>
      <c r="V285" s="7">
        <f t="shared" si="375"/>
        <v>-0.048</v>
      </c>
      <c r="W285" s="7">
        <f t="shared" si="375"/>
        <v>0.152</v>
      </c>
      <c r="X285" s="7">
        <f t="shared" si="375"/>
        <v>0.0135</v>
      </c>
      <c r="Y285" s="7">
        <f t="shared" si="375"/>
        <v>0.1135</v>
      </c>
      <c r="Z285" s="7">
        <f t="shared" si="375"/>
        <v>-0.0475</v>
      </c>
      <c r="AA285" s="7">
        <f t="shared" si="375"/>
        <v>0.1525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0.2991666667</v>
      </c>
      <c r="D289" s="7">
        <f t="shared" si="376"/>
        <v>0.3015</v>
      </c>
      <c r="E289" s="7">
        <f t="shared" si="376"/>
        <v>0.3098333333</v>
      </c>
      <c r="F289" s="7">
        <f t="shared" si="376"/>
        <v>0.2783333333</v>
      </c>
      <c r="G289" s="7">
        <f t="shared" si="376"/>
        <v>0.3783333333</v>
      </c>
      <c r="H289" s="7">
        <f t="shared" si="376"/>
        <v>0.257</v>
      </c>
      <c r="I289" s="7">
        <f t="shared" si="376"/>
        <v>0.457</v>
      </c>
      <c r="J289" s="7">
        <f t="shared" si="376"/>
        <v>0.272</v>
      </c>
      <c r="K289" s="7">
        <f t="shared" si="376"/>
        <v>0.372</v>
      </c>
      <c r="L289" s="7">
        <f t="shared" si="376"/>
        <v>0.2483333333</v>
      </c>
      <c r="M289" s="7">
        <f t="shared" si="376"/>
        <v>0.4483333333</v>
      </c>
      <c r="P289" s="6" t="s">
        <v>4</v>
      </c>
      <c r="Q289" s="7">
        <f t="shared" ref="Q289:AA289" si="377">C289-$C$289</f>
        <v>0</v>
      </c>
      <c r="R289" s="7">
        <f t="shared" si="377"/>
        <v>0.002333333333</v>
      </c>
      <c r="S289" s="7">
        <f t="shared" si="377"/>
        <v>0.01066666667</v>
      </c>
      <c r="T289" s="7">
        <f t="shared" si="377"/>
        <v>-0.02083333333</v>
      </c>
      <c r="U289" s="7">
        <f t="shared" si="377"/>
        <v>0.07916666667</v>
      </c>
      <c r="V289" s="7">
        <f t="shared" si="377"/>
        <v>-0.04216666667</v>
      </c>
      <c r="W289" s="7">
        <f t="shared" si="377"/>
        <v>0.1578333333</v>
      </c>
      <c r="X289" s="7">
        <f t="shared" si="377"/>
        <v>-0.02716666667</v>
      </c>
      <c r="Y289" s="7">
        <f t="shared" si="377"/>
        <v>0.07283333333</v>
      </c>
      <c r="Z289" s="7">
        <f t="shared" si="377"/>
        <v>-0.05083333333</v>
      </c>
      <c r="AA289" s="7">
        <f t="shared" si="377"/>
        <v>0.1491666667</v>
      </c>
    </row>
    <row r="290">
      <c r="B290" s="6" t="s">
        <v>5</v>
      </c>
      <c r="C290" s="7">
        <f t="shared" ref="C290:M290" si="378">AVERAGE(C260, C270, C280)</f>
        <v>0.2995</v>
      </c>
      <c r="D290" s="7">
        <f t="shared" si="378"/>
        <v>0.3018333333</v>
      </c>
      <c r="E290" s="7">
        <f t="shared" si="378"/>
        <v>0.3096666667</v>
      </c>
      <c r="F290" s="7">
        <f t="shared" si="378"/>
        <v>0.2785</v>
      </c>
      <c r="G290" s="7">
        <f t="shared" si="378"/>
        <v>0.3785</v>
      </c>
      <c r="H290" s="7">
        <f t="shared" si="378"/>
        <v>0.2575</v>
      </c>
      <c r="I290" s="7">
        <f t="shared" si="378"/>
        <v>0.4575</v>
      </c>
      <c r="J290" s="7">
        <f t="shared" si="378"/>
        <v>0.273</v>
      </c>
      <c r="K290" s="7">
        <f t="shared" si="378"/>
        <v>0.373</v>
      </c>
      <c r="L290" s="7">
        <f t="shared" si="378"/>
        <v>0.249</v>
      </c>
      <c r="M290" s="7">
        <f t="shared" si="378"/>
        <v>0.449</v>
      </c>
      <c r="P290" s="6" t="s">
        <v>5</v>
      </c>
      <c r="Q290" s="7">
        <f t="shared" ref="Q290:AA290" si="379">C290-$C$289</f>
        <v>0.0003333333333</v>
      </c>
      <c r="R290" s="7">
        <f t="shared" si="379"/>
        <v>0.002666666667</v>
      </c>
      <c r="S290" s="7">
        <f t="shared" si="379"/>
        <v>0.0105</v>
      </c>
      <c r="T290" s="7">
        <f t="shared" si="379"/>
        <v>-0.02066666667</v>
      </c>
      <c r="U290" s="7">
        <f t="shared" si="379"/>
        <v>0.07933333333</v>
      </c>
      <c r="V290" s="7">
        <f t="shared" si="379"/>
        <v>-0.04166666667</v>
      </c>
      <c r="W290" s="7">
        <f t="shared" si="379"/>
        <v>0.1583333333</v>
      </c>
      <c r="X290" s="7">
        <f t="shared" si="379"/>
        <v>-0.02616666667</v>
      </c>
      <c r="Y290" s="7">
        <f t="shared" si="379"/>
        <v>0.07383333333</v>
      </c>
      <c r="Z290" s="7">
        <f t="shared" si="379"/>
        <v>-0.05016666667</v>
      </c>
      <c r="AA290" s="7">
        <f t="shared" si="379"/>
        <v>0.1498333333</v>
      </c>
    </row>
    <row r="291">
      <c r="B291" s="6" t="s">
        <v>6</v>
      </c>
      <c r="C291" s="7">
        <f t="shared" ref="C291:M291" si="380">AVERAGE(C261, C271, C281)</f>
        <v>0.2968333333</v>
      </c>
      <c r="D291" s="7">
        <f t="shared" si="380"/>
        <v>0.299</v>
      </c>
      <c r="E291" s="7">
        <f t="shared" si="380"/>
        <v>0.3068333333</v>
      </c>
      <c r="F291" s="7">
        <f t="shared" si="380"/>
        <v>0.2781666667</v>
      </c>
      <c r="G291" s="7">
        <f t="shared" si="380"/>
        <v>0.3783333333</v>
      </c>
      <c r="H291" s="7">
        <f t="shared" si="380"/>
        <v>0.2578333333</v>
      </c>
      <c r="I291" s="7">
        <f t="shared" si="380"/>
        <v>0.4578333333</v>
      </c>
      <c r="J291" s="7">
        <f t="shared" si="380"/>
        <v>0.2711666667</v>
      </c>
      <c r="K291" s="7">
        <f t="shared" si="380"/>
        <v>0.3711666667</v>
      </c>
      <c r="L291" s="7">
        <f t="shared" si="380"/>
        <v>0.2511666667</v>
      </c>
      <c r="M291" s="7">
        <f t="shared" si="380"/>
        <v>0.4511666667</v>
      </c>
      <c r="P291" s="6" t="s">
        <v>6</v>
      </c>
      <c r="Q291" s="7">
        <f t="shared" ref="Q291:AA291" si="381">C291-$C$289</f>
        <v>-0.002333333333</v>
      </c>
      <c r="R291" s="7">
        <f t="shared" si="381"/>
        <v>-0.0001666666667</v>
      </c>
      <c r="S291" s="7">
        <f t="shared" si="381"/>
        <v>0.007666666667</v>
      </c>
      <c r="T291" s="7">
        <f t="shared" si="381"/>
        <v>-0.021</v>
      </c>
      <c r="U291" s="7">
        <f t="shared" si="381"/>
        <v>0.07916666667</v>
      </c>
      <c r="V291" s="7">
        <f t="shared" si="381"/>
        <v>-0.04133333333</v>
      </c>
      <c r="W291" s="7">
        <f t="shared" si="381"/>
        <v>0.1586666667</v>
      </c>
      <c r="X291" s="7">
        <f t="shared" si="381"/>
        <v>-0.028</v>
      </c>
      <c r="Y291" s="7">
        <f t="shared" si="381"/>
        <v>0.072</v>
      </c>
      <c r="Z291" s="7">
        <f t="shared" si="381"/>
        <v>-0.048</v>
      </c>
      <c r="AA291" s="7">
        <f t="shared" si="381"/>
        <v>0.152</v>
      </c>
    </row>
    <row r="292">
      <c r="B292" s="6" t="s">
        <v>7</v>
      </c>
      <c r="C292" s="7">
        <f t="shared" ref="C292:M292" si="382">AVERAGE(C262, C272, C282)</f>
        <v>0.3083333333</v>
      </c>
      <c r="D292" s="7">
        <f t="shared" si="382"/>
        <v>0.3115</v>
      </c>
      <c r="E292" s="7">
        <f t="shared" si="382"/>
        <v>0.3191666667</v>
      </c>
      <c r="F292" s="7">
        <f t="shared" si="382"/>
        <v>0.282</v>
      </c>
      <c r="G292" s="7">
        <f t="shared" si="382"/>
        <v>0.382</v>
      </c>
      <c r="H292" s="7">
        <f t="shared" si="382"/>
        <v>0.2573333333</v>
      </c>
      <c r="I292" s="7">
        <f t="shared" si="382"/>
        <v>0.4573333333</v>
      </c>
      <c r="J292" s="7">
        <f t="shared" si="382"/>
        <v>0.2776666667</v>
      </c>
      <c r="K292" s="7">
        <f t="shared" si="382"/>
        <v>0.3776666667</v>
      </c>
      <c r="L292" s="7">
        <f t="shared" si="382"/>
        <v>0.2488333333</v>
      </c>
      <c r="M292" s="7">
        <f t="shared" si="382"/>
        <v>0.4488333333</v>
      </c>
      <c r="P292" s="6" t="s">
        <v>7</v>
      </c>
      <c r="Q292" s="7">
        <f t="shared" ref="Q292:AA292" si="383">C292-$C$289</f>
        <v>0.009166666667</v>
      </c>
      <c r="R292" s="7">
        <f t="shared" si="383"/>
        <v>0.01233333333</v>
      </c>
      <c r="S292" s="7">
        <f t="shared" si="383"/>
        <v>0.02</v>
      </c>
      <c r="T292" s="7">
        <f t="shared" si="383"/>
        <v>-0.01716666667</v>
      </c>
      <c r="U292" s="7">
        <f t="shared" si="383"/>
        <v>0.08283333333</v>
      </c>
      <c r="V292" s="7">
        <f t="shared" si="383"/>
        <v>-0.04183333333</v>
      </c>
      <c r="W292" s="7">
        <f t="shared" si="383"/>
        <v>0.1581666667</v>
      </c>
      <c r="X292" s="7">
        <f t="shared" si="383"/>
        <v>-0.0215</v>
      </c>
      <c r="Y292" s="7">
        <f t="shared" si="383"/>
        <v>0.0785</v>
      </c>
      <c r="Z292" s="7">
        <f t="shared" si="383"/>
        <v>-0.05033333333</v>
      </c>
      <c r="AA292" s="7">
        <f t="shared" si="383"/>
        <v>0.1496666667</v>
      </c>
    </row>
    <row r="293">
      <c r="B293" s="6" t="s">
        <v>8</v>
      </c>
      <c r="C293" s="7">
        <f t="shared" ref="C293:M293" si="384">AVERAGE(C263, C273, C283)</f>
        <v>0.3373333333</v>
      </c>
      <c r="D293" s="7">
        <f t="shared" si="384"/>
        <v>0.3428333333</v>
      </c>
      <c r="E293" s="7">
        <f t="shared" si="384"/>
        <v>0.3525</v>
      </c>
      <c r="F293" s="7">
        <f t="shared" si="384"/>
        <v>0.302</v>
      </c>
      <c r="G293" s="7">
        <f t="shared" si="384"/>
        <v>0.402</v>
      </c>
      <c r="H293" s="7">
        <f t="shared" si="384"/>
        <v>0.2666666667</v>
      </c>
      <c r="I293" s="7">
        <f t="shared" si="384"/>
        <v>0.4666666667</v>
      </c>
      <c r="J293" s="7">
        <f t="shared" si="384"/>
        <v>0.2971666667</v>
      </c>
      <c r="K293" s="7">
        <f t="shared" si="384"/>
        <v>0.397</v>
      </c>
      <c r="L293" s="7">
        <f t="shared" si="384"/>
        <v>0.2588333333</v>
      </c>
      <c r="M293" s="7">
        <f t="shared" si="384"/>
        <v>0.4588333333</v>
      </c>
      <c r="P293" s="6" t="s">
        <v>8</v>
      </c>
      <c r="Q293" s="7">
        <f t="shared" ref="Q293:AA293" si="385">C293-$C$289</f>
        <v>0.03816666667</v>
      </c>
      <c r="R293" s="7">
        <f t="shared" si="385"/>
        <v>0.04366666667</v>
      </c>
      <c r="S293" s="7">
        <f t="shared" si="385"/>
        <v>0.05333333333</v>
      </c>
      <c r="T293" s="7">
        <f t="shared" si="385"/>
        <v>0.002833333333</v>
      </c>
      <c r="U293" s="7">
        <f t="shared" si="385"/>
        <v>0.1028333333</v>
      </c>
      <c r="V293" s="7">
        <f t="shared" si="385"/>
        <v>-0.0325</v>
      </c>
      <c r="W293" s="7">
        <f t="shared" si="385"/>
        <v>0.1675</v>
      </c>
      <c r="X293" s="7">
        <f t="shared" si="385"/>
        <v>-0.002</v>
      </c>
      <c r="Y293" s="7">
        <f t="shared" si="385"/>
        <v>0.09783333333</v>
      </c>
      <c r="Z293" s="7">
        <f t="shared" si="385"/>
        <v>-0.04033333333</v>
      </c>
      <c r="AA293" s="7">
        <f t="shared" si="385"/>
        <v>0.1596666667</v>
      </c>
    </row>
    <row r="294">
      <c r="B294" s="6" t="s">
        <v>9</v>
      </c>
      <c r="C294" s="7">
        <f t="shared" ref="C294:M294" si="386">AVERAGE(C264, C274, C284)</f>
        <v>0.3093333333</v>
      </c>
      <c r="D294" s="7">
        <f t="shared" si="386"/>
        <v>0.3128333333</v>
      </c>
      <c r="E294" s="7">
        <f t="shared" si="386"/>
        <v>0.3201666667</v>
      </c>
      <c r="F294" s="7">
        <f t="shared" si="386"/>
        <v>0.2826666667</v>
      </c>
      <c r="G294" s="7">
        <f t="shared" si="386"/>
        <v>0.3828333333</v>
      </c>
      <c r="H294" s="7">
        <f t="shared" si="386"/>
        <v>0.2575</v>
      </c>
      <c r="I294" s="7">
        <f t="shared" si="386"/>
        <v>0.4575</v>
      </c>
      <c r="J294" s="7">
        <f t="shared" si="386"/>
        <v>0.2775</v>
      </c>
      <c r="K294" s="7">
        <f t="shared" si="386"/>
        <v>0.3775</v>
      </c>
      <c r="L294" s="7">
        <f t="shared" si="386"/>
        <v>0.2483333333</v>
      </c>
      <c r="M294" s="7">
        <f t="shared" si="386"/>
        <v>0.4485</v>
      </c>
      <c r="P294" s="6" t="s">
        <v>9</v>
      </c>
      <c r="Q294" s="7">
        <f t="shared" ref="Q294:AA294" si="387">C294-$C$289</f>
        <v>0.01016666667</v>
      </c>
      <c r="R294" s="7">
        <f t="shared" si="387"/>
        <v>0.01366666667</v>
      </c>
      <c r="S294" s="7">
        <f t="shared" si="387"/>
        <v>0.021</v>
      </c>
      <c r="T294" s="7">
        <f t="shared" si="387"/>
        <v>-0.0165</v>
      </c>
      <c r="U294" s="7">
        <f t="shared" si="387"/>
        <v>0.08366666667</v>
      </c>
      <c r="V294" s="7">
        <f t="shared" si="387"/>
        <v>-0.04166666667</v>
      </c>
      <c r="W294" s="7">
        <f t="shared" si="387"/>
        <v>0.1583333333</v>
      </c>
      <c r="X294" s="7">
        <f t="shared" si="387"/>
        <v>-0.02166666667</v>
      </c>
      <c r="Y294" s="7">
        <f t="shared" si="387"/>
        <v>0.07833333333</v>
      </c>
      <c r="Z294" s="7">
        <f t="shared" si="387"/>
        <v>-0.05083333333</v>
      </c>
      <c r="AA294" s="7">
        <f t="shared" si="387"/>
        <v>0.1493333333</v>
      </c>
    </row>
    <row r="295">
      <c r="B295" s="6" t="s">
        <v>10</v>
      </c>
      <c r="C295" s="7">
        <f t="shared" ref="C295:M295" si="388">AVERAGE(C265, C275, C285)</f>
        <v>0.3295</v>
      </c>
      <c r="D295" s="7">
        <f t="shared" si="388"/>
        <v>0.334</v>
      </c>
      <c r="E295" s="7">
        <f t="shared" si="388"/>
        <v>0.3443333333</v>
      </c>
      <c r="F295" s="7">
        <f t="shared" si="388"/>
        <v>0.2935</v>
      </c>
      <c r="G295" s="7">
        <f t="shared" si="388"/>
        <v>0.3935</v>
      </c>
      <c r="H295" s="7">
        <f t="shared" si="388"/>
        <v>0.2575</v>
      </c>
      <c r="I295" s="7">
        <f t="shared" si="388"/>
        <v>0.4575</v>
      </c>
      <c r="J295" s="7">
        <f t="shared" si="388"/>
        <v>0.2873333333</v>
      </c>
      <c r="K295" s="7">
        <f t="shared" si="388"/>
        <v>0.3873333333</v>
      </c>
      <c r="L295" s="7">
        <f t="shared" si="388"/>
        <v>0.2488333333</v>
      </c>
      <c r="M295" s="7">
        <f t="shared" si="388"/>
        <v>0.4486666667</v>
      </c>
      <c r="P295" s="6" t="s">
        <v>10</v>
      </c>
      <c r="Q295" s="7">
        <f t="shared" ref="Q295:AA295" si="389">C295-$C$289</f>
        <v>0.03033333333</v>
      </c>
      <c r="R295" s="7">
        <f t="shared" si="389"/>
        <v>0.03483333333</v>
      </c>
      <c r="S295" s="7">
        <f t="shared" si="389"/>
        <v>0.04516666667</v>
      </c>
      <c r="T295" s="7">
        <f t="shared" si="389"/>
        <v>-0.005666666667</v>
      </c>
      <c r="U295" s="7">
        <f t="shared" si="389"/>
        <v>0.09433333333</v>
      </c>
      <c r="V295" s="7">
        <f t="shared" si="389"/>
        <v>-0.04166666667</v>
      </c>
      <c r="W295" s="7">
        <f t="shared" si="389"/>
        <v>0.1583333333</v>
      </c>
      <c r="X295" s="7">
        <f t="shared" si="389"/>
        <v>-0.01183333333</v>
      </c>
      <c r="Y295" s="7">
        <f t="shared" si="389"/>
        <v>0.08816666667</v>
      </c>
      <c r="Z295" s="7">
        <f t="shared" si="389"/>
        <v>-0.05033333333</v>
      </c>
      <c r="AA295" s="7">
        <f t="shared" si="389"/>
        <v>0.1495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0.95</v>
      </c>
      <c r="D299" s="20">
        <v>0.96</v>
      </c>
      <c r="E299" s="20"/>
      <c r="G299" s="19" t="s">
        <v>4</v>
      </c>
      <c r="H299" s="20">
        <v>0.97</v>
      </c>
      <c r="I299" s="20">
        <v>0.95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0.9</v>
      </c>
      <c r="D300" s="20">
        <v>0.93</v>
      </c>
      <c r="E300" s="20"/>
      <c r="G300" s="19" t="s">
        <v>5</v>
      </c>
      <c r="H300" s="20">
        <v>0.93</v>
      </c>
      <c r="I300" s="20">
        <v>0.9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0.85</v>
      </c>
      <c r="D301" s="20">
        <v>0.88</v>
      </c>
      <c r="E301" s="20"/>
      <c r="G301" s="19" t="s">
        <v>6</v>
      </c>
      <c r="H301" s="20">
        <v>0.89</v>
      </c>
      <c r="I301" s="20">
        <v>0.84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0.86</v>
      </c>
      <c r="D302" s="20">
        <v>0.96</v>
      </c>
      <c r="E302" s="20"/>
      <c r="G302" s="19" t="s">
        <v>7</v>
      </c>
      <c r="H302" s="20">
        <v>0.96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0.75</v>
      </c>
      <c r="D303" s="20">
        <v>0.96</v>
      </c>
      <c r="E303" s="20"/>
      <c r="G303" s="19" t="s">
        <v>8</v>
      </c>
      <c r="H303" s="20">
        <v>0.95</v>
      </c>
      <c r="I303" s="20">
        <v>0.8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0.9</v>
      </c>
      <c r="D304" s="20">
        <v>0.97</v>
      </c>
      <c r="E304" s="20"/>
      <c r="G304" s="19" t="s">
        <v>9</v>
      </c>
      <c r="H304" s="20">
        <v>0.96</v>
      </c>
      <c r="I304" s="20">
        <v>0.91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0.82</v>
      </c>
      <c r="D305" s="20">
        <v>0.97</v>
      </c>
      <c r="E305" s="20"/>
      <c r="G305" s="19" t="s">
        <v>10</v>
      </c>
      <c r="H305" s="20">
        <v>0.95</v>
      </c>
      <c r="I305" s="20">
        <v>0.92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0.94</v>
      </c>
      <c r="D309" s="20">
        <v>0.82</v>
      </c>
      <c r="E309" s="22">
        <v>0.68</v>
      </c>
      <c r="F309" s="22">
        <v>0.54</v>
      </c>
      <c r="G309" s="22">
        <v>0.66</v>
      </c>
      <c r="H309" s="16"/>
      <c r="J309" s="19" t="s">
        <v>4</v>
      </c>
      <c r="K309" s="20">
        <v>0.96</v>
      </c>
      <c r="L309" s="20">
        <v>0.88</v>
      </c>
      <c r="M309" s="22">
        <v>0.67</v>
      </c>
      <c r="N309" s="22">
        <v>0.47</v>
      </c>
      <c r="O309" s="22">
        <v>0.69</v>
      </c>
      <c r="P309" s="16"/>
      <c r="Q309" s="16"/>
    </row>
    <row r="310">
      <c r="B310" s="19" t="s">
        <v>5</v>
      </c>
      <c r="C310" s="20">
        <v>0.9</v>
      </c>
      <c r="D310" s="20">
        <v>0.77</v>
      </c>
      <c r="E310" s="22">
        <v>0.66</v>
      </c>
      <c r="F310" s="22">
        <v>0.53</v>
      </c>
      <c r="G310" s="22">
        <v>0.63</v>
      </c>
      <c r="H310" s="16"/>
      <c r="J310" s="19" t="s">
        <v>5</v>
      </c>
      <c r="K310" s="20">
        <v>0.91</v>
      </c>
      <c r="L310" s="20">
        <v>0.84</v>
      </c>
      <c r="M310" s="22">
        <v>0.65</v>
      </c>
      <c r="N310" s="22">
        <v>0.46</v>
      </c>
      <c r="O310" s="22">
        <v>0.67</v>
      </c>
      <c r="P310" s="16"/>
      <c r="Q310" s="16"/>
    </row>
    <row r="311">
      <c r="B311" s="19" t="s">
        <v>6</v>
      </c>
      <c r="C311" s="20">
        <v>0.85</v>
      </c>
      <c r="D311" s="20">
        <v>0.75</v>
      </c>
      <c r="E311" s="22">
        <v>0.63</v>
      </c>
      <c r="F311" s="22">
        <v>0.49</v>
      </c>
      <c r="G311" s="22">
        <v>0.6</v>
      </c>
      <c r="H311" s="16"/>
      <c r="J311" s="19" t="s">
        <v>6</v>
      </c>
      <c r="K311" s="20">
        <v>0.85</v>
      </c>
      <c r="L311" s="20">
        <v>0.8</v>
      </c>
      <c r="M311" s="22">
        <v>0.62</v>
      </c>
      <c r="N311" s="22">
        <v>0.44</v>
      </c>
      <c r="O311" s="22">
        <v>0.63</v>
      </c>
      <c r="P311" s="16"/>
      <c r="Q311" s="16"/>
    </row>
    <row r="312">
      <c r="B312" s="19" t="s">
        <v>7</v>
      </c>
      <c r="C312" s="20">
        <v>0.9</v>
      </c>
      <c r="D312" s="20">
        <v>0.84</v>
      </c>
      <c r="E312" s="22">
        <v>0.66</v>
      </c>
      <c r="F312" s="22">
        <v>0.41</v>
      </c>
      <c r="G312" s="22">
        <v>0.66</v>
      </c>
      <c r="H312" s="16"/>
      <c r="J312" s="19" t="s">
        <v>7</v>
      </c>
      <c r="K312" s="20">
        <v>0.98</v>
      </c>
      <c r="L312" s="20">
        <v>0.65</v>
      </c>
      <c r="M312" s="22">
        <v>0.68</v>
      </c>
      <c r="N312" s="22">
        <v>0.48</v>
      </c>
      <c r="O312" s="22">
        <v>0.69</v>
      </c>
      <c r="P312" s="16"/>
      <c r="Q312" s="16"/>
    </row>
    <row r="313">
      <c r="B313" s="19" t="s">
        <v>8</v>
      </c>
      <c r="C313" s="20">
        <v>0.64</v>
      </c>
      <c r="D313" s="20">
        <v>0.84</v>
      </c>
      <c r="E313" s="22">
        <v>0.64</v>
      </c>
      <c r="F313" s="22">
        <v>0.28</v>
      </c>
      <c r="G313" s="22">
        <v>0.66</v>
      </c>
      <c r="H313" s="16"/>
      <c r="J313" s="19" t="s">
        <v>8</v>
      </c>
      <c r="K313" s="20">
        <v>1.0</v>
      </c>
      <c r="L313" s="20">
        <v>0.24</v>
      </c>
      <c r="M313" s="22">
        <v>0.7</v>
      </c>
      <c r="N313" s="22">
        <v>0.48</v>
      </c>
      <c r="O313" s="22">
        <v>0.69</v>
      </c>
      <c r="P313" s="16"/>
      <c r="Q313" s="16"/>
    </row>
    <row r="314">
      <c r="B314" s="19" t="s">
        <v>9</v>
      </c>
      <c r="C314" s="20">
        <v>0.91</v>
      </c>
      <c r="D314" s="20">
        <v>0.85</v>
      </c>
      <c r="E314" s="22">
        <v>0.65</v>
      </c>
      <c r="F314" s="22">
        <v>0.42</v>
      </c>
      <c r="G314" s="22">
        <v>0.66</v>
      </c>
      <c r="H314" s="16"/>
      <c r="J314" s="19" t="s">
        <v>9</v>
      </c>
      <c r="K314" s="20">
        <v>0.98</v>
      </c>
      <c r="L314" s="20">
        <v>0.63</v>
      </c>
      <c r="M314" s="22">
        <v>0.69</v>
      </c>
      <c r="N314" s="22">
        <v>0.49</v>
      </c>
      <c r="O314" s="22">
        <v>0.69</v>
      </c>
      <c r="P314" s="16"/>
      <c r="Q314" s="16"/>
    </row>
    <row r="315">
      <c r="B315" s="19" t="s">
        <v>10</v>
      </c>
      <c r="C315" s="20">
        <v>0.84</v>
      </c>
      <c r="D315" s="20">
        <v>0.88</v>
      </c>
      <c r="E315" s="22">
        <v>0.64</v>
      </c>
      <c r="F315" s="22">
        <v>0.32</v>
      </c>
      <c r="G315" s="22">
        <v>0.66</v>
      </c>
      <c r="H315" s="16"/>
      <c r="J315" s="19" t="s">
        <v>10</v>
      </c>
      <c r="K315" s="20">
        <v>0.99</v>
      </c>
      <c r="L315" s="20">
        <v>0.47</v>
      </c>
      <c r="M315" s="22">
        <v>0.7</v>
      </c>
      <c r="N315" s="22">
        <v>0.54</v>
      </c>
      <c r="O315" s="22">
        <v>0.69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0.66</v>
      </c>
      <c r="D319" s="20">
        <v>0.53</v>
      </c>
      <c r="E319" s="20"/>
      <c r="G319" s="19" t="s">
        <v>4</v>
      </c>
      <c r="H319" s="20">
        <v>0.53</v>
      </c>
      <c r="I319" s="20">
        <v>0.55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0.63</v>
      </c>
      <c r="D320" s="20">
        <v>0.41</v>
      </c>
      <c r="E320" s="20"/>
      <c r="G320" s="19" t="s">
        <v>5</v>
      </c>
      <c r="H320" s="20">
        <v>0.54</v>
      </c>
      <c r="I320" s="20">
        <v>0.51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0.43</v>
      </c>
      <c r="E321" s="20"/>
      <c r="G321" s="19" t="s">
        <v>6</v>
      </c>
      <c r="H321" s="20">
        <v>0.57</v>
      </c>
      <c r="I321" s="20">
        <v>0.48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0.64</v>
      </c>
      <c r="D322" s="20">
        <v>0.48</v>
      </c>
      <c r="E322" s="20"/>
      <c r="G322" s="19" t="s">
        <v>7</v>
      </c>
      <c r="H322" s="20">
        <v>0.45</v>
      </c>
      <c r="I322" s="20">
        <v>0.66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0.63</v>
      </c>
      <c r="D323" s="20">
        <v>0.54</v>
      </c>
      <c r="E323" s="20"/>
      <c r="G323" s="19" t="s">
        <v>8</v>
      </c>
      <c r="H323" s="20">
        <v>0.41</v>
      </c>
      <c r="I323" s="20">
        <v>0.74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0.64</v>
      </c>
      <c r="D324" s="20">
        <v>0.46</v>
      </c>
      <c r="E324" s="20"/>
      <c r="G324" s="19" t="s">
        <v>9</v>
      </c>
      <c r="H324" s="20">
        <v>0.46</v>
      </c>
      <c r="I324" s="20">
        <v>0.66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0.62</v>
      </c>
      <c r="D325" s="20">
        <v>0.53</v>
      </c>
      <c r="E325" s="20"/>
      <c r="G325" s="19" t="s">
        <v>10</v>
      </c>
      <c r="H325" s="20">
        <v>0.41</v>
      </c>
      <c r="I325" s="20">
        <v>0.73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0.0</v>
      </c>
      <c r="D329" s="20">
        <v>0.55</v>
      </c>
      <c r="E329" s="20"/>
      <c r="G329" s="19" t="s">
        <v>4</v>
      </c>
      <c r="H329" s="20">
        <v>0.0</v>
      </c>
      <c r="I329" s="20">
        <v>1.0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0.0</v>
      </c>
      <c r="D330" s="20">
        <v>0.55</v>
      </c>
      <c r="E330" s="20"/>
      <c r="G330" s="19" t="s">
        <v>5</v>
      </c>
      <c r="H330" s="20">
        <v>0.0</v>
      </c>
      <c r="I330" s="20">
        <v>1.0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0.0</v>
      </c>
      <c r="D331" s="20">
        <v>0.53</v>
      </c>
      <c r="E331" s="20"/>
      <c r="G331" s="19" t="s">
        <v>6</v>
      </c>
      <c r="H331" s="20">
        <v>0.0</v>
      </c>
      <c r="I331" s="20">
        <v>1.0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0.0</v>
      </c>
      <c r="D332" s="20">
        <v>0.5</v>
      </c>
      <c r="E332" s="20"/>
      <c r="G332" s="19" t="s">
        <v>7</v>
      </c>
      <c r="H332" s="20">
        <v>0.0</v>
      </c>
      <c r="I332" s="20">
        <v>1.0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0.0</v>
      </c>
      <c r="D333" s="20">
        <v>0.44</v>
      </c>
      <c r="E333" s="20"/>
      <c r="G333" s="19" t="s">
        <v>8</v>
      </c>
      <c r="H333" s="20">
        <v>0.0</v>
      </c>
      <c r="I333" s="20">
        <v>1.0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0.0</v>
      </c>
      <c r="D334" s="20">
        <v>0.5</v>
      </c>
      <c r="E334" s="20"/>
      <c r="G334" s="19" t="s">
        <v>9</v>
      </c>
      <c r="H334" s="20">
        <v>0.0</v>
      </c>
      <c r="I334" s="20">
        <v>1.0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0.0</v>
      </c>
      <c r="D335" s="20">
        <v>0.45</v>
      </c>
      <c r="E335" s="20"/>
      <c r="G335" s="19" t="s">
        <v>10</v>
      </c>
      <c r="H335" s="20">
        <v>0.0</v>
      </c>
      <c r="I335" s="20">
        <v>1.0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0.72</v>
      </c>
      <c r="D339" s="20">
        <v>0.97</v>
      </c>
      <c r="E339" s="22">
        <v>0.91</v>
      </c>
      <c r="F339" s="22">
        <v>0.85</v>
      </c>
      <c r="G339" s="22">
        <v>0.78</v>
      </c>
      <c r="H339" s="22">
        <v>0.64</v>
      </c>
      <c r="I339" s="16"/>
      <c r="K339" s="19" t="s">
        <v>4</v>
      </c>
      <c r="L339" s="20">
        <v>0.83</v>
      </c>
      <c r="M339" s="20">
        <v>1.0</v>
      </c>
      <c r="N339" s="22">
        <v>0.81</v>
      </c>
      <c r="O339" s="22">
        <v>0.92</v>
      </c>
      <c r="P339" s="22">
        <v>0.44</v>
      </c>
      <c r="Q339" s="22">
        <v>0.84</v>
      </c>
    </row>
    <row r="340">
      <c r="B340" s="19" t="s">
        <v>5</v>
      </c>
      <c r="C340" s="20">
        <v>0.7</v>
      </c>
      <c r="D340" s="20">
        <v>0.95</v>
      </c>
      <c r="E340" s="22">
        <v>0.82</v>
      </c>
      <c r="F340" s="22">
        <v>0.83</v>
      </c>
      <c r="G340" s="22">
        <v>0.75</v>
      </c>
      <c r="H340" s="22">
        <v>0.64</v>
      </c>
      <c r="I340" s="16"/>
      <c r="K340" s="19" t="s">
        <v>5</v>
      </c>
      <c r="L340" s="20">
        <v>0.8</v>
      </c>
      <c r="M340" s="20">
        <v>0.97</v>
      </c>
      <c r="N340" s="22">
        <v>0.75</v>
      </c>
      <c r="O340" s="22">
        <v>0.87</v>
      </c>
      <c r="P340" s="22">
        <v>0.39</v>
      </c>
      <c r="Q340" s="22">
        <v>0.88</v>
      </c>
    </row>
    <row r="341">
      <c r="B341" s="19" t="s">
        <v>6</v>
      </c>
      <c r="C341" s="20">
        <v>0.71</v>
      </c>
      <c r="D341" s="20">
        <v>0.88</v>
      </c>
      <c r="E341" s="22">
        <v>0.83</v>
      </c>
      <c r="F341" s="22">
        <v>0.78</v>
      </c>
      <c r="G341" s="22">
        <v>0.75</v>
      </c>
      <c r="H341" s="22">
        <v>0.67</v>
      </c>
      <c r="I341" s="16"/>
      <c r="K341" s="19" t="s">
        <v>6</v>
      </c>
      <c r="L341" s="20">
        <v>0.74</v>
      </c>
      <c r="M341" s="20">
        <v>0.91</v>
      </c>
      <c r="N341" s="22">
        <v>0.79</v>
      </c>
      <c r="O341" s="22">
        <v>0.84</v>
      </c>
      <c r="P341" s="22">
        <v>0.53</v>
      </c>
      <c r="Q341" s="22">
        <v>0.8</v>
      </c>
    </row>
    <row r="342">
      <c r="B342" s="19" t="s">
        <v>7</v>
      </c>
      <c r="C342" s="20">
        <v>0.59</v>
      </c>
      <c r="D342" s="20">
        <v>0.97</v>
      </c>
      <c r="E342" s="22">
        <v>0.91</v>
      </c>
      <c r="F342" s="22">
        <v>0.85</v>
      </c>
      <c r="G342" s="22">
        <v>0.58</v>
      </c>
      <c r="H342" s="22">
        <v>0.64</v>
      </c>
      <c r="I342" s="16"/>
      <c r="K342" s="19" t="s">
        <v>7</v>
      </c>
      <c r="L342" s="20">
        <v>0.91</v>
      </c>
      <c r="M342" s="20">
        <v>1.0</v>
      </c>
      <c r="N342" s="22">
        <v>0.58</v>
      </c>
      <c r="O342" s="22">
        <v>0.92</v>
      </c>
      <c r="P342" s="22">
        <v>0.11</v>
      </c>
      <c r="Q342" s="22">
        <v>0.9</v>
      </c>
    </row>
    <row r="343">
      <c r="B343" s="19" t="s">
        <v>8</v>
      </c>
      <c r="C343" s="20">
        <v>0.53</v>
      </c>
      <c r="D343" s="20">
        <v>0.97</v>
      </c>
      <c r="E343" s="22">
        <v>0.91</v>
      </c>
      <c r="F343" s="22">
        <v>0.85</v>
      </c>
      <c r="G343" s="22">
        <v>0.0</v>
      </c>
      <c r="H343" s="22">
        <v>0.68</v>
      </c>
      <c r="I343" s="16"/>
      <c r="K343" s="19" t="s">
        <v>8</v>
      </c>
      <c r="L343" s="20">
        <v>0.93</v>
      </c>
      <c r="M343" s="20">
        <v>1.0</v>
      </c>
      <c r="N343" s="22">
        <v>0.49</v>
      </c>
      <c r="O343" s="22">
        <v>0.92</v>
      </c>
      <c r="P343" s="22">
        <v>0.0</v>
      </c>
      <c r="Q343" s="22">
        <v>0.91</v>
      </c>
    </row>
    <row r="344">
      <c r="B344" s="19" t="s">
        <v>9</v>
      </c>
      <c r="C344" s="20">
        <v>0.59</v>
      </c>
      <c r="D344" s="20">
        <v>0.97</v>
      </c>
      <c r="E344" s="22">
        <v>0.91</v>
      </c>
      <c r="F344" s="22">
        <v>0.85</v>
      </c>
      <c r="G344" s="22">
        <v>0.62</v>
      </c>
      <c r="H344" s="22">
        <v>0.65</v>
      </c>
      <c r="I344" s="16"/>
      <c r="K344" s="19" t="s">
        <v>9</v>
      </c>
      <c r="L344" s="20">
        <v>0.9</v>
      </c>
      <c r="M344" s="20">
        <v>1.0</v>
      </c>
      <c r="N344" s="22">
        <v>0.61</v>
      </c>
      <c r="O344" s="22">
        <v>0.92</v>
      </c>
      <c r="P344" s="22">
        <v>0.13</v>
      </c>
      <c r="Q344" s="22">
        <v>0.92</v>
      </c>
    </row>
    <row r="345">
      <c r="B345" s="19" t="s">
        <v>10</v>
      </c>
      <c r="C345" s="20">
        <v>0.53</v>
      </c>
      <c r="D345" s="20">
        <v>0.97</v>
      </c>
      <c r="E345" s="22">
        <v>0.91</v>
      </c>
      <c r="F345" s="22">
        <v>0.85</v>
      </c>
      <c r="G345" s="22">
        <v>0.0</v>
      </c>
      <c r="H345" s="22">
        <v>0.67</v>
      </c>
      <c r="I345" s="16"/>
      <c r="K345" s="19" t="s">
        <v>10</v>
      </c>
      <c r="L345" s="20">
        <v>0.92</v>
      </c>
      <c r="M345" s="20">
        <v>1.0</v>
      </c>
      <c r="N345" s="22">
        <v>0.49</v>
      </c>
      <c r="O345" s="22">
        <v>0.92</v>
      </c>
      <c r="P345" s="22">
        <v>0.0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0.61</v>
      </c>
      <c r="D349" s="20">
        <v>0.92</v>
      </c>
      <c r="E349" s="22">
        <v>0.87</v>
      </c>
      <c r="F349" s="22">
        <v>0.38</v>
      </c>
      <c r="G349" s="22">
        <v>0.5</v>
      </c>
      <c r="H349" s="22">
        <v>0.8</v>
      </c>
      <c r="I349" s="16"/>
      <c r="K349" s="19" t="s">
        <v>4</v>
      </c>
      <c r="L349" s="20">
        <v>0.97</v>
      </c>
      <c r="M349" s="20">
        <v>0.78</v>
      </c>
      <c r="N349" s="22">
        <v>0.43</v>
      </c>
      <c r="O349" s="22">
        <v>0.26</v>
      </c>
      <c r="P349" s="22">
        <v>0.84</v>
      </c>
      <c r="Q349" s="22">
        <v>0.5</v>
      </c>
    </row>
    <row r="350">
      <c r="B350" s="19" t="s">
        <v>5</v>
      </c>
      <c r="C350" s="20">
        <v>0.59</v>
      </c>
      <c r="D350" s="20">
        <v>0.88</v>
      </c>
      <c r="E350" s="22">
        <v>0.85</v>
      </c>
      <c r="F350" s="22">
        <v>0.35</v>
      </c>
      <c r="G350" s="22">
        <v>0.46</v>
      </c>
      <c r="H350" s="22">
        <v>0.77</v>
      </c>
      <c r="I350" s="16"/>
      <c r="K350" s="19" t="s">
        <v>5</v>
      </c>
      <c r="L350" s="20">
        <v>0.94</v>
      </c>
      <c r="M350" s="20">
        <v>0.74</v>
      </c>
      <c r="N350" s="22">
        <v>0.41</v>
      </c>
      <c r="O350" s="22">
        <v>0.23</v>
      </c>
      <c r="P350" s="22">
        <v>0.8</v>
      </c>
      <c r="Q350" s="22">
        <v>0.46</v>
      </c>
    </row>
    <row r="351">
      <c r="B351" s="19" t="s">
        <v>6</v>
      </c>
      <c r="C351" s="20">
        <v>0.53</v>
      </c>
      <c r="D351" s="20">
        <v>0.86</v>
      </c>
      <c r="E351" s="22">
        <v>0.86</v>
      </c>
      <c r="F351" s="22">
        <v>0.35</v>
      </c>
      <c r="G351" s="22">
        <v>0.46</v>
      </c>
      <c r="H351" s="22">
        <v>0.76</v>
      </c>
      <c r="I351" s="16"/>
      <c r="K351" s="19" t="s">
        <v>6</v>
      </c>
      <c r="L351" s="20">
        <v>0.9</v>
      </c>
      <c r="M351" s="20">
        <v>0.72</v>
      </c>
      <c r="N351" s="22">
        <v>0.28</v>
      </c>
      <c r="O351" s="22">
        <v>0.26</v>
      </c>
      <c r="P351" s="22">
        <v>0.76</v>
      </c>
      <c r="Q351" s="22">
        <v>0.46</v>
      </c>
    </row>
    <row r="352">
      <c r="B352" s="19" t="s">
        <v>7</v>
      </c>
      <c r="C352" s="20">
        <v>0.62</v>
      </c>
      <c r="D352" s="20">
        <v>0.93</v>
      </c>
      <c r="E352" s="22">
        <v>0.77</v>
      </c>
      <c r="F352" s="22">
        <v>0.37</v>
      </c>
      <c r="G352" s="22">
        <v>0.5</v>
      </c>
      <c r="H352" s="22">
        <v>0.58</v>
      </c>
      <c r="I352" s="16"/>
      <c r="K352" s="19" t="s">
        <v>7</v>
      </c>
      <c r="L352" s="20">
        <v>0.96</v>
      </c>
      <c r="M352" s="20">
        <v>0.72</v>
      </c>
      <c r="N352" s="22">
        <v>0.34</v>
      </c>
      <c r="O352" s="22">
        <v>0.26</v>
      </c>
      <c r="P352" s="22">
        <v>0.85</v>
      </c>
      <c r="Q352" s="22">
        <v>0.46</v>
      </c>
    </row>
    <row r="353">
      <c r="B353" s="19" t="s">
        <v>8</v>
      </c>
      <c r="C353" s="20">
        <v>0.61</v>
      </c>
      <c r="D353" s="20">
        <v>0.94</v>
      </c>
      <c r="E353" s="22">
        <v>0.6</v>
      </c>
      <c r="F353" s="22">
        <v>0.37</v>
      </c>
      <c r="G353" s="22">
        <v>0.49</v>
      </c>
      <c r="H353" s="22">
        <v>0.0</v>
      </c>
      <c r="I353" s="16"/>
      <c r="K353" s="19" t="s">
        <v>8</v>
      </c>
      <c r="L353" s="20">
        <v>0.94</v>
      </c>
      <c r="M353" s="20">
        <v>0.7</v>
      </c>
      <c r="N353" s="22">
        <v>0.46</v>
      </c>
      <c r="O353" s="22">
        <v>0.26</v>
      </c>
      <c r="P353" s="22">
        <v>0.86</v>
      </c>
      <c r="Q353" s="22">
        <v>0.0</v>
      </c>
    </row>
    <row r="354">
      <c r="B354" s="19" t="s">
        <v>9</v>
      </c>
      <c r="C354" s="20">
        <v>0.61</v>
      </c>
      <c r="D354" s="20">
        <v>0.93</v>
      </c>
      <c r="E354" s="22">
        <v>0.78</v>
      </c>
      <c r="F354" s="22">
        <v>0.37</v>
      </c>
      <c r="G354" s="22">
        <v>0.5</v>
      </c>
      <c r="H354" s="22">
        <v>0.58</v>
      </c>
      <c r="I354" s="16"/>
      <c r="K354" s="19" t="s">
        <v>9</v>
      </c>
      <c r="L354" s="20">
        <v>0.96</v>
      </c>
      <c r="M354" s="20">
        <v>0.73</v>
      </c>
      <c r="N354" s="22">
        <v>0.33</v>
      </c>
      <c r="O354" s="22">
        <v>0.26</v>
      </c>
      <c r="P354" s="22">
        <v>0.85</v>
      </c>
      <c r="Q354" s="22">
        <v>0.45</v>
      </c>
    </row>
    <row r="355">
      <c r="B355" s="19" t="s">
        <v>10</v>
      </c>
      <c r="C355" s="20">
        <v>0.61</v>
      </c>
      <c r="D355" s="20">
        <v>0.94</v>
      </c>
      <c r="E355" s="22">
        <v>0.6</v>
      </c>
      <c r="F355" s="22">
        <v>0.37</v>
      </c>
      <c r="G355" s="22">
        <v>0.49</v>
      </c>
      <c r="H355" s="22">
        <v>0.0</v>
      </c>
      <c r="I355" s="16"/>
      <c r="K355" s="19" t="s">
        <v>10</v>
      </c>
      <c r="L355" s="20">
        <v>0.96</v>
      </c>
      <c r="M355" s="20">
        <v>0.7</v>
      </c>
      <c r="N355" s="22">
        <v>0.45</v>
      </c>
      <c r="O355" s="22">
        <v>0.26</v>
      </c>
      <c r="P355" s="22">
        <v>0.86</v>
      </c>
      <c r="Q355" s="22">
        <v>0.0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0.052</v>
      </c>
      <c r="D3" s="7">
        <v>0.093</v>
      </c>
      <c r="E3" s="7">
        <v>0.141</v>
      </c>
      <c r="F3" s="7">
        <v>0.095</v>
      </c>
      <c r="G3" s="7">
        <v>0.144</v>
      </c>
      <c r="H3" s="7">
        <v>0.067</v>
      </c>
      <c r="I3" s="7">
        <v>0.108</v>
      </c>
      <c r="J3" s="3"/>
      <c r="L3" s="6" t="s">
        <v>4</v>
      </c>
      <c r="M3" s="7">
        <f t="shared" ref="M3:S3" si="1">C3-$C$3</f>
        <v>0</v>
      </c>
      <c r="N3" s="7">
        <f t="shared" si="1"/>
        <v>0.041</v>
      </c>
      <c r="O3" s="7">
        <f t="shared" si="1"/>
        <v>0.089</v>
      </c>
      <c r="P3" s="7">
        <f t="shared" si="1"/>
        <v>0.043</v>
      </c>
      <c r="Q3" s="7">
        <f t="shared" si="1"/>
        <v>0.092</v>
      </c>
      <c r="R3" s="7">
        <f t="shared" si="1"/>
        <v>0.015</v>
      </c>
      <c r="S3" s="7">
        <f t="shared" si="1"/>
        <v>0.056</v>
      </c>
    </row>
    <row r="4">
      <c r="B4" s="6" t="s">
        <v>5</v>
      </c>
      <c r="C4" s="7">
        <v>0.051</v>
      </c>
      <c r="D4" s="7">
        <v>0.09</v>
      </c>
      <c r="E4" s="7">
        <v>0.14</v>
      </c>
      <c r="F4" s="7">
        <v>0.097</v>
      </c>
      <c r="G4" s="7">
        <v>0.144</v>
      </c>
      <c r="H4" s="7">
        <v>0.069</v>
      </c>
      <c r="I4" s="7">
        <v>0.113</v>
      </c>
      <c r="J4" s="3"/>
      <c r="L4" s="6" t="s">
        <v>5</v>
      </c>
      <c r="M4" s="7">
        <f t="shared" ref="M4:S4" si="2">C4-$C$3</f>
        <v>-0.001</v>
      </c>
      <c r="N4" s="7">
        <f t="shared" si="2"/>
        <v>0.038</v>
      </c>
      <c r="O4" s="7">
        <f t="shared" si="2"/>
        <v>0.088</v>
      </c>
      <c r="P4" s="7">
        <f t="shared" si="2"/>
        <v>0.045</v>
      </c>
      <c r="Q4" s="7">
        <f t="shared" si="2"/>
        <v>0.092</v>
      </c>
      <c r="R4" s="7">
        <f t="shared" si="2"/>
        <v>0.017</v>
      </c>
      <c r="S4" s="7">
        <f t="shared" si="2"/>
        <v>0.061</v>
      </c>
    </row>
    <row r="5">
      <c r="B5" s="6" t="s">
        <v>6</v>
      </c>
      <c r="C5" s="7">
        <v>0.051</v>
      </c>
      <c r="D5" s="7">
        <v>0.09</v>
      </c>
      <c r="E5" s="7">
        <v>0.14</v>
      </c>
      <c r="F5" s="7">
        <v>0.097</v>
      </c>
      <c r="G5" s="7">
        <v>0.149</v>
      </c>
      <c r="H5" s="7">
        <v>0.074</v>
      </c>
      <c r="I5" s="7">
        <v>0.12</v>
      </c>
      <c r="J5" s="3"/>
      <c r="L5" s="6" t="s">
        <v>6</v>
      </c>
      <c r="M5" s="7">
        <f t="shared" ref="M5:S5" si="3">C5-$C$3</f>
        <v>-0.001</v>
      </c>
      <c r="N5" s="7">
        <f t="shared" si="3"/>
        <v>0.038</v>
      </c>
      <c r="O5" s="7">
        <f t="shared" si="3"/>
        <v>0.088</v>
      </c>
      <c r="P5" s="7">
        <f t="shared" si="3"/>
        <v>0.045</v>
      </c>
      <c r="Q5" s="7">
        <f t="shared" si="3"/>
        <v>0.097</v>
      </c>
      <c r="R5" s="7">
        <f t="shared" si="3"/>
        <v>0.022</v>
      </c>
      <c r="S5" s="7">
        <f t="shared" si="3"/>
        <v>0.068</v>
      </c>
    </row>
    <row r="6">
      <c r="B6" s="6" t="s">
        <v>7</v>
      </c>
      <c r="C6" s="7">
        <v>0.054</v>
      </c>
      <c r="D6" s="7">
        <v>0.094</v>
      </c>
      <c r="E6" s="7">
        <v>0.144</v>
      </c>
      <c r="F6" s="7">
        <v>0.096</v>
      </c>
      <c r="G6" s="7">
        <v>0.145</v>
      </c>
      <c r="H6" s="7">
        <v>0.068</v>
      </c>
      <c r="I6" s="7">
        <v>0.107</v>
      </c>
      <c r="J6" s="3"/>
      <c r="L6" s="6" t="s">
        <v>7</v>
      </c>
      <c r="M6" s="7">
        <f t="shared" ref="M6:S6" si="4">C6-$C$3</f>
        <v>0.002</v>
      </c>
      <c r="N6" s="7">
        <f t="shared" si="4"/>
        <v>0.042</v>
      </c>
      <c r="O6" s="7">
        <f t="shared" si="4"/>
        <v>0.092</v>
      </c>
      <c r="P6" s="7">
        <f t="shared" si="4"/>
        <v>0.044</v>
      </c>
      <c r="Q6" s="7">
        <f t="shared" si="4"/>
        <v>0.093</v>
      </c>
      <c r="R6" s="7">
        <f t="shared" si="4"/>
        <v>0.016</v>
      </c>
      <c r="S6" s="7">
        <f t="shared" si="4"/>
        <v>0.055</v>
      </c>
    </row>
    <row r="7">
      <c r="B7" s="6" t="s">
        <v>8</v>
      </c>
      <c r="C7" s="7">
        <v>0.059</v>
      </c>
      <c r="D7" s="7">
        <v>0.098</v>
      </c>
      <c r="E7" s="7">
        <v>0.149</v>
      </c>
      <c r="F7" s="7">
        <v>0.098</v>
      </c>
      <c r="G7" s="7">
        <v>0.147</v>
      </c>
      <c r="H7" s="7">
        <v>0.07</v>
      </c>
      <c r="I7" s="7">
        <v>0.105</v>
      </c>
      <c r="J7" s="3"/>
      <c r="L7" s="6" t="s">
        <v>8</v>
      </c>
      <c r="M7" s="7">
        <f t="shared" ref="M7:S7" si="5">C7-$C$3</f>
        <v>0.007</v>
      </c>
      <c r="N7" s="7">
        <f t="shared" si="5"/>
        <v>0.046</v>
      </c>
      <c r="O7" s="7">
        <f t="shared" si="5"/>
        <v>0.097</v>
      </c>
      <c r="P7" s="7">
        <f t="shared" si="5"/>
        <v>0.046</v>
      </c>
      <c r="Q7" s="7">
        <f t="shared" si="5"/>
        <v>0.095</v>
      </c>
      <c r="R7" s="7">
        <f t="shared" si="5"/>
        <v>0.018</v>
      </c>
      <c r="S7" s="7">
        <f t="shared" si="5"/>
        <v>0.053</v>
      </c>
    </row>
    <row r="8">
      <c r="B8" s="6" t="s">
        <v>9</v>
      </c>
      <c r="C8" s="7">
        <v>0.054</v>
      </c>
      <c r="D8" s="7">
        <v>0.093</v>
      </c>
      <c r="E8" s="7">
        <v>0.143</v>
      </c>
      <c r="F8" s="7">
        <v>0.095</v>
      </c>
      <c r="G8" s="7">
        <v>0.143</v>
      </c>
      <c r="H8" s="7">
        <v>0.067</v>
      </c>
      <c r="I8" s="7">
        <v>0.106</v>
      </c>
      <c r="J8" s="3"/>
      <c r="L8" s="6" t="s">
        <v>9</v>
      </c>
      <c r="M8" s="7">
        <f t="shared" ref="M8:S8" si="6">C8-$C$3</f>
        <v>0.002</v>
      </c>
      <c r="N8" s="7">
        <f t="shared" si="6"/>
        <v>0.041</v>
      </c>
      <c r="O8" s="7">
        <f t="shared" si="6"/>
        <v>0.091</v>
      </c>
      <c r="P8" s="7">
        <f t="shared" si="6"/>
        <v>0.043</v>
      </c>
      <c r="Q8" s="7">
        <f t="shared" si="6"/>
        <v>0.091</v>
      </c>
      <c r="R8" s="7">
        <f t="shared" si="6"/>
        <v>0.015</v>
      </c>
      <c r="S8" s="7">
        <f t="shared" si="6"/>
        <v>0.054</v>
      </c>
    </row>
    <row r="9">
      <c r="B9" s="6" t="s">
        <v>10</v>
      </c>
      <c r="C9" s="7">
        <v>0.062</v>
      </c>
      <c r="D9" s="7">
        <v>0.1</v>
      </c>
      <c r="E9" s="7">
        <v>0.154</v>
      </c>
      <c r="F9" s="7">
        <v>0.101</v>
      </c>
      <c r="G9" s="7">
        <v>0.148</v>
      </c>
      <c r="H9" s="7">
        <v>0.067</v>
      </c>
      <c r="I9" s="7">
        <v>0.101</v>
      </c>
      <c r="J9" s="3"/>
      <c r="L9" s="6" t="s">
        <v>10</v>
      </c>
      <c r="M9" s="7">
        <f t="shared" ref="M9:S9" si="7">C9-$C$3</f>
        <v>0.01</v>
      </c>
      <c r="N9" s="7">
        <f t="shared" si="7"/>
        <v>0.048</v>
      </c>
      <c r="O9" s="7">
        <f t="shared" si="7"/>
        <v>0.102</v>
      </c>
      <c r="P9" s="7">
        <f t="shared" si="7"/>
        <v>0.049</v>
      </c>
      <c r="Q9" s="7">
        <f t="shared" si="7"/>
        <v>0.096</v>
      </c>
      <c r="R9" s="7">
        <f t="shared" si="7"/>
        <v>0.015</v>
      </c>
      <c r="S9" s="7">
        <f t="shared" si="7"/>
        <v>0.049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0.373</v>
      </c>
      <c r="D13" s="7">
        <v>0.396</v>
      </c>
      <c r="E13" s="7">
        <v>0.428</v>
      </c>
      <c r="F13" s="7">
        <v>0.415</v>
      </c>
      <c r="G13" s="7">
        <v>0.455</v>
      </c>
      <c r="H13" s="7">
        <v>0.412</v>
      </c>
      <c r="I13" s="7">
        <v>0.448</v>
      </c>
      <c r="J13" s="3"/>
      <c r="L13" s="6" t="s">
        <v>4</v>
      </c>
      <c r="M13" s="7">
        <f t="shared" ref="M13:S13" si="8">C13-$C$13</f>
        <v>0</v>
      </c>
      <c r="N13" s="7">
        <f t="shared" si="8"/>
        <v>0.023</v>
      </c>
      <c r="O13" s="7">
        <f t="shared" si="8"/>
        <v>0.055</v>
      </c>
      <c r="P13" s="7">
        <f t="shared" si="8"/>
        <v>0.042</v>
      </c>
      <c r="Q13" s="7">
        <f t="shared" si="8"/>
        <v>0.082</v>
      </c>
      <c r="R13" s="7">
        <f t="shared" si="8"/>
        <v>0.039</v>
      </c>
      <c r="S13" s="7">
        <f t="shared" si="8"/>
        <v>0.075</v>
      </c>
    </row>
    <row r="14">
      <c r="B14" s="6" t="s">
        <v>5</v>
      </c>
      <c r="C14" s="7">
        <v>0.435</v>
      </c>
      <c r="D14" s="7">
        <v>0.456</v>
      </c>
      <c r="E14" s="7">
        <v>0.477</v>
      </c>
      <c r="F14" s="7">
        <v>0.451</v>
      </c>
      <c r="G14" s="7">
        <v>0.462</v>
      </c>
      <c r="H14" s="7">
        <v>0.45</v>
      </c>
      <c r="I14" s="7">
        <v>0.463</v>
      </c>
      <c r="J14" s="3"/>
      <c r="L14" s="6" t="s">
        <v>5</v>
      </c>
      <c r="M14" s="7">
        <f t="shared" ref="M14:S14" si="9">C14-$C$13</f>
        <v>0.062</v>
      </c>
      <c r="N14" s="7">
        <f t="shared" si="9"/>
        <v>0.083</v>
      </c>
      <c r="O14" s="7">
        <f t="shared" si="9"/>
        <v>0.104</v>
      </c>
      <c r="P14" s="7">
        <f t="shared" si="9"/>
        <v>0.078</v>
      </c>
      <c r="Q14" s="7">
        <f t="shared" si="9"/>
        <v>0.089</v>
      </c>
      <c r="R14" s="7">
        <f t="shared" si="9"/>
        <v>0.077</v>
      </c>
      <c r="S14" s="7">
        <f t="shared" si="9"/>
        <v>0.09</v>
      </c>
    </row>
    <row r="15">
      <c r="B15" s="6" t="s">
        <v>6</v>
      </c>
      <c r="C15" s="7">
        <v>0.375</v>
      </c>
      <c r="D15" s="7">
        <v>0.398</v>
      </c>
      <c r="E15" s="7">
        <v>0.429</v>
      </c>
      <c r="F15" s="7">
        <v>0.417</v>
      </c>
      <c r="G15" s="7">
        <v>0.456</v>
      </c>
      <c r="H15" s="7">
        <v>0.414</v>
      </c>
      <c r="I15" s="7">
        <v>0.449</v>
      </c>
      <c r="J15" s="3"/>
      <c r="L15" s="6" t="s">
        <v>6</v>
      </c>
      <c r="M15" s="7">
        <f t="shared" ref="M15:S15" si="10">C15-$C$13</f>
        <v>0.002</v>
      </c>
      <c r="N15" s="7">
        <f t="shared" si="10"/>
        <v>0.025</v>
      </c>
      <c r="O15" s="7">
        <f t="shared" si="10"/>
        <v>0.056</v>
      </c>
      <c r="P15" s="7">
        <f t="shared" si="10"/>
        <v>0.044</v>
      </c>
      <c r="Q15" s="7">
        <f t="shared" si="10"/>
        <v>0.083</v>
      </c>
      <c r="R15" s="7">
        <f t="shared" si="10"/>
        <v>0.041</v>
      </c>
      <c r="S15" s="7">
        <f t="shared" si="10"/>
        <v>0.076</v>
      </c>
    </row>
    <row r="16">
      <c r="B16" s="6" t="s">
        <v>7</v>
      </c>
      <c r="C16" s="7">
        <v>0.372</v>
      </c>
      <c r="D16" s="7">
        <v>0.395</v>
      </c>
      <c r="E16" s="7">
        <v>0.426</v>
      </c>
      <c r="F16" s="7">
        <v>0.414</v>
      </c>
      <c r="G16" s="7">
        <v>0.453</v>
      </c>
      <c r="H16" s="7">
        <v>0.41</v>
      </c>
      <c r="I16" s="7">
        <v>0.447</v>
      </c>
      <c r="J16" s="3"/>
      <c r="L16" s="6" t="s">
        <v>7</v>
      </c>
      <c r="M16" s="7">
        <f t="shared" ref="M16:S16" si="11">C16-$C$13</f>
        <v>-0.001</v>
      </c>
      <c r="N16" s="7">
        <f t="shared" si="11"/>
        <v>0.022</v>
      </c>
      <c r="O16" s="7">
        <f t="shared" si="11"/>
        <v>0.053</v>
      </c>
      <c r="P16" s="7">
        <f t="shared" si="11"/>
        <v>0.041</v>
      </c>
      <c r="Q16" s="7">
        <f t="shared" si="11"/>
        <v>0.08</v>
      </c>
      <c r="R16" s="7">
        <f t="shared" si="11"/>
        <v>0.037</v>
      </c>
      <c r="S16" s="7">
        <f t="shared" si="11"/>
        <v>0.074</v>
      </c>
    </row>
    <row r="17">
      <c r="B17" s="6" t="s">
        <v>8</v>
      </c>
      <c r="C17" s="7">
        <v>0.373</v>
      </c>
      <c r="D17" s="7">
        <v>0.396</v>
      </c>
      <c r="E17" s="7">
        <v>0.428</v>
      </c>
      <c r="F17" s="7">
        <v>0.415</v>
      </c>
      <c r="G17" s="7">
        <v>0.455</v>
      </c>
      <c r="H17" s="7">
        <v>0.412</v>
      </c>
      <c r="I17" s="7">
        <v>0.448</v>
      </c>
      <c r="J17" s="3"/>
      <c r="L17" s="6" t="s">
        <v>8</v>
      </c>
      <c r="M17" s="7">
        <f t="shared" ref="M17:S17" si="12">C17-$C$13</f>
        <v>0</v>
      </c>
      <c r="N17" s="7">
        <f t="shared" si="12"/>
        <v>0.023</v>
      </c>
      <c r="O17" s="7">
        <f t="shared" si="12"/>
        <v>0.055</v>
      </c>
      <c r="P17" s="7">
        <f t="shared" si="12"/>
        <v>0.042</v>
      </c>
      <c r="Q17" s="7">
        <f t="shared" si="12"/>
        <v>0.082</v>
      </c>
      <c r="R17" s="7">
        <f t="shared" si="12"/>
        <v>0.039</v>
      </c>
      <c r="S17" s="7">
        <f t="shared" si="12"/>
        <v>0.075</v>
      </c>
    </row>
    <row r="18">
      <c r="B18" s="6" t="s">
        <v>9</v>
      </c>
      <c r="C18" s="7">
        <v>0.374</v>
      </c>
      <c r="D18" s="7">
        <v>0.396</v>
      </c>
      <c r="E18" s="7">
        <v>0.428</v>
      </c>
      <c r="F18" s="7">
        <v>0.416</v>
      </c>
      <c r="G18" s="7">
        <v>0.455</v>
      </c>
      <c r="H18" s="7">
        <v>0.412</v>
      </c>
      <c r="I18" s="7">
        <v>0.449</v>
      </c>
      <c r="J18" s="3"/>
      <c r="L18" s="6" t="s">
        <v>9</v>
      </c>
      <c r="M18" s="7">
        <f t="shared" ref="M18:S18" si="13">C18-$C$13</f>
        <v>0.001</v>
      </c>
      <c r="N18" s="7">
        <f t="shared" si="13"/>
        <v>0.023</v>
      </c>
      <c r="O18" s="7">
        <f t="shared" si="13"/>
        <v>0.055</v>
      </c>
      <c r="P18" s="7">
        <f t="shared" si="13"/>
        <v>0.043</v>
      </c>
      <c r="Q18" s="7">
        <f t="shared" si="13"/>
        <v>0.082</v>
      </c>
      <c r="R18" s="7">
        <f t="shared" si="13"/>
        <v>0.039</v>
      </c>
      <c r="S18" s="7">
        <f t="shared" si="13"/>
        <v>0.076</v>
      </c>
    </row>
    <row r="19">
      <c r="B19" s="6" t="s">
        <v>10</v>
      </c>
      <c r="C19" s="7">
        <v>0.379</v>
      </c>
      <c r="D19" s="7">
        <v>0.402</v>
      </c>
      <c r="E19" s="7">
        <v>0.433</v>
      </c>
      <c r="F19" s="7">
        <v>0.422</v>
      </c>
      <c r="G19" s="7">
        <v>0.461</v>
      </c>
      <c r="H19" s="7">
        <v>0.418</v>
      </c>
      <c r="I19" s="7">
        <v>0.454</v>
      </c>
      <c r="J19" s="3"/>
      <c r="L19" s="6" t="s">
        <v>10</v>
      </c>
      <c r="M19" s="7">
        <f t="shared" ref="M19:S19" si="14">C19-$C$13</f>
        <v>0.006</v>
      </c>
      <c r="N19" s="7">
        <f t="shared" si="14"/>
        <v>0.029</v>
      </c>
      <c r="O19" s="7">
        <f t="shared" si="14"/>
        <v>0.06</v>
      </c>
      <c r="P19" s="7">
        <f t="shared" si="14"/>
        <v>0.049</v>
      </c>
      <c r="Q19" s="7">
        <f t="shared" si="14"/>
        <v>0.088</v>
      </c>
      <c r="R19" s="7">
        <f t="shared" si="14"/>
        <v>0.045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0.587</v>
      </c>
      <c r="D23" s="7">
        <v>0.581</v>
      </c>
      <c r="E23" s="7">
        <v>0.568</v>
      </c>
      <c r="F23" s="7">
        <v>0.545</v>
      </c>
      <c r="G23" s="7">
        <v>0.505</v>
      </c>
      <c r="H23" s="7">
        <v>0.548</v>
      </c>
      <c r="I23" s="7">
        <v>0.506</v>
      </c>
      <c r="J23" s="3"/>
      <c r="L23" s="6" t="s">
        <v>4</v>
      </c>
      <c r="M23" s="7">
        <f t="shared" ref="M23:S23" si="15">C23-$C$23</f>
        <v>0</v>
      </c>
      <c r="N23" s="7">
        <f t="shared" si="15"/>
        <v>-0.006</v>
      </c>
      <c r="O23" s="7">
        <f t="shared" si="15"/>
        <v>-0.019</v>
      </c>
      <c r="P23" s="7">
        <f t="shared" si="15"/>
        <v>-0.042</v>
      </c>
      <c r="Q23" s="7">
        <f t="shared" si="15"/>
        <v>-0.082</v>
      </c>
      <c r="R23" s="7">
        <f t="shared" si="15"/>
        <v>-0.039</v>
      </c>
      <c r="S23" s="7">
        <f t="shared" si="15"/>
        <v>-0.081</v>
      </c>
    </row>
    <row r="24">
      <c r="B24" s="6" t="s">
        <v>5</v>
      </c>
      <c r="C24" s="7">
        <v>0.586</v>
      </c>
      <c r="D24" s="7">
        <v>0.58</v>
      </c>
      <c r="E24" s="7">
        <v>0.566</v>
      </c>
      <c r="F24" s="7">
        <v>0.545</v>
      </c>
      <c r="G24" s="7">
        <v>0.505</v>
      </c>
      <c r="H24" s="7">
        <v>0.548</v>
      </c>
      <c r="I24" s="7">
        <v>0.507</v>
      </c>
      <c r="J24" s="3"/>
      <c r="L24" s="6" t="s">
        <v>5</v>
      </c>
      <c r="M24" s="7">
        <f t="shared" ref="M24:S24" si="16">C24-$C$23</f>
        <v>-0.001</v>
      </c>
      <c r="N24" s="7">
        <f t="shared" si="16"/>
        <v>-0.007</v>
      </c>
      <c r="O24" s="7">
        <f t="shared" si="16"/>
        <v>-0.021</v>
      </c>
      <c r="P24" s="7">
        <f t="shared" si="16"/>
        <v>-0.042</v>
      </c>
      <c r="Q24" s="7">
        <f t="shared" si="16"/>
        <v>-0.082</v>
      </c>
      <c r="R24" s="7">
        <f t="shared" si="16"/>
        <v>-0.039</v>
      </c>
      <c r="S24" s="7">
        <f t="shared" si="16"/>
        <v>-0.08</v>
      </c>
    </row>
    <row r="25">
      <c r="B25" s="6" t="s">
        <v>6</v>
      </c>
      <c r="C25" s="7">
        <v>0.587</v>
      </c>
      <c r="D25" s="7">
        <v>0.581</v>
      </c>
      <c r="E25" s="7">
        <v>0.567</v>
      </c>
      <c r="F25" s="7">
        <v>0.546</v>
      </c>
      <c r="G25" s="7">
        <v>0.506</v>
      </c>
      <c r="H25" s="7">
        <v>0.549</v>
      </c>
      <c r="I25" s="7">
        <v>0.508</v>
      </c>
      <c r="J25" s="3"/>
      <c r="L25" s="6" t="s">
        <v>6</v>
      </c>
      <c r="M25" s="7">
        <f t="shared" ref="M25:S25" si="17">C25-$C$23</f>
        <v>0</v>
      </c>
      <c r="N25" s="7">
        <f t="shared" si="17"/>
        <v>-0.006</v>
      </c>
      <c r="O25" s="7">
        <f t="shared" si="17"/>
        <v>-0.02</v>
      </c>
      <c r="P25" s="7">
        <f t="shared" si="17"/>
        <v>-0.041</v>
      </c>
      <c r="Q25" s="7">
        <f t="shared" si="17"/>
        <v>-0.081</v>
      </c>
      <c r="R25" s="7">
        <f t="shared" si="17"/>
        <v>-0.038</v>
      </c>
      <c r="S25" s="7">
        <f t="shared" si="17"/>
        <v>-0.079</v>
      </c>
    </row>
    <row r="26">
      <c r="B26" s="6" t="s">
        <v>7</v>
      </c>
      <c r="C26" s="7">
        <v>0.586</v>
      </c>
      <c r="D26" s="7">
        <v>0.581</v>
      </c>
      <c r="E26" s="7">
        <v>0.567</v>
      </c>
      <c r="F26" s="7">
        <v>0.545</v>
      </c>
      <c r="G26" s="7">
        <v>0.506</v>
      </c>
      <c r="H26" s="7">
        <v>0.548</v>
      </c>
      <c r="I26" s="7">
        <v>0.507</v>
      </c>
      <c r="J26" s="3"/>
      <c r="L26" s="6" t="s">
        <v>7</v>
      </c>
      <c r="M26" s="7">
        <f t="shared" ref="M26:S26" si="18">C26-$C$23</f>
        <v>-0.001</v>
      </c>
      <c r="N26" s="7">
        <f t="shared" si="18"/>
        <v>-0.006</v>
      </c>
      <c r="O26" s="7">
        <f t="shared" si="18"/>
        <v>-0.02</v>
      </c>
      <c r="P26" s="7">
        <f t="shared" si="18"/>
        <v>-0.042</v>
      </c>
      <c r="Q26" s="7">
        <f t="shared" si="18"/>
        <v>-0.081</v>
      </c>
      <c r="R26" s="7">
        <f t="shared" si="18"/>
        <v>-0.039</v>
      </c>
      <c r="S26" s="7">
        <f t="shared" si="18"/>
        <v>-0.08</v>
      </c>
    </row>
    <row r="27">
      <c r="B27" s="6" t="s">
        <v>8</v>
      </c>
      <c r="C27" s="7">
        <v>0.588</v>
      </c>
      <c r="D27" s="7">
        <v>0.581</v>
      </c>
      <c r="E27" s="7">
        <v>0.568</v>
      </c>
      <c r="F27" s="7">
        <v>0.544</v>
      </c>
      <c r="G27" s="7">
        <v>0.502</v>
      </c>
      <c r="H27" s="7">
        <v>0.547</v>
      </c>
      <c r="I27" s="7">
        <v>0.504</v>
      </c>
      <c r="J27" s="3"/>
      <c r="L27" s="6" t="s">
        <v>8</v>
      </c>
      <c r="M27" s="7">
        <f t="shared" ref="M27:S27" si="19">C27-$C$23</f>
        <v>0.001</v>
      </c>
      <c r="N27" s="7">
        <f t="shared" si="19"/>
        <v>-0.006</v>
      </c>
      <c r="O27" s="7">
        <f t="shared" si="19"/>
        <v>-0.019</v>
      </c>
      <c r="P27" s="7">
        <f t="shared" si="19"/>
        <v>-0.043</v>
      </c>
      <c r="Q27" s="7">
        <f t="shared" si="19"/>
        <v>-0.085</v>
      </c>
      <c r="R27" s="7">
        <f t="shared" si="19"/>
        <v>-0.04</v>
      </c>
      <c r="S27" s="7">
        <f t="shared" si="19"/>
        <v>-0.083</v>
      </c>
    </row>
    <row r="28">
      <c r="B28" s="6" t="s">
        <v>9</v>
      </c>
      <c r="C28" s="7">
        <v>0.587</v>
      </c>
      <c r="D28" s="7">
        <v>0.581</v>
      </c>
      <c r="E28" s="7">
        <v>0.568</v>
      </c>
      <c r="F28" s="7">
        <v>0.545</v>
      </c>
      <c r="G28" s="7">
        <v>0.503</v>
      </c>
      <c r="H28" s="7">
        <v>0.548</v>
      </c>
      <c r="I28" s="7">
        <v>0.505</v>
      </c>
      <c r="J28" s="3"/>
      <c r="L28" s="6" t="s">
        <v>9</v>
      </c>
      <c r="M28" s="7">
        <f t="shared" ref="M28:S28" si="20">C28-$C$23</f>
        <v>0</v>
      </c>
      <c r="N28" s="7">
        <f t="shared" si="20"/>
        <v>-0.006</v>
      </c>
      <c r="O28" s="7">
        <f t="shared" si="20"/>
        <v>-0.019</v>
      </c>
      <c r="P28" s="7">
        <f t="shared" si="20"/>
        <v>-0.042</v>
      </c>
      <c r="Q28" s="7">
        <f t="shared" si="20"/>
        <v>-0.084</v>
      </c>
      <c r="R28" s="7">
        <f t="shared" si="20"/>
        <v>-0.039</v>
      </c>
      <c r="S28" s="7">
        <f t="shared" si="20"/>
        <v>-0.082</v>
      </c>
    </row>
    <row r="29">
      <c r="B29" s="6" t="s">
        <v>10</v>
      </c>
      <c r="C29" s="7">
        <v>0.591</v>
      </c>
      <c r="D29" s="7">
        <v>0.584</v>
      </c>
      <c r="E29" s="7">
        <v>0.571</v>
      </c>
      <c r="F29" s="7">
        <v>0.549</v>
      </c>
      <c r="G29" s="7">
        <v>0.508</v>
      </c>
      <c r="H29" s="7">
        <v>0.552</v>
      </c>
      <c r="I29" s="7">
        <v>0.51</v>
      </c>
      <c r="J29" s="3"/>
      <c r="L29" s="6" t="s">
        <v>10</v>
      </c>
      <c r="M29" s="7">
        <f t="shared" ref="M29:S29" si="21">C29-$C$23</f>
        <v>0.004</v>
      </c>
      <c r="N29" s="7">
        <f t="shared" si="21"/>
        <v>-0.003</v>
      </c>
      <c r="O29" s="7">
        <f t="shared" si="21"/>
        <v>-0.016</v>
      </c>
      <c r="P29" s="7">
        <f t="shared" si="21"/>
        <v>-0.038</v>
      </c>
      <c r="Q29" s="7">
        <f t="shared" si="21"/>
        <v>-0.079</v>
      </c>
      <c r="R29" s="7">
        <f t="shared" si="21"/>
        <v>-0.035</v>
      </c>
      <c r="S29" s="7">
        <f t="shared" si="21"/>
        <v>-0.077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0.439</v>
      </c>
      <c r="D33" s="7">
        <v>0.439</v>
      </c>
      <c r="E33" s="7">
        <v>0.461</v>
      </c>
      <c r="F33" s="7">
        <v>0.488</v>
      </c>
      <c r="G33" s="7">
        <v>0.542</v>
      </c>
      <c r="H33" s="7">
        <v>0.488</v>
      </c>
      <c r="I33" s="7">
        <v>0.539</v>
      </c>
      <c r="J33" s="3"/>
      <c r="L33" s="6" t="s">
        <v>4</v>
      </c>
      <c r="M33" s="7">
        <f t="shared" ref="M33:S33" si="22">C33-$C$33</f>
        <v>0</v>
      </c>
      <c r="N33" s="7">
        <f t="shared" si="22"/>
        <v>0</v>
      </c>
      <c r="O33" s="7">
        <f t="shared" si="22"/>
        <v>0.022</v>
      </c>
      <c r="P33" s="7">
        <f t="shared" si="22"/>
        <v>0.049</v>
      </c>
      <c r="Q33" s="7">
        <f t="shared" si="22"/>
        <v>0.103</v>
      </c>
      <c r="R33" s="7">
        <f t="shared" si="22"/>
        <v>0.049</v>
      </c>
      <c r="S33" s="7">
        <f t="shared" si="22"/>
        <v>0.1</v>
      </c>
    </row>
    <row r="34">
      <c r="B34" s="6" t="s">
        <v>5</v>
      </c>
      <c r="C34" s="7">
        <v>0.439</v>
      </c>
      <c r="D34" s="7">
        <v>0.439</v>
      </c>
      <c r="E34" s="7">
        <v>0.461</v>
      </c>
      <c r="F34" s="7">
        <v>0.488</v>
      </c>
      <c r="G34" s="7">
        <v>0.542</v>
      </c>
      <c r="H34" s="7">
        <v>0.488</v>
      </c>
      <c r="I34" s="7">
        <v>0.539</v>
      </c>
      <c r="J34" s="3"/>
      <c r="L34" s="6" t="s">
        <v>5</v>
      </c>
      <c r="M34" s="7">
        <f t="shared" ref="M34:S34" si="23">C34-$C$33</f>
        <v>0</v>
      </c>
      <c r="N34" s="7">
        <f t="shared" si="23"/>
        <v>0</v>
      </c>
      <c r="O34" s="7">
        <f t="shared" si="23"/>
        <v>0.022</v>
      </c>
      <c r="P34" s="7">
        <f t="shared" si="23"/>
        <v>0.049</v>
      </c>
      <c r="Q34" s="7">
        <f t="shared" si="23"/>
        <v>0.103</v>
      </c>
      <c r="R34" s="7">
        <f t="shared" si="23"/>
        <v>0.049</v>
      </c>
      <c r="S34" s="7">
        <f t="shared" si="23"/>
        <v>0.1</v>
      </c>
    </row>
    <row r="35">
      <c r="B35" s="6" t="s">
        <v>6</v>
      </c>
      <c r="C35" s="7">
        <v>0.438</v>
      </c>
      <c r="D35" s="7">
        <v>0.438</v>
      </c>
      <c r="E35" s="7">
        <v>0.461</v>
      </c>
      <c r="F35" s="7">
        <v>0.488</v>
      </c>
      <c r="G35" s="7">
        <v>0.541</v>
      </c>
      <c r="H35" s="7">
        <v>0.488</v>
      </c>
      <c r="I35" s="7">
        <v>0.539</v>
      </c>
      <c r="J35" s="3"/>
      <c r="L35" s="6" t="s">
        <v>6</v>
      </c>
      <c r="M35" s="7">
        <f t="shared" ref="M35:S35" si="24">C35-$C$33</f>
        <v>-0.001</v>
      </c>
      <c r="N35" s="7">
        <f t="shared" si="24"/>
        <v>-0.001</v>
      </c>
      <c r="O35" s="7">
        <f t="shared" si="24"/>
        <v>0.022</v>
      </c>
      <c r="P35" s="7">
        <f t="shared" si="24"/>
        <v>0.049</v>
      </c>
      <c r="Q35" s="7">
        <f t="shared" si="24"/>
        <v>0.102</v>
      </c>
      <c r="R35" s="7">
        <f t="shared" si="24"/>
        <v>0.049</v>
      </c>
      <c r="S35" s="7">
        <f t="shared" si="24"/>
        <v>0.1</v>
      </c>
    </row>
    <row r="36">
      <c r="B36" s="6" t="s">
        <v>7</v>
      </c>
      <c r="C36" s="7">
        <v>0.439</v>
      </c>
      <c r="D36" s="7">
        <v>0.439</v>
      </c>
      <c r="E36" s="7">
        <v>0.461</v>
      </c>
      <c r="F36" s="7">
        <v>0.488</v>
      </c>
      <c r="G36" s="7">
        <v>0.542</v>
      </c>
      <c r="H36" s="7">
        <v>0.488</v>
      </c>
      <c r="I36" s="7">
        <v>0.539</v>
      </c>
      <c r="J36" s="3"/>
      <c r="L36" s="6" t="s">
        <v>7</v>
      </c>
      <c r="M36" s="7">
        <f t="shared" ref="M36:S36" si="25">C36-$C$33</f>
        <v>0</v>
      </c>
      <c r="N36" s="7">
        <f t="shared" si="25"/>
        <v>0</v>
      </c>
      <c r="O36" s="7">
        <f t="shared" si="25"/>
        <v>0.022</v>
      </c>
      <c r="P36" s="7">
        <f t="shared" si="25"/>
        <v>0.049</v>
      </c>
      <c r="Q36" s="7">
        <f t="shared" si="25"/>
        <v>0.103</v>
      </c>
      <c r="R36" s="7">
        <f t="shared" si="25"/>
        <v>0.049</v>
      </c>
      <c r="S36" s="7">
        <f t="shared" si="25"/>
        <v>0.1</v>
      </c>
    </row>
    <row r="37">
      <c r="B37" s="6" t="s">
        <v>8</v>
      </c>
      <c r="C37" s="7">
        <v>0.439</v>
      </c>
      <c r="D37" s="7">
        <v>0.439</v>
      </c>
      <c r="E37" s="7">
        <v>0.461</v>
      </c>
      <c r="F37" s="7">
        <v>0.488</v>
      </c>
      <c r="G37" s="7">
        <v>0.542</v>
      </c>
      <c r="H37" s="7">
        <v>0.488</v>
      </c>
      <c r="I37" s="7">
        <v>0.539</v>
      </c>
      <c r="J37" s="3"/>
      <c r="L37" s="6" t="s">
        <v>8</v>
      </c>
      <c r="M37" s="7">
        <f t="shared" ref="M37:S37" si="26">C37-$C$33</f>
        <v>0</v>
      </c>
      <c r="N37" s="7">
        <f t="shared" si="26"/>
        <v>0</v>
      </c>
      <c r="O37" s="7">
        <f t="shared" si="26"/>
        <v>0.022</v>
      </c>
      <c r="P37" s="7">
        <f t="shared" si="26"/>
        <v>0.049</v>
      </c>
      <c r="Q37" s="7">
        <f t="shared" si="26"/>
        <v>0.103</v>
      </c>
      <c r="R37" s="7">
        <f t="shared" si="26"/>
        <v>0.049</v>
      </c>
      <c r="S37" s="7">
        <f t="shared" si="26"/>
        <v>0.1</v>
      </c>
    </row>
    <row r="38">
      <c r="B38" s="6" t="s">
        <v>9</v>
      </c>
      <c r="C38" s="7">
        <v>0.439</v>
      </c>
      <c r="D38" s="7">
        <v>0.439</v>
      </c>
      <c r="E38" s="7">
        <v>0.461</v>
      </c>
      <c r="F38" s="7">
        <v>0.488</v>
      </c>
      <c r="G38" s="7">
        <v>0.542</v>
      </c>
      <c r="H38" s="7">
        <v>0.488</v>
      </c>
      <c r="I38" s="7">
        <v>0.539</v>
      </c>
      <c r="J38" s="3"/>
      <c r="L38" s="6" t="s">
        <v>9</v>
      </c>
      <c r="M38" s="7">
        <f t="shared" ref="M38:S38" si="27">C38-$C$33</f>
        <v>0</v>
      </c>
      <c r="N38" s="7">
        <f t="shared" si="27"/>
        <v>0</v>
      </c>
      <c r="O38" s="7">
        <f t="shared" si="27"/>
        <v>0.022</v>
      </c>
      <c r="P38" s="7">
        <f t="shared" si="27"/>
        <v>0.049</v>
      </c>
      <c r="Q38" s="7">
        <f t="shared" si="27"/>
        <v>0.103</v>
      </c>
      <c r="R38" s="7">
        <f t="shared" si="27"/>
        <v>0.049</v>
      </c>
      <c r="S38" s="7">
        <f t="shared" si="27"/>
        <v>0.1</v>
      </c>
    </row>
    <row r="39">
      <c r="B39" s="6" t="s">
        <v>10</v>
      </c>
      <c r="C39" s="7">
        <v>0.439</v>
      </c>
      <c r="D39" s="7">
        <v>0.439</v>
      </c>
      <c r="E39" s="7">
        <v>0.461</v>
      </c>
      <c r="F39" s="7">
        <v>0.488</v>
      </c>
      <c r="G39" s="7">
        <v>0.542</v>
      </c>
      <c r="H39" s="7">
        <v>0.488</v>
      </c>
      <c r="I39" s="7">
        <v>0.539</v>
      </c>
      <c r="J39" s="3"/>
      <c r="L39" s="6" t="s">
        <v>10</v>
      </c>
      <c r="M39" s="7">
        <f t="shared" ref="M39:S39" si="28">C39-$C$33</f>
        <v>0</v>
      </c>
      <c r="N39" s="7">
        <f t="shared" si="28"/>
        <v>0</v>
      </c>
      <c r="O39" s="7">
        <f t="shared" si="28"/>
        <v>0.022</v>
      </c>
      <c r="P39" s="7">
        <f t="shared" si="28"/>
        <v>0.049</v>
      </c>
      <c r="Q39" s="7">
        <f t="shared" si="28"/>
        <v>0.103</v>
      </c>
      <c r="R39" s="7">
        <f t="shared" si="28"/>
        <v>0.049</v>
      </c>
      <c r="S39" s="7">
        <f t="shared" si="28"/>
        <v>0.1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0.348</v>
      </c>
      <c r="D43" s="7">
        <v>0.379</v>
      </c>
      <c r="E43" s="7">
        <v>0.402</v>
      </c>
      <c r="F43" s="7">
        <v>0.38</v>
      </c>
      <c r="G43" s="7">
        <v>0.399</v>
      </c>
      <c r="H43" s="7">
        <v>0.368</v>
      </c>
      <c r="I43" s="7">
        <v>0.402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</v>
      </c>
      <c r="O43" s="7">
        <f t="shared" si="29"/>
        <v>0.054</v>
      </c>
      <c r="P43" s="7">
        <f t="shared" si="29"/>
        <v>0.032</v>
      </c>
      <c r="Q43" s="7">
        <f t="shared" si="29"/>
        <v>0.051</v>
      </c>
      <c r="R43" s="7">
        <f t="shared" si="29"/>
        <v>0.02</v>
      </c>
      <c r="S43" s="7">
        <f t="shared" si="29"/>
        <v>0.054</v>
      </c>
    </row>
    <row r="44">
      <c r="B44" s="6" t="s">
        <v>5</v>
      </c>
      <c r="C44" s="7">
        <v>0.256</v>
      </c>
      <c r="D44" s="7">
        <v>0.295</v>
      </c>
      <c r="E44" s="7">
        <v>0.323</v>
      </c>
      <c r="F44" s="7">
        <v>0.292</v>
      </c>
      <c r="G44" s="7">
        <v>0.318</v>
      </c>
      <c r="H44" s="7">
        <v>0.28</v>
      </c>
      <c r="I44" s="7">
        <v>0.317</v>
      </c>
      <c r="J44" s="3"/>
      <c r="L44" s="6" t="s">
        <v>5</v>
      </c>
      <c r="M44" s="7">
        <f t="shared" ref="M44:S44" si="30">C44-$C$43</f>
        <v>-0.092</v>
      </c>
      <c r="N44" s="7">
        <f t="shared" si="30"/>
        <v>-0.053</v>
      </c>
      <c r="O44" s="7">
        <f t="shared" si="30"/>
        <v>-0.025</v>
      </c>
      <c r="P44" s="7">
        <f t="shared" si="30"/>
        <v>-0.056</v>
      </c>
      <c r="Q44" s="7">
        <f t="shared" si="30"/>
        <v>-0.03</v>
      </c>
      <c r="R44" s="7">
        <f t="shared" si="30"/>
        <v>-0.068</v>
      </c>
      <c r="S44" s="7">
        <f t="shared" si="30"/>
        <v>-0.031</v>
      </c>
    </row>
    <row r="45">
      <c r="B45" s="6" t="s">
        <v>6</v>
      </c>
      <c r="C45" s="7">
        <v>0.214</v>
      </c>
      <c r="D45" s="7">
        <v>0.246</v>
      </c>
      <c r="E45" s="7">
        <v>0.293</v>
      </c>
      <c r="F45" s="7">
        <v>0.244</v>
      </c>
      <c r="G45" s="7">
        <v>0.264</v>
      </c>
      <c r="H45" s="7">
        <v>0.235</v>
      </c>
      <c r="I45" s="7">
        <v>0.264</v>
      </c>
      <c r="J45" s="3"/>
      <c r="L45" s="6" t="s">
        <v>6</v>
      </c>
      <c r="M45" s="7">
        <f t="shared" ref="M45:S45" si="31">C45-$C$43</f>
        <v>-0.134</v>
      </c>
      <c r="N45" s="7">
        <f t="shared" si="31"/>
        <v>-0.102</v>
      </c>
      <c r="O45" s="7">
        <f t="shared" si="31"/>
        <v>-0.055</v>
      </c>
      <c r="P45" s="7">
        <f t="shared" si="31"/>
        <v>-0.104</v>
      </c>
      <c r="Q45" s="7">
        <f t="shared" si="31"/>
        <v>-0.084</v>
      </c>
      <c r="R45" s="7">
        <f t="shared" si="31"/>
        <v>-0.113</v>
      </c>
      <c r="S45" s="7">
        <f t="shared" si="31"/>
        <v>-0.084</v>
      </c>
    </row>
    <row r="46">
      <c r="B46" s="6" t="s">
        <v>7</v>
      </c>
      <c r="C46" s="7">
        <v>0.382</v>
      </c>
      <c r="D46" s="7">
        <v>0.412</v>
      </c>
      <c r="E46" s="7">
        <v>0.432</v>
      </c>
      <c r="F46" s="7">
        <v>0.401</v>
      </c>
      <c r="G46" s="7">
        <v>0.418</v>
      </c>
      <c r="H46" s="7">
        <v>0.394</v>
      </c>
      <c r="I46" s="7">
        <v>0.421</v>
      </c>
      <c r="J46" s="3"/>
      <c r="L46" s="6" t="s">
        <v>7</v>
      </c>
      <c r="M46" s="7">
        <f t="shared" ref="M46:S46" si="32">C46-$C$43</f>
        <v>0.034</v>
      </c>
      <c r="N46" s="7">
        <f t="shared" si="32"/>
        <v>0.064</v>
      </c>
      <c r="O46" s="7">
        <f t="shared" si="32"/>
        <v>0.084</v>
      </c>
      <c r="P46" s="7">
        <f t="shared" si="32"/>
        <v>0.053</v>
      </c>
      <c r="Q46" s="7">
        <f t="shared" si="32"/>
        <v>0.07</v>
      </c>
      <c r="R46" s="7">
        <f t="shared" si="32"/>
        <v>0.046</v>
      </c>
      <c r="S46" s="7">
        <f t="shared" si="32"/>
        <v>0.073</v>
      </c>
    </row>
    <row r="47">
      <c r="B47" s="6" t="s">
        <v>8</v>
      </c>
      <c r="C47" s="7">
        <v>0.352</v>
      </c>
      <c r="D47" s="7">
        <v>0.385</v>
      </c>
      <c r="E47" s="7">
        <v>0.402</v>
      </c>
      <c r="F47" s="7">
        <v>0.379</v>
      </c>
      <c r="G47" s="7">
        <v>0.398</v>
      </c>
      <c r="H47" s="7">
        <v>0.368</v>
      </c>
      <c r="I47" s="7">
        <v>0.403</v>
      </c>
      <c r="J47" s="3"/>
      <c r="L47" s="6" t="s">
        <v>8</v>
      </c>
      <c r="M47" s="7">
        <f t="shared" ref="M47:S47" si="33">C47-$C$43</f>
        <v>0.004</v>
      </c>
      <c r="N47" s="7">
        <f t="shared" si="33"/>
        <v>0.037</v>
      </c>
      <c r="O47" s="7">
        <f t="shared" si="33"/>
        <v>0.054</v>
      </c>
      <c r="P47" s="7">
        <f t="shared" si="33"/>
        <v>0.031</v>
      </c>
      <c r="Q47" s="7">
        <f t="shared" si="33"/>
        <v>0.05</v>
      </c>
      <c r="R47" s="7">
        <f t="shared" si="33"/>
        <v>0.02</v>
      </c>
      <c r="S47" s="7">
        <f t="shared" si="33"/>
        <v>0.055</v>
      </c>
    </row>
    <row r="48">
      <c r="B48" s="6" t="s">
        <v>9</v>
      </c>
      <c r="C48" s="7">
        <v>0.336</v>
      </c>
      <c r="D48" s="7">
        <v>0.369</v>
      </c>
      <c r="E48" s="7">
        <v>0.389</v>
      </c>
      <c r="F48" s="7">
        <v>0.37</v>
      </c>
      <c r="G48" s="7">
        <v>0.398</v>
      </c>
      <c r="H48" s="7">
        <v>0.36</v>
      </c>
      <c r="I48" s="7">
        <v>0.401</v>
      </c>
      <c r="J48" s="3"/>
      <c r="L48" s="6" t="s">
        <v>9</v>
      </c>
      <c r="M48" s="7">
        <f t="shared" ref="M48:S48" si="34">C48-$C$43</f>
        <v>-0.012</v>
      </c>
      <c r="N48" s="7">
        <f t="shared" si="34"/>
        <v>0.021</v>
      </c>
      <c r="O48" s="7">
        <f t="shared" si="34"/>
        <v>0.041</v>
      </c>
      <c r="P48" s="7">
        <f t="shared" si="34"/>
        <v>0.022</v>
      </c>
      <c r="Q48" s="7">
        <f t="shared" si="34"/>
        <v>0.05</v>
      </c>
      <c r="R48" s="7">
        <f t="shared" si="34"/>
        <v>0.012</v>
      </c>
      <c r="S48" s="7">
        <f t="shared" si="34"/>
        <v>0.053</v>
      </c>
    </row>
    <row r="49">
      <c r="B49" s="6" t="s">
        <v>10</v>
      </c>
      <c r="C49" s="7">
        <v>0.347</v>
      </c>
      <c r="D49" s="7">
        <v>0.381</v>
      </c>
      <c r="E49" s="7">
        <v>0.4</v>
      </c>
      <c r="F49" s="7">
        <v>0.38</v>
      </c>
      <c r="G49" s="7">
        <v>0.401</v>
      </c>
      <c r="H49" s="7">
        <v>0.365</v>
      </c>
      <c r="I49" s="7">
        <v>0.403</v>
      </c>
      <c r="J49" s="3"/>
      <c r="L49" s="6" t="s">
        <v>10</v>
      </c>
      <c r="M49" s="7">
        <f t="shared" ref="M49:S49" si="35">C49-$C$43</f>
        <v>-0.001</v>
      </c>
      <c r="N49" s="7">
        <f t="shared" si="35"/>
        <v>0.033</v>
      </c>
      <c r="O49" s="7">
        <f t="shared" si="35"/>
        <v>0.052</v>
      </c>
      <c r="P49" s="7">
        <f t="shared" si="35"/>
        <v>0.032</v>
      </c>
      <c r="Q49" s="7">
        <f t="shared" si="35"/>
        <v>0.053</v>
      </c>
      <c r="R49" s="7">
        <f t="shared" si="35"/>
        <v>0.017</v>
      </c>
      <c r="S49" s="7">
        <f t="shared" si="35"/>
        <v>0.055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0.399</v>
      </c>
      <c r="E53" s="7">
        <v>0.422</v>
      </c>
      <c r="F53" s="7">
        <v>0.382</v>
      </c>
      <c r="G53" s="7">
        <v>0.397</v>
      </c>
      <c r="H53" s="7">
        <v>0.383</v>
      </c>
      <c r="I53" s="7">
        <v>0.399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0.033</v>
      </c>
      <c r="O53" s="7">
        <f t="shared" si="36"/>
        <v>0.056</v>
      </c>
      <c r="P53" s="7">
        <f t="shared" si="36"/>
        <v>0.016</v>
      </c>
      <c r="Q53" s="7">
        <f t="shared" si="36"/>
        <v>0.031</v>
      </c>
      <c r="R53" s="7">
        <f t="shared" si="36"/>
        <v>0.017</v>
      </c>
      <c r="S53" s="7">
        <f t="shared" si="36"/>
        <v>0.033</v>
      </c>
    </row>
    <row r="54">
      <c r="B54" s="6" t="s">
        <v>5</v>
      </c>
      <c r="C54" s="7">
        <v>0.346</v>
      </c>
      <c r="D54" s="7">
        <v>0.381</v>
      </c>
      <c r="E54" s="7">
        <v>0.404</v>
      </c>
      <c r="F54" s="7">
        <v>0.37</v>
      </c>
      <c r="G54" s="7">
        <v>0.394</v>
      </c>
      <c r="H54" s="7">
        <v>0.369</v>
      </c>
      <c r="I54" s="7">
        <v>0.392</v>
      </c>
      <c r="J54" s="3"/>
      <c r="L54" s="6" t="s">
        <v>5</v>
      </c>
      <c r="M54" s="7">
        <f t="shared" ref="M54:S54" si="37">C54-$C$53</f>
        <v>-0.02</v>
      </c>
      <c r="N54" s="7">
        <f t="shared" si="37"/>
        <v>0.015</v>
      </c>
      <c r="O54" s="7">
        <f t="shared" si="37"/>
        <v>0.038</v>
      </c>
      <c r="P54" s="7">
        <f t="shared" si="37"/>
        <v>0.004</v>
      </c>
      <c r="Q54" s="7">
        <f t="shared" si="37"/>
        <v>0.028</v>
      </c>
      <c r="R54" s="7">
        <f t="shared" si="37"/>
        <v>0.003</v>
      </c>
      <c r="S54" s="7">
        <f t="shared" si="37"/>
        <v>0.026</v>
      </c>
    </row>
    <row r="55">
      <c r="B55" s="6" t="s">
        <v>6</v>
      </c>
      <c r="C55" s="7">
        <v>0.347</v>
      </c>
      <c r="D55" s="7">
        <v>0.379</v>
      </c>
      <c r="E55" s="7">
        <v>0.405</v>
      </c>
      <c r="F55" s="7">
        <v>0.373</v>
      </c>
      <c r="G55" s="7">
        <v>0.396</v>
      </c>
      <c r="H55" s="7">
        <v>0.371</v>
      </c>
      <c r="I55" s="7">
        <v>0.395</v>
      </c>
      <c r="J55" s="3"/>
      <c r="L55" s="6" t="s">
        <v>6</v>
      </c>
      <c r="M55" s="7">
        <f t="shared" ref="M55:S55" si="38">C55-$C$53</f>
        <v>-0.019</v>
      </c>
      <c r="N55" s="7">
        <f t="shared" si="38"/>
        <v>0.013</v>
      </c>
      <c r="O55" s="7">
        <f t="shared" si="38"/>
        <v>0.039</v>
      </c>
      <c r="P55" s="7">
        <f t="shared" si="38"/>
        <v>0.007</v>
      </c>
      <c r="Q55" s="7">
        <f t="shared" si="38"/>
        <v>0.03</v>
      </c>
      <c r="R55" s="7">
        <f t="shared" si="38"/>
        <v>0.005</v>
      </c>
      <c r="S55" s="7">
        <f t="shared" si="38"/>
        <v>0.029</v>
      </c>
    </row>
    <row r="56">
      <c r="B56" s="6" t="s">
        <v>7</v>
      </c>
      <c r="C56" s="7">
        <v>0.399</v>
      </c>
      <c r="D56" s="7">
        <v>0.43</v>
      </c>
      <c r="E56" s="7">
        <v>0.448</v>
      </c>
      <c r="F56" s="7">
        <v>0.412</v>
      </c>
      <c r="G56" s="7">
        <v>0.427</v>
      </c>
      <c r="H56" s="7">
        <v>0.413</v>
      </c>
      <c r="I56" s="7">
        <v>0.427</v>
      </c>
      <c r="J56" s="3"/>
      <c r="L56" s="6" t="s">
        <v>7</v>
      </c>
      <c r="M56" s="7">
        <f t="shared" ref="M56:S56" si="39">C56-$C$53</f>
        <v>0.033</v>
      </c>
      <c r="N56" s="7">
        <f t="shared" si="39"/>
        <v>0.064</v>
      </c>
      <c r="O56" s="7">
        <f t="shared" si="39"/>
        <v>0.082</v>
      </c>
      <c r="P56" s="7">
        <f t="shared" si="39"/>
        <v>0.046</v>
      </c>
      <c r="Q56" s="7">
        <f t="shared" si="39"/>
        <v>0.061</v>
      </c>
      <c r="R56" s="7">
        <f t="shared" si="39"/>
        <v>0.047</v>
      </c>
      <c r="S56" s="7">
        <f t="shared" si="39"/>
        <v>0.061</v>
      </c>
    </row>
    <row r="57">
      <c r="B57" s="6" t="s">
        <v>8</v>
      </c>
      <c r="C57" s="7">
        <v>0.413</v>
      </c>
      <c r="D57" s="7">
        <v>0.444</v>
      </c>
      <c r="E57" s="7">
        <v>0.46</v>
      </c>
      <c r="F57" s="7">
        <v>0.424</v>
      </c>
      <c r="G57" s="7">
        <v>0.439</v>
      </c>
      <c r="H57" s="7">
        <v>0.425</v>
      </c>
      <c r="I57" s="7">
        <v>0.439</v>
      </c>
      <c r="J57" s="3"/>
      <c r="L57" s="6" t="s">
        <v>8</v>
      </c>
      <c r="M57" s="7">
        <f t="shared" ref="M57:S57" si="40">C57-$C$53</f>
        <v>0.047</v>
      </c>
      <c r="N57" s="7">
        <f t="shared" si="40"/>
        <v>0.078</v>
      </c>
      <c r="O57" s="7">
        <f t="shared" si="40"/>
        <v>0.094</v>
      </c>
      <c r="P57" s="7">
        <f t="shared" si="40"/>
        <v>0.058</v>
      </c>
      <c r="Q57" s="7">
        <f t="shared" si="40"/>
        <v>0.073</v>
      </c>
      <c r="R57" s="7">
        <f t="shared" si="40"/>
        <v>0.059</v>
      </c>
      <c r="S57" s="7">
        <f t="shared" si="40"/>
        <v>0.073</v>
      </c>
    </row>
    <row r="58">
      <c r="B58" s="6" t="s">
        <v>9</v>
      </c>
      <c r="C58" s="7">
        <v>0.402</v>
      </c>
      <c r="D58" s="7">
        <v>0.433</v>
      </c>
      <c r="E58" s="7">
        <v>0.451</v>
      </c>
      <c r="F58" s="7">
        <v>0.416</v>
      </c>
      <c r="G58" s="7">
        <v>0.431</v>
      </c>
      <c r="H58" s="7">
        <v>0.416</v>
      </c>
      <c r="I58" s="7">
        <v>0.431</v>
      </c>
      <c r="J58" s="3"/>
      <c r="L58" s="6" t="s">
        <v>9</v>
      </c>
      <c r="M58" s="7">
        <f t="shared" ref="M58:S58" si="41">C58-$C$53</f>
        <v>0.036</v>
      </c>
      <c r="N58" s="7">
        <f t="shared" si="41"/>
        <v>0.067</v>
      </c>
      <c r="O58" s="7">
        <f t="shared" si="41"/>
        <v>0.085</v>
      </c>
      <c r="P58" s="7">
        <f t="shared" si="41"/>
        <v>0.05</v>
      </c>
      <c r="Q58" s="7">
        <f t="shared" si="41"/>
        <v>0.065</v>
      </c>
      <c r="R58" s="7">
        <f t="shared" si="41"/>
        <v>0.05</v>
      </c>
      <c r="S58" s="7">
        <f t="shared" si="41"/>
        <v>0.065</v>
      </c>
    </row>
    <row r="59">
      <c r="B59" s="6" t="s">
        <v>10</v>
      </c>
      <c r="C59" s="7">
        <v>0.4</v>
      </c>
      <c r="D59" s="7">
        <v>0.43</v>
      </c>
      <c r="E59" s="7">
        <v>0.449</v>
      </c>
      <c r="F59" s="7">
        <v>0.419</v>
      </c>
      <c r="G59" s="7">
        <v>0.442</v>
      </c>
      <c r="H59" s="7">
        <v>0.421</v>
      </c>
      <c r="I59" s="7">
        <v>0.441</v>
      </c>
      <c r="J59" s="3"/>
      <c r="L59" s="6" t="s">
        <v>10</v>
      </c>
      <c r="M59" s="7">
        <f t="shared" ref="M59:S59" si="42">C59-$C$53</f>
        <v>0.034</v>
      </c>
      <c r="N59" s="7">
        <f t="shared" si="42"/>
        <v>0.064</v>
      </c>
      <c r="O59" s="7">
        <f t="shared" si="42"/>
        <v>0.083</v>
      </c>
      <c r="P59" s="7">
        <f t="shared" si="42"/>
        <v>0.053</v>
      </c>
      <c r="Q59" s="7">
        <f t="shared" si="42"/>
        <v>0.076</v>
      </c>
      <c r="R59" s="7">
        <f t="shared" si="42"/>
        <v>0.055</v>
      </c>
      <c r="S59" s="7">
        <f t="shared" si="42"/>
        <v>0.075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0.05433333333</v>
      </c>
    </row>
    <row r="63">
      <c r="B63" s="6" t="s">
        <v>4</v>
      </c>
      <c r="C63" s="7">
        <f t="shared" ref="C63:I63" si="43">AVERAGE(C3, C13)</f>
        <v>0.2125</v>
      </c>
      <c r="D63" s="7">
        <f t="shared" si="43"/>
        <v>0.2445</v>
      </c>
      <c r="E63" s="7">
        <f t="shared" si="43"/>
        <v>0.2845</v>
      </c>
      <c r="F63" s="7">
        <f t="shared" si="43"/>
        <v>0.255</v>
      </c>
      <c r="G63" s="7">
        <f t="shared" si="43"/>
        <v>0.2995</v>
      </c>
      <c r="H63" s="7">
        <f t="shared" si="43"/>
        <v>0.2395</v>
      </c>
      <c r="I63" s="7">
        <f t="shared" si="43"/>
        <v>0.278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0.032</v>
      </c>
      <c r="O63" s="7">
        <f t="shared" si="44"/>
        <v>0.072</v>
      </c>
      <c r="P63" s="7">
        <f t="shared" si="44"/>
        <v>0.0425</v>
      </c>
      <c r="Q63" s="7">
        <f t="shared" si="44"/>
        <v>0.087</v>
      </c>
      <c r="R63" s="7">
        <f t="shared" si="44"/>
        <v>0.027</v>
      </c>
      <c r="S63" s="7">
        <f t="shared" si="44"/>
        <v>0.0655</v>
      </c>
      <c r="U63" s="8" t="s">
        <v>23</v>
      </c>
      <c r="V63" s="3">
        <f>average(M64:M69)</f>
        <v>0.007416666667</v>
      </c>
    </row>
    <row r="64">
      <c r="B64" s="6" t="s">
        <v>5</v>
      </c>
      <c r="C64" s="7">
        <f t="shared" ref="C64:I64" si="45">AVERAGE(C4, C14)</f>
        <v>0.243</v>
      </c>
      <c r="D64" s="7">
        <f t="shared" si="45"/>
        <v>0.273</v>
      </c>
      <c r="E64" s="7">
        <f t="shared" si="45"/>
        <v>0.3085</v>
      </c>
      <c r="F64" s="7">
        <f t="shared" si="45"/>
        <v>0.274</v>
      </c>
      <c r="G64" s="7">
        <f t="shared" si="45"/>
        <v>0.303</v>
      </c>
      <c r="H64" s="7">
        <f t="shared" si="45"/>
        <v>0.2595</v>
      </c>
      <c r="I64" s="7">
        <f t="shared" si="45"/>
        <v>0.288</v>
      </c>
      <c r="J64" s="3"/>
      <c r="L64" s="6" t="s">
        <v>5</v>
      </c>
      <c r="M64" s="7">
        <f t="shared" ref="M64:S64" si="46">C64-$C$63</f>
        <v>0.0305</v>
      </c>
      <c r="N64" s="7">
        <f t="shared" si="46"/>
        <v>0.0605</v>
      </c>
      <c r="O64" s="7">
        <f t="shared" si="46"/>
        <v>0.096</v>
      </c>
      <c r="P64" s="7">
        <f t="shared" si="46"/>
        <v>0.0615</v>
      </c>
      <c r="Q64" s="7">
        <f t="shared" si="46"/>
        <v>0.0905</v>
      </c>
      <c r="R64" s="7">
        <f t="shared" si="46"/>
        <v>0.047</v>
      </c>
      <c r="S64" s="7">
        <f t="shared" si="46"/>
        <v>0.0755</v>
      </c>
      <c r="U64" s="8" t="s">
        <v>24</v>
      </c>
      <c r="V64" s="3">
        <f>AVERAGE(N64:S69)</f>
        <v>0.05873611111</v>
      </c>
    </row>
    <row r="65">
      <c r="B65" s="6" t="s">
        <v>6</v>
      </c>
      <c r="C65" s="7">
        <f t="shared" ref="C65:I65" si="47">AVERAGE(C5, C15)</f>
        <v>0.213</v>
      </c>
      <c r="D65" s="7">
        <f t="shared" si="47"/>
        <v>0.244</v>
      </c>
      <c r="E65" s="7">
        <f t="shared" si="47"/>
        <v>0.2845</v>
      </c>
      <c r="F65" s="7">
        <f t="shared" si="47"/>
        <v>0.257</v>
      </c>
      <c r="G65" s="7">
        <f t="shared" si="47"/>
        <v>0.3025</v>
      </c>
      <c r="H65" s="7">
        <f t="shared" si="47"/>
        <v>0.244</v>
      </c>
      <c r="I65" s="7">
        <f t="shared" si="47"/>
        <v>0.2845</v>
      </c>
      <c r="J65" s="3"/>
      <c r="L65" s="6" t="s">
        <v>6</v>
      </c>
      <c r="M65" s="7">
        <f t="shared" ref="M65:S65" si="48">C65-$C$63</f>
        <v>0.0005</v>
      </c>
      <c r="N65" s="7">
        <f t="shared" si="48"/>
        <v>0.0315</v>
      </c>
      <c r="O65" s="7">
        <f t="shared" si="48"/>
        <v>0.072</v>
      </c>
      <c r="P65" s="7">
        <f t="shared" si="48"/>
        <v>0.0445</v>
      </c>
      <c r="Q65" s="7">
        <f t="shared" si="48"/>
        <v>0.09</v>
      </c>
      <c r="R65" s="7">
        <f t="shared" si="48"/>
        <v>0.0315</v>
      </c>
      <c r="S65" s="7">
        <f t="shared" si="48"/>
        <v>0.072</v>
      </c>
    </row>
    <row r="66">
      <c r="B66" s="6" t="s">
        <v>7</v>
      </c>
      <c r="C66" s="7">
        <f t="shared" ref="C66:I66" si="49">AVERAGE(C6, C16)</f>
        <v>0.213</v>
      </c>
      <c r="D66" s="7">
        <f t="shared" si="49"/>
        <v>0.2445</v>
      </c>
      <c r="E66" s="7">
        <f t="shared" si="49"/>
        <v>0.285</v>
      </c>
      <c r="F66" s="7">
        <f t="shared" si="49"/>
        <v>0.255</v>
      </c>
      <c r="G66" s="7">
        <f t="shared" si="49"/>
        <v>0.299</v>
      </c>
      <c r="H66" s="7">
        <f t="shared" si="49"/>
        <v>0.239</v>
      </c>
      <c r="I66" s="7">
        <f t="shared" si="49"/>
        <v>0.277</v>
      </c>
      <c r="J66" s="3"/>
      <c r="L66" s="6" t="s">
        <v>7</v>
      </c>
      <c r="M66" s="7">
        <f t="shared" ref="M66:S66" si="50">C66-$C$63</f>
        <v>0.0005</v>
      </c>
      <c r="N66" s="7">
        <f t="shared" si="50"/>
        <v>0.032</v>
      </c>
      <c r="O66" s="7">
        <f t="shared" si="50"/>
        <v>0.0725</v>
      </c>
      <c r="P66" s="7">
        <f t="shared" si="50"/>
        <v>0.0425</v>
      </c>
      <c r="Q66" s="7">
        <f t="shared" si="50"/>
        <v>0.0865</v>
      </c>
      <c r="R66" s="7">
        <f t="shared" si="50"/>
        <v>0.0265</v>
      </c>
      <c r="S66" s="7">
        <f t="shared" si="50"/>
        <v>0.0645</v>
      </c>
    </row>
    <row r="67">
      <c r="B67" s="6" t="s">
        <v>8</v>
      </c>
      <c r="C67" s="7">
        <f t="shared" ref="C67:I67" si="51">AVERAGE(C7, C17)</f>
        <v>0.216</v>
      </c>
      <c r="D67" s="7">
        <f t="shared" si="51"/>
        <v>0.247</v>
      </c>
      <c r="E67" s="7">
        <f t="shared" si="51"/>
        <v>0.2885</v>
      </c>
      <c r="F67" s="7">
        <f t="shared" si="51"/>
        <v>0.2565</v>
      </c>
      <c r="G67" s="7">
        <f t="shared" si="51"/>
        <v>0.301</v>
      </c>
      <c r="H67" s="7">
        <f t="shared" si="51"/>
        <v>0.241</v>
      </c>
      <c r="I67" s="7">
        <f t="shared" si="51"/>
        <v>0.2765</v>
      </c>
      <c r="J67" s="3"/>
      <c r="L67" s="6" t="s">
        <v>8</v>
      </c>
      <c r="M67" s="7">
        <f t="shared" ref="M67:S67" si="52">C67-$C$63</f>
        <v>0.0035</v>
      </c>
      <c r="N67" s="7">
        <f t="shared" si="52"/>
        <v>0.0345</v>
      </c>
      <c r="O67" s="7">
        <f t="shared" si="52"/>
        <v>0.076</v>
      </c>
      <c r="P67" s="7">
        <f t="shared" si="52"/>
        <v>0.044</v>
      </c>
      <c r="Q67" s="7">
        <f t="shared" si="52"/>
        <v>0.0885</v>
      </c>
      <c r="R67" s="7">
        <f t="shared" si="52"/>
        <v>0.0285</v>
      </c>
      <c r="S67" s="7">
        <f t="shared" si="52"/>
        <v>0.064</v>
      </c>
    </row>
    <row r="68">
      <c r="B68" s="6" t="s">
        <v>9</v>
      </c>
      <c r="C68" s="7">
        <f t="shared" ref="C68:I68" si="53">AVERAGE(C8, C18)</f>
        <v>0.214</v>
      </c>
      <c r="D68" s="7">
        <f t="shared" si="53"/>
        <v>0.2445</v>
      </c>
      <c r="E68" s="7">
        <f t="shared" si="53"/>
        <v>0.2855</v>
      </c>
      <c r="F68" s="7">
        <f t="shared" si="53"/>
        <v>0.2555</v>
      </c>
      <c r="G68" s="7">
        <f t="shared" si="53"/>
        <v>0.299</v>
      </c>
      <c r="H68" s="7">
        <f t="shared" si="53"/>
        <v>0.2395</v>
      </c>
      <c r="I68" s="7">
        <f t="shared" si="53"/>
        <v>0.2775</v>
      </c>
      <c r="J68" s="3"/>
      <c r="L68" s="6" t="s">
        <v>9</v>
      </c>
      <c r="M68" s="7">
        <f t="shared" ref="M68:S68" si="54">C68-$C$63</f>
        <v>0.0015</v>
      </c>
      <c r="N68" s="7">
        <f t="shared" si="54"/>
        <v>0.032</v>
      </c>
      <c r="O68" s="7">
        <f t="shared" si="54"/>
        <v>0.073</v>
      </c>
      <c r="P68" s="7">
        <f t="shared" si="54"/>
        <v>0.043</v>
      </c>
      <c r="Q68" s="7">
        <f t="shared" si="54"/>
        <v>0.0865</v>
      </c>
      <c r="R68" s="7">
        <f t="shared" si="54"/>
        <v>0.027</v>
      </c>
      <c r="S68" s="7">
        <f t="shared" si="54"/>
        <v>0.065</v>
      </c>
    </row>
    <row r="69">
      <c r="B69" s="6" t="s">
        <v>10</v>
      </c>
      <c r="C69" s="7">
        <f t="shared" ref="C69:I69" si="55">AVERAGE(C9, C19)</f>
        <v>0.2205</v>
      </c>
      <c r="D69" s="7">
        <f t="shared" si="55"/>
        <v>0.251</v>
      </c>
      <c r="E69" s="7">
        <f t="shared" si="55"/>
        <v>0.2935</v>
      </c>
      <c r="F69" s="7">
        <f t="shared" si="55"/>
        <v>0.2615</v>
      </c>
      <c r="G69" s="7">
        <f t="shared" si="55"/>
        <v>0.3045</v>
      </c>
      <c r="H69" s="7">
        <f t="shared" si="55"/>
        <v>0.2425</v>
      </c>
      <c r="I69" s="7">
        <f t="shared" si="55"/>
        <v>0.2775</v>
      </c>
      <c r="J69" s="3"/>
      <c r="L69" s="6" t="s">
        <v>10</v>
      </c>
      <c r="M69" s="7">
        <f t="shared" ref="M69:S69" si="56">C69-$C$63</f>
        <v>0.008</v>
      </c>
      <c r="N69" s="7">
        <f t="shared" si="56"/>
        <v>0.0385</v>
      </c>
      <c r="O69" s="7">
        <f t="shared" si="56"/>
        <v>0.081</v>
      </c>
      <c r="P69" s="7">
        <f t="shared" si="56"/>
        <v>0.049</v>
      </c>
      <c r="Q69" s="7">
        <f t="shared" si="56"/>
        <v>0.092</v>
      </c>
      <c r="R69" s="7">
        <f t="shared" si="56"/>
        <v>0.03</v>
      </c>
      <c r="S69" s="7">
        <f t="shared" si="56"/>
        <v>0.065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0.0045</v>
      </c>
    </row>
    <row r="73">
      <c r="B73" s="6" t="s">
        <v>4</v>
      </c>
      <c r="C73" s="7">
        <f t="shared" ref="C73:I73" si="57">AVERAGE(C23, C33)</f>
        <v>0.513</v>
      </c>
      <c r="D73" s="7">
        <f t="shared" si="57"/>
        <v>0.51</v>
      </c>
      <c r="E73" s="7">
        <f t="shared" si="57"/>
        <v>0.5145</v>
      </c>
      <c r="F73" s="7">
        <f t="shared" si="57"/>
        <v>0.5165</v>
      </c>
      <c r="G73" s="7">
        <f t="shared" si="57"/>
        <v>0.5235</v>
      </c>
      <c r="H73" s="7">
        <f t="shared" si="57"/>
        <v>0.518</v>
      </c>
      <c r="I73" s="7">
        <f t="shared" si="57"/>
        <v>0.5225</v>
      </c>
      <c r="J73" s="3"/>
      <c r="L73" s="6" t="s">
        <v>4</v>
      </c>
      <c r="M73" s="7">
        <f t="shared" ref="M73:S73" si="58">C73-$C$73</f>
        <v>0</v>
      </c>
      <c r="N73" s="7">
        <f t="shared" si="58"/>
        <v>-0.003</v>
      </c>
      <c r="O73" s="7">
        <f t="shared" si="58"/>
        <v>0.0015</v>
      </c>
      <c r="P73" s="7">
        <f t="shared" si="58"/>
        <v>0.0035</v>
      </c>
      <c r="Q73" s="7">
        <f t="shared" si="58"/>
        <v>0.0105</v>
      </c>
      <c r="R73" s="7">
        <f t="shared" si="58"/>
        <v>0.005</v>
      </c>
      <c r="S73" s="7">
        <f t="shared" si="58"/>
        <v>0.0095</v>
      </c>
      <c r="U73" s="8" t="s">
        <v>23</v>
      </c>
      <c r="V73" s="3">
        <f>average(M74:M79)</f>
        <v>0.0001666666667</v>
      </c>
    </row>
    <row r="74">
      <c r="B74" s="6" t="s">
        <v>5</v>
      </c>
      <c r="C74" s="7">
        <f t="shared" ref="C74:I74" si="59">AVERAGE(C24, C34)</f>
        <v>0.5125</v>
      </c>
      <c r="D74" s="7">
        <f t="shared" si="59"/>
        <v>0.5095</v>
      </c>
      <c r="E74" s="7">
        <f t="shared" si="59"/>
        <v>0.5135</v>
      </c>
      <c r="F74" s="7">
        <f t="shared" si="59"/>
        <v>0.5165</v>
      </c>
      <c r="G74" s="7">
        <f t="shared" si="59"/>
        <v>0.5235</v>
      </c>
      <c r="H74" s="7">
        <f t="shared" si="59"/>
        <v>0.518</v>
      </c>
      <c r="I74" s="7">
        <f t="shared" si="59"/>
        <v>0.523</v>
      </c>
      <c r="J74" s="3"/>
      <c r="L74" s="6" t="s">
        <v>5</v>
      </c>
      <c r="M74" s="7">
        <f t="shared" ref="M74:S74" si="60">C74-$C$73</f>
        <v>-0.0005</v>
      </c>
      <c r="N74" s="7">
        <f t="shared" si="60"/>
        <v>-0.0035</v>
      </c>
      <c r="O74" s="7">
        <f t="shared" si="60"/>
        <v>0.0005</v>
      </c>
      <c r="P74" s="7">
        <f t="shared" si="60"/>
        <v>0.0035</v>
      </c>
      <c r="Q74" s="7">
        <f t="shared" si="60"/>
        <v>0.0105</v>
      </c>
      <c r="R74" s="7">
        <f t="shared" si="60"/>
        <v>0.005</v>
      </c>
      <c r="S74" s="7">
        <f t="shared" si="60"/>
        <v>0.01</v>
      </c>
      <c r="U74" s="8" t="s">
        <v>24</v>
      </c>
      <c r="V74" s="3">
        <f>AVERAGE(N74:S79)</f>
        <v>0.004666666667</v>
      </c>
    </row>
    <row r="75">
      <c r="B75" s="6" t="s">
        <v>6</v>
      </c>
      <c r="C75" s="7">
        <f t="shared" ref="C75:I75" si="61">AVERAGE(C25, C35)</f>
        <v>0.5125</v>
      </c>
      <c r="D75" s="7">
        <f t="shared" si="61"/>
        <v>0.5095</v>
      </c>
      <c r="E75" s="7">
        <f t="shared" si="61"/>
        <v>0.514</v>
      </c>
      <c r="F75" s="7">
        <f t="shared" si="61"/>
        <v>0.517</v>
      </c>
      <c r="G75" s="7">
        <f t="shared" si="61"/>
        <v>0.5235</v>
      </c>
      <c r="H75" s="7">
        <f t="shared" si="61"/>
        <v>0.5185</v>
      </c>
      <c r="I75" s="7">
        <f t="shared" si="61"/>
        <v>0.5235</v>
      </c>
      <c r="J75" s="3"/>
      <c r="L75" s="6" t="s">
        <v>6</v>
      </c>
      <c r="M75" s="7">
        <f t="shared" ref="M75:S75" si="62">C75-$C$73</f>
        <v>-0.0005</v>
      </c>
      <c r="N75" s="7">
        <f t="shared" si="62"/>
        <v>-0.0035</v>
      </c>
      <c r="O75" s="7">
        <f t="shared" si="62"/>
        <v>0.001</v>
      </c>
      <c r="P75" s="7">
        <f t="shared" si="62"/>
        <v>0.004</v>
      </c>
      <c r="Q75" s="7">
        <f t="shared" si="62"/>
        <v>0.0105</v>
      </c>
      <c r="R75" s="7">
        <f t="shared" si="62"/>
        <v>0.0055</v>
      </c>
      <c r="S75" s="7">
        <f t="shared" si="62"/>
        <v>0.0105</v>
      </c>
    </row>
    <row r="76">
      <c r="B76" s="6" t="s">
        <v>7</v>
      </c>
      <c r="C76" s="7">
        <f t="shared" ref="C76:I76" si="63">AVERAGE(C26, C36)</f>
        <v>0.5125</v>
      </c>
      <c r="D76" s="7">
        <f t="shared" si="63"/>
        <v>0.51</v>
      </c>
      <c r="E76" s="7">
        <f t="shared" si="63"/>
        <v>0.514</v>
      </c>
      <c r="F76" s="7">
        <f t="shared" si="63"/>
        <v>0.5165</v>
      </c>
      <c r="G76" s="7">
        <f t="shared" si="63"/>
        <v>0.524</v>
      </c>
      <c r="H76" s="7">
        <f t="shared" si="63"/>
        <v>0.518</v>
      </c>
      <c r="I76" s="7">
        <f t="shared" si="63"/>
        <v>0.523</v>
      </c>
      <c r="J76" s="3"/>
      <c r="L76" s="6" t="s">
        <v>7</v>
      </c>
      <c r="M76" s="7">
        <f t="shared" ref="M76:S76" si="64">C76-$C$73</f>
        <v>-0.0005</v>
      </c>
      <c r="N76" s="7">
        <f t="shared" si="64"/>
        <v>-0.003</v>
      </c>
      <c r="O76" s="7">
        <f t="shared" si="64"/>
        <v>0.001</v>
      </c>
      <c r="P76" s="7">
        <f t="shared" si="64"/>
        <v>0.0035</v>
      </c>
      <c r="Q76" s="7">
        <f t="shared" si="64"/>
        <v>0.011</v>
      </c>
      <c r="R76" s="7">
        <f t="shared" si="64"/>
        <v>0.005</v>
      </c>
      <c r="S76" s="7">
        <f t="shared" si="64"/>
        <v>0.01</v>
      </c>
    </row>
    <row r="77">
      <c r="B77" s="6" t="s">
        <v>8</v>
      </c>
      <c r="C77" s="7">
        <f t="shared" ref="C77:I77" si="65">AVERAGE(C27, C37)</f>
        <v>0.5135</v>
      </c>
      <c r="D77" s="7">
        <f t="shared" si="65"/>
        <v>0.51</v>
      </c>
      <c r="E77" s="7">
        <f t="shared" si="65"/>
        <v>0.5145</v>
      </c>
      <c r="F77" s="7">
        <f t="shared" si="65"/>
        <v>0.516</v>
      </c>
      <c r="G77" s="7">
        <f t="shared" si="65"/>
        <v>0.522</v>
      </c>
      <c r="H77" s="7">
        <f t="shared" si="65"/>
        <v>0.5175</v>
      </c>
      <c r="I77" s="7">
        <f t="shared" si="65"/>
        <v>0.5215</v>
      </c>
      <c r="J77" s="3"/>
      <c r="L77" s="6" t="s">
        <v>8</v>
      </c>
      <c r="M77" s="7">
        <f t="shared" ref="M77:S77" si="66">C77-$C$73</f>
        <v>0.0005</v>
      </c>
      <c r="N77" s="7">
        <f t="shared" si="66"/>
        <v>-0.003</v>
      </c>
      <c r="O77" s="7">
        <f t="shared" si="66"/>
        <v>0.0015</v>
      </c>
      <c r="P77" s="7">
        <f t="shared" si="66"/>
        <v>0.003</v>
      </c>
      <c r="Q77" s="7">
        <f t="shared" si="66"/>
        <v>0.009</v>
      </c>
      <c r="R77" s="7">
        <f t="shared" si="66"/>
        <v>0.0045</v>
      </c>
      <c r="S77" s="7">
        <f t="shared" si="66"/>
        <v>0.0085</v>
      </c>
    </row>
    <row r="78">
      <c r="B78" s="6" t="s">
        <v>9</v>
      </c>
      <c r="C78" s="7">
        <f t="shared" ref="C78:I78" si="67">AVERAGE(C28, C38)</f>
        <v>0.513</v>
      </c>
      <c r="D78" s="7">
        <f t="shared" si="67"/>
        <v>0.51</v>
      </c>
      <c r="E78" s="7">
        <f t="shared" si="67"/>
        <v>0.5145</v>
      </c>
      <c r="F78" s="7">
        <f t="shared" si="67"/>
        <v>0.5165</v>
      </c>
      <c r="G78" s="7">
        <f t="shared" si="67"/>
        <v>0.5225</v>
      </c>
      <c r="H78" s="7">
        <f t="shared" si="67"/>
        <v>0.518</v>
      </c>
      <c r="I78" s="7">
        <f t="shared" si="67"/>
        <v>0.522</v>
      </c>
      <c r="J78" s="3"/>
      <c r="L78" s="6" t="s">
        <v>9</v>
      </c>
      <c r="M78" s="7">
        <f t="shared" ref="M78:S78" si="68">C78-$C$73</f>
        <v>0</v>
      </c>
      <c r="N78" s="7">
        <f t="shared" si="68"/>
        <v>-0.003</v>
      </c>
      <c r="O78" s="7">
        <f t="shared" si="68"/>
        <v>0.0015</v>
      </c>
      <c r="P78" s="7">
        <f t="shared" si="68"/>
        <v>0.0035</v>
      </c>
      <c r="Q78" s="7">
        <f t="shared" si="68"/>
        <v>0.0095</v>
      </c>
      <c r="R78" s="7">
        <f t="shared" si="68"/>
        <v>0.005</v>
      </c>
      <c r="S78" s="7">
        <f t="shared" si="68"/>
        <v>0.009</v>
      </c>
    </row>
    <row r="79">
      <c r="B79" s="6" t="s">
        <v>10</v>
      </c>
      <c r="C79" s="7">
        <f t="shared" ref="C79:I79" si="69">AVERAGE(C29, C39)</f>
        <v>0.515</v>
      </c>
      <c r="D79" s="7">
        <f t="shared" si="69"/>
        <v>0.5115</v>
      </c>
      <c r="E79" s="7">
        <f t="shared" si="69"/>
        <v>0.516</v>
      </c>
      <c r="F79" s="7">
        <f t="shared" si="69"/>
        <v>0.5185</v>
      </c>
      <c r="G79" s="7">
        <f t="shared" si="69"/>
        <v>0.525</v>
      </c>
      <c r="H79" s="7">
        <f t="shared" si="69"/>
        <v>0.52</v>
      </c>
      <c r="I79" s="7">
        <f t="shared" si="69"/>
        <v>0.5245</v>
      </c>
      <c r="J79" s="3"/>
      <c r="L79" s="6" t="s">
        <v>10</v>
      </c>
      <c r="M79" s="7">
        <f t="shared" ref="M79:S79" si="70">C79-$C$73</f>
        <v>0.002</v>
      </c>
      <c r="N79" s="7">
        <f t="shared" si="70"/>
        <v>-0.0015</v>
      </c>
      <c r="O79" s="7">
        <f t="shared" si="70"/>
        <v>0.003</v>
      </c>
      <c r="P79" s="7">
        <f t="shared" si="70"/>
        <v>0.0055</v>
      </c>
      <c r="Q79" s="7">
        <f t="shared" si="70"/>
        <v>0.012</v>
      </c>
      <c r="R79" s="7">
        <f t="shared" si="70"/>
        <v>0.007</v>
      </c>
      <c r="S79" s="7">
        <f t="shared" si="70"/>
        <v>0.0115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0.03566666667</v>
      </c>
    </row>
    <row r="83">
      <c r="B83" s="6" t="s">
        <v>4</v>
      </c>
      <c r="C83" s="7">
        <f t="shared" ref="C83:I83" si="71">AVERAGE(C43, C53)</f>
        <v>0.357</v>
      </c>
      <c r="D83" s="7">
        <f t="shared" si="71"/>
        <v>0.389</v>
      </c>
      <c r="E83" s="7">
        <f t="shared" si="71"/>
        <v>0.412</v>
      </c>
      <c r="F83" s="7">
        <f t="shared" si="71"/>
        <v>0.381</v>
      </c>
      <c r="G83" s="7">
        <f t="shared" si="71"/>
        <v>0.398</v>
      </c>
      <c r="H83" s="7">
        <f t="shared" si="71"/>
        <v>0.3755</v>
      </c>
      <c r="I83" s="7">
        <f t="shared" si="71"/>
        <v>0.4005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0.032</v>
      </c>
      <c r="O83" s="7">
        <f t="shared" si="72"/>
        <v>0.055</v>
      </c>
      <c r="P83" s="7">
        <f t="shared" si="72"/>
        <v>0.024</v>
      </c>
      <c r="Q83" s="7">
        <f t="shared" si="72"/>
        <v>0.041</v>
      </c>
      <c r="R83" s="7">
        <f t="shared" si="72"/>
        <v>0.0185</v>
      </c>
      <c r="S83" s="7">
        <f t="shared" si="72"/>
        <v>0.0435</v>
      </c>
      <c r="U83" s="8" t="s">
        <v>23</v>
      </c>
      <c r="V83" s="3">
        <f>average(M84:M89)</f>
        <v>-0.0075</v>
      </c>
    </row>
    <row r="84">
      <c r="B84" s="6" t="s">
        <v>5</v>
      </c>
      <c r="C84" s="7">
        <f t="shared" ref="C84:I84" si="73">AVERAGE(C44, C54)</f>
        <v>0.301</v>
      </c>
      <c r="D84" s="7">
        <f t="shared" si="73"/>
        <v>0.338</v>
      </c>
      <c r="E84" s="7">
        <f t="shared" si="73"/>
        <v>0.3635</v>
      </c>
      <c r="F84" s="7">
        <f t="shared" si="73"/>
        <v>0.331</v>
      </c>
      <c r="G84" s="7">
        <f t="shared" si="73"/>
        <v>0.356</v>
      </c>
      <c r="H84" s="7">
        <f t="shared" si="73"/>
        <v>0.3245</v>
      </c>
      <c r="I84" s="7">
        <f t="shared" si="73"/>
        <v>0.3545</v>
      </c>
      <c r="J84" s="3"/>
      <c r="L84" s="6" t="s">
        <v>5</v>
      </c>
      <c r="M84" s="7">
        <f t="shared" ref="M84:S84" si="74">C84-$C$83</f>
        <v>-0.056</v>
      </c>
      <c r="N84" s="7">
        <f t="shared" si="74"/>
        <v>-0.019</v>
      </c>
      <c r="O84" s="7">
        <f t="shared" si="74"/>
        <v>0.0065</v>
      </c>
      <c r="P84" s="7">
        <f t="shared" si="74"/>
        <v>-0.026</v>
      </c>
      <c r="Q84" s="7">
        <f t="shared" si="74"/>
        <v>-0.001</v>
      </c>
      <c r="R84" s="7">
        <f t="shared" si="74"/>
        <v>-0.0325</v>
      </c>
      <c r="S84" s="7">
        <f t="shared" si="74"/>
        <v>-0.0025</v>
      </c>
      <c r="U84" s="8" t="s">
        <v>24</v>
      </c>
      <c r="V84" s="3">
        <f>AVERAGE(N84:S89)</f>
        <v>0.02908333333</v>
      </c>
    </row>
    <row r="85">
      <c r="B85" s="6" t="s">
        <v>6</v>
      </c>
      <c r="C85" s="7">
        <f t="shared" ref="C85:I85" si="75">AVERAGE(C45, C55)</f>
        <v>0.2805</v>
      </c>
      <c r="D85" s="7">
        <f t="shared" si="75"/>
        <v>0.3125</v>
      </c>
      <c r="E85" s="7">
        <f t="shared" si="75"/>
        <v>0.349</v>
      </c>
      <c r="F85" s="7">
        <f t="shared" si="75"/>
        <v>0.3085</v>
      </c>
      <c r="G85" s="7">
        <f t="shared" si="75"/>
        <v>0.33</v>
      </c>
      <c r="H85" s="7">
        <f t="shared" si="75"/>
        <v>0.303</v>
      </c>
      <c r="I85" s="7">
        <f t="shared" si="75"/>
        <v>0.3295</v>
      </c>
      <c r="J85" s="3"/>
      <c r="L85" s="6" t="s">
        <v>6</v>
      </c>
      <c r="M85" s="7">
        <f t="shared" ref="M85:S85" si="76">C85-$C$83</f>
        <v>-0.0765</v>
      </c>
      <c r="N85" s="7">
        <f t="shared" si="76"/>
        <v>-0.0445</v>
      </c>
      <c r="O85" s="7">
        <f t="shared" si="76"/>
        <v>-0.008</v>
      </c>
      <c r="P85" s="7">
        <f t="shared" si="76"/>
        <v>-0.0485</v>
      </c>
      <c r="Q85" s="7">
        <f t="shared" si="76"/>
        <v>-0.027</v>
      </c>
      <c r="R85" s="7">
        <f t="shared" si="76"/>
        <v>-0.054</v>
      </c>
      <c r="S85" s="7">
        <f t="shared" si="76"/>
        <v>-0.0275</v>
      </c>
    </row>
    <row r="86">
      <c r="B86" s="6" t="s">
        <v>7</v>
      </c>
      <c r="C86" s="7">
        <f t="shared" ref="C86:I86" si="77">AVERAGE(C46, C56)</f>
        <v>0.3905</v>
      </c>
      <c r="D86" s="7">
        <f t="shared" si="77"/>
        <v>0.421</v>
      </c>
      <c r="E86" s="7">
        <f t="shared" si="77"/>
        <v>0.44</v>
      </c>
      <c r="F86" s="7">
        <f t="shared" si="77"/>
        <v>0.4065</v>
      </c>
      <c r="G86" s="7">
        <f t="shared" si="77"/>
        <v>0.4225</v>
      </c>
      <c r="H86" s="7">
        <f t="shared" si="77"/>
        <v>0.4035</v>
      </c>
      <c r="I86" s="7">
        <f t="shared" si="77"/>
        <v>0.424</v>
      </c>
      <c r="J86" s="3"/>
      <c r="L86" s="6" t="s">
        <v>7</v>
      </c>
      <c r="M86" s="7">
        <f t="shared" ref="M86:S86" si="78">C86-$C$83</f>
        <v>0.0335</v>
      </c>
      <c r="N86" s="7">
        <f t="shared" si="78"/>
        <v>0.064</v>
      </c>
      <c r="O86" s="7">
        <f t="shared" si="78"/>
        <v>0.083</v>
      </c>
      <c r="P86" s="7">
        <f t="shared" si="78"/>
        <v>0.0495</v>
      </c>
      <c r="Q86" s="7">
        <f t="shared" si="78"/>
        <v>0.0655</v>
      </c>
      <c r="R86" s="7">
        <f t="shared" si="78"/>
        <v>0.0465</v>
      </c>
      <c r="S86" s="7">
        <f t="shared" si="78"/>
        <v>0.067</v>
      </c>
    </row>
    <row r="87">
      <c r="B87" s="6" t="s">
        <v>8</v>
      </c>
      <c r="C87" s="7">
        <f t="shared" ref="C87:I87" si="79">AVERAGE(C47, C57)</f>
        <v>0.3825</v>
      </c>
      <c r="D87" s="7">
        <f t="shared" si="79"/>
        <v>0.4145</v>
      </c>
      <c r="E87" s="7">
        <f t="shared" si="79"/>
        <v>0.431</v>
      </c>
      <c r="F87" s="7">
        <f t="shared" si="79"/>
        <v>0.4015</v>
      </c>
      <c r="G87" s="7">
        <f t="shared" si="79"/>
        <v>0.4185</v>
      </c>
      <c r="H87" s="7">
        <f t="shared" si="79"/>
        <v>0.3965</v>
      </c>
      <c r="I87" s="7">
        <f t="shared" si="79"/>
        <v>0.421</v>
      </c>
      <c r="J87" s="3"/>
      <c r="L87" s="6" t="s">
        <v>8</v>
      </c>
      <c r="M87" s="7">
        <f t="shared" ref="M87:S87" si="80">C87-$C$83</f>
        <v>0.0255</v>
      </c>
      <c r="N87" s="7">
        <f t="shared" si="80"/>
        <v>0.0575</v>
      </c>
      <c r="O87" s="7">
        <f t="shared" si="80"/>
        <v>0.074</v>
      </c>
      <c r="P87" s="7">
        <f t="shared" si="80"/>
        <v>0.0445</v>
      </c>
      <c r="Q87" s="7">
        <f t="shared" si="80"/>
        <v>0.0615</v>
      </c>
      <c r="R87" s="7">
        <f t="shared" si="80"/>
        <v>0.0395</v>
      </c>
      <c r="S87" s="7">
        <f t="shared" si="80"/>
        <v>0.064</v>
      </c>
    </row>
    <row r="88">
      <c r="B88" s="6" t="s">
        <v>9</v>
      </c>
      <c r="C88" s="7">
        <f t="shared" ref="C88:I88" si="81">AVERAGE(C48, C58)</f>
        <v>0.369</v>
      </c>
      <c r="D88" s="7">
        <f t="shared" si="81"/>
        <v>0.401</v>
      </c>
      <c r="E88" s="7">
        <f t="shared" si="81"/>
        <v>0.42</v>
      </c>
      <c r="F88" s="7">
        <f t="shared" si="81"/>
        <v>0.393</v>
      </c>
      <c r="G88" s="7">
        <f t="shared" si="81"/>
        <v>0.4145</v>
      </c>
      <c r="H88" s="7">
        <f t="shared" si="81"/>
        <v>0.388</v>
      </c>
      <c r="I88" s="7">
        <f t="shared" si="81"/>
        <v>0.416</v>
      </c>
      <c r="J88" s="3"/>
      <c r="L88" s="6" t="s">
        <v>9</v>
      </c>
      <c r="M88" s="7">
        <f t="shared" ref="M88:S88" si="82">C88-$C$83</f>
        <v>0.012</v>
      </c>
      <c r="N88" s="7">
        <f t="shared" si="82"/>
        <v>0.044</v>
      </c>
      <c r="O88" s="7">
        <f t="shared" si="82"/>
        <v>0.063</v>
      </c>
      <c r="P88" s="7">
        <f t="shared" si="82"/>
        <v>0.036</v>
      </c>
      <c r="Q88" s="7">
        <f t="shared" si="82"/>
        <v>0.0575</v>
      </c>
      <c r="R88" s="7">
        <f t="shared" si="82"/>
        <v>0.031</v>
      </c>
      <c r="S88" s="7">
        <f t="shared" si="82"/>
        <v>0.059</v>
      </c>
    </row>
    <row r="89">
      <c r="B89" s="6" t="s">
        <v>10</v>
      </c>
      <c r="C89" s="7">
        <f t="shared" ref="C89:I89" si="83">AVERAGE(C49, C59)</f>
        <v>0.3735</v>
      </c>
      <c r="D89" s="7">
        <f t="shared" si="83"/>
        <v>0.4055</v>
      </c>
      <c r="E89" s="7">
        <f t="shared" si="83"/>
        <v>0.4245</v>
      </c>
      <c r="F89" s="7">
        <f t="shared" si="83"/>
        <v>0.3995</v>
      </c>
      <c r="G89" s="7">
        <f t="shared" si="83"/>
        <v>0.4215</v>
      </c>
      <c r="H89" s="7">
        <f t="shared" si="83"/>
        <v>0.393</v>
      </c>
      <c r="I89" s="7">
        <f t="shared" si="83"/>
        <v>0.422</v>
      </c>
      <c r="J89" s="3"/>
      <c r="L89" s="6" t="s">
        <v>10</v>
      </c>
      <c r="M89" s="7">
        <f t="shared" ref="M89:S89" si="84">C89-$C$83</f>
        <v>0.0165</v>
      </c>
      <c r="N89" s="7">
        <f t="shared" si="84"/>
        <v>0.0485</v>
      </c>
      <c r="O89" s="7">
        <f t="shared" si="84"/>
        <v>0.0675</v>
      </c>
      <c r="P89" s="7">
        <f t="shared" si="84"/>
        <v>0.0425</v>
      </c>
      <c r="Q89" s="7">
        <f t="shared" si="84"/>
        <v>0.0645</v>
      </c>
      <c r="R89" s="7">
        <f t="shared" si="84"/>
        <v>0.036</v>
      </c>
      <c r="S89" s="7">
        <f t="shared" si="84"/>
        <v>0.065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0.0315</v>
      </c>
    </row>
    <row r="93">
      <c r="B93" s="6" t="s">
        <v>4</v>
      </c>
      <c r="C93" s="7">
        <f t="shared" ref="C93:I93" si="85">AVERAGE(C63, C73, C83)</f>
        <v>0.3608333333</v>
      </c>
      <c r="D93" s="7">
        <f t="shared" si="85"/>
        <v>0.3811666667</v>
      </c>
      <c r="E93" s="7">
        <f t="shared" si="85"/>
        <v>0.4036666667</v>
      </c>
      <c r="F93" s="7">
        <f t="shared" si="85"/>
        <v>0.3841666667</v>
      </c>
      <c r="G93" s="7">
        <f t="shared" si="85"/>
        <v>0.407</v>
      </c>
      <c r="H93" s="7">
        <f t="shared" si="85"/>
        <v>0.3776666667</v>
      </c>
      <c r="I93" s="7">
        <f t="shared" si="85"/>
        <v>0.4003333333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0.02033333333</v>
      </c>
      <c r="O93" s="7">
        <f t="shared" si="86"/>
        <v>0.04283333333</v>
      </c>
      <c r="P93" s="7">
        <f t="shared" si="86"/>
        <v>0.02333333333</v>
      </c>
      <c r="Q93" s="7">
        <f t="shared" si="86"/>
        <v>0.04616666667</v>
      </c>
      <c r="R93" s="7">
        <f t="shared" si="86"/>
        <v>0.01683333333</v>
      </c>
      <c r="S93" s="7">
        <f t="shared" si="86"/>
        <v>0.0395</v>
      </c>
      <c r="U93" s="8" t="s">
        <v>23</v>
      </c>
      <c r="V93" s="3">
        <f>average(M94:M99)</f>
        <v>0.00002777777778</v>
      </c>
    </row>
    <row r="94">
      <c r="B94" s="6" t="s">
        <v>5</v>
      </c>
      <c r="C94" s="7">
        <f t="shared" ref="C94:I94" si="87">AVERAGE(C64, C74, C84)</f>
        <v>0.3521666667</v>
      </c>
      <c r="D94" s="7">
        <f t="shared" si="87"/>
        <v>0.3735</v>
      </c>
      <c r="E94" s="7">
        <f t="shared" si="87"/>
        <v>0.3951666667</v>
      </c>
      <c r="F94" s="7">
        <f t="shared" si="87"/>
        <v>0.3738333333</v>
      </c>
      <c r="G94" s="7">
        <f t="shared" si="87"/>
        <v>0.3941666667</v>
      </c>
      <c r="H94" s="7">
        <f t="shared" si="87"/>
        <v>0.3673333333</v>
      </c>
      <c r="I94" s="7">
        <f t="shared" si="87"/>
        <v>0.3885</v>
      </c>
      <c r="J94" s="3"/>
      <c r="L94" s="6" t="s">
        <v>5</v>
      </c>
      <c r="M94" s="7">
        <f t="shared" ref="M94:S94" si="88">C94-$C$93</f>
        <v>-0.008666666667</v>
      </c>
      <c r="N94" s="7">
        <f t="shared" si="88"/>
        <v>0.01266666667</v>
      </c>
      <c r="O94" s="7">
        <f t="shared" si="88"/>
        <v>0.03433333333</v>
      </c>
      <c r="P94" s="7">
        <f t="shared" si="88"/>
        <v>0.013</v>
      </c>
      <c r="Q94" s="7">
        <f t="shared" si="88"/>
        <v>0.03333333333</v>
      </c>
      <c r="R94" s="7">
        <f t="shared" si="88"/>
        <v>0.0065</v>
      </c>
      <c r="S94" s="7">
        <f t="shared" si="88"/>
        <v>0.02766666667</v>
      </c>
      <c r="U94" s="8" t="s">
        <v>24</v>
      </c>
      <c r="V94" s="3">
        <f>AVERAGE(N94:S99)</f>
        <v>0.0308287037</v>
      </c>
    </row>
    <row r="95">
      <c r="B95" s="6" t="s">
        <v>6</v>
      </c>
      <c r="C95" s="7">
        <f t="shared" ref="C95:I95" si="89">AVERAGE(C65, C75, C85)</f>
        <v>0.3353333333</v>
      </c>
      <c r="D95" s="7">
        <f t="shared" si="89"/>
        <v>0.3553333333</v>
      </c>
      <c r="E95" s="7">
        <f t="shared" si="89"/>
        <v>0.3825</v>
      </c>
      <c r="F95" s="7">
        <f t="shared" si="89"/>
        <v>0.3608333333</v>
      </c>
      <c r="G95" s="7">
        <f t="shared" si="89"/>
        <v>0.3853333333</v>
      </c>
      <c r="H95" s="7">
        <f t="shared" si="89"/>
        <v>0.3551666667</v>
      </c>
      <c r="I95" s="7">
        <f t="shared" si="89"/>
        <v>0.3791666667</v>
      </c>
      <c r="J95" s="3"/>
      <c r="L95" s="6" t="s">
        <v>6</v>
      </c>
      <c r="M95" s="7">
        <f t="shared" ref="M95:S95" si="90">C95-$C$93</f>
        <v>-0.0255</v>
      </c>
      <c r="N95" s="7">
        <f t="shared" si="90"/>
        <v>-0.0055</v>
      </c>
      <c r="O95" s="7">
        <f t="shared" si="90"/>
        <v>0.02166666667</v>
      </c>
      <c r="P95" s="7">
        <f t="shared" si="90"/>
        <v>0</v>
      </c>
      <c r="Q95" s="7">
        <f t="shared" si="90"/>
        <v>0.0245</v>
      </c>
      <c r="R95" s="7">
        <f t="shared" si="90"/>
        <v>-0.005666666667</v>
      </c>
      <c r="S95" s="7">
        <f t="shared" si="90"/>
        <v>0.01833333333</v>
      </c>
    </row>
    <row r="96">
      <c r="B96" s="6" t="s">
        <v>7</v>
      </c>
      <c r="C96" s="7">
        <f t="shared" ref="C96:I96" si="91">AVERAGE(C66, C76, C86)</f>
        <v>0.372</v>
      </c>
      <c r="D96" s="7">
        <f t="shared" si="91"/>
        <v>0.3918333333</v>
      </c>
      <c r="E96" s="7">
        <f t="shared" si="91"/>
        <v>0.413</v>
      </c>
      <c r="F96" s="7">
        <f t="shared" si="91"/>
        <v>0.3926666667</v>
      </c>
      <c r="G96" s="7">
        <f t="shared" si="91"/>
        <v>0.4151666667</v>
      </c>
      <c r="H96" s="7">
        <f t="shared" si="91"/>
        <v>0.3868333333</v>
      </c>
      <c r="I96" s="7">
        <f t="shared" si="91"/>
        <v>0.408</v>
      </c>
      <c r="J96" s="3"/>
      <c r="L96" s="6" t="s">
        <v>7</v>
      </c>
      <c r="M96" s="7">
        <f t="shared" ref="M96:S96" si="92">C96-$C$93</f>
        <v>0.01116666667</v>
      </c>
      <c r="N96" s="7">
        <f t="shared" si="92"/>
        <v>0.031</v>
      </c>
      <c r="O96" s="7">
        <f t="shared" si="92"/>
        <v>0.05216666667</v>
      </c>
      <c r="P96" s="7">
        <f t="shared" si="92"/>
        <v>0.03183333333</v>
      </c>
      <c r="Q96" s="7">
        <f t="shared" si="92"/>
        <v>0.05433333333</v>
      </c>
      <c r="R96" s="7">
        <f t="shared" si="92"/>
        <v>0.026</v>
      </c>
      <c r="S96" s="7">
        <f t="shared" si="92"/>
        <v>0.04716666667</v>
      </c>
    </row>
    <row r="97">
      <c r="B97" s="6" t="s">
        <v>8</v>
      </c>
      <c r="C97" s="7">
        <f t="shared" ref="C97:I97" si="93">AVERAGE(C67, C77, C87)</f>
        <v>0.3706666667</v>
      </c>
      <c r="D97" s="7">
        <f t="shared" si="93"/>
        <v>0.3905</v>
      </c>
      <c r="E97" s="7">
        <f t="shared" si="93"/>
        <v>0.4113333333</v>
      </c>
      <c r="F97" s="7">
        <f t="shared" si="93"/>
        <v>0.3913333333</v>
      </c>
      <c r="G97" s="7">
        <f t="shared" si="93"/>
        <v>0.4138333333</v>
      </c>
      <c r="H97" s="7">
        <f t="shared" si="93"/>
        <v>0.385</v>
      </c>
      <c r="I97" s="7">
        <f t="shared" si="93"/>
        <v>0.4063333333</v>
      </c>
      <c r="J97" s="3"/>
      <c r="L97" s="6" t="s">
        <v>8</v>
      </c>
      <c r="M97" s="7">
        <f t="shared" ref="M97:S97" si="94">C97-$C$93</f>
        <v>0.009833333333</v>
      </c>
      <c r="N97" s="7">
        <f t="shared" si="94"/>
        <v>0.02966666667</v>
      </c>
      <c r="O97" s="7">
        <f t="shared" si="94"/>
        <v>0.0505</v>
      </c>
      <c r="P97" s="7">
        <f t="shared" si="94"/>
        <v>0.0305</v>
      </c>
      <c r="Q97" s="7">
        <f t="shared" si="94"/>
        <v>0.053</v>
      </c>
      <c r="R97" s="7">
        <f t="shared" si="94"/>
        <v>0.02416666667</v>
      </c>
      <c r="S97" s="7">
        <f t="shared" si="94"/>
        <v>0.0455</v>
      </c>
    </row>
    <row r="98">
      <c r="B98" s="6" t="s">
        <v>9</v>
      </c>
      <c r="C98" s="7">
        <f t="shared" ref="C98:I98" si="95">AVERAGE(C68, C78, C88)</f>
        <v>0.3653333333</v>
      </c>
      <c r="D98" s="7">
        <f t="shared" si="95"/>
        <v>0.3851666667</v>
      </c>
      <c r="E98" s="7">
        <f t="shared" si="95"/>
        <v>0.4066666667</v>
      </c>
      <c r="F98" s="7">
        <f t="shared" si="95"/>
        <v>0.3883333333</v>
      </c>
      <c r="G98" s="7">
        <f t="shared" si="95"/>
        <v>0.412</v>
      </c>
      <c r="H98" s="7">
        <f t="shared" si="95"/>
        <v>0.3818333333</v>
      </c>
      <c r="I98" s="7">
        <f t="shared" si="95"/>
        <v>0.4051666667</v>
      </c>
      <c r="J98" s="3"/>
      <c r="L98" s="6" t="s">
        <v>9</v>
      </c>
      <c r="M98" s="7">
        <f t="shared" ref="M98:S98" si="96">C98-$C$93</f>
        <v>0.0045</v>
      </c>
      <c r="N98" s="7">
        <f t="shared" si="96"/>
        <v>0.02433333333</v>
      </c>
      <c r="O98" s="7">
        <f t="shared" si="96"/>
        <v>0.04583333333</v>
      </c>
      <c r="P98" s="7">
        <f t="shared" si="96"/>
        <v>0.0275</v>
      </c>
      <c r="Q98" s="7">
        <f t="shared" si="96"/>
        <v>0.05116666667</v>
      </c>
      <c r="R98" s="7">
        <f t="shared" si="96"/>
        <v>0.021</v>
      </c>
      <c r="S98" s="7">
        <f t="shared" si="96"/>
        <v>0.04433333333</v>
      </c>
    </row>
    <row r="99">
      <c r="B99" s="6" t="s">
        <v>10</v>
      </c>
      <c r="C99" s="7">
        <f t="shared" ref="C99:I99" si="97">AVERAGE(C69, C79, C89)</f>
        <v>0.3696666667</v>
      </c>
      <c r="D99" s="7">
        <f t="shared" si="97"/>
        <v>0.3893333333</v>
      </c>
      <c r="E99" s="7">
        <f t="shared" si="97"/>
        <v>0.4113333333</v>
      </c>
      <c r="F99" s="7">
        <f t="shared" si="97"/>
        <v>0.3931666667</v>
      </c>
      <c r="G99" s="7">
        <f t="shared" si="97"/>
        <v>0.417</v>
      </c>
      <c r="H99" s="7">
        <f t="shared" si="97"/>
        <v>0.3851666667</v>
      </c>
      <c r="I99" s="7">
        <f t="shared" si="97"/>
        <v>0.408</v>
      </c>
      <c r="J99" s="3"/>
      <c r="L99" s="6" t="s">
        <v>10</v>
      </c>
      <c r="M99" s="7">
        <f t="shared" ref="M99:S99" si="98">C99-$C$93</f>
        <v>0.008833333333</v>
      </c>
      <c r="N99" s="7">
        <f t="shared" si="98"/>
        <v>0.0285</v>
      </c>
      <c r="O99" s="7">
        <f t="shared" si="98"/>
        <v>0.0505</v>
      </c>
      <c r="P99" s="7">
        <f t="shared" si="98"/>
        <v>0.03233333333</v>
      </c>
      <c r="Q99" s="7">
        <f t="shared" si="98"/>
        <v>0.05616666667</v>
      </c>
      <c r="R99" s="7">
        <f t="shared" si="98"/>
        <v>0.02433333333</v>
      </c>
      <c r="S99" s="7">
        <f t="shared" si="98"/>
        <v>0.04716666667</v>
      </c>
    </row>
    <row r="101">
      <c r="A101" s="8" t="s">
        <v>695</v>
      </c>
      <c r="B101" s="8" t="s">
        <v>696</v>
      </c>
      <c r="C101" s="8" t="s">
        <v>697</v>
      </c>
      <c r="D101" s="8" t="s">
        <v>698</v>
      </c>
      <c r="E101" s="8" t="s">
        <v>565</v>
      </c>
      <c r="F101" s="8" t="s">
        <v>554</v>
      </c>
      <c r="G101" s="8" t="s">
        <v>699</v>
      </c>
      <c r="I101" s="9" t="str">
        <f t="shared" ref="I101:O101" si="99">substitute(SUBSTITUTE(A101, "(", ""), ")", "")</f>
        <v>0.052, 0.052, 0.052</v>
      </c>
      <c r="J101" s="9" t="str">
        <f t="shared" si="99"/>
        <v>0.048, 0.043, 0.144</v>
      </c>
      <c r="K101" s="9" t="str">
        <f t="shared" si="99"/>
        <v>0.051, 0.041, 0.241</v>
      </c>
      <c r="L101" s="9" t="str">
        <f t="shared" si="99"/>
        <v>0.050, 0.045, 0.145</v>
      </c>
      <c r="M101" s="9" t="str">
        <f t="shared" si="99"/>
        <v>0.056, 0.044, 0.244</v>
      </c>
      <c r="N101" s="9" t="str">
        <f t="shared" si="99"/>
        <v>0.019, 0.017, 0.117</v>
      </c>
      <c r="O101" s="9" t="str">
        <f t="shared" si="99"/>
        <v>0.010, 0.008, 0.208</v>
      </c>
      <c r="T101" s="6"/>
    </row>
    <row r="102">
      <c r="A102" s="8" t="s">
        <v>556</v>
      </c>
      <c r="B102" s="8" t="s">
        <v>536</v>
      </c>
      <c r="C102" s="8" t="s">
        <v>700</v>
      </c>
      <c r="D102" s="8" t="s">
        <v>701</v>
      </c>
      <c r="E102" s="8" t="s">
        <v>702</v>
      </c>
      <c r="F102" s="8" t="s">
        <v>703</v>
      </c>
      <c r="G102" s="8" t="s">
        <v>704</v>
      </c>
      <c r="I102" s="9" t="str">
        <f t="shared" ref="I102:O102" si="100">substitute(SUBSTITUTE(A102, "(", ""), ")", "")</f>
        <v>0.051, 0.051, 0.051</v>
      </c>
      <c r="J102" s="9" t="str">
        <f t="shared" si="100"/>
        <v>0.044, 0.040, 0.140</v>
      </c>
      <c r="K102" s="9" t="str">
        <f t="shared" si="100"/>
        <v>0.050, 0.040, 0.240</v>
      </c>
      <c r="L102" s="9" t="str">
        <f t="shared" si="100"/>
        <v>0.052, 0.046, 0.147</v>
      </c>
      <c r="M102" s="9" t="str">
        <f t="shared" si="100"/>
        <v>0.055, 0.044, 0.244</v>
      </c>
      <c r="N102" s="9" t="str">
        <f t="shared" si="100"/>
        <v>0.021, 0.019, 0.119</v>
      </c>
      <c r="O102" s="9" t="str">
        <f t="shared" si="100"/>
        <v>0.016, 0.012, 0.213</v>
      </c>
    </row>
    <row r="103">
      <c r="A103" s="8" t="s">
        <v>556</v>
      </c>
      <c r="B103" s="8" t="s">
        <v>705</v>
      </c>
      <c r="C103" s="8" t="s">
        <v>706</v>
      </c>
      <c r="D103" s="8" t="s">
        <v>707</v>
      </c>
      <c r="E103" s="8" t="s">
        <v>708</v>
      </c>
      <c r="F103" s="8" t="s">
        <v>544</v>
      </c>
      <c r="G103" s="8" t="s">
        <v>709</v>
      </c>
      <c r="I103" s="9" t="str">
        <f t="shared" ref="I103:O103" si="101">substitute(SUBSTITUTE(A103, "(", ""), ")", "")</f>
        <v>0.051, 0.051, 0.051</v>
      </c>
      <c r="J103" s="9" t="str">
        <f t="shared" si="101"/>
        <v>0.045, 0.040, 0.141</v>
      </c>
      <c r="K103" s="9" t="str">
        <f t="shared" si="101"/>
        <v>0.049, 0.040, 0.240</v>
      </c>
      <c r="L103" s="9" t="str">
        <f t="shared" si="101"/>
        <v>0.052, 0.047, 0.147</v>
      </c>
      <c r="M103" s="9" t="str">
        <f t="shared" si="101"/>
        <v>0.062, 0.049, 0.249</v>
      </c>
      <c r="N103" s="9" t="str">
        <f t="shared" si="101"/>
        <v>0.027, 0.024, 0.124</v>
      </c>
      <c r="O103" s="9" t="str">
        <f t="shared" si="101"/>
        <v>0.025, 0.020, 0.220</v>
      </c>
    </row>
    <row r="104">
      <c r="A104" s="8" t="s">
        <v>710</v>
      </c>
      <c r="B104" s="8" t="s">
        <v>711</v>
      </c>
      <c r="C104" s="8" t="s">
        <v>702</v>
      </c>
      <c r="D104" s="8" t="s">
        <v>559</v>
      </c>
      <c r="E104" s="8" t="s">
        <v>560</v>
      </c>
      <c r="F104" s="8" t="s">
        <v>712</v>
      </c>
      <c r="G104" s="8" t="s">
        <v>713</v>
      </c>
      <c r="I104" s="9" t="str">
        <f t="shared" ref="I104:O104" si="102">substitute(SUBSTITUTE(A104, "(", ""), ")", "")</f>
        <v>0.054, 0.054, 0.054</v>
      </c>
      <c r="J104" s="9" t="str">
        <f t="shared" si="102"/>
        <v>0.049, 0.044, 0.144</v>
      </c>
      <c r="K104" s="9" t="str">
        <f t="shared" si="102"/>
        <v>0.055, 0.044, 0.244</v>
      </c>
      <c r="L104" s="9" t="str">
        <f t="shared" si="102"/>
        <v>0.051, 0.045, 0.146</v>
      </c>
      <c r="M104" s="9" t="str">
        <f t="shared" si="102"/>
        <v>0.056, 0.045, 0.245</v>
      </c>
      <c r="N104" s="9" t="str">
        <f t="shared" si="102"/>
        <v>0.019, 0.018, 0.118</v>
      </c>
      <c r="O104" s="9" t="str">
        <f t="shared" si="102"/>
        <v>0.009, 0.007, 0.208</v>
      </c>
    </row>
    <row r="105">
      <c r="A105" s="8" t="s">
        <v>714</v>
      </c>
      <c r="B105" s="8" t="s">
        <v>564</v>
      </c>
      <c r="C105" s="8" t="s">
        <v>715</v>
      </c>
      <c r="D105" s="8" t="s">
        <v>564</v>
      </c>
      <c r="E105" s="8" t="s">
        <v>716</v>
      </c>
      <c r="F105" s="8" t="s">
        <v>717</v>
      </c>
      <c r="G105" s="8" t="s">
        <v>562</v>
      </c>
      <c r="I105" s="9" t="str">
        <f t="shared" ref="I105:O105" si="103">substitute(SUBSTITUTE(A105, "(", ""), ")", "")</f>
        <v>0.059, 0.059, 0.059</v>
      </c>
      <c r="J105" s="9" t="str">
        <f t="shared" si="103"/>
        <v>0.053, 0.048, 0.148</v>
      </c>
      <c r="K105" s="9" t="str">
        <f t="shared" si="103"/>
        <v>0.061, 0.049, 0.249</v>
      </c>
      <c r="L105" s="9" t="str">
        <f t="shared" si="103"/>
        <v>0.053, 0.048, 0.148</v>
      </c>
      <c r="M105" s="9" t="str">
        <f t="shared" si="103"/>
        <v>0.059, 0.047, 0.247</v>
      </c>
      <c r="N105" s="9" t="str">
        <f t="shared" si="103"/>
        <v>0.022, 0.020, 0.120</v>
      </c>
      <c r="O105" s="9" t="str">
        <f t="shared" si="103"/>
        <v>0.007, 0.005, 0.206</v>
      </c>
    </row>
    <row r="106">
      <c r="A106" s="8" t="s">
        <v>710</v>
      </c>
      <c r="B106" s="8" t="s">
        <v>696</v>
      </c>
      <c r="C106" s="8" t="s">
        <v>546</v>
      </c>
      <c r="D106" s="8" t="s">
        <v>698</v>
      </c>
      <c r="E106" s="8" t="s">
        <v>546</v>
      </c>
      <c r="F106" s="8" t="s">
        <v>554</v>
      </c>
      <c r="G106" s="8" t="s">
        <v>555</v>
      </c>
      <c r="I106" s="9" t="str">
        <f t="shared" ref="I106:O106" si="104">substitute(SUBSTITUTE(A106, "(", ""), ")", "")</f>
        <v>0.054, 0.054, 0.054</v>
      </c>
      <c r="J106" s="9" t="str">
        <f t="shared" si="104"/>
        <v>0.048, 0.043, 0.144</v>
      </c>
      <c r="K106" s="9" t="str">
        <f t="shared" si="104"/>
        <v>0.054, 0.043, 0.243</v>
      </c>
      <c r="L106" s="9" t="str">
        <f t="shared" si="104"/>
        <v>0.050, 0.045, 0.145</v>
      </c>
      <c r="M106" s="9" t="str">
        <f t="shared" si="104"/>
        <v>0.054, 0.043, 0.243</v>
      </c>
      <c r="N106" s="9" t="str">
        <f t="shared" si="104"/>
        <v>0.019, 0.017, 0.117</v>
      </c>
      <c r="O106" s="9" t="str">
        <f t="shared" si="104"/>
        <v>0.007, 0.006, 0.206</v>
      </c>
    </row>
    <row r="107">
      <c r="A107" s="8" t="s">
        <v>718</v>
      </c>
      <c r="B107" s="8" t="s">
        <v>719</v>
      </c>
      <c r="C107" s="8" t="s">
        <v>720</v>
      </c>
      <c r="D107" s="8" t="s">
        <v>721</v>
      </c>
      <c r="E107" s="8" t="s">
        <v>543</v>
      </c>
      <c r="F107" s="8" t="s">
        <v>561</v>
      </c>
      <c r="G107" s="8" t="s">
        <v>722</v>
      </c>
      <c r="I107" s="9" t="str">
        <f t="shared" ref="I107:O107" si="105">substitute(SUBSTITUTE(A107, "(", ""), ")", "")</f>
        <v>0.062, 0.062, 0.062</v>
      </c>
      <c r="J107" s="9" t="str">
        <f t="shared" si="105"/>
        <v>0.056, 0.050, 0.150</v>
      </c>
      <c r="K107" s="9" t="str">
        <f t="shared" si="105"/>
        <v>0.067, 0.054, 0.254</v>
      </c>
      <c r="L107" s="9" t="str">
        <f t="shared" si="105"/>
        <v>0.056, 0.051, 0.151</v>
      </c>
      <c r="M107" s="9" t="str">
        <f t="shared" si="105"/>
        <v>0.060, 0.048, 0.248</v>
      </c>
      <c r="N107" s="9" t="str">
        <f t="shared" si="105"/>
        <v>0.018, 0.017, 0.117</v>
      </c>
      <c r="O107" s="9" t="str">
        <f t="shared" si="105"/>
        <v>0.001, 0.001, 0.201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"","")"),0.052)</f>
        <v>0.052</v>
      </c>
      <c r="B109" s="9">
        <f>IFERROR(__xludf.DUMMYFUNCTION("""COMPUTED_VALUE"""),0.052)</f>
        <v>0.052</v>
      </c>
      <c r="C109" s="9">
        <f>IFERROR(__xludf.DUMMYFUNCTION("""COMPUTED_VALUE"""),0.052)</f>
        <v>0.052</v>
      </c>
      <c r="E109" s="11">
        <f>IFERROR(__xludf.DUMMYFUNCTION("SPLIT(J101, "","")"),0.048)</f>
        <v>0.048</v>
      </c>
      <c r="F109" s="9">
        <f>IFERROR(__xludf.DUMMYFUNCTION("""COMPUTED_VALUE"""),0.043)</f>
        <v>0.043</v>
      </c>
      <c r="G109" s="9">
        <f>IFERROR(__xludf.DUMMYFUNCTION("""COMPUTED_VALUE"""),0.144)</f>
        <v>0.144</v>
      </c>
      <c r="I109" s="9">
        <f>IFERROR(__xludf.DUMMYFUNCTION("SPLIT(K101, "","")"),0.051)</f>
        <v>0.051</v>
      </c>
      <c r="J109" s="9">
        <f>IFERROR(__xludf.DUMMYFUNCTION("""COMPUTED_VALUE"""),0.041)</f>
        <v>0.041</v>
      </c>
      <c r="K109" s="9">
        <f>IFERROR(__xludf.DUMMYFUNCTION("""COMPUTED_VALUE"""),0.241)</f>
        <v>0.241</v>
      </c>
      <c r="M109" s="9">
        <f>IFERROR(__xludf.DUMMYFUNCTION("SPLIT(L101, "","")"),0.05)</f>
        <v>0.05</v>
      </c>
      <c r="N109" s="9">
        <f>IFERROR(__xludf.DUMMYFUNCTION("""COMPUTED_VALUE"""),0.045)</f>
        <v>0.045</v>
      </c>
      <c r="O109" s="9">
        <f>IFERROR(__xludf.DUMMYFUNCTION("""COMPUTED_VALUE"""),0.145)</f>
        <v>0.145</v>
      </c>
      <c r="Q109" s="9">
        <f>IFERROR(__xludf.DUMMYFUNCTION("SPLIT(M101, "","")"),0.056)</f>
        <v>0.056</v>
      </c>
      <c r="R109" s="9">
        <f>IFERROR(__xludf.DUMMYFUNCTION("""COMPUTED_VALUE"""),0.044)</f>
        <v>0.044</v>
      </c>
      <c r="S109" s="9">
        <f>IFERROR(__xludf.DUMMYFUNCTION("""COMPUTED_VALUE"""),0.244)</f>
        <v>0.244</v>
      </c>
      <c r="U109" s="9">
        <f>IFERROR(__xludf.DUMMYFUNCTION("SPLIT(N101, "","")"),0.019)</f>
        <v>0.019</v>
      </c>
      <c r="V109" s="9">
        <f>IFERROR(__xludf.DUMMYFUNCTION("""COMPUTED_VALUE"""),0.017)</f>
        <v>0.017</v>
      </c>
      <c r="W109" s="9">
        <f>IFERROR(__xludf.DUMMYFUNCTION("""COMPUTED_VALUE"""),0.117)</f>
        <v>0.117</v>
      </c>
      <c r="Y109" s="9">
        <f>IFERROR(__xludf.DUMMYFUNCTION("SPLIT(O101, "","")"),0.01)</f>
        <v>0.01</v>
      </c>
      <c r="Z109" s="9">
        <f>IFERROR(__xludf.DUMMYFUNCTION("""COMPUTED_VALUE"""),0.008)</f>
        <v>0.008</v>
      </c>
      <c r="AA109" s="9">
        <f>IFERROR(__xludf.DUMMYFUNCTION("""COMPUTED_VALUE"""),0.208)</f>
        <v>0.208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"","")"),0.044)</f>
        <v>0.044</v>
      </c>
      <c r="F110" s="9">
        <f>IFERROR(__xludf.DUMMYFUNCTION("""COMPUTED_VALUE"""),0.04)</f>
        <v>0.04</v>
      </c>
      <c r="G110" s="9">
        <f>IFERROR(__xludf.DUMMYFUNCTION("""COMPUTED_VALUE"""),0.14)</f>
        <v>0.14</v>
      </c>
      <c r="I110" s="9">
        <f>IFERROR(__xludf.DUMMYFUNCTION("SPLIT(K102, "","")"),0.05)</f>
        <v>0.05</v>
      </c>
      <c r="J110" s="9">
        <f>IFERROR(__xludf.DUMMYFUNCTION("""COMPUTED_VALUE"""),0.04)</f>
        <v>0.04</v>
      </c>
      <c r="K110" s="9">
        <f>IFERROR(__xludf.DUMMYFUNCTION("""COMPUTED_VALUE"""),0.24)</f>
        <v>0.24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"","")"),0.055)</f>
        <v>0.055</v>
      </c>
      <c r="R110" s="9">
        <f>IFERROR(__xludf.DUMMYFUNCTION("""COMPUTED_VALUE"""),0.044)</f>
        <v>0.044</v>
      </c>
      <c r="S110" s="9">
        <f>IFERROR(__xludf.DUMMYFUNCTION("""COMPUTED_VALUE"""),0.244)</f>
        <v>0.244</v>
      </c>
      <c r="U110" s="9">
        <f>IFERROR(__xludf.DUMMYFUNCTION("SPLIT(N102, "","")"),0.021)</f>
        <v>0.021</v>
      </c>
      <c r="V110" s="9">
        <f>IFERROR(__xludf.DUMMYFUNCTION("""COMPUTED_VALUE"""),0.019)</f>
        <v>0.019</v>
      </c>
      <c r="W110" s="9">
        <f>IFERROR(__xludf.DUMMYFUNCTION("""COMPUTED_VALUE"""),0.119)</f>
        <v>0.119</v>
      </c>
      <c r="Y110" s="9">
        <f>IFERROR(__xludf.DUMMYFUNCTION("SPLIT(O102, "","")"),0.016)</f>
        <v>0.016</v>
      </c>
      <c r="Z110" s="9">
        <f>IFERROR(__xludf.DUMMYFUNCTION("""COMPUTED_VALUE"""),0.012)</f>
        <v>0.012</v>
      </c>
      <c r="AA110" s="9">
        <f>IFERROR(__xludf.DUMMYFUNCTION("""COMPUTED_VALUE"""),0.213)</f>
        <v>0.213</v>
      </c>
    </row>
    <row r="111">
      <c r="A111" s="9">
        <f>IFERROR(__xludf.DUMMYFUNCTION("SPLIT(I103, "","")"),0.051)</f>
        <v>0.051</v>
      </c>
      <c r="B111" s="9">
        <f>IFERROR(__xludf.DUMMYFUNCTION("""COMPUTED_VALUE"""),0.051)</f>
        <v>0.051</v>
      </c>
      <c r="C111" s="9">
        <f>IFERROR(__xludf.DUMMYFUNCTION("""COMPUTED_VALUE"""),0.051)</f>
        <v>0.051</v>
      </c>
      <c r="E111" s="11">
        <f>IFERROR(__xludf.DUMMYFUNCTION("SPLIT(J103, "","")"),0.045)</f>
        <v>0.045</v>
      </c>
      <c r="F111" s="9">
        <f>IFERROR(__xludf.DUMMYFUNCTION("""COMPUTED_VALUE"""),0.04)</f>
        <v>0.04</v>
      </c>
      <c r="G111" s="9">
        <f>IFERROR(__xludf.DUMMYFUNCTION("""COMPUTED_VALUE"""),0.141)</f>
        <v>0.141</v>
      </c>
      <c r="I111" s="9">
        <f>IFERROR(__xludf.DUMMYFUNCTION("SPLIT(K103, "","")"),0.049)</f>
        <v>0.049</v>
      </c>
      <c r="J111" s="9">
        <f>IFERROR(__xludf.DUMMYFUNCTION("""COMPUTED_VALUE"""),0.04)</f>
        <v>0.04</v>
      </c>
      <c r="K111" s="9">
        <f>IFERROR(__xludf.DUMMYFUNCTION("""COMPUTED_VALUE"""),0.24)</f>
        <v>0.24</v>
      </c>
      <c r="M111" s="9">
        <f>IFERROR(__xludf.DUMMYFUNCTION("SPLIT(L103, "","")"),0.052)</f>
        <v>0.052</v>
      </c>
      <c r="N111" s="9">
        <f>IFERROR(__xludf.DUMMYFUNCTION("""COMPUTED_VALUE"""),0.047)</f>
        <v>0.047</v>
      </c>
      <c r="O111" s="9">
        <f>IFERROR(__xludf.DUMMYFUNCTION("""COMPUTED_VALUE"""),0.147)</f>
        <v>0.147</v>
      </c>
      <c r="Q111" s="9">
        <f>IFERROR(__xludf.DUMMYFUNCTION("SPLIT(M103, "","")"),0.062)</f>
        <v>0.062</v>
      </c>
      <c r="R111" s="9">
        <f>IFERROR(__xludf.DUMMYFUNCTION("""COMPUTED_VALUE"""),0.049)</f>
        <v>0.049</v>
      </c>
      <c r="S111" s="9">
        <f>IFERROR(__xludf.DUMMYFUNCTION("""COMPUTED_VALUE"""),0.249)</f>
        <v>0.249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"","")"),0.025)</f>
        <v>0.025</v>
      </c>
      <c r="Z111" s="9">
        <f>IFERROR(__xludf.DUMMYFUNCTION("""COMPUTED_VALUE"""),0.02)</f>
        <v>0.02</v>
      </c>
      <c r="AA111" s="9">
        <f>IFERROR(__xludf.DUMMYFUNCTION("""COMPUTED_VALUE"""),0.22)</f>
        <v>0.22</v>
      </c>
    </row>
    <row r="112">
      <c r="A112" s="9">
        <f>IFERROR(__xludf.DUMMYFUNCTION("SPLIT(I104, "","")"),0.054)</f>
        <v>0.054</v>
      </c>
      <c r="B112" s="9">
        <f>IFERROR(__xludf.DUMMYFUNCTION("""COMPUTED_VALUE"""),0.054)</f>
        <v>0.054</v>
      </c>
      <c r="C112" s="9">
        <f>IFERROR(__xludf.DUMMYFUNCTION("""COMPUTED_VALUE"""),0.054)</f>
        <v>0.054</v>
      </c>
      <c r="E112" s="11">
        <f>IFERROR(__xludf.DUMMYFUNCTION("SPLIT(J104, "","")"),0.049)</f>
        <v>0.049</v>
      </c>
      <c r="F112" s="9">
        <f>IFERROR(__xludf.DUMMYFUNCTION("""COMPUTED_VALUE"""),0.044)</f>
        <v>0.044</v>
      </c>
      <c r="G112" s="9">
        <f>IFERROR(__xludf.DUMMYFUNCTION("""COMPUTED_VALUE"""),0.144)</f>
        <v>0.144</v>
      </c>
      <c r="I112" s="9">
        <f>IFERROR(__xludf.DUMMYFUNCTION("SPLIT(K104, "","")"),0.055)</f>
        <v>0.055</v>
      </c>
      <c r="J112" s="9">
        <f>IFERROR(__xludf.DUMMYFUNCTION("""COMPUTED_VALUE"""),0.044)</f>
        <v>0.044</v>
      </c>
      <c r="K112" s="9">
        <f>IFERROR(__xludf.DUMMYFUNCTION("""COMPUTED_VALUE"""),0.244)</f>
        <v>0.244</v>
      </c>
      <c r="M112" s="9">
        <f>IFERROR(__xludf.DUMMYFUNCTION("SPLIT(L104, "","")"),0.051)</f>
        <v>0.051</v>
      </c>
      <c r="N112" s="9">
        <f>IFERROR(__xludf.DUMMYFUNCTION("""COMPUTED_VALUE"""),0.045)</f>
        <v>0.045</v>
      </c>
      <c r="O112" s="9">
        <f>IFERROR(__xludf.DUMMYFUNCTION("""COMPUTED_VALUE"""),0.146)</f>
        <v>0.146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"","")"),0.019)</f>
        <v>0.019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"","")"),0.009)</f>
        <v>0.009</v>
      </c>
      <c r="Z112" s="9">
        <f>IFERROR(__xludf.DUMMYFUNCTION("""COMPUTED_VALUE"""),0.007)</f>
        <v>0.007</v>
      </c>
      <c r="AA112" s="9">
        <f>IFERROR(__xludf.DUMMYFUNCTION("""COMPUTED_VALUE"""),0.208)</f>
        <v>0.208</v>
      </c>
    </row>
    <row r="113">
      <c r="A113" s="9">
        <f>IFERROR(__xludf.DUMMYFUNCTION("SPLIT(I105, "","")"),0.059)</f>
        <v>0.059</v>
      </c>
      <c r="B113" s="9">
        <f>IFERROR(__xludf.DUMMYFUNCTION("""COMPUTED_VALUE"""),0.059)</f>
        <v>0.059</v>
      </c>
      <c r="C113" s="9">
        <f>IFERROR(__xludf.DUMMYFUNCTION("""COMPUTED_VALUE"""),0.059)</f>
        <v>0.059</v>
      </c>
      <c r="E113" s="11">
        <f>IFERROR(__xludf.DUMMYFUNCTION("SPLIT(J105, "","")"),0.053)</f>
        <v>0.053</v>
      </c>
      <c r="F113" s="9">
        <f>IFERROR(__xludf.DUMMYFUNCTION("""COMPUTED_VALUE"""),0.048)</f>
        <v>0.048</v>
      </c>
      <c r="G113" s="9">
        <f>IFERROR(__xludf.DUMMYFUNCTION("""COMPUTED_VALUE"""),0.148)</f>
        <v>0.148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"","")"),0.053)</f>
        <v>0.053</v>
      </c>
      <c r="N113" s="9">
        <f>IFERROR(__xludf.DUMMYFUNCTION("""COMPUTED_VALUE"""),0.048)</f>
        <v>0.048</v>
      </c>
      <c r="O113" s="9">
        <f>IFERROR(__xludf.DUMMYFUNCTION("""COMPUTED_VALUE"""),0.148)</f>
        <v>0.148</v>
      </c>
      <c r="Q113" s="9">
        <f>IFERROR(__xludf.DUMMYFUNCTION("SPLIT(M105, "","")"),0.059)</f>
        <v>0.059</v>
      </c>
      <c r="R113" s="9">
        <f>IFERROR(__xludf.DUMMYFUNCTION("""COMPUTED_VALUE"""),0.047)</f>
        <v>0.047</v>
      </c>
      <c r="S113" s="9">
        <f>IFERROR(__xludf.DUMMYFUNCTION("""COMPUTED_VALUE"""),0.247)</f>
        <v>0.247</v>
      </c>
      <c r="U113" s="9">
        <f>IFERROR(__xludf.DUMMYFUNCTION("SPLIT(N105, "","")"),0.022)</f>
        <v>0.022</v>
      </c>
      <c r="V113" s="9">
        <f>IFERROR(__xludf.DUMMYFUNCTION("""COMPUTED_VALUE"""),0.02)</f>
        <v>0.02</v>
      </c>
      <c r="W113" s="9">
        <f>IFERROR(__xludf.DUMMYFUNCTION("""COMPUTED_VALUE"""),0.12)</f>
        <v>0.12</v>
      </c>
      <c r="Y113" s="9">
        <f>IFERROR(__xludf.DUMMYFUNCTION("SPLIT(O105, "","")"),0.007)</f>
        <v>0.007</v>
      </c>
      <c r="Z113" s="9">
        <f>IFERROR(__xludf.DUMMYFUNCTION("""COMPUTED_VALUE"""),0.005)</f>
        <v>0.005</v>
      </c>
      <c r="AA113" s="9">
        <f>IFERROR(__xludf.DUMMYFUNCTION("""COMPUTED_VALUE"""),0.206)</f>
        <v>0.206</v>
      </c>
    </row>
    <row r="114">
      <c r="A114" s="9">
        <f>IFERROR(__xludf.DUMMYFUNCTION("SPLIT(I106, "","")"),0.054)</f>
        <v>0.054</v>
      </c>
      <c r="B114" s="9">
        <f>IFERROR(__xludf.DUMMYFUNCTION("""COMPUTED_VALUE"""),0.054)</f>
        <v>0.054</v>
      </c>
      <c r="C114" s="9">
        <f>IFERROR(__xludf.DUMMYFUNCTION("""COMPUTED_VALUE"""),0.054)</f>
        <v>0.054</v>
      </c>
      <c r="E114" s="11">
        <f>IFERROR(__xludf.DUMMYFUNCTION("SPLIT(J106, "","")"),0.048)</f>
        <v>0.048</v>
      </c>
      <c r="F114" s="9">
        <f>IFERROR(__xludf.DUMMYFUNCTION("""COMPUTED_VALUE"""),0.043)</f>
        <v>0.043</v>
      </c>
      <c r="G114" s="9">
        <f>IFERROR(__xludf.DUMMYFUNCTION("""COMPUTED_VALUE"""),0.144)</f>
        <v>0.144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"","")"),0.05)</f>
        <v>0.05</v>
      </c>
      <c r="N114" s="9">
        <f>IFERROR(__xludf.DUMMYFUNCTION("""COMPUTED_VALUE"""),0.045)</f>
        <v>0.045</v>
      </c>
      <c r="O114" s="9">
        <f>IFERROR(__xludf.DUMMYFUNCTION("""COMPUTED_VALUE"""),0.145)</f>
        <v>0.145</v>
      </c>
      <c r="Q114" s="9">
        <f>IFERROR(__xludf.DUMMYFUNCTION("SPLIT(M106, "","")"),0.054)</f>
        <v>0.054</v>
      </c>
      <c r="R114" s="9">
        <f>IFERROR(__xludf.DUMMYFUNCTION("""COMPUTED_VALUE"""),0.043)</f>
        <v>0.043</v>
      </c>
      <c r="S114" s="9">
        <f>IFERROR(__xludf.DUMMYFUNCTION("""COMPUTED_VALUE"""),0.243)</f>
        <v>0.243</v>
      </c>
      <c r="U114" s="9">
        <f>IFERROR(__xludf.DUMMYFUNCTION("SPLIT(N106, "","")"),0.019)</f>
        <v>0.019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IFERROR(__xludf.DUMMYFUNCTION("""COMPUTED_VALUE"""),0.006)</f>
        <v>0.006</v>
      </c>
      <c r="AA114" s="9">
        <f>IFERROR(__xludf.DUMMYFUNCTION("""COMPUTED_VALUE"""),0.206)</f>
        <v>0.206</v>
      </c>
    </row>
    <row r="115">
      <c r="A115" s="9">
        <f>IFERROR(__xludf.DUMMYFUNCTION("SPLIT(I107, "","")"),0.062)</f>
        <v>0.062</v>
      </c>
      <c r="B115" s="9">
        <f>IFERROR(__xludf.DUMMYFUNCTION("""COMPUTED_VALUE"""),0.062)</f>
        <v>0.062</v>
      </c>
      <c r="C115" s="9">
        <f>IFERROR(__xludf.DUMMYFUNCTION("""COMPUTED_VALUE"""),0.062)</f>
        <v>0.062</v>
      </c>
      <c r="E115" s="11">
        <f>IFERROR(__xludf.DUMMYFUNCTION("SPLIT(J107, "","")"),0.056)</f>
        <v>0.056</v>
      </c>
      <c r="F115" s="9">
        <f>IFERROR(__xludf.DUMMYFUNCTION("""COMPUTED_VALUE"""),0.05)</f>
        <v>0.05</v>
      </c>
      <c r="G115" s="9">
        <f>IFERROR(__xludf.DUMMYFUNCTION("""COMPUTED_VALUE"""),0.15)</f>
        <v>0.15</v>
      </c>
      <c r="I115" s="9">
        <f>IFERROR(__xludf.DUMMYFUNCTION("SPLIT(K107, "","")"),0.067)</f>
        <v>0.067</v>
      </c>
      <c r="J115" s="9">
        <f>IFERROR(__xludf.DUMMYFUNCTION("""COMPUTED_VALUE"""),0.054)</f>
        <v>0.054</v>
      </c>
      <c r="K115" s="9">
        <f>IFERROR(__xludf.DUMMYFUNCTION("""COMPUTED_VALUE"""),0.254)</f>
        <v>0.254</v>
      </c>
      <c r="M115" s="9">
        <f>IFERROR(__xludf.DUMMYFUNCTION("SPLIT(L107, "","")"),0.056)</f>
        <v>0.056</v>
      </c>
      <c r="N115" s="9">
        <f>IFERROR(__xludf.DUMMYFUNCTION("""COMPUTED_VALUE"""),0.051)</f>
        <v>0.051</v>
      </c>
      <c r="O115" s="9">
        <f>IFERROR(__xludf.DUMMYFUNCTION("""COMPUTED_VALUE"""),0.151)</f>
        <v>0.151</v>
      </c>
      <c r="Q115" s="9">
        <f>IFERROR(__xludf.DUMMYFUNCTION("SPLIT(M107, "","")"),0.06)</f>
        <v>0.06</v>
      </c>
      <c r="R115" s="9">
        <f>IFERROR(__xludf.DUMMYFUNCTION("""COMPUTED_VALUE"""),0.048)</f>
        <v>0.048</v>
      </c>
      <c r="S115" s="9">
        <f>IFERROR(__xludf.DUMMYFUNCTION("""COMPUTED_VALUE"""),0.248)</f>
        <v>0.248</v>
      </c>
      <c r="U115" s="9">
        <f>IFERROR(__xludf.DUMMYFUNCTION("SPLIT(N107, "","")"),0.018)</f>
        <v>0.018</v>
      </c>
      <c r="V115" s="9">
        <f>IFERROR(__xludf.DUMMYFUNCTION("""COMPUTED_VALUE"""),0.017)</f>
        <v>0.017</v>
      </c>
      <c r="W115" s="9">
        <f>IFERROR(__xludf.DUMMYFUNCTION("""COMPUTED_VALUE"""),0.117)</f>
        <v>0.117</v>
      </c>
      <c r="Y115" s="9">
        <f>IFERROR(__xludf.DUMMYFUNCTION("SPLIT(O107, "","")"),0.001)</f>
        <v>0.001</v>
      </c>
      <c r="Z115" s="9">
        <f>IFERROR(__xludf.DUMMYFUNCTION("""COMPUTED_VALUE"""),0.001)</f>
        <v>0.001</v>
      </c>
      <c r="AA115" s="9">
        <f>IFERROR(__xludf.DUMMYFUNCTION("""COMPUTED_VALUE"""),0.201)</f>
        <v>0.201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0.052</v>
      </c>
      <c r="D119" s="7">
        <f t="shared" ref="D119:D125" si="111">E109</f>
        <v>0.048</v>
      </c>
      <c r="E119" s="7">
        <f t="shared" ref="E119:E125" si="112">I109</f>
        <v>0.051</v>
      </c>
      <c r="F119" s="7">
        <f t="shared" ref="F119:G119" si="106">N109</f>
        <v>0.045</v>
      </c>
      <c r="G119" s="12">
        <f t="shared" si="106"/>
        <v>0.145</v>
      </c>
      <c r="H119" s="7">
        <f t="shared" ref="H119:I119" si="107">R109</f>
        <v>0.044</v>
      </c>
      <c r="I119" s="12">
        <f t="shared" si="107"/>
        <v>0.244</v>
      </c>
      <c r="J119" s="7">
        <f t="shared" ref="J119:K119" si="108">V109</f>
        <v>0.017</v>
      </c>
      <c r="K119" s="12">
        <f t="shared" si="108"/>
        <v>0.117</v>
      </c>
      <c r="L119" s="7">
        <f t="shared" ref="L119:M119" si="109">Z109</f>
        <v>0.008</v>
      </c>
      <c r="M119" s="7">
        <f t="shared" si="109"/>
        <v>0.208</v>
      </c>
    </row>
    <row r="120">
      <c r="B120" s="6" t="s">
        <v>5</v>
      </c>
      <c r="C120" s="7">
        <f t="shared" si="110"/>
        <v>0.051</v>
      </c>
      <c r="D120" s="7">
        <f t="shared" si="111"/>
        <v>0.044</v>
      </c>
      <c r="E120" s="7">
        <f t="shared" si="112"/>
        <v>0.05</v>
      </c>
      <c r="F120" s="7">
        <f t="shared" ref="F120:G120" si="113">N110</f>
        <v>0.046</v>
      </c>
      <c r="G120" s="12">
        <f t="shared" si="113"/>
        <v>0.147</v>
      </c>
      <c r="H120" s="7">
        <f t="shared" ref="H120:I120" si="114">R110</f>
        <v>0.044</v>
      </c>
      <c r="I120" s="12">
        <f t="shared" si="114"/>
        <v>0.244</v>
      </c>
      <c r="J120" s="7">
        <f t="shared" ref="J120:K120" si="115">V110</f>
        <v>0.019</v>
      </c>
      <c r="K120" s="12">
        <f t="shared" si="115"/>
        <v>0.119</v>
      </c>
      <c r="L120" s="7">
        <f t="shared" ref="L120:M120" si="116">Z110</f>
        <v>0.012</v>
      </c>
      <c r="M120" s="7">
        <f t="shared" si="116"/>
        <v>0.213</v>
      </c>
    </row>
    <row r="121">
      <c r="B121" s="6" t="s">
        <v>6</v>
      </c>
      <c r="C121" s="7">
        <f t="shared" si="110"/>
        <v>0.051</v>
      </c>
      <c r="D121" s="7">
        <f t="shared" si="111"/>
        <v>0.045</v>
      </c>
      <c r="E121" s="7">
        <f t="shared" si="112"/>
        <v>0.049</v>
      </c>
      <c r="F121" s="7">
        <f t="shared" ref="F121:G121" si="117">N111</f>
        <v>0.047</v>
      </c>
      <c r="G121" s="12">
        <f t="shared" si="117"/>
        <v>0.147</v>
      </c>
      <c r="H121" s="7">
        <f t="shared" ref="H121:I121" si="118">R111</f>
        <v>0.049</v>
      </c>
      <c r="I121" s="12">
        <f t="shared" si="118"/>
        <v>0.249</v>
      </c>
      <c r="J121" s="7">
        <f t="shared" ref="J121:K121" si="119">V111</f>
        <v>0.024</v>
      </c>
      <c r="K121" s="12">
        <f t="shared" si="119"/>
        <v>0.124</v>
      </c>
      <c r="L121" s="7">
        <f t="shared" ref="L121:M121" si="120">Z111</f>
        <v>0.02</v>
      </c>
      <c r="M121" s="7">
        <f t="shared" si="120"/>
        <v>0.22</v>
      </c>
    </row>
    <row r="122">
      <c r="B122" s="6" t="s">
        <v>7</v>
      </c>
      <c r="C122" s="7">
        <f t="shared" si="110"/>
        <v>0.054</v>
      </c>
      <c r="D122" s="7">
        <f t="shared" si="111"/>
        <v>0.049</v>
      </c>
      <c r="E122" s="7">
        <f t="shared" si="112"/>
        <v>0.055</v>
      </c>
      <c r="F122" s="7">
        <f t="shared" ref="F122:G122" si="121">N112</f>
        <v>0.045</v>
      </c>
      <c r="G122" s="12">
        <f t="shared" si="121"/>
        <v>0.146</v>
      </c>
      <c r="H122" s="7">
        <f t="shared" ref="H122:I122" si="122">R112</f>
        <v>0.045</v>
      </c>
      <c r="I122" s="12">
        <f t="shared" si="122"/>
        <v>0.245</v>
      </c>
      <c r="J122" s="7">
        <f t="shared" ref="J122:K122" si="123">V112</f>
        <v>0.018</v>
      </c>
      <c r="K122" s="12">
        <f t="shared" si="123"/>
        <v>0.118</v>
      </c>
      <c r="L122" s="7">
        <f t="shared" ref="L122:M122" si="124">Z112</f>
        <v>0.007</v>
      </c>
      <c r="M122" s="7">
        <f t="shared" si="124"/>
        <v>0.208</v>
      </c>
    </row>
    <row r="123">
      <c r="B123" s="6" t="s">
        <v>8</v>
      </c>
      <c r="C123" s="7">
        <f t="shared" si="110"/>
        <v>0.059</v>
      </c>
      <c r="D123" s="7">
        <f t="shared" si="111"/>
        <v>0.053</v>
      </c>
      <c r="E123" s="7">
        <f t="shared" si="112"/>
        <v>0.061</v>
      </c>
      <c r="F123" s="7">
        <f t="shared" ref="F123:G123" si="125">N113</f>
        <v>0.048</v>
      </c>
      <c r="G123" s="12">
        <f t="shared" si="125"/>
        <v>0.148</v>
      </c>
      <c r="H123" s="7">
        <f t="shared" ref="H123:I123" si="126">R113</f>
        <v>0.047</v>
      </c>
      <c r="I123" s="12">
        <f t="shared" si="126"/>
        <v>0.247</v>
      </c>
      <c r="J123" s="7">
        <f t="shared" ref="J123:K123" si="127">V113</f>
        <v>0.02</v>
      </c>
      <c r="K123" s="12">
        <f t="shared" si="127"/>
        <v>0.12</v>
      </c>
      <c r="L123" s="7">
        <f t="shared" ref="L123:M123" si="128">Z113</f>
        <v>0.005</v>
      </c>
      <c r="M123" s="7">
        <f t="shared" si="128"/>
        <v>0.206</v>
      </c>
    </row>
    <row r="124">
      <c r="B124" s="6" t="s">
        <v>9</v>
      </c>
      <c r="C124" s="7">
        <f t="shared" si="110"/>
        <v>0.054</v>
      </c>
      <c r="D124" s="7">
        <f t="shared" si="111"/>
        <v>0.048</v>
      </c>
      <c r="E124" s="7">
        <f t="shared" si="112"/>
        <v>0.054</v>
      </c>
      <c r="F124" s="7">
        <f t="shared" ref="F124:G124" si="129">N114</f>
        <v>0.045</v>
      </c>
      <c r="G124" s="12">
        <f t="shared" si="129"/>
        <v>0.145</v>
      </c>
      <c r="H124" s="7">
        <f t="shared" ref="H124:I124" si="130">R114</f>
        <v>0.043</v>
      </c>
      <c r="I124" s="12">
        <f t="shared" si="130"/>
        <v>0.243</v>
      </c>
      <c r="J124" s="7">
        <f t="shared" ref="J124:K124" si="131">V114</f>
        <v>0.017</v>
      </c>
      <c r="K124" s="12">
        <f t="shared" si="131"/>
        <v>0.117</v>
      </c>
      <c r="L124" s="7">
        <f t="shared" ref="L124:M124" si="132">Z114</f>
        <v>0.006</v>
      </c>
      <c r="M124" s="7">
        <f t="shared" si="132"/>
        <v>0.206</v>
      </c>
    </row>
    <row r="125">
      <c r="B125" s="6" t="s">
        <v>10</v>
      </c>
      <c r="C125" s="7">
        <f t="shared" si="110"/>
        <v>0.062</v>
      </c>
      <c r="D125" s="7">
        <f t="shared" si="111"/>
        <v>0.056</v>
      </c>
      <c r="E125" s="7">
        <f t="shared" si="112"/>
        <v>0.067</v>
      </c>
      <c r="F125" s="7">
        <f t="shared" ref="F125:G125" si="133">N115</f>
        <v>0.051</v>
      </c>
      <c r="G125" s="12">
        <f t="shared" si="133"/>
        <v>0.151</v>
      </c>
      <c r="H125" s="7">
        <f t="shared" ref="H125:I125" si="134">R115</f>
        <v>0.048</v>
      </c>
      <c r="I125" s="12">
        <f t="shared" si="134"/>
        <v>0.248</v>
      </c>
      <c r="J125" s="7">
        <f t="shared" ref="J125:K125" si="135">V115</f>
        <v>0.017</v>
      </c>
      <c r="K125" s="12">
        <f t="shared" si="135"/>
        <v>0.117</v>
      </c>
      <c r="L125" s="7">
        <f t="shared" ref="L125:M125" si="136">Z115</f>
        <v>0.001</v>
      </c>
      <c r="M125" s="7">
        <f t="shared" si="136"/>
        <v>0.201</v>
      </c>
    </row>
    <row r="127">
      <c r="A127" s="8" t="s">
        <v>723</v>
      </c>
      <c r="B127" s="8" t="s">
        <v>724</v>
      </c>
      <c r="C127" s="8" t="s">
        <v>725</v>
      </c>
      <c r="D127" s="8" t="s">
        <v>726</v>
      </c>
      <c r="E127" s="8" t="s">
        <v>391</v>
      </c>
      <c r="F127" s="8" t="s">
        <v>249</v>
      </c>
      <c r="G127" s="8" t="s">
        <v>727</v>
      </c>
      <c r="I127" s="9" t="str">
        <f t="shared" ref="I127:O127" si="137">substitute(SUBSTITUTE(A127, "(", ""), ")", "")</f>
        <v>0.373, 0.373, 0.373</v>
      </c>
      <c r="J127" s="9" t="str">
        <f t="shared" si="137"/>
        <v>0.385, 0.346, 0.446</v>
      </c>
      <c r="K127" s="9" t="str">
        <f t="shared" si="137"/>
        <v>0.411, 0.329, 0.528</v>
      </c>
      <c r="L127" s="9" t="str">
        <f t="shared" si="137"/>
        <v>0.406, 0.365, 0.465</v>
      </c>
      <c r="M127" s="9" t="str">
        <f t="shared" si="137"/>
        <v>0.444, 0.355, 0.555</v>
      </c>
      <c r="N127" s="9" t="str">
        <f t="shared" si="137"/>
        <v>0.402, 0.362, 0.462</v>
      </c>
      <c r="O127" s="9" t="str">
        <f t="shared" si="137"/>
        <v>0.435, 0.348, 0.548</v>
      </c>
      <c r="T127" s="6"/>
    </row>
    <row r="128">
      <c r="A128" s="8" t="s">
        <v>728</v>
      </c>
      <c r="B128" s="8" t="s">
        <v>459</v>
      </c>
      <c r="C128" s="8" t="s">
        <v>416</v>
      </c>
      <c r="D128" s="8" t="s">
        <v>633</v>
      </c>
      <c r="E128" s="8" t="s">
        <v>729</v>
      </c>
      <c r="F128" s="8" t="s">
        <v>730</v>
      </c>
      <c r="G128" s="8" t="s">
        <v>731</v>
      </c>
      <c r="I128" s="9" t="str">
        <f t="shared" ref="I128:O128" si="138">substitute(SUBSTITUTE(A128, "(", ""), ")", "")</f>
        <v>0.435, 0.435, 0.435</v>
      </c>
      <c r="J128" s="9" t="str">
        <f t="shared" si="138"/>
        <v>0.451, 0.406, 0.506</v>
      </c>
      <c r="K128" s="9" t="str">
        <f t="shared" si="138"/>
        <v>0.471, 0.377, 0.577</v>
      </c>
      <c r="L128" s="9" t="str">
        <f t="shared" si="138"/>
        <v>0.445, 0.401, 0.501</v>
      </c>
      <c r="M128" s="9" t="str">
        <f t="shared" si="138"/>
        <v>0.452, 0.362, 0.562</v>
      </c>
      <c r="N128" s="9" t="str">
        <f t="shared" si="138"/>
        <v>0.444, 0.400, 0.500</v>
      </c>
      <c r="O128" s="9" t="str">
        <f t="shared" si="138"/>
        <v>0.453, 0.363, 0.563</v>
      </c>
    </row>
    <row r="129">
      <c r="A129" s="8" t="s">
        <v>246</v>
      </c>
      <c r="B129" s="8" t="s">
        <v>672</v>
      </c>
      <c r="C129" s="8" t="s">
        <v>732</v>
      </c>
      <c r="D129" s="8" t="s">
        <v>733</v>
      </c>
      <c r="E129" s="8" t="s">
        <v>135</v>
      </c>
      <c r="F129" s="8" t="s">
        <v>734</v>
      </c>
      <c r="G129" s="8" t="s">
        <v>735</v>
      </c>
      <c r="I129" s="9" t="str">
        <f t="shared" ref="I129:O129" si="139">substitute(SUBSTITUTE(A129, "(", ""), ")", "")</f>
        <v>0.375, 0.375, 0.375</v>
      </c>
      <c r="J129" s="9" t="str">
        <f t="shared" si="139"/>
        <v>0.387, 0.348, 0.448</v>
      </c>
      <c r="K129" s="9" t="str">
        <f t="shared" si="139"/>
        <v>0.412, 0.330, 0.529</v>
      </c>
      <c r="L129" s="9" t="str">
        <f t="shared" si="139"/>
        <v>0.408, 0.367, 0.467</v>
      </c>
      <c r="M129" s="9" t="str">
        <f t="shared" si="139"/>
        <v>0.445, 0.356, 0.556</v>
      </c>
      <c r="N129" s="9" t="str">
        <f t="shared" si="139"/>
        <v>0.405, 0.364, 0.464</v>
      </c>
      <c r="O129" s="9" t="str">
        <f t="shared" si="139"/>
        <v>0.436, 0.349, 0.548</v>
      </c>
    </row>
    <row r="130">
      <c r="A130" s="8" t="s">
        <v>736</v>
      </c>
      <c r="B130" s="8" t="s">
        <v>737</v>
      </c>
      <c r="C130" s="8" t="s">
        <v>738</v>
      </c>
      <c r="D130" s="8" t="s">
        <v>739</v>
      </c>
      <c r="E130" s="8" t="s">
        <v>740</v>
      </c>
      <c r="F130" s="8" t="s">
        <v>385</v>
      </c>
      <c r="G130" s="8" t="s">
        <v>741</v>
      </c>
      <c r="I130" s="9" t="str">
        <f t="shared" ref="I130:O130" si="140">substitute(SUBSTITUTE(A130, "(", ""), ")", "")</f>
        <v>0.372, 0.372, 0.372</v>
      </c>
      <c r="J130" s="9" t="str">
        <f t="shared" si="140"/>
        <v>0.383, 0.345, 0.445</v>
      </c>
      <c r="K130" s="9" t="str">
        <f t="shared" si="140"/>
        <v>0.408, 0.327, 0.526</v>
      </c>
      <c r="L130" s="9" t="str">
        <f t="shared" si="140"/>
        <v>0.404, 0.364, 0.464</v>
      </c>
      <c r="M130" s="9" t="str">
        <f t="shared" si="140"/>
        <v>0.442, 0.353, 0.553</v>
      </c>
      <c r="N130" s="9" t="str">
        <f t="shared" si="140"/>
        <v>0.400, 0.360, 0.460</v>
      </c>
      <c r="O130" s="9" t="str">
        <f t="shared" si="140"/>
        <v>0.433, 0.347, 0.547</v>
      </c>
    </row>
    <row r="131">
      <c r="A131" s="8" t="s">
        <v>723</v>
      </c>
      <c r="B131" s="8" t="s">
        <v>742</v>
      </c>
      <c r="C131" s="8" t="s">
        <v>625</v>
      </c>
      <c r="D131" s="8" t="s">
        <v>726</v>
      </c>
      <c r="E131" s="8" t="s">
        <v>391</v>
      </c>
      <c r="F131" s="8" t="s">
        <v>249</v>
      </c>
      <c r="G131" s="8" t="s">
        <v>727</v>
      </c>
      <c r="I131" s="9" t="str">
        <f t="shared" ref="I131:O131" si="141">substitute(SUBSTITUTE(A131, "(", ""), ")", "")</f>
        <v>0.373, 0.373, 0.373</v>
      </c>
      <c r="J131" s="9" t="str">
        <f t="shared" si="141"/>
        <v>0.384, 0.346, 0.446</v>
      </c>
      <c r="K131" s="9" t="str">
        <f t="shared" si="141"/>
        <v>0.410, 0.328, 0.528</v>
      </c>
      <c r="L131" s="9" t="str">
        <f t="shared" si="141"/>
        <v>0.406, 0.365, 0.465</v>
      </c>
      <c r="M131" s="9" t="str">
        <f t="shared" si="141"/>
        <v>0.444, 0.355, 0.555</v>
      </c>
      <c r="N131" s="9" t="str">
        <f t="shared" si="141"/>
        <v>0.402, 0.362, 0.462</v>
      </c>
      <c r="O131" s="9" t="str">
        <f t="shared" si="141"/>
        <v>0.435, 0.348, 0.548</v>
      </c>
    </row>
    <row r="132">
      <c r="A132" s="8" t="s">
        <v>743</v>
      </c>
      <c r="B132" s="8" t="s">
        <v>742</v>
      </c>
      <c r="C132" s="8" t="s">
        <v>625</v>
      </c>
      <c r="D132" s="8" t="s">
        <v>744</v>
      </c>
      <c r="E132" s="8" t="s">
        <v>391</v>
      </c>
      <c r="F132" s="8" t="s">
        <v>249</v>
      </c>
      <c r="G132" s="8" t="s">
        <v>735</v>
      </c>
      <c r="I132" s="9" t="str">
        <f t="shared" ref="I132:O132" si="142">substitute(SUBSTITUTE(A132, "(", ""), ")", "")</f>
        <v>0.374, 0.374, 0.374</v>
      </c>
      <c r="J132" s="9" t="str">
        <f t="shared" si="142"/>
        <v>0.384, 0.346, 0.446</v>
      </c>
      <c r="K132" s="9" t="str">
        <f t="shared" si="142"/>
        <v>0.410, 0.328, 0.528</v>
      </c>
      <c r="L132" s="9" t="str">
        <f t="shared" si="142"/>
        <v>0.406, 0.366, 0.466</v>
      </c>
      <c r="M132" s="9" t="str">
        <f t="shared" si="142"/>
        <v>0.444, 0.355, 0.555</v>
      </c>
      <c r="N132" s="9" t="str">
        <f t="shared" si="142"/>
        <v>0.402, 0.362, 0.462</v>
      </c>
      <c r="O132" s="9" t="str">
        <f t="shared" si="142"/>
        <v>0.436, 0.349, 0.548</v>
      </c>
    </row>
    <row r="133">
      <c r="A133" s="8" t="s">
        <v>485</v>
      </c>
      <c r="B133" s="8" t="s">
        <v>379</v>
      </c>
      <c r="C133" s="8" t="s">
        <v>745</v>
      </c>
      <c r="D133" s="8" t="s">
        <v>746</v>
      </c>
      <c r="E133" s="8" t="s">
        <v>241</v>
      </c>
      <c r="F133" s="8" t="s">
        <v>405</v>
      </c>
      <c r="G133" s="8" t="s">
        <v>747</v>
      </c>
      <c r="I133" s="9" t="str">
        <f t="shared" ref="I133:O133" si="143">substitute(SUBSTITUTE(A133, "(", ""), ")", "")</f>
        <v>0.379, 0.379, 0.379</v>
      </c>
      <c r="J133" s="9" t="str">
        <f t="shared" si="143"/>
        <v>0.391, 0.352, 0.452</v>
      </c>
      <c r="K133" s="9" t="str">
        <f t="shared" si="143"/>
        <v>0.416, 0.333, 0.533</v>
      </c>
      <c r="L133" s="9" t="str">
        <f t="shared" si="143"/>
        <v>0.413, 0.372, 0.472</v>
      </c>
      <c r="M133" s="9" t="str">
        <f t="shared" si="143"/>
        <v>0.451, 0.361, 0.561</v>
      </c>
      <c r="N133" s="9" t="str">
        <f t="shared" si="143"/>
        <v>0.409, 0.368, 0.468</v>
      </c>
      <c r="O133" s="9" t="str">
        <f t="shared" si="143"/>
        <v>0.443, 0.354, 0.554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"","")"),0.373)</f>
        <v>0.373</v>
      </c>
      <c r="B135" s="9">
        <f>IFERROR(__xludf.DUMMYFUNCTION("""COMPUTED_VALUE"""),0.373)</f>
        <v>0.373</v>
      </c>
      <c r="C135" s="9">
        <f>IFERROR(__xludf.DUMMYFUNCTION("""COMPUTED_VALUE"""),0.373)</f>
        <v>0.373</v>
      </c>
      <c r="E135" s="11">
        <f>IFERROR(__xludf.DUMMYFUNCTION("SPLIT(J127, "","")"),0.385)</f>
        <v>0.385</v>
      </c>
      <c r="F135" s="9">
        <f>IFERROR(__xludf.DUMMYFUNCTION("""COMPUTED_VALUE"""),0.346)</f>
        <v>0.346</v>
      </c>
      <c r="G135" s="9">
        <f>IFERROR(__xludf.DUMMYFUNCTION("""COMPUTED_VALUE"""),0.446)</f>
        <v>0.446</v>
      </c>
      <c r="I135" s="9">
        <f>IFERROR(__xludf.DUMMYFUNCTION("SPLIT(K127, "","")"),0.411)</f>
        <v>0.411</v>
      </c>
      <c r="J135" s="9">
        <f>IFERROR(__xludf.DUMMYFUNCTION("""COMPUTED_VALUE"""),0.329)</f>
        <v>0.329</v>
      </c>
      <c r="K135" s="9">
        <f>IFERROR(__xludf.DUMMYFUNCTION("""COMPUTED_VALUE"""),0.528)</f>
        <v>0.528</v>
      </c>
      <c r="M135" s="9">
        <f>IFERROR(__xludf.DUMMYFUNCTION("SPLIT(L127, "","")"),0.406)</f>
        <v>0.406</v>
      </c>
      <c r="N135" s="9">
        <f>IFERROR(__xludf.DUMMYFUNCTION("""COMPUTED_VALUE"""),0.365)</f>
        <v>0.365</v>
      </c>
      <c r="O135" s="9">
        <f>IFERROR(__xludf.DUMMYFUNCTION("""COMPUTED_VALUE"""),0.465)</f>
        <v>0.465</v>
      </c>
      <c r="Q135" s="9">
        <f>IFERROR(__xludf.DUMMYFUNCTION("SPLIT(M127, "","")"),0.444)</f>
        <v>0.444</v>
      </c>
      <c r="R135" s="9">
        <f>IFERROR(__xludf.DUMMYFUNCTION("""COMPUTED_VALUE"""),0.355)</f>
        <v>0.355</v>
      </c>
      <c r="S135" s="9">
        <f>IFERROR(__xludf.DUMMYFUNCTION("""COMPUTED_VALUE"""),0.555)</f>
        <v>0.555</v>
      </c>
      <c r="U135" s="9">
        <f>IFERROR(__xludf.DUMMYFUNCTION("SPLIT(N127, "","")"),0.402)</f>
        <v>0.402</v>
      </c>
      <c r="V135" s="9">
        <f>IFERROR(__xludf.DUMMYFUNCTION("""COMPUTED_VALUE"""),0.362)</f>
        <v>0.362</v>
      </c>
      <c r="W135" s="9">
        <f>IFERROR(__xludf.DUMMYFUNCTION("""COMPUTED_VALUE"""),0.462)</f>
        <v>0.462</v>
      </c>
      <c r="Y135" s="9">
        <f>IFERROR(__xludf.DUMMYFUNCTION("SPLIT(O127, "","")"),0.435)</f>
        <v>0.435</v>
      </c>
      <c r="Z135" s="9">
        <f>IFERROR(__xludf.DUMMYFUNCTION("""COMPUTED_VALUE"""),0.348)</f>
        <v>0.348</v>
      </c>
      <c r="AA135" s="9">
        <f>IFERROR(__xludf.DUMMYFUNCTION("""COMPUTED_VALUE"""),0.548)</f>
        <v>0.548</v>
      </c>
    </row>
    <row r="136">
      <c r="A136" s="9">
        <f>IFERROR(__xludf.DUMMYFUNCTION("SPLIT(I128, "","")"),0.435)</f>
        <v>0.435</v>
      </c>
      <c r="B136" s="9">
        <f>IFERROR(__xludf.DUMMYFUNCTION("""COMPUTED_VALUE"""),0.435)</f>
        <v>0.435</v>
      </c>
      <c r="C136" s="9">
        <f>IFERROR(__xludf.DUMMYFUNCTION("""COMPUTED_VALUE"""),0.435)</f>
        <v>0.435</v>
      </c>
      <c r="E136" s="11">
        <f>IFERROR(__xludf.DUMMYFUNCTION("SPLIT(J128, "","")"),0.451)</f>
        <v>0.451</v>
      </c>
      <c r="F136" s="9">
        <f>IFERROR(__xludf.DUMMYFUNCTION("""COMPUTED_VALUE"""),0.406)</f>
        <v>0.406</v>
      </c>
      <c r="G136" s="9">
        <f>IFERROR(__xludf.DUMMYFUNCTION("""COMPUTED_VALUE"""),0.506)</f>
        <v>0.506</v>
      </c>
      <c r="I136" s="9">
        <f>IFERROR(__xludf.DUMMYFUNCTION("SPLIT(K128, "","")"),0.471)</f>
        <v>0.471</v>
      </c>
      <c r="J136" s="9">
        <f>IFERROR(__xludf.DUMMYFUNCTION("""COMPUTED_VALUE"""),0.377)</f>
        <v>0.377</v>
      </c>
      <c r="K136" s="9">
        <f>IFERROR(__xludf.DUMMYFUNCTION("""COMPUTED_VALUE"""),0.577)</f>
        <v>0.577</v>
      </c>
      <c r="M136" s="9">
        <f>IFERROR(__xludf.DUMMYFUNCTION("SPLIT(L128, "","")"),0.445)</f>
        <v>0.445</v>
      </c>
      <c r="N136" s="9">
        <f>IFERROR(__xludf.DUMMYFUNCTION("""COMPUTED_VALUE"""),0.401)</f>
        <v>0.401</v>
      </c>
      <c r="O136" s="9">
        <f>IFERROR(__xludf.DUMMYFUNCTION("""COMPUTED_VALUE"""),0.501)</f>
        <v>0.501</v>
      </c>
      <c r="Q136" s="9">
        <f>IFERROR(__xludf.DUMMYFUNCTION("SPLIT(M128, "","")"),0.452)</f>
        <v>0.452</v>
      </c>
      <c r="R136" s="9">
        <f>IFERROR(__xludf.DUMMYFUNCTION("""COMPUTED_VALUE"""),0.362)</f>
        <v>0.362</v>
      </c>
      <c r="S136" s="9">
        <f>IFERROR(__xludf.DUMMYFUNCTION("""COMPUTED_VALUE"""),0.562)</f>
        <v>0.562</v>
      </c>
      <c r="U136" s="9">
        <f>IFERROR(__xludf.DUMMYFUNCTION("SPLIT(N128, "","")"),0.444)</f>
        <v>0.444</v>
      </c>
      <c r="V136" s="9">
        <f>IFERROR(__xludf.DUMMYFUNCTION("""COMPUTED_VALUE"""),0.4)</f>
        <v>0.4</v>
      </c>
      <c r="W136" s="9">
        <f>IFERROR(__xludf.DUMMYFUNCTION("""COMPUTED_VALUE"""),0.5)</f>
        <v>0.5</v>
      </c>
      <c r="Y136" s="9">
        <f>IFERROR(__xludf.DUMMYFUNCTION("SPLIT(O128, "","")"),0.453)</f>
        <v>0.453</v>
      </c>
      <c r="Z136" s="9">
        <f>IFERROR(__xludf.DUMMYFUNCTION("""COMPUTED_VALUE"""),0.363)</f>
        <v>0.363</v>
      </c>
      <c r="AA136" s="9">
        <f>IFERROR(__xludf.DUMMYFUNCTION("""COMPUTED_VALUE"""),0.563)</f>
        <v>0.563</v>
      </c>
    </row>
    <row r="137">
      <c r="A137" s="9">
        <f>IFERROR(__xludf.DUMMYFUNCTION("SPLIT(I129, "","")"),0.375)</f>
        <v>0.375</v>
      </c>
      <c r="B137" s="9">
        <f>IFERROR(__xludf.DUMMYFUNCTION("""COMPUTED_VALUE"""),0.375)</f>
        <v>0.375</v>
      </c>
      <c r="C137" s="9">
        <f>IFERROR(__xludf.DUMMYFUNCTION("""COMPUTED_VALUE"""),0.375)</f>
        <v>0.375</v>
      </c>
      <c r="E137" s="11">
        <f>IFERROR(__xludf.DUMMYFUNCTION("SPLIT(J129, "","")"),0.387)</f>
        <v>0.387</v>
      </c>
      <c r="F137" s="9">
        <f>IFERROR(__xludf.DUMMYFUNCTION("""COMPUTED_VALUE"""),0.348)</f>
        <v>0.348</v>
      </c>
      <c r="G137" s="9">
        <f>IFERROR(__xludf.DUMMYFUNCTION("""COMPUTED_VALUE"""),0.448)</f>
        <v>0.448</v>
      </c>
      <c r="I137" s="9">
        <f>IFERROR(__xludf.DUMMYFUNCTION("SPLIT(K129, "","")"),0.412)</f>
        <v>0.412</v>
      </c>
      <c r="J137" s="9">
        <f>IFERROR(__xludf.DUMMYFUNCTION("""COMPUTED_VALUE"""),0.33)</f>
        <v>0.33</v>
      </c>
      <c r="K137" s="9">
        <f>IFERROR(__xludf.DUMMYFUNCTION("""COMPUTED_VALUE"""),0.529)</f>
        <v>0.529</v>
      </c>
      <c r="M137" s="9">
        <f>IFERROR(__xludf.DUMMYFUNCTION("SPLIT(L129, "","")"),0.408)</f>
        <v>0.408</v>
      </c>
      <c r="N137" s="9">
        <f>IFERROR(__xludf.DUMMYFUNCTION("""COMPUTED_VALUE"""),0.367)</f>
        <v>0.367</v>
      </c>
      <c r="O137" s="9">
        <f>IFERROR(__xludf.DUMMYFUNCTION("""COMPUTED_VALUE"""),0.467)</f>
        <v>0.467</v>
      </c>
      <c r="Q137" s="9">
        <f>IFERROR(__xludf.DUMMYFUNCTION("SPLIT(M129, "","")"),0.445)</f>
        <v>0.445</v>
      </c>
      <c r="R137" s="9">
        <f>IFERROR(__xludf.DUMMYFUNCTION("""COMPUTED_VALUE"""),0.356)</f>
        <v>0.356</v>
      </c>
      <c r="S137" s="9">
        <f>IFERROR(__xludf.DUMMYFUNCTION("""COMPUTED_VALUE"""),0.556)</f>
        <v>0.556</v>
      </c>
      <c r="U137" s="9">
        <f>IFERROR(__xludf.DUMMYFUNCTION("SPLIT(N129, "","")"),0.405)</f>
        <v>0.405</v>
      </c>
      <c r="V137" s="9">
        <f>IFERROR(__xludf.DUMMYFUNCTION("""COMPUTED_VALUE"""),0.364)</f>
        <v>0.364</v>
      </c>
      <c r="W137" s="9">
        <f>IFERROR(__xludf.DUMMYFUNCTION("""COMPUTED_VALUE"""),0.464)</f>
        <v>0.464</v>
      </c>
      <c r="Y137" s="9">
        <f>IFERROR(__xludf.DUMMYFUNCTION("SPLIT(O129, "","")"),0.436)</f>
        <v>0.436</v>
      </c>
      <c r="Z137" s="9">
        <f>IFERROR(__xludf.DUMMYFUNCTION("""COMPUTED_VALUE"""),0.349)</f>
        <v>0.349</v>
      </c>
      <c r="AA137" s="9">
        <f>IFERROR(__xludf.DUMMYFUNCTION("""COMPUTED_VALUE"""),0.548)</f>
        <v>0.548</v>
      </c>
    </row>
    <row r="138">
      <c r="A138" s="9">
        <f>IFERROR(__xludf.DUMMYFUNCTION("SPLIT(I130, "","")"),0.372)</f>
        <v>0.372</v>
      </c>
      <c r="B138" s="9">
        <f>IFERROR(__xludf.DUMMYFUNCTION("""COMPUTED_VALUE"""),0.372)</f>
        <v>0.372</v>
      </c>
      <c r="C138" s="9">
        <f>IFERROR(__xludf.DUMMYFUNCTION("""COMPUTED_VALUE"""),0.372)</f>
        <v>0.372</v>
      </c>
      <c r="E138" s="11">
        <f>IFERROR(__xludf.DUMMYFUNCTION("SPLIT(J130, "","")"),0.383)</f>
        <v>0.383</v>
      </c>
      <c r="F138" s="9">
        <f>IFERROR(__xludf.DUMMYFUNCTION("""COMPUTED_VALUE"""),0.345)</f>
        <v>0.345</v>
      </c>
      <c r="G138" s="9">
        <f>IFERROR(__xludf.DUMMYFUNCTION("""COMPUTED_VALUE"""),0.445)</f>
        <v>0.445</v>
      </c>
      <c r="I138" s="9">
        <f>IFERROR(__xludf.DUMMYFUNCTION("SPLIT(K130, "","")"),0.408)</f>
        <v>0.408</v>
      </c>
      <c r="J138" s="9">
        <f>IFERROR(__xludf.DUMMYFUNCTION("""COMPUTED_VALUE"""),0.327)</f>
        <v>0.327</v>
      </c>
      <c r="K138" s="9">
        <f>IFERROR(__xludf.DUMMYFUNCTION("""COMPUTED_VALUE"""),0.526)</f>
        <v>0.526</v>
      </c>
      <c r="M138" s="9">
        <f>IFERROR(__xludf.DUMMYFUNCTION("SPLIT(L130, "","")"),0.404)</f>
        <v>0.404</v>
      </c>
      <c r="N138" s="9">
        <f>IFERROR(__xludf.DUMMYFUNCTION("""COMPUTED_VALUE"""),0.364)</f>
        <v>0.364</v>
      </c>
      <c r="O138" s="9">
        <f>IFERROR(__xludf.DUMMYFUNCTION("""COMPUTED_VALUE"""),0.464)</f>
        <v>0.464</v>
      </c>
      <c r="Q138" s="9">
        <f>IFERROR(__xludf.DUMMYFUNCTION("SPLIT(M130, "","")"),0.442)</f>
        <v>0.442</v>
      </c>
      <c r="R138" s="9">
        <f>IFERROR(__xludf.DUMMYFUNCTION("""COMPUTED_VALUE"""),0.353)</f>
        <v>0.353</v>
      </c>
      <c r="S138" s="9">
        <f>IFERROR(__xludf.DUMMYFUNCTION("""COMPUTED_VALUE"""),0.553)</f>
        <v>0.553</v>
      </c>
      <c r="U138" s="9">
        <f>IFERROR(__xludf.DUMMYFUNCTION("SPLIT(N130, "","")"),0.4)</f>
        <v>0.4</v>
      </c>
      <c r="V138" s="9">
        <f>IFERROR(__xludf.DUMMYFUNCTION("""COMPUTED_VALUE"""),0.36)</f>
        <v>0.36</v>
      </c>
      <c r="W138" s="9">
        <f>IFERROR(__xludf.DUMMYFUNCTION("""COMPUTED_VALUE"""),0.46)</f>
        <v>0.46</v>
      </c>
      <c r="Y138" s="9">
        <f>IFERROR(__xludf.DUMMYFUNCTION("SPLIT(O130, "","")"),0.433)</f>
        <v>0.433</v>
      </c>
      <c r="Z138" s="9">
        <f>IFERROR(__xludf.DUMMYFUNCTION("""COMPUTED_VALUE"""),0.347)</f>
        <v>0.347</v>
      </c>
      <c r="AA138" s="9">
        <f>IFERROR(__xludf.DUMMYFUNCTION("""COMPUTED_VALUE"""),0.547)</f>
        <v>0.547</v>
      </c>
    </row>
    <row r="139">
      <c r="A139" s="9">
        <f>IFERROR(__xludf.DUMMYFUNCTION("SPLIT(I131, "","")"),0.373)</f>
        <v>0.373</v>
      </c>
      <c r="B139" s="9">
        <f>IFERROR(__xludf.DUMMYFUNCTION("""COMPUTED_VALUE"""),0.373)</f>
        <v>0.373</v>
      </c>
      <c r="C139" s="9">
        <f>IFERROR(__xludf.DUMMYFUNCTION("""COMPUTED_VALUE"""),0.373)</f>
        <v>0.373</v>
      </c>
      <c r="E139" s="11">
        <f>IFERROR(__xludf.DUMMYFUNCTION("SPLIT(J131, "","")"),0.384)</f>
        <v>0.384</v>
      </c>
      <c r="F139" s="9">
        <f>IFERROR(__xludf.DUMMYFUNCTION("""COMPUTED_VALUE"""),0.346)</f>
        <v>0.346</v>
      </c>
      <c r="G139" s="9">
        <f>IFERROR(__xludf.DUMMYFUNCTION("""COMPUTED_VALUE"""),0.446)</f>
        <v>0.446</v>
      </c>
      <c r="I139" s="9">
        <f>IFERROR(__xludf.DUMMYFUNCTION("SPLIT(K131, "","")"),0.41)</f>
        <v>0.41</v>
      </c>
      <c r="J139" s="9">
        <f>IFERROR(__xludf.DUMMYFUNCTION("""COMPUTED_VALUE"""),0.328)</f>
        <v>0.328</v>
      </c>
      <c r="K139" s="9">
        <f>IFERROR(__xludf.DUMMYFUNCTION("""COMPUTED_VALUE"""),0.528)</f>
        <v>0.528</v>
      </c>
      <c r="M139" s="9">
        <f>IFERROR(__xludf.DUMMYFUNCTION("SPLIT(L131, "","")"),0.406)</f>
        <v>0.406</v>
      </c>
      <c r="N139" s="9">
        <f>IFERROR(__xludf.DUMMYFUNCTION("""COMPUTED_VALUE"""),0.365)</f>
        <v>0.365</v>
      </c>
      <c r="O139" s="9">
        <f>IFERROR(__xludf.DUMMYFUNCTION("""COMPUTED_VALUE"""),0.465)</f>
        <v>0.465</v>
      </c>
      <c r="Q139" s="9">
        <f>IFERROR(__xludf.DUMMYFUNCTION("SPLIT(M131, "","")"),0.444)</f>
        <v>0.444</v>
      </c>
      <c r="R139" s="9">
        <f>IFERROR(__xludf.DUMMYFUNCTION("""COMPUTED_VALUE"""),0.355)</f>
        <v>0.355</v>
      </c>
      <c r="S139" s="9">
        <f>IFERROR(__xludf.DUMMYFUNCTION("""COMPUTED_VALUE"""),0.555)</f>
        <v>0.555</v>
      </c>
      <c r="U139" s="9">
        <f>IFERROR(__xludf.DUMMYFUNCTION("SPLIT(N131, "","")"),0.402)</f>
        <v>0.402</v>
      </c>
      <c r="V139" s="9">
        <f>IFERROR(__xludf.DUMMYFUNCTION("""COMPUTED_VALUE"""),0.362)</f>
        <v>0.362</v>
      </c>
      <c r="W139" s="9">
        <f>IFERROR(__xludf.DUMMYFUNCTION("""COMPUTED_VALUE"""),0.462)</f>
        <v>0.462</v>
      </c>
      <c r="Y139" s="9">
        <f>IFERROR(__xludf.DUMMYFUNCTION("SPLIT(O131, "","")"),0.435)</f>
        <v>0.435</v>
      </c>
      <c r="Z139" s="9">
        <f>IFERROR(__xludf.DUMMYFUNCTION("""COMPUTED_VALUE"""),0.348)</f>
        <v>0.348</v>
      </c>
      <c r="AA139" s="9">
        <f>IFERROR(__xludf.DUMMYFUNCTION("""COMPUTED_VALUE"""),0.548)</f>
        <v>0.548</v>
      </c>
    </row>
    <row r="140">
      <c r="A140" s="9">
        <f>IFERROR(__xludf.DUMMYFUNCTION("SPLIT(I132, "","")"),0.374)</f>
        <v>0.374</v>
      </c>
      <c r="B140" s="9">
        <f>IFERROR(__xludf.DUMMYFUNCTION("""COMPUTED_VALUE"""),0.374)</f>
        <v>0.374</v>
      </c>
      <c r="C140" s="9">
        <f>IFERROR(__xludf.DUMMYFUNCTION("""COMPUTED_VALUE"""),0.374)</f>
        <v>0.374</v>
      </c>
      <c r="E140" s="11">
        <f>IFERROR(__xludf.DUMMYFUNCTION("SPLIT(J132, "","")"),0.384)</f>
        <v>0.384</v>
      </c>
      <c r="F140" s="9">
        <f>IFERROR(__xludf.DUMMYFUNCTION("""COMPUTED_VALUE"""),0.346)</f>
        <v>0.346</v>
      </c>
      <c r="G140" s="9">
        <f>IFERROR(__xludf.DUMMYFUNCTION("""COMPUTED_VALUE"""),0.446)</f>
        <v>0.446</v>
      </c>
      <c r="I140" s="9">
        <f>IFERROR(__xludf.DUMMYFUNCTION("SPLIT(K132, "","")"),0.41)</f>
        <v>0.41</v>
      </c>
      <c r="J140" s="9">
        <f>IFERROR(__xludf.DUMMYFUNCTION("""COMPUTED_VALUE"""),0.328)</f>
        <v>0.328</v>
      </c>
      <c r="K140" s="9">
        <f>IFERROR(__xludf.DUMMYFUNCTION("""COMPUTED_VALUE"""),0.528)</f>
        <v>0.528</v>
      </c>
      <c r="M140" s="9">
        <f>IFERROR(__xludf.DUMMYFUNCTION("SPLIT(L132, "","")"),0.406)</f>
        <v>0.406</v>
      </c>
      <c r="N140" s="9">
        <f>IFERROR(__xludf.DUMMYFUNCTION("""COMPUTED_VALUE"""),0.366)</f>
        <v>0.366</v>
      </c>
      <c r="O140" s="9">
        <f>IFERROR(__xludf.DUMMYFUNCTION("""COMPUTED_VALUE"""),0.466)</f>
        <v>0.466</v>
      </c>
      <c r="Q140" s="9">
        <f>IFERROR(__xludf.DUMMYFUNCTION("SPLIT(M132, "","")"),0.444)</f>
        <v>0.444</v>
      </c>
      <c r="R140" s="9">
        <f>IFERROR(__xludf.DUMMYFUNCTION("""COMPUTED_VALUE"""),0.355)</f>
        <v>0.355</v>
      </c>
      <c r="S140" s="9">
        <f>IFERROR(__xludf.DUMMYFUNCTION("""COMPUTED_VALUE"""),0.555)</f>
        <v>0.555</v>
      </c>
      <c r="U140" s="9">
        <f>IFERROR(__xludf.DUMMYFUNCTION("SPLIT(N132, "","")"),0.402)</f>
        <v>0.402</v>
      </c>
      <c r="V140" s="9">
        <f>IFERROR(__xludf.DUMMYFUNCTION("""COMPUTED_VALUE"""),0.362)</f>
        <v>0.362</v>
      </c>
      <c r="W140" s="9">
        <f>IFERROR(__xludf.DUMMYFUNCTION("""COMPUTED_VALUE"""),0.462)</f>
        <v>0.462</v>
      </c>
      <c r="Y140" s="9">
        <f>IFERROR(__xludf.DUMMYFUNCTION("SPLIT(O132, "","")"),0.436)</f>
        <v>0.436</v>
      </c>
      <c r="Z140" s="9">
        <f>IFERROR(__xludf.DUMMYFUNCTION("""COMPUTED_VALUE"""),0.349)</f>
        <v>0.349</v>
      </c>
      <c r="AA140" s="9">
        <f>IFERROR(__xludf.DUMMYFUNCTION("""COMPUTED_VALUE"""),0.548)</f>
        <v>0.548</v>
      </c>
    </row>
    <row r="141">
      <c r="A141" s="9">
        <f>IFERROR(__xludf.DUMMYFUNCTION("SPLIT(I133, "","")"),0.379)</f>
        <v>0.379</v>
      </c>
      <c r="B141" s="9">
        <f>IFERROR(__xludf.DUMMYFUNCTION("""COMPUTED_VALUE"""),0.379)</f>
        <v>0.379</v>
      </c>
      <c r="C141" s="9">
        <f>IFERROR(__xludf.DUMMYFUNCTION("""COMPUTED_VALUE"""),0.379)</f>
        <v>0.379</v>
      </c>
      <c r="E141" s="11">
        <f>IFERROR(__xludf.DUMMYFUNCTION("SPLIT(J133, "","")"),0.391)</f>
        <v>0.391</v>
      </c>
      <c r="F141" s="9">
        <f>IFERROR(__xludf.DUMMYFUNCTION("""COMPUTED_VALUE"""),0.352)</f>
        <v>0.352</v>
      </c>
      <c r="G141" s="9">
        <f>IFERROR(__xludf.DUMMYFUNCTION("""COMPUTED_VALUE"""),0.452)</f>
        <v>0.452</v>
      </c>
      <c r="I141" s="9">
        <f>IFERROR(__xludf.DUMMYFUNCTION("SPLIT(K133, "","")"),0.416)</f>
        <v>0.416</v>
      </c>
      <c r="J141" s="9">
        <f>IFERROR(__xludf.DUMMYFUNCTION("""COMPUTED_VALUE"""),0.333)</f>
        <v>0.333</v>
      </c>
      <c r="K141" s="9">
        <f>IFERROR(__xludf.DUMMYFUNCTION("""COMPUTED_VALUE"""),0.533)</f>
        <v>0.533</v>
      </c>
      <c r="M141" s="9">
        <f>IFERROR(__xludf.DUMMYFUNCTION("SPLIT(L133, "","")"),0.413)</f>
        <v>0.413</v>
      </c>
      <c r="N141" s="9">
        <f>IFERROR(__xludf.DUMMYFUNCTION("""COMPUTED_VALUE"""),0.372)</f>
        <v>0.372</v>
      </c>
      <c r="O141" s="9">
        <f>IFERROR(__xludf.DUMMYFUNCTION("""COMPUTED_VALUE"""),0.472)</f>
        <v>0.472</v>
      </c>
      <c r="Q141" s="9">
        <f>IFERROR(__xludf.DUMMYFUNCTION("SPLIT(M133, "","")"),0.451)</f>
        <v>0.451</v>
      </c>
      <c r="R141" s="9">
        <f>IFERROR(__xludf.DUMMYFUNCTION("""COMPUTED_VALUE"""),0.361)</f>
        <v>0.361</v>
      </c>
      <c r="S141" s="9">
        <f>IFERROR(__xludf.DUMMYFUNCTION("""COMPUTED_VALUE"""),0.561)</f>
        <v>0.561</v>
      </c>
      <c r="U141" s="9">
        <f>IFERROR(__xludf.DUMMYFUNCTION("SPLIT(N133, "","")"),0.409)</f>
        <v>0.409</v>
      </c>
      <c r="V141" s="9">
        <f>IFERROR(__xludf.DUMMYFUNCTION("""COMPUTED_VALUE"""),0.368)</f>
        <v>0.368</v>
      </c>
      <c r="W141" s="9">
        <f>IFERROR(__xludf.DUMMYFUNCTION("""COMPUTED_VALUE"""),0.468)</f>
        <v>0.468</v>
      </c>
      <c r="Y141" s="9">
        <f>IFERROR(__xludf.DUMMYFUNCTION("SPLIT(O133, "","")"),0.443)</f>
        <v>0.443</v>
      </c>
      <c r="Z141" s="9">
        <f>IFERROR(__xludf.DUMMYFUNCTION("""COMPUTED_VALUE"""),0.354)</f>
        <v>0.354</v>
      </c>
      <c r="AA141" s="9">
        <f>IFERROR(__xludf.DUMMYFUNCTION("""COMPUTED_VALUE"""),0.554)</f>
        <v>0.554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0.373</v>
      </c>
      <c r="D145" s="7">
        <f t="shared" ref="D145:D151" si="149">E135</f>
        <v>0.385</v>
      </c>
      <c r="E145" s="7">
        <f t="shared" ref="E145:E151" si="150">I135</f>
        <v>0.411</v>
      </c>
      <c r="F145" s="7">
        <f t="shared" ref="F145:G145" si="144">N135</f>
        <v>0.365</v>
      </c>
      <c r="G145" s="12">
        <f t="shared" si="144"/>
        <v>0.465</v>
      </c>
      <c r="H145" s="7">
        <f t="shared" ref="H145:I145" si="145">R135</f>
        <v>0.355</v>
      </c>
      <c r="I145" s="12">
        <f t="shared" si="145"/>
        <v>0.555</v>
      </c>
      <c r="J145" s="7">
        <f t="shared" ref="J145:K145" si="146">V135</f>
        <v>0.362</v>
      </c>
      <c r="K145" s="12">
        <f t="shared" si="146"/>
        <v>0.462</v>
      </c>
      <c r="L145" s="7">
        <f t="shared" ref="L145:M145" si="147">Z135</f>
        <v>0.348</v>
      </c>
      <c r="M145" s="7">
        <f t="shared" si="147"/>
        <v>0.548</v>
      </c>
    </row>
    <row r="146">
      <c r="B146" s="6" t="s">
        <v>5</v>
      </c>
      <c r="C146" s="7">
        <f t="shared" si="148"/>
        <v>0.435</v>
      </c>
      <c r="D146" s="7">
        <f t="shared" si="149"/>
        <v>0.451</v>
      </c>
      <c r="E146" s="7">
        <f t="shared" si="150"/>
        <v>0.471</v>
      </c>
      <c r="F146" s="7">
        <f t="shared" ref="F146:G146" si="151">N136</f>
        <v>0.401</v>
      </c>
      <c r="G146" s="12">
        <f t="shared" si="151"/>
        <v>0.501</v>
      </c>
      <c r="H146" s="7">
        <f t="shared" ref="H146:I146" si="152">R136</f>
        <v>0.362</v>
      </c>
      <c r="I146" s="12">
        <f t="shared" si="152"/>
        <v>0.562</v>
      </c>
      <c r="J146" s="7">
        <f t="shared" ref="J146:K146" si="153">V136</f>
        <v>0.4</v>
      </c>
      <c r="K146" s="12">
        <f t="shared" si="153"/>
        <v>0.5</v>
      </c>
      <c r="L146" s="7">
        <f t="shared" ref="L146:M146" si="154">Z136</f>
        <v>0.363</v>
      </c>
      <c r="M146" s="7">
        <f t="shared" si="154"/>
        <v>0.563</v>
      </c>
    </row>
    <row r="147">
      <c r="B147" s="6" t="s">
        <v>6</v>
      </c>
      <c r="C147" s="7">
        <f t="shared" si="148"/>
        <v>0.375</v>
      </c>
      <c r="D147" s="7">
        <f t="shared" si="149"/>
        <v>0.387</v>
      </c>
      <c r="E147" s="7">
        <f t="shared" si="150"/>
        <v>0.412</v>
      </c>
      <c r="F147" s="7">
        <f t="shared" ref="F147:G147" si="155">N137</f>
        <v>0.367</v>
      </c>
      <c r="G147" s="12">
        <f t="shared" si="155"/>
        <v>0.467</v>
      </c>
      <c r="H147" s="7">
        <f t="shared" ref="H147:I147" si="156">R137</f>
        <v>0.356</v>
      </c>
      <c r="I147" s="12">
        <f t="shared" si="156"/>
        <v>0.556</v>
      </c>
      <c r="J147" s="7">
        <f t="shared" ref="J147:K147" si="157">V137</f>
        <v>0.364</v>
      </c>
      <c r="K147" s="12">
        <f t="shared" si="157"/>
        <v>0.464</v>
      </c>
      <c r="L147" s="7">
        <f t="shared" ref="L147:M147" si="158">Z137</f>
        <v>0.349</v>
      </c>
      <c r="M147" s="7">
        <f t="shared" si="158"/>
        <v>0.548</v>
      </c>
    </row>
    <row r="148">
      <c r="B148" s="6" t="s">
        <v>7</v>
      </c>
      <c r="C148" s="7">
        <f t="shared" si="148"/>
        <v>0.372</v>
      </c>
      <c r="D148" s="7">
        <f t="shared" si="149"/>
        <v>0.383</v>
      </c>
      <c r="E148" s="7">
        <f t="shared" si="150"/>
        <v>0.408</v>
      </c>
      <c r="F148" s="7">
        <f t="shared" ref="F148:G148" si="159">N138</f>
        <v>0.364</v>
      </c>
      <c r="G148" s="12">
        <f t="shared" si="159"/>
        <v>0.464</v>
      </c>
      <c r="H148" s="7">
        <f t="shared" ref="H148:I148" si="160">R138</f>
        <v>0.353</v>
      </c>
      <c r="I148" s="12">
        <f t="shared" si="160"/>
        <v>0.553</v>
      </c>
      <c r="J148" s="7">
        <f t="shared" ref="J148:K148" si="161">V138</f>
        <v>0.36</v>
      </c>
      <c r="K148" s="12">
        <f t="shared" si="161"/>
        <v>0.46</v>
      </c>
      <c r="L148" s="7">
        <f t="shared" ref="L148:M148" si="162">Z138</f>
        <v>0.347</v>
      </c>
      <c r="M148" s="7">
        <f t="shared" si="162"/>
        <v>0.547</v>
      </c>
    </row>
    <row r="149">
      <c r="B149" s="6" t="s">
        <v>8</v>
      </c>
      <c r="C149" s="7">
        <f t="shared" si="148"/>
        <v>0.373</v>
      </c>
      <c r="D149" s="7">
        <f t="shared" si="149"/>
        <v>0.384</v>
      </c>
      <c r="E149" s="7">
        <f t="shared" si="150"/>
        <v>0.41</v>
      </c>
      <c r="F149" s="7">
        <f t="shared" ref="F149:G149" si="163">N139</f>
        <v>0.365</v>
      </c>
      <c r="G149" s="12">
        <f t="shared" si="163"/>
        <v>0.465</v>
      </c>
      <c r="H149" s="7">
        <f t="shared" ref="H149:I149" si="164">R139</f>
        <v>0.355</v>
      </c>
      <c r="I149" s="12">
        <f t="shared" si="164"/>
        <v>0.555</v>
      </c>
      <c r="J149" s="7">
        <f t="shared" ref="J149:K149" si="165">V139</f>
        <v>0.362</v>
      </c>
      <c r="K149" s="12">
        <f t="shared" si="165"/>
        <v>0.462</v>
      </c>
      <c r="L149" s="7">
        <f t="shared" ref="L149:M149" si="166">Z139</f>
        <v>0.348</v>
      </c>
      <c r="M149" s="7">
        <f t="shared" si="166"/>
        <v>0.548</v>
      </c>
    </row>
    <row r="150">
      <c r="B150" s="6" t="s">
        <v>9</v>
      </c>
      <c r="C150" s="7">
        <f t="shared" si="148"/>
        <v>0.374</v>
      </c>
      <c r="D150" s="7">
        <f t="shared" si="149"/>
        <v>0.384</v>
      </c>
      <c r="E150" s="7">
        <f t="shared" si="150"/>
        <v>0.41</v>
      </c>
      <c r="F150" s="7">
        <f t="shared" ref="F150:G150" si="167">N140</f>
        <v>0.366</v>
      </c>
      <c r="G150" s="12">
        <f t="shared" si="167"/>
        <v>0.466</v>
      </c>
      <c r="H150" s="7">
        <f t="shared" ref="H150:I150" si="168">R140</f>
        <v>0.355</v>
      </c>
      <c r="I150" s="12">
        <f t="shared" si="168"/>
        <v>0.555</v>
      </c>
      <c r="J150" s="7">
        <f t="shared" ref="J150:K150" si="169">V140</f>
        <v>0.362</v>
      </c>
      <c r="K150" s="12">
        <f t="shared" si="169"/>
        <v>0.462</v>
      </c>
      <c r="L150" s="7">
        <f t="shared" ref="L150:M150" si="170">Z140</f>
        <v>0.349</v>
      </c>
      <c r="M150" s="7">
        <f t="shared" si="170"/>
        <v>0.548</v>
      </c>
    </row>
    <row r="151">
      <c r="B151" s="6" t="s">
        <v>10</v>
      </c>
      <c r="C151" s="7">
        <f t="shared" si="148"/>
        <v>0.379</v>
      </c>
      <c r="D151" s="7">
        <f t="shared" si="149"/>
        <v>0.391</v>
      </c>
      <c r="E151" s="7">
        <f t="shared" si="150"/>
        <v>0.416</v>
      </c>
      <c r="F151" s="7">
        <f t="shared" ref="F151:G151" si="171">N141</f>
        <v>0.372</v>
      </c>
      <c r="G151" s="12">
        <f t="shared" si="171"/>
        <v>0.472</v>
      </c>
      <c r="H151" s="7">
        <f t="shared" ref="H151:I151" si="172">R141</f>
        <v>0.361</v>
      </c>
      <c r="I151" s="12">
        <f t="shared" si="172"/>
        <v>0.561</v>
      </c>
      <c r="J151" s="7">
        <f t="shared" ref="J151:K151" si="173">V141</f>
        <v>0.368</v>
      </c>
      <c r="K151" s="12">
        <f t="shared" si="173"/>
        <v>0.468</v>
      </c>
      <c r="L151" s="7">
        <f t="shared" ref="L151:M151" si="174">Z141</f>
        <v>0.354</v>
      </c>
      <c r="M151" s="7">
        <f t="shared" si="174"/>
        <v>0.554</v>
      </c>
    </row>
    <row r="153">
      <c r="A153" s="8" t="s">
        <v>748</v>
      </c>
      <c r="B153" s="8" t="s">
        <v>749</v>
      </c>
      <c r="C153" s="8" t="s">
        <v>750</v>
      </c>
      <c r="D153" s="8" t="s">
        <v>751</v>
      </c>
      <c r="E153" s="8" t="s">
        <v>752</v>
      </c>
      <c r="F153" s="8" t="s">
        <v>753</v>
      </c>
      <c r="G153" s="8" t="s">
        <v>754</v>
      </c>
      <c r="I153" s="9" t="str">
        <f t="shared" ref="I153:O153" si="175">substitute(SUBSTITUTE(A153, "(", ""), ")", "")</f>
        <v>0.587, 0.587, 0.587</v>
      </c>
      <c r="J153" s="9" t="str">
        <f t="shared" si="175"/>
        <v>0.590, 0.531, 0.631</v>
      </c>
      <c r="K153" s="9" t="str">
        <f t="shared" si="175"/>
        <v>0.585, 0.468, 0.668</v>
      </c>
      <c r="L153" s="9" t="str">
        <f t="shared" si="175"/>
        <v>0.550, 0.495, 0.595</v>
      </c>
      <c r="M153" s="9" t="str">
        <f t="shared" si="175"/>
        <v>0.506, 0.405, 0.605</v>
      </c>
      <c r="N153" s="9" t="str">
        <f t="shared" si="175"/>
        <v>0.554, 0.498, 0.598</v>
      </c>
      <c r="O153" s="9" t="str">
        <f t="shared" si="175"/>
        <v>0.507, 0.406, 0.606</v>
      </c>
      <c r="T153" s="6"/>
    </row>
    <row r="154">
      <c r="A154" s="8" t="s">
        <v>755</v>
      </c>
      <c r="B154" s="8" t="s">
        <v>756</v>
      </c>
      <c r="C154" s="8" t="s">
        <v>757</v>
      </c>
      <c r="D154" s="8" t="s">
        <v>751</v>
      </c>
      <c r="E154" s="8" t="s">
        <v>758</v>
      </c>
      <c r="F154" s="8" t="s">
        <v>759</v>
      </c>
      <c r="G154" s="8" t="s">
        <v>760</v>
      </c>
      <c r="I154" s="9" t="str">
        <f t="shared" ref="I154:O154" si="176">substitute(SUBSTITUTE(A154, "(", ""), ")", "")</f>
        <v>0.586, 0.586, 0.586</v>
      </c>
      <c r="J154" s="9" t="str">
        <f t="shared" si="176"/>
        <v>0.589, 0.530, 0.630</v>
      </c>
      <c r="K154" s="9" t="str">
        <f t="shared" si="176"/>
        <v>0.583, 0.466, 0.666</v>
      </c>
      <c r="L154" s="9" t="str">
        <f t="shared" si="176"/>
        <v>0.550, 0.495, 0.595</v>
      </c>
      <c r="M154" s="9" t="str">
        <f t="shared" si="176"/>
        <v>0.507, 0.405, 0.605</v>
      </c>
      <c r="N154" s="9" t="str">
        <f t="shared" si="176"/>
        <v>0.553, 0.498, 0.598</v>
      </c>
      <c r="O154" s="9" t="str">
        <f t="shared" si="176"/>
        <v>0.509, 0.407, 0.607</v>
      </c>
    </row>
    <row r="155">
      <c r="A155" s="8" t="s">
        <v>748</v>
      </c>
      <c r="B155" s="8" t="s">
        <v>749</v>
      </c>
      <c r="C155" s="8" t="s">
        <v>761</v>
      </c>
      <c r="D155" s="8" t="s">
        <v>762</v>
      </c>
      <c r="E155" s="8" t="s">
        <v>691</v>
      </c>
      <c r="F155" s="8" t="s">
        <v>763</v>
      </c>
      <c r="G155" s="8" t="s">
        <v>764</v>
      </c>
      <c r="I155" s="9" t="str">
        <f t="shared" ref="I155:O155" si="177">substitute(SUBSTITUTE(A155, "(", ""), ")", "")</f>
        <v>0.587, 0.587, 0.587</v>
      </c>
      <c r="J155" s="9" t="str">
        <f t="shared" si="177"/>
        <v>0.590, 0.531, 0.631</v>
      </c>
      <c r="K155" s="9" t="str">
        <f t="shared" si="177"/>
        <v>0.584, 0.467, 0.667</v>
      </c>
      <c r="L155" s="9" t="str">
        <f t="shared" si="177"/>
        <v>0.551, 0.496, 0.596</v>
      </c>
      <c r="M155" s="9" t="str">
        <f t="shared" si="177"/>
        <v>0.508, 0.406, 0.606</v>
      </c>
      <c r="N155" s="9" t="str">
        <f t="shared" si="177"/>
        <v>0.555, 0.499, 0.599</v>
      </c>
      <c r="O155" s="9" t="str">
        <f t="shared" si="177"/>
        <v>0.510, 0.408, 0.608</v>
      </c>
    </row>
    <row r="156">
      <c r="A156" s="8" t="s">
        <v>755</v>
      </c>
      <c r="B156" s="8" t="s">
        <v>749</v>
      </c>
      <c r="C156" s="8" t="s">
        <v>761</v>
      </c>
      <c r="D156" s="8" t="s">
        <v>751</v>
      </c>
      <c r="E156" s="8" t="s">
        <v>754</v>
      </c>
      <c r="F156" s="8" t="s">
        <v>753</v>
      </c>
      <c r="G156" s="8" t="s">
        <v>760</v>
      </c>
      <c r="I156" s="9" t="str">
        <f t="shared" ref="I156:O156" si="178">substitute(SUBSTITUTE(A156, "(", ""), ")", "")</f>
        <v>0.586, 0.586, 0.586</v>
      </c>
      <c r="J156" s="9" t="str">
        <f t="shared" si="178"/>
        <v>0.590, 0.531, 0.631</v>
      </c>
      <c r="K156" s="9" t="str">
        <f t="shared" si="178"/>
        <v>0.584, 0.467, 0.667</v>
      </c>
      <c r="L156" s="9" t="str">
        <f t="shared" si="178"/>
        <v>0.550, 0.495, 0.595</v>
      </c>
      <c r="M156" s="9" t="str">
        <f t="shared" si="178"/>
        <v>0.507, 0.406, 0.606</v>
      </c>
      <c r="N156" s="9" t="str">
        <f t="shared" si="178"/>
        <v>0.554, 0.498, 0.598</v>
      </c>
      <c r="O156" s="9" t="str">
        <f t="shared" si="178"/>
        <v>0.509, 0.407, 0.607</v>
      </c>
    </row>
    <row r="157">
      <c r="A157" s="8" t="s">
        <v>765</v>
      </c>
      <c r="B157" s="8" t="s">
        <v>766</v>
      </c>
      <c r="C157" s="8" t="s">
        <v>750</v>
      </c>
      <c r="D157" s="8" t="s">
        <v>767</v>
      </c>
      <c r="E157" s="8" t="s">
        <v>768</v>
      </c>
      <c r="F157" s="8" t="s">
        <v>769</v>
      </c>
      <c r="G157" s="8" t="s">
        <v>770</v>
      </c>
      <c r="I157" s="9" t="str">
        <f t="shared" ref="I157:O157" si="179">substitute(SUBSTITUTE(A157, "(", ""), ")", "")</f>
        <v>0.588, 0.588, 0.588</v>
      </c>
      <c r="J157" s="9" t="str">
        <f t="shared" si="179"/>
        <v>0.591, 0.531, 0.631</v>
      </c>
      <c r="K157" s="9" t="str">
        <f t="shared" si="179"/>
        <v>0.585, 0.468, 0.668</v>
      </c>
      <c r="L157" s="9" t="str">
        <f t="shared" si="179"/>
        <v>0.548, 0.494, 0.594</v>
      </c>
      <c r="M157" s="9" t="str">
        <f t="shared" si="179"/>
        <v>0.503, 0.402, 0.602</v>
      </c>
      <c r="N157" s="9" t="str">
        <f t="shared" si="179"/>
        <v>0.553, 0.497, 0.597</v>
      </c>
      <c r="O157" s="9" t="str">
        <f t="shared" si="179"/>
        <v>0.505, 0.404, 0.604</v>
      </c>
    </row>
    <row r="158">
      <c r="A158" s="8" t="s">
        <v>748</v>
      </c>
      <c r="B158" s="8" t="s">
        <v>749</v>
      </c>
      <c r="C158" s="8" t="s">
        <v>750</v>
      </c>
      <c r="D158" s="8" t="s">
        <v>751</v>
      </c>
      <c r="E158" s="8" t="s">
        <v>771</v>
      </c>
      <c r="F158" s="8" t="s">
        <v>759</v>
      </c>
      <c r="G158" s="8" t="s">
        <v>758</v>
      </c>
      <c r="I158" s="9" t="str">
        <f t="shared" ref="I158:O158" si="180">substitute(SUBSTITUTE(A158, "(", ""), ")", "")</f>
        <v>0.587, 0.587, 0.587</v>
      </c>
      <c r="J158" s="9" t="str">
        <f t="shared" si="180"/>
        <v>0.590, 0.531, 0.631</v>
      </c>
      <c r="K158" s="9" t="str">
        <f t="shared" si="180"/>
        <v>0.585, 0.468, 0.668</v>
      </c>
      <c r="L158" s="9" t="str">
        <f t="shared" si="180"/>
        <v>0.550, 0.495, 0.595</v>
      </c>
      <c r="M158" s="9" t="str">
        <f t="shared" si="180"/>
        <v>0.504, 0.403, 0.603</v>
      </c>
      <c r="N158" s="9" t="str">
        <f t="shared" si="180"/>
        <v>0.553, 0.498, 0.598</v>
      </c>
      <c r="O158" s="9" t="str">
        <f t="shared" si="180"/>
        <v>0.507, 0.405, 0.605</v>
      </c>
    </row>
    <row r="159">
      <c r="A159" s="8" t="s">
        <v>772</v>
      </c>
      <c r="B159" s="8" t="s">
        <v>773</v>
      </c>
      <c r="C159" s="8" t="s">
        <v>774</v>
      </c>
      <c r="D159" s="8" t="s">
        <v>775</v>
      </c>
      <c r="E159" s="8" t="s">
        <v>764</v>
      </c>
      <c r="F159" s="8" t="s">
        <v>776</v>
      </c>
      <c r="G159" s="8" t="s">
        <v>777</v>
      </c>
      <c r="I159" s="9" t="str">
        <f t="shared" ref="I159:O159" si="181">substitute(SUBSTITUTE(A159, "(", ""), ")", "")</f>
        <v>0.591, 0.591, 0.591</v>
      </c>
      <c r="J159" s="9" t="str">
        <f t="shared" si="181"/>
        <v>0.594, 0.534, 0.634</v>
      </c>
      <c r="K159" s="9" t="str">
        <f t="shared" si="181"/>
        <v>0.589, 0.471, 0.671</v>
      </c>
      <c r="L159" s="9" t="str">
        <f t="shared" si="181"/>
        <v>0.554, 0.499, 0.599</v>
      </c>
      <c r="M159" s="9" t="str">
        <f t="shared" si="181"/>
        <v>0.510, 0.408, 0.608</v>
      </c>
      <c r="N159" s="9" t="str">
        <f t="shared" si="181"/>
        <v>0.557, 0.502, 0.602</v>
      </c>
      <c r="O159" s="9" t="str">
        <f t="shared" si="181"/>
        <v>0.513, 0.410, 0.610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"","")"),0.587)</f>
        <v>0.587</v>
      </c>
      <c r="B161" s="9">
        <f>IFERROR(__xludf.DUMMYFUNCTION("""COMPUTED_VALUE"""),0.587)</f>
        <v>0.587</v>
      </c>
      <c r="C161" s="9">
        <f>IFERROR(__xludf.DUMMYFUNCTION("""COMPUTED_VALUE"""),0.587)</f>
        <v>0.587</v>
      </c>
      <c r="E161" s="11">
        <f>IFERROR(__xludf.DUMMYFUNCTION("SPLIT(J153, "","")"),0.59)</f>
        <v>0.59</v>
      </c>
      <c r="F161" s="9">
        <f>IFERROR(__xludf.DUMMYFUNCTION("""COMPUTED_VALUE"""),0.531)</f>
        <v>0.531</v>
      </c>
      <c r="G161" s="9">
        <f>IFERROR(__xludf.DUMMYFUNCTION("""COMPUTED_VALUE"""),0.631)</f>
        <v>0.631</v>
      </c>
      <c r="I161" s="9">
        <f>IFERROR(__xludf.DUMMYFUNCTION("SPLIT(K153, "","")"),0.585)</f>
        <v>0.585</v>
      </c>
      <c r="J161" s="9">
        <f>IFERROR(__xludf.DUMMYFUNCTION("""COMPUTED_VALUE"""),0.468)</f>
        <v>0.468</v>
      </c>
      <c r="K161" s="9">
        <f>IFERROR(__xludf.DUMMYFUNCTION("""COMPUTED_VALUE"""),0.668)</f>
        <v>0.668</v>
      </c>
      <c r="M161" s="9">
        <f>IFERROR(__xludf.DUMMYFUNCTION("SPLIT(L153, "","")"),0.55)</f>
        <v>0.55</v>
      </c>
      <c r="N161" s="9">
        <f>IFERROR(__xludf.DUMMYFUNCTION("""COMPUTED_VALUE"""),0.495)</f>
        <v>0.495</v>
      </c>
      <c r="O161" s="9">
        <f>IFERROR(__xludf.DUMMYFUNCTION("""COMPUTED_VALUE"""),0.595)</f>
        <v>0.595</v>
      </c>
      <c r="Q161" s="9">
        <f>IFERROR(__xludf.DUMMYFUNCTION("SPLIT(M153, "","")"),0.506)</f>
        <v>0.506</v>
      </c>
      <c r="R161" s="9">
        <f>IFERROR(__xludf.DUMMYFUNCTION("""COMPUTED_VALUE"""),0.405)</f>
        <v>0.405</v>
      </c>
      <c r="S161" s="9">
        <f>IFERROR(__xludf.DUMMYFUNCTION("""COMPUTED_VALUE"""),0.605)</f>
        <v>0.605</v>
      </c>
      <c r="U161" s="9">
        <f>IFERROR(__xludf.DUMMYFUNCTION("SPLIT(N153, "","")"),0.554)</f>
        <v>0.554</v>
      </c>
      <c r="V161" s="9">
        <f>IFERROR(__xludf.DUMMYFUNCTION("""COMPUTED_VALUE"""),0.498)</f>
        <v>0.498</v>
      </c>
      <c r="W161" s="9">
        <f>IFERROR(__xludf.DUMMYFUNCTION("""COMPUTED_VALUE"""),0.598)</f>
        <v>0.598</v>
      </c>
      <c r="Y161" s="9">
        <f>IFERROR(__xludf.DUMMYFUNCTION("SPLIT(O153, "","")"),0.507)</f>
        <v>0.507</v>
      </c>
      <c r="Z161" s="9">
        <f>IFERROR(__xludf.DUMMYFUNCTION("""COMPUTED_VALUE"""),0.406)</f>
        <v>0.406</v>
      </c>
      <c r="AA161" s="9">
        <f>IFERROR(__xludf.DUMMYFUNCTION("""COMPUTED_VALUE"""),0.606)</f>
        <v>0.606</v>
      </c>
    </row>
    <row r="162">
      <c r="A162" s="9">
        <f>IFERROR(__xludf.DUMMYFUNCTION("SPLIT(I154, "","")"),0.586)</f>
        <v>0.586</v>
      </c>
      <c r="B162" s="9">
        <f>IFERROR(__xludf.DUMMYFUNCTION("""COMPUTED_VALUE"""),0.586)</f>
        <v>0.586</v>
      </c>
      <c r="C162" s="9">
        <f>IFERROR(__xludf.DUMMYFUNCTION("""COMPUTED_VALUE"""),0.586)</f>
        <v>0.586</v>
      </c>
      <c r="E162" s="11">
        <f>IFERROR(__xludf.DUMMYFUNCTION("SPLIT(J154, "","")"),0.589)</f>
        <v>0.589</v>
      </c>
      <c r="F162" s="9">
        <f>IFERROR(__xludf.DUMMYFUNCTION("""COMPUTED_VALUE"""),0.53)</f>
        <v>0.53</v>
      </c>
      <c r="G162" s="9">
        <f>IFERROR(__xludf.DUMMYFUNCTION("""COMPUTED_VALUE"""),0.63)</f>
        <v>0.63</v>
      </c>
      <c r="I162" s="9">
        <f>IFERROR(__xludf.DUMMYFUNCTION("SPLIT(K154, "","")"),0.583)</f>
        <v>0.583</v>
      </c>
      <c r="J162" s="9">
        <f>IFERROR(__xludf.DUMMYFUNCTION("""COMPUTED_VALUE"""),0.466)</f>
        <v>0.466</v>
      </c>
      <c r="K162" s="9">
        <f>IFERROR(__xludf.DUMMYFUNCTION("""COMPUTED_VALUE"""),0.666)</f>
        <v>0.666</v>
      </c>
      <c r="M162" s="9">
        <f>IFERROR(__xludf.DUMMYFUNCTION("SPLIT(L154, "","")"),0.55)</f>
        <v>0.55</v>
      </c>
      <c r="N162" s="9">
        <f>IFERROR(__xludf.DUMMYFUNCTION("""COMPUTED_VALUE"""),0.495)</f>
        <v>0.495</v>
      </c>
      <c r="O162" s="9">
        <f>IFERROR(__xludf.DUMMYFUNCTION("""COMPUTED_VALUE"""),0.595)</f>
        <v>0.595</v>
      </c>
      <c r="Q162" s="9">
        <f>IFERROR(__xludf.DUMMYFUNCTION("SPLIT(M154, "","")"),0.507)</f>
        <v>0.507</v>
      </c>
      <c r="R162" s="9">
        <f>IFERROR(__xludf.DUMMYFUNCTION("""COMPUTED_VALUE"""),0.405)</f>
        <v>0.405</v>
      </c>
      <c r="S162" s="9">
        <f>IFERROR(__xludf.DUMMYFUNCTION("""COMPUTED_VALUE"""),0.605)</f>
        <v>0.605</v>
      </c>
      <c r="U162" s="9">
        <f>IFERROR(__xludf.DUMMYFUNCTION("SPLIT(N154, "","")"),0.553)</f>
        <v>0.553</v>
      </c>
      <c r="V162" s="9">
        <f>IFERROR(__xludf.DUMMYFUNCTION("""COMPUTED_VALUE"""),0.498)</f>
        <v>0.498</v>
      </c>
      <c r="W162" s="9">
        <f>IFERROR(__xludf.DUMMYFUNCTION("""COMPUTED_VALUE"""),0.598)</f>
        <v>0.598</v>
      </c>
      <c r="Y162" s="9">
        <f>IFERROR(__xludf.DUMMYFUNCTION("SPLIT(O154, "","")"),0.509)</f>
        <v>0.509</v>
      </c>
      <c r="Z162" s="9">
        <f>IFERROR(__xludf.DUMMYFUNCTION("""COMPUTED_VALUE"""),0.407)</f>
        <v>0.407</v>
      </c>
      <c r="AA162" s="9">
        <f>IFERROR(__xludf.DUMMYFUNCTION("""COMPUTED_VALUE"""),0.607)</f>
        <v>0.607</v>
      </c>
    </row>
    <row r="163">
      <c r="A163" s="9">
        <f>IFERROR(__xludf.DUMMYFUNCTION("SPLIT(I155, "","")"),0.587)</f>
        <v>0.587</v>
      </c>
      <c r="B163" s="9">
        <f>IFERROR(__xludf.DUMMYFUNCTION("""COMPUTED_VALUE"""),0.587)</f>
        <v>0.587</v>
      </c>
      <c r="C163" s="9">
        <f>IFERROR(__xludf.DUMMYFUNCTION("""COMPUTED_VALUE"""),0.587)</f>
        <v>0.587</v>
      </c>
      <c r="E163" s="11">
        <f>IFERROR(__xludf.DUMMYFUNCTION("SPLIT(J155, "","")"),0.59)</f>
        <v>0.59</v>
      </c>
      <c r="F163" s="9">
        <f>IFERROR(__xludf.DUMMYFUNCTION("""COMPUTED_VALUE"""),0.531)</f>
        <v>0.531</v>
      </c>
      <c r="G163" s="9">
        <f>IFERROR(__xludf.DUMMYFUNCTION("""COMPUTED_VALUE"""),0.631)</f>
        <v>0.631</v>
      </c>
      <c r="I163" s="9">
        <f>IFERROR(__xludf.DUMMYFUNCTION("SPLIT(K155, "","")"),0.584)</f>
        <v>0.584</v>
      </c>
      <c r="J163" s="9">
        <f>IFERROR(__xludf.DUMMYFUNCTION("""COMPUTED_VALUE"""),0.467)</f>
        <v>0.467</v>
      </c>
      <c r="K163" s="9">
        <f>IFERROR(__xludf.DUMMYFUNCTION("""COMPUTED_VALUE"""),0.667)</f>
        <v>0.667</v>
      </c>
      <c r="M163" s="9">
        <f>IFERROR(__xludf.DUMMYFUNCTION("SPLIT(L155, "","")"),0.551)</f>
        <v>0.551</v>
      </c>
      <c r="N163" s="9">
        <f>IFERROR(__xludf.DUMMYFUNCTION("""COMPUTED_VALUE"""),0.496)</f>
        <v>0.496</v>
      </c>
      <c r="O163" s="9">
        <f>IFERROR(__xludf.DUMMYFUNCTION("""COMPUTED_VALUE"""),0.596)</f>
        <v>0.596</v>
      </c>
      <c r="Q163" s="9">
        <f>IFERROR(__xludf.DUMMYFUNCTION("SPLIT(M155, "","")"),0.508)</f>
        <v>0.508</v>
      </c>
      <c r="R163" s="9">
        <f>IFERROR(__xludf.DUMMYFUNCTION("""COMPUTED_VALUE"""),0.406)</f>
        <v>0.406</v>
      </c>
      <c r="S163" s="9">
        <f>IFERROR(__xludf.DUMMYFUNCTION("""COMPUTED_VALUE"""),0.606)</f>
        <v>0.606</v>
      </c>
      <c r="U163" s="9">
        <f>IFERROR(__xludf.DUMMYFUNCTION("SPLIT(N155, "","")"),0.555)</f>
        <v>0.555</v>
      </c>
      <c r="V163" s="9">
        <f>IFERROR(__xludf.DUMMYFUNCTION("""COMPUTED_VALUE"""),0.499)</f>
        <v>0.499</v>
      </c>
      <c r="W163" s="9">
        <f>IFERROR(__xludf.DUMMYFUNCTION("""COMPUTED_VALUE"""),0.599)</f>
        <v>0.599</v>
      </c>
      <c r="Y163" s="9">
        <f>IFERROR(__xludf.DUMMYFUNCTION("SPLIT(O155, "","")"),0.51)</f>
        <v>0.51</v>
      </c>
      <c r="Z163" s="9">
        <f>IFERROR(__xludf.DUMMYFUNCTION("""COMPUTED_VALUE"""),0.408)</f>
        <v>0.408</v>
      </c>
      <c r="AA163" s="9">
        <f>IFERROR(__xludf.DUMMYFUNCTION("""COMPUTED_VALUE"""),0.608)</f>
        <v>0.608</v>
      </c>
    </row>
    <row r="164">
      <c r="A164" s="9">
        <f>IFERROR(__xludf.DUMMYFUNCTION("SPLIT(I156, "","")"),0.586)</f>
        <v>0.586</v>
      </c>
      <c r="B164" s="9">
        <f>IFERROR(__xludf.DUMMYFUNCTION("""COMPUTED_VALUE"""),0.586)</f>
        <v>0.586</v>
      </c>
      <c r="C164" s="9">
        <f>IFERROR(__xludf.DUMMYFUNCTION("""COMPUTED_VALUE"""),0.586)</f>
        <v>0.586</v>
      </c>
      <c r="E164" s="11">
        <f>IFERROR(__xludf.DUMMYFUNCTION("SPLIT(J156, "","")"),0.59)</f>
        <v>0.59</v>
      </c>
      <c r="F164" s="9">
        <f>IFERROR(__xludf.DUMMYFUNCTION("""COMPUTED_VALUE"""),0.531)</f>
        <v>0.531</v>
      </c>
      <c r="G164" s="9">
        <f>IFERROR(__xludf.DUMMYFUNCTION("""COMPUTED_VALUE"""),0.631)</f>
        <v>0.631</v>
      </c>
      <c r="I164" s="9">
        <f>IFERROR(__xludf.DUMMYFUNCTION("SPLIT(K156, "","")"),0.584)</f>
        <v>0.584</v>
      </c>
      <c r="J164" s="9">
        <f>IFERROR(__xludf.DUMMYFUNCTION("""COMPUTED_VALUE"""),0.467)</f>
        <v>0.467</v>
      </c>
      <c r="K164" s="9">
        <f>IFERROR(__xludf.DUMMYFUNCTION("""COMPUTED_VALUE"""),0.667)</f>
        <v>0.667</v>
      </c>
      <c r="M164" s="9">
        <f>IFERROR(__xludf.DUMMYFUNCTION("SPLIT(L156, "","")"),0.55)</f>
        <v>0.55</v>
      </c>
      <c r="N164" s="9">
        <f>IFERROR(__xludf.DUMMYFUNCTION("""COMPUTED_VALUE"""),0.495)</f>
        <v>0.495</v>
      </c>
      <c r="O164" s="9">
        <f>IFERROR(__xludf.DUMMYFUNCTION("""COMPUTED_VALUE"""),0.595)</f>
        <v>0.595</v>
      </c>
      <c r="Q164" s="9">
        <f>IFERROR(__xludf.DUMMYFUNCTION("SPLIT(M156, "","")"),0.507)</f>
        <v>0.507</v>
      </c>
      <c r="R164" s="9">
        <f>IFERROR(__xludf.DUMMYFUNCTION("""COMPUTED_VALUE"""),0.406)</f>
        <v>0.406</v>
      </c>
      <c r="S164" s="9">
        <f>IFERROR(__xludf.DUMMYFUNCTION("""COMPUTED_VALUE"""),0.606)</f>
        <v>0.606</v>
      </c>
      <c r="U164" s="9">
        <f>IFERROR(__xludf.DUMMYFUNCTION("SPLIT(N156, "","")"),0.554)</f>
        <v>0.554</v>
      </c>
      <c r="V164" s="9">
        <f>IFERROR(__xludf.DUMMYFUNCTION("""COMPUTED_VALUE"""),0.498)</f>
        <v>0.498</v>
      </c>
      <c r="W164" s="9">
        <f>IFERROR(__xludf.DUMMYFUNCTION("""COMPUTED_VALUE"""),0.598)</f>
        <v>0.598</v>
      </c>
      <c r="Y164" s="9">
        <f>IFERROR(__xludf.DUMMYFUNCTION("SPLIT(O156, "","")"),0.509)</f>
        <v>0.509</v>
      </c>
      <c r="Z164" s="9">
        <f>IFERROR(__xludf.DUMMYFUNCTION("""COMPUTED_VALUE"""),0.407)</f>
        <v>0.407</v>
      </c>
      <c r="AA164" s="9">
        <f>IFERROR(__xludf.DUMMYFUNCTION("""COMPUTED_VALUE"""),0.607)</f>
        <v>0.607</v>
      </c>
    </row>
    <row r="165">
      <c r="A165" s="9">
        <f>IFERROR(__xludf.DUMMYFUNCTION("SPLIT(I157, "","")"),0.588)</f>
        <v>0.588</v>
      </c>
      <c r="B165" s="9">
        <f>IFERROR(__xludf.DUMMYFUNCTION("""COMPUTED_VALUE"""),0.588)</f>
        <v>0.588</v>
      </c>
      <c r="C165" s="9">
        <f>IFERROR(__xludf.DUMMYFUNCTION("""COMPUTED_VALUE"""),0.588)</f>
        <v>0.588</v>
      </c>
      <c r="E165" s="11">
        <f>IFERROR(__xludf.DUMMYFUNCTION("SPLIT(J157, "","")"),0.591)</f>
        <v>0.591</v>
      </c>
      <c r="F165" s="9">
        <f>IFERROR(__xludf.DUMMYFUNCTION("""COMPUTED_VALUE"""),0.531)</f>
        <v>0.531</v>
      </c>
      <c r="G165" s="9">
        <f>IFERROR(__xludf.DUMMYFUNCTION("""COMPUTED_VALUE"""),0.631)</f>
        <v>0.631</v>
      </c>
      <c r="I165" s="9">
        <f>IFERROR(__xludf.DUMMYFUNCTION("SPLIT(K157, "","")"),0.585)</f>
        <v>0.585</v>
      </c>
      <c r="J165" s="9">
        <f>IFERROR(__xludf.DUMMYFUNCTION("""COMPUTED_VALUE"""),0.468)</f>
        <v>0.468</v>
      </c>
      <c r="K165" s="9">
        <f>IFERROR(__xludf.DUMMYFUNCTION("""COMPUTED_VALUE"""),0.668)</f>
        <v>0.668</v>
      </c>
      <c r="M165" s="9">
        <f>IFERROR(__xludf.DUMMYFUNCTION("SPLIT(L157, "","")"),0.548)</f>
        <v>0.548</v>
      </c>
      <c r="N165" s="9">
        <f>IFERROR(__xludf.DUMMYFUNCTION("""COMPUTED_VALUE"""),0.494)</f>
        <v>0.494</v>
      </c>
      <c r="O165" s="9">
        <f>IFERROR(__xludf.DUMMYFUNCTION("""COMPUTED_VALUE"""),0.594)</f>
        <v>0.594</v>
      </c>
      <c r="Q165" s="9">
        <f>IFERROR(__xludf.DUMMYFUNCTION("SPLIT(M157, "","")"),0.503)</f>
        <v>0.503</v>
      </c>
      <c r="R165" s="9">
        <f>IFERROR(__xludf.DUMMYFUNCTION("""COMPUTED_VALUE"""),0.402)</f>
        <v>0.402</v>
      </c>
      <c r="S165" s="9">
        <f>IFERROR(__xludf.DUMMYFUNCTION("""COMPUTED_VALUE"""),0.602)</f>
        <v>0.602</v>
      </c>
      <c r="U165" s="9">
        <f>IFERROR(__xludf.DUMMYFUNCTION("SPLIT(N157, "","")"),0.553)</f>
        <v>0.553</v>
      </c>
      <c r="V165" s="9">
        <f>IFERROR(__xludf.DUMMYFUNCTION("""COMPUTED_VALUE"""),0.497)</f>
        <v>0.497</v>
      </c>
      <c r="W165" s="9">
        <f>IFERROR(__xludf.DUMMYFUNCTION("""COMPUTED_VALUE"""),0.597)</f>
        <v>0.597</v>
      </c>
      <c r="Y165" s="9">
        <f>IFERROR(__xludf.DUMMYFUNCTION("SPLIT(O157, "","")"),0.505)</f>
        <v>0.505</v>
      </c>
      <c r="Z165" s="9">
        <f>IFERROR(__xludf.DUMMYFUNCTION("""COMPUTED_VALUE"""),0.404)</f>
        <v>0.404</v>
      </c>
      <c r="AA165" s="9">
        <f>IFERROR(__xludf.DUMMYFUNCTION("""COMPUTED_VALUE"""),0.604)</f>
        <v>0.604</v>
      </c>
    </row>
    <row r="166">
      <c r="A166" s="9">
        <f>IFERROR(__xludf.DUMMYFUNCTION("SPLIT(I158, "","")"),0.587)</f>
        <v>0.587</v>
      </c>
      <c r="B166" s="9">
        <f>IFERROR(__xludf.DUMMYFUNCTION("""COMPUTED_VALUE"""),0.587)</f>
        <v>0.587</v>
      </c>
      <c r="C166" s="9">
        <f>IFERROR(__xludf.DUMMYFUNCTION("""COMPUTED_VALUE"""),0.587)</f>
        <v>0.587</v>
      </c>
      <c r="E166" s="11">
        <f>IFERROR(__xludf.DUMMYFUNCTION("SPLIT(J158, "","")"),0.59)</f>
        <v>0.59</v>
      </c>
      <c r="F166" s="9">
        <f>IFERROR(__xludf.DUMMYFUNCTION("""COMPUTED_VALUE"""),0.531)</f>
        <v>0.531</v>
      </c>
      <c r="G166" s="9">
        <f>IFERROR(__xludf.DUMMYFUNCTION("""COMPUTED_VALUE"""),0.631)</f>
        <v>0.631</v>
      </c>
      <c r="I166" s="9">
        <f>IFERROR(__xludf.DUMMYFUNCTION("SPLIT(K158, "","")"),0.585)</f>
        <v>0.585</v>
      </c>
      <c r="J166" s="9">
        <f>IFERROR(__xludf.DUMMYFUNCTION("""COMPUTED_VALUE"""),0.468)</f>
        <v>0.468</v>
      </c>
      <c r="K166" s="9">
        <f>IFERROR(__xludf.DUMMYFUNCTION("""COMPUTED_VALUE"""),0.668)</f>
        <v>0.668</v>
      </c>
      <c r="M166" s="9">
        <f>IFERROR(__xludf.DUMMYFUNCTION("SPLIT(L158, "","")"),0.55)</f>
        <v>0.55</v>
      </c>
      <c r="N166" s="9">
        <f>IFERROR(__xludf.DUMMYFUNCTION("""COMPUTED_VALUE"""),0.495)</f>
        <v>0.495</v>
      </c>
      <c r="O166" s="9">
        <f>IFERROR(__xludf.DUMMYFUNCTION("""COMPUTED_VALUE"""),0.595)</f>
        <v>0.595</v>
      </c>
      <c r="Q166" s="9">
        <f>IFERROR(__xludf.DUMMYFUNCTION("SPLIT(M158, "","")"),0.504)</f>
        <v>0.504</v>
      </c>
      <c r="R166" s="9">
        <f>IFERROR(__xludf.DUMMYFUNCTION("""COMPUTED_VALUE"""),0.403)</f>
        <v>0.403</v>
      </c>
      <c r="S166" s="9">
        <f>IFERROR(__xludf.DUMMYFUNCTION("""COMPUTED_VALUE"""),0.603)</f>
        <v>0.603</v>
      </c>
      <c r="U166" s="9">
        <f>IFERROR(__xludf.DUMMYFUNCTION("SPLIT(N158, "","")"),0.553)</f>
        <v>0.553</v>
      </c>
      <c r="V166" s="9">
        <f>IFERROR(__xludf.DUMMYFUNCTION("""COMPUTED_VALUE"""),0.498)</f>
        <v>0.498</v>
      </c>
      <c r="W166" s="9">
        <f>IFERROR(__xludf.DUMMYFUNCTION("""COMPUTED_VALUE"""),0.598)</f>
        <v>0.598</v>
      </c>
      <c r="Y166" s="9">
        <f>IFERROR(__xludf.DUMMYFUNCTION("SPLIT(O158, "","")"),0.507)</f>
        <v>0.507</v>
      </c>
      <c r="Z166" s="9">
        <f>IFERROR(__xludf.DUMMYFUNCTION("""COMPUTED_VALUE"""),0.405)</f>
        <v>0.405</v>
      </c>
      <c r="AA166" s="9">
        <f>IFERROR(__xludf.DUMMYFUNCTION("""COMPUTED_VALUE"""),0.605)</f>
        <v>0.605</v>
      </c>
    </row>
    <row r="167">
      <c r="A167" s="9">
        <f>IFERROR(__xludf.DUMMYFUNCTION("SPLIT(I159, "","")"),0.591)</f>
        <v>0.591</v>
      </c>
      <c r="B167" s="9">
        <f>IFERROR(__xludf.DUMMYFUNCTION("""COMPUTED_VALUE"""),0.591)</f>
        <v>0.591</v>
      </c>
      <c r="C167" s="9">
        <f>IFERROR(__xludf.DUMMYFUNCTION("""COMPUTED_VALUE"""),0.591)</f>
        <v>0.591</v>
      </c>
      <c r="E167" s="11">
        <f>IFERROR(__xludf.DUMMYFUNCTION("SPLIT(J159, "","")"),0.594)</f>
        <v>0.594</v>
      </c>
      <c r="F167" s="9">
        <f>IFERROR(__xludf.DUMMYFUNCTION("""COMPUTED_VALUE"""),0.534)</f>
        <v>0.534</v>
      </c>
      <c r="G167" s="9">
        <f>IFERROR(__xludf.DUMMYFUNCTION("""COMPUTED_VALUE"""),0.634)</f>
        <v>0.634</v>
      </c>
      <c r="I167" s="9">
        <f>IFERROR(__xludf.DUMMYFUNCTION("SPLIT(K159, "","")"),0.589)</f>
        <v>0.589</v>
      </c>
      <c r="J167" s="9">
        <f>IFERROR(__xludf.DUMMYFUNCTION("""COMPUTED_VALUE"""),0.471)</f>
        <v>0.471</v>
      </c>
      <c r="K167" s="9">
        <f>IFERROR(__xludf.DUMMYFUNCTION("""COMPUTED_VALUE"""),0.671)</f>
        <v>0.671</v>
      </c>
      <c r="M167" s="9">
        <f>IFERROR(__xludf.DUMMYFUNCTION("SPLIT(L159, "","")"),0.554)</f>
        <v>0.554</v>
      </c>
      <c r="N167" s="9">
        <f>IFERROR(__xludf.DUMMYFUNCTION("""COMPUTED_VALUE"""),0.499)</f>
        <v>0.499</v>
      </c>
      <c r="O167" s="9">
        <f>IFERROR(__xludf.DUMMYFUNCTION("""COMPUTED_VALUE"""),0.599)</f>
        <v>0.599</v>
      </c>
      <c r="Q167" s="9">
        <f>IFERROR(__xludf.DUMMYFUNCTION("SPLIT(M159, "","")"),0.51)</f>
        <v>0.51</v>
      </c>
      <c r="R167" s="9">
        <f>IFERROR(__xludf.DUMMYFUNCTION("""COMPUTED_VALUE"""),0.408)</f>
        <v>0.408</v>
      </c>
      <c r="S167" s="9">
        <f>IFERROR(__xludf.DUMMYFUNCTION("""COMPUTED_VALUE"""),0.608)</f>
        <v>0.608</v>
      </c>
      <c r="U167" s="9">
        <f>IFERROR(__xludf.DUMMYFUNCTION("SPLIT(N159, "","")"),0.557)</f>
        <v>0.557</v>
      </c>
      <c r="V167" s="9">
        <f>IFERROR(__xludf.DUMMYFUNCTION("""COMPUTED_VALUE"""),0.502)</f>
        <v>0.502</v>
      </c>
      <c r="W167" s="9">
        <f>IFERROR(__xludf.DUMMYFUNCTION("""COMPUTED_VALUE"""),0.602)</f>
        <v>0.602</v>
      </c>
      <c r="Y167" s="9">
        <f>IFERROR(__xludf.DUMMYFUNCTION("SPLIT(O159, "","")"),0.513)</f>
        <v>0.513</v>
      </c>
      <c r="Z167" s="9">
        <f>IFERROR(__xludf.DUMMYFUNCTION("""COMPUTED_VALUE"""),0.41)</f>
        <v>0.41</v>
      </c>
      <c r="AA167" s="9">
        <f>IFERROR(__xludf.DUMMYFUNCTION("""COMPUTED_VALUE"""),0.61)</f>
        <v>0.61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0.587</v>
      </c>
      <c r="D171" s="7">
        <f t="shared" ref="D171:D177" si="187">E161</f>
        <v>0.59</v>
      </c>
      <c r="E171" s="7">
        <f t="shared" ref="E171:E177" si="188">I161</f>
        <v>0.585</v>
      </c>
      <c r="F171" s="7">
        <f t="shared" ref="F171:G171" si="182">N161</f>
        <v>0.495</v>
      </c>
      <c r="G171" s="12">
        <f t="shared" si="182"/>
        <v>0.595</v>
      </c>
      <c r="H171" s="7">
        <f t="shared" ref="H171:I171" si="183">R161</f>
        <v>0.405</v>
      </c>
      <c r="I171" s="12">
        <f t="shared" si="183"/>
        <v>0.605</v>
      </c>
      <c r="J171" s="7">
        <f t="shared" ref="J171:K171" si="184">V161</f>
        <v>0.498</v>
      </c>
      <c r="K171" s="12">
        <f t="shared" si="184"/>
        <v>0.598</v>
      </c>
      <c r="L171" s="7">
        <f t="shared" ref="L171:M171" si="185">Z161</f>
        <v>0.406</v>
      </c>
      <c r="M171" s="7">
        <f t="shared" si="185"/>
        <v>0.606</v>
      </c>
    </row>
    <row r="172">
      <c r="B172" s="6" t="s">
        <v>5</v>
      </c>
      <c r="C172" s="7">
        <f t="shared" si="186"/>
        <v>0.586</v>
      </c>
      <c r="D172" s="7">
        <f t="shared" si="187"/>
        <v>0.589</v>
      </c>
      <c r="E172" s="7">
        <f t="shared" si="188"/>
        <v>0.583</v>
      </c>
      <c r="F172" s="7">
        <f t="shared" ref="F172:G172" si="189">N162</f>
        <v>0.495</v>
      </c>
      <c r="G172" s="12">
        <f t="shared" si="189"/>
        <v>0.595</v>
      </c>
      <c r="H172" s="7">
        <f t="shared" ref="H172:I172" si="190">R162</f>
        <v>0.405</v>
      </c>
      <c r="I172" s="12">
        <f t="shared" si="190"/>
        <v>0.605</v>
      </c>
      <c r="J172" s="7">
        <f t="shared" ref="J172:K172" si="191">V162</f>
        <v>0.498</v>
      </c>
      <c r="K172" s="12">
        <f t="shared" si="191"/>
        <v>0.598</v>
      </c>
      <c r="L172" s="7">
        <f t="shared" ref="L172:M172" si="192">Z162</f>
        <v>0.407</v>
      </c>
      <c r="M172" s="7">
        <f t="shared" si="192"/>
        <v>0.607</v>
      </c>
    </row>
    <row r="173">
      <c r="B173" s="6" t="s">
        <v>6</v>
      </c>
      <c r="C173" s="7">
        <f t="shared" si="186"/>
        <v>0.587</v>
      </c>
      <c r="D173" s="7">
        <f t="shared" si="187"/>
        <v>0.59</v>
      </c>
      <c r="E173" s="7">
        <f t="shared" si="188"/>
        <v>0.584</v>
      </c>
      <c r="F173" s="7">
        <f t="shared" ref="F173:G173" si="193">N163</f>
        <v>0.496</v>
      </c>
      <c r="G173" s="12">
        <f t="shared" si="193"/>
        <v>0.596</v>
      </c>
      <c r="H173" s="7">
        <f t="shared" ref="H173:I173" si="194">R163</f>
        <v>0.406</v>
      </c>
      <c r="I173" s="12">
        <f t="shared" si="194"/>
        <v>0.606</v>
      </c>
      <c r="J173" s="7">
        <f t="shared" ref="J173:K173" si="195">V163</f>
        <v>0.499</v>
      </c>
      <c r="K173" s="12">
        <f t="shared" si="195"/>
        <v>0.599</v>
      </c>
      <c r="L173" s="7">
        <f t="shared" ref="L173:M173" si="196">Z163</f>
        <v>0.408</v>
      </c>
      <c r="M173" s="7">
        <f t="shared" si="196"/>
        <v>0.608</v>
      </c>
    </row>
    <row r="174">
      <c r="B174" s="6" t="s">
        <v>7</v>
      </c>
      <c r="C174" s="7">
        <f t="shared" si="186"/>
        <v>0.586</v>
      </c>
      <c r="D174" s="7">
        <f t="shared" si="187"/>
        <v>0.59</v>
      </c>
      <c r="E174" s="7">
        <f t="shared" si="188"/>
        <v>0.584</v>
      </c>
      <c r="F174" s="7">
        <f t="shared" ref="F174:G174" si="197">N164</f>
        <v>0.495</v>
      </c>
      <c r="G174" s="12">
        <f t="shared" si="197"/>
        <v>0.595</v>
      </c>
      <c r="H174" s="7">
        <f t="shared" ref="H174:I174" si="198">R164</f>
        <v>0.406</v>
      </c>
      <c r="I174" s="12">
        <f t="shared" si="198"/>
        <v>0.606</v>
      </c>
      <c r="J174" s="7">
        <f t="shared" ref="J174:K174" si="199">V164</f>
        <v>0.498</v>
      </c>
      <c r="K174" s="12">
        <f t="shared" si="199"/>
        <v>0.598</v>
      </c>
      <c r="L174" s="7">
        <f t="shared" ref="L174:M174" si="200">Z164</f>
        <v>0.407</v>
      </c>
      <c r="M174" s="7">
        <f t="shared" si="200"/>
        <v>0.607</v>
      </c>
    </row>
    <row r="175">
      <c r="B175" s="6" t="s">
        <v>8</v>
      </c>
      <c r="C175" s="7">
        <f t="shared" si="186"/>
        <v>0.588</v>
      </c>
      <c r="D175" s="7">
        <f t="shared" si="187"/>
        <v>0.591</v>
      </c>
      <c r="E175" s="7">
        <f t="shared" si="188"/>
        <v>0.585</v>
      </c>
      <c r="F175" s="7">
        <f t="shared" ref="F175:G175" si="201">N165</f>
        <v>0.494</v>
      </c>
      <c r="G175" s="12">
        <f t="shared" si="201"/>
        <v>0.594</v>
      </c>
      <c r="H175" s="7">
        <f t="shared" ref="H175:I175" si="202">R165</f>
        <v>0.402</v>
      </c>
      <c r="I175" s="12">
        <f t="shared" si="202"/>
        <v>0.602</v>
      </c>
      <c r="J175" s="7">
        <f t="shared" ref="J175:K175" si="203">V165</f>
        <v>0.497</v>
      </c>
      <c r="K175" s="12">
        <f t="shared" si="203"/>
        <v>0.597</v>
      </c>
      <c r="L175" s="7">
        <f t="shared" ref="L175:M175" si="204">Z165</f>
        <v>0.404</v>
      </c>
      <c r="M175" s="7">
        <f t="shared" si="204"/>
        <v>0.604</v>
      </c>
    </row>
    <row r="176">
      <c r="B176" s="6" t="s">
        <v>9</v>
      </c>
      <c r="C176" s="7">
        <f t="shared" si="186"/>
        <v>0.587</v>
      </c>
      <c r="D176" s="7">
        <f t="shared" si="187"/>
        <v>0.59</v>
      </c>
      <c r="E176" s="7">
        <f t="shared" si="188"/>
        <v>0.585</v>
      </c>
      <c r="F176" s="7">
        <f t="shared" ref="F176:G176" si="205">N166</f>
        <v>0.495</v>
      </c>
      <c r="G176" s="12">
        <f t="shared" si="205"/>
        <v>0.595</v>
      </c>
      <c r="H176" s="7">
        <f t="shared" ref="H176:I176" si="206">R166</f>
        <v>0.403</v>
      </c>
      <c r="I176" s="12">
        <f t="shared" si="206"/>
        <v>0.603</v>
      </c>
      <c r="J176" s="7">
        <f t="shared" ref="J176:K176" si="207">V166</f>
        <v>0.498</v>
      </c>
      <c r="K176" s="12">
        <f t="shared" si="207"/>
        <v>0.598</v>
      </c>
      <c r="L176" s="7">
        <f t="shared" ref="L176:M176" si="208">Z166</f>
        <v>0.405</v>
      </c>
      <c r="M176" s="7">
        <f t="shared" si="208"/>
        <v>0.605</v>
      </c>
    </row>
    <row r="177">
      <c r="B177" s="6" t="s">
        <v>10</v>
      </c>
      <c r="C177" s="7">
        <f t="shared" si="186"/>
        <v>0.591</v>
      </c>
      <c r="D177" s="7">
        <f t="shared" si="187"/>
        <v>0.594</v>
      </c>
      <c r="E177" s="7">
        <f t="shared" si="188"/>
        <v>0.589</v>
      </c>
      <c r="F177" s="7">
        <f t="shared" ref="F177:G177" si="209">N167</f>
        <v>0.499</v>
      </c>
      <c r="G177" s="12">
        <f t="shared" si="209"/>
        <v>0.599</v>
      </c>
      <c r="H177" s="7">
        <f t="shared" ref="H177:I177" si="210">R167</f>
        <v>0.408</v>
      </c>
      <c r="I177" s="12">
        <f t="shared" si="210"/>
        <v>0.608</v>
      </c>
      <c r="J177" s="7">
        <f t="shared" ref="J177:K177" si="211">V167</f>
        <v>0.502</v>
      </c>
      <c r="K177" s="12">
        <f t="shared" si="211"/>
        <v>0.602</v>
      </c>
      <c r="L177" s="7">
        <f t="shared" ref="L177:M177" si="212">Z167</f>
        <v>0.41</v>
      </c>
      <c r="M177" s="7">
        <f t="shared" si="212"/>
        <v>0.61</v>
      </c>
    </row>
    <row r="179">
      <c r="A179" s="8" t="s">
        <v>778</v>
      </c>
      <c r="B179" s="8" t="s">
        <v>779</v>
      </c>
      <c r="C179" s="8" t="s">
        <v>780</v>
      </c>
      <c r="D179" s="8" t="s">
        <v>182</v>
      </c>
      <c r="E179" s="8" t="s">
        <v>781</v>
      </c>
      <c r="F179" s="8" t="s">
        <v>782</v>
      </c>
      <c r="G179" s="8" t="s">
        <v>783</v>
      </c>
      <c r="I179" s="9" t="str">
        <f t="shared" ref="I179:O179" si="213">substitute(SUBSTITUTE(A179, "(", ""), ")", "")</f>
        <v>0.439, 0.439, 0.439</v>
      </c>
      <c r="J179" s="9" t="str">
        <f t="shared" si="213"/>
        <v>0.432, 0.389, 0.489</v>
      </c>
      <c r="K179" s="9" t="str">
        <f t="shared" si="213"/>
        <v>0.452, 0.361, 0.561</v>
      </c>
      <c r="L179" s="9" t="str">
        <f t="shared" si="213"/>
        <v>0.487, 0.438, 0.538</v>
      </c>
      <c r="M179" s="9" t="str">
        <f t="shared" si="213"/>
        <v>0.553, 0.442, 0.642</v>
      </c>
      <c r="N179" s="9" t="str">
        <f t="shared" si="213"/>
        <v>0.486, 0.438, 0.538</v>
      </c>
      <c r="O179" s="9" t="str">
        <f t="shared" si="213"/>
        <v>0.549, 0.439, 0.639</v>
      </c>
      <c r="T179" s="6"/>
    </row>
    <row r="180">
      <c r="A180" s="8" t="s">
        <v>778</v>
      </c>
      <c r="B180" s="8" t="s">
        <v>779</v>
      </c>
      <c r="C180" s="8" t="s">
        <v>780</v>
      </c>
      <c r="D180" s="8" t="s">
        <v>182</v>
      </c>
      <c r="E180" s="8" t="s">
        <v>781</v>
      </c>
      <c r="F180" s="8" t="s">
        <v>782</v>
      </c>
      <c r="G180" s="8" t="s">
        <v>783</v>
      </c>
      <c r="I180" s="9" t="str">
        <f t="shared" ref="I180:O180" si="214">substitute(SUBSTITUTE(A180, "(", ""), ")", "")</f>
        <v>0.439, 0.439, 0.439</v>
      </c>
      <c r="J180" s="9" t="str">
        <f t="shared" si="214"/>
        <v>0.432, 0.389, 0.489</v>
      </c>
      <c r="K180" s="9" t="str">
        <f t="shared" si="214"/>
        <v>0.452, 0.361, 0.561</v>
      </c>
      <c r="L180" s="9" t="str">
        <f t="shared" si="214"/>
        <v>0.487, 0.438, 0.538</v>
      </c>
      <c r="M180" s="9" t="str">
        <f t="shared" si="214"/>
        <v>0.553, 0.442, 0.642</v>
      </c>
      <c r="N180" s="9" t="str">
        <f t="shared" si="214"/>
        <v>0.486, 0.438, 0.538</v>
      </c>
      <c r="O180" s="9" t="str">
        <f t="shared" si="214"/>
        <v>0.549, 0.439, 0.639</v>
      </c>
    </row>
    <row r="181">
      <c r="A181" s="8" t="s">
        <v>784</v>
      </c>
      <c r="B181" s="8" t="s">
        <v>397</v>
      </c>
      <c r="C181" s="8" t="s">
        <v>241</v>
      </c>
      <c r="D181" s="8" t="s">
        <v>782</v>
      </c>
      <c r="E181" s="8" t="s">
        <v>785</v>
      </c>
      <c r="F181" s="8" t="s">
        <v>182</v>
      </c>
      <c r="G181" s="8" t="s">
        <v>786</v>
      </c>
      <c r="I181" s="9" t="str">
        <f t="shared" ref="I181:O181" si="215">substitute(SUBSTITUTE(A181, "(", ""), ")", "")</f>
        <v>0.438, 0.438, 0.438</v>
      </c>
      <c r="J181" s="9" t="str">
        <f t="shared" si="215"/>
        <v>0.431, 0.388, 0.488</v>
      </c>
      <c r="K181" s="9" t="str">
        <f t="shared" si="215"/>
        <v>0.451, 0.361, 0.561</v>
      </c>
      <c r="L181" s="9" t="str">
        <f t="shared" si="215"/>
        <v>0.486, 0.438, 0.538</v>
      </c>
      <c r="M181" s="9" t="str">
        <f t="shared" si="215"/>
        <v>0.552, 0.441, 0.641</v>
      </c>
      <c r="N181" s="9" t="str">
        <f t="shared" si="215"/>
        <v>0.487, 0.438, 0.538</v>
      </c>
      <c r="O181" s="9" t="str">
        <f t="shared" si="215"/>
        <v>0.548, 0.439, 0.639</v>
      </c>
    </row>
    <row r="182">
      <c r="A182" s="8" t="s">
        <v>778</v>
      </c>
      <c r="B182" s="8" t="s">
        <v>779</v>
      </c>
      <c r="C182" s="8" t="s">
        <v>780</v>
      </c>
      <c r="D182" s="8" t="s">
        <v>182</v>
      </c>
      <c r="E182" s="8" t="s">
        <v>781</v>
      </c>
      <c r="F182" s="8" t="s">
        <v>782</v>
      </c>
      <c r="G182" s="8" t="s">
        <v>783</v>
      </c>
      <c r="I182" s="9" t="str">
        <f t="shared" ref="I182:O182" si="216">substitute(SUBSTITUTE(A182, "(", ""), ")", "")</f>
        <v>0.439, 0.439, 0.439</v>
      </c>
      <c r="J182" s="9" t="str">
        <f t="shared" si="216"/>
        <v>0.432, 0.389, 0.489</v>
      </c>
      <c r="K182" s="9" t="str">
        <f t="shared" si="216"/>
        <v>0.452, 0.361, 0.561</v>
      </c>
      <c r="L182" s="9" t="str">
        <f t="shared" si="216"/>
        <v>0.487, 0.438, 0.538</v>
      </c>
      <c r="M182" s="9" t="str">
        <f t="shared" si="216"/>
        <v>0.553, 0.442, 0.642</v>
      </c>
      <c r="N182" s="9" t="str">
        <f t="shared" si="216"/>
        <v>0.486, 0.438, 0.538</v>
      </c>
      <c r="O182" s="9" t="str">
        <f t="shared" si="216"/>
        <v>0.549, 0.439, 0.639</v>
      </c>
    </row>
    <row r="183">
      <c r="A183" s="8" t="s">
        <v>778</v>
      </c>
      <c r="B183" s="8" t="s">
        <v>779</v>
      </c>
      <c r="C183" s="8" t="s">
        <v>780</v>
      </c>
      <c r="D183" s="8" t="s">
        <v>182</v>
      </c>
      <c r="E183" s="8" t="s">
        <v>781</v>
      </c>
      <c r="F183" s="8" t="s">
        <v>782</v>
      </c>
      <c r="G183" s="8" t="s">
        <v>783</v>
      </c>
      <c r="I183" s="9" t="str">
        <f t="shared" ref="I183:O183" si="217">substitute(SUBSTITUTE(A183, "(", ""), ")", "")</f>
        <v>0.439, 0.439, 0.439</v>
      </c>
      <c r="J183" s="9" t="str">
        <f t="shared" si="217"/>
        <v>0.432, 0.389, 0.489</v>
      </c>
      <c r="K183" s="9" t="str">
        <f t="shared" si="217"/>
        <v>0.452, 0.361, 0.561</v>
      </c>
      <c r="L183" s="9" t="str">
        <f t="shared" si="217"/>
        <v>0.487, 0.438, 0.538</v>
      </c>
      <c r="M183" s="9" t="str">
        <f t="shared" si="217"/>
        <v>0.553, 0.442, 0.642</v>
      </c>
      <c r="N183" s="9" t="str">
        <f t="shared" si="217"/>
        <v>0.486, 0.438, 0.538</v>
      </c>
      <c r="O183" s="9" t="str">
        <f t="shared" si="217"/>
        <v>0.549, 0.439, 0.639</v>
      </c>
    </row>
    <row r="184">
      <c r="A184" s="8" t="s">
        <v>778</v>
      </c>
      <c r="B184" s="8" t="s">
        <v>779</v>
      </c>
      <c r="C184" s="8" t="s">
        <v>780</v>
      </c>
      <c r="D184" s="8" t="s">
        <v>182</v>
      </c>
      <c r="E184" s="8" t="s">
        <v>781</v>
      </c>
      <c r="F184" s="8" t="s">
        <v>782</v>
      </c>
      <c r="G184" s="8" t="s">
        <v>783</v>
      </c>
      <c r="I184" s="9" t="str">
        <f t="shared" ref="I184:O184" si="218">substitute(SUBSTITUTE(A184, "(", ""), ")", "")</f>
        <v>0.439, 0.439, 0.439</v>
      </c>
      <c r="J184" s="9" t="str">
        <f t="shared" si="218"/>
        <v>0.432, 0.389, 0.489</v>
      </c>
      <c r="K184" s="9" t="str">
        <f t="shared" si="218"/>
        <v>0.452, 0.361, 0.561</v>
      </c>
      <c r="L184" s="9" t="str">
        <f t="shared" si="218"/>
        <v>0.487, 0.438, 0.538</v>
      </c>
      <c r="M184" s="9" t="str">
        <f t="shared" si="218"/>
        <v>0.553, 0.442, 0.642</v>
      </c>
      <c r="N184" s="9" t="str">
        <f t="shared" si="218"/>
        <v>0.486, 0.438, 0.538</v>
      </c>
      <c r="O184" s="9" t="str">
        <f t="shared" si="218"/>
        <v>0.549, 0.439, 0.639</v>
      </c>
    </row>
    <row r="185">
      <c r="A185" s="8" t="s">
        <v>778</v>
      </c>
      <c r="B185" s="8" t="s">
        <v>779</v>
      </c>
      <c r="C185" s="8" t="s">
        <v>780</v>
      </c>
      <c r="D185" s="8" t="s">
        <v>182</v>
      </c>
      <c r="E185" s="8" t="s">
        <v>781</v>
      </c>
      <c r="F185" s="8" t="s">
        <v>782</v>
      </c>
      <c r="G185" s="8" t="s">
        <v>783</v>
      </c>
      <c r="I185" s="9" t="str">
        <f t="shared" ref="I185:O185" si="219">substitute(SUBSTITUTE(A185, "(", ""), ")", "")</f>
        <v>0.439, 0.439, 0.439</v>
      </c>
      <c r="J185" s="9" t="str">
        <f t="shared" si="219"/>
        <v>0.432, 0.389, 0.489</v>
      </c>
      <c r="K185" s="9" t="str">
        <f t="shared" si="219"/>
        <v>0.452, 0.361, 0.561</v>
      </c>
      <c r="L185" s="9" t="str">
        <f t="shared" si="219"/>
        <v>0.487, 0.438, 0.538</v>
      </c>
      <c r="M185" s="9" t="str">
        <f t="shared" si="219"/>
        <v>0.553, 0.442, 0.642</v>
      </c>
      <c r="N185" s="9" t="str">
        <f t="shared" si="219"/>
        <v>0.486, 0.438, 0.538</v>
      </c>
      <c r="O185" s="9" t="str">
        <f t="shared" si="219"/>
        <v>0.549, 0.439, 0.639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"","")"),0.439)</f>
        <v>0.439</v>
      </c>
      <c r="B187" s="9">
        <f>IFERROR(__xludf.DUMMYFUNCTION("""COMPUTED_VALUE"""),0.439)</f>
        <v>0.439</v>
      </c>
      <c r="C187" s="9">
        <f>IFERROR(__xludf.DUMMYFUNCTION("""COMPUTED_VALUE"""),0.439)</f>
        <v>0.439</v>
      </c>
      <c r="E187" s="11">
        <f>IFERROR(__xludf.DUMMYFUNCTION("SPLIT(J179, "","")"),0.432)</f>
        <v>0.432</v>
      </c>
      <c r="F187" s="9">
        <f>IFERROR(__xludf.DUMMYFUNCTION("""COMPUTED_VALUE"""),0.389)</f>
        <v>0.389</v>
      </c>
      <c r="G187" s="9">
        <f>IFERROR(__xludf.DUMMYFUNCTION("""COMPUTED_VALUE"""),0.489)</f>
        <v>0.489</v>
      </c>
      <c r="I187" s="9">
        <f>IFERROR(__xludf.DUMMYFUNCTION("SPLIT(K179, "","")"),0.452)</f>
        <v>0.452</v>
      </c>
      <c r="J187" s="9">
        <f>IFERROR(__xludf.DUMMYFUNCTION("""COMPUTED_VALUE"""),0.361)</f>
        <v>0.361</v>
      </c>
      <c r="K187" s="9">
        <f>IFERROR(__xludf.DUMMYFUNCTION("""COMPUTED_VALUE"""),0.561)</f>
        <v>0.561</v>
      </c>
      <c r="M187" s="9">
        <f>IFERROR(__xludf.DUMMYFUNCTION("SPLIT(L179, "","")"),0.487)</f>
        <v>0.487</v>
      </c>
      <c r="N187" s="9">
        <f>IFERROR(__xludf.DUMMYFUNCTION("""COMPUTED_VALUE"""),0.438)</f>
        <v>0.438</v>
      </c>
      <c r="O187" s="9">
        <f>IFERROR(__xludf.DUMMYFUNCTION("""COMPUTED_VALUE"""),0.538)</f>
        <v>0.538</v>
      </c>
      <c r="Q187" s="9">
        <f>IFERROR(__xludf.DUMMYFUNCTION("SPLIT(M179, "","")"),0.553)</f>
        <v>0.553</v>
      </c>
      <c r="R187" s="9">
        <f>IFERROR(__xludf.DUMMYFUNCTION("""COMPUTED_VALUE"""),0.442)</f>
        <v>0.442</v>
      </c>
      <c r="S187" s="9">
        <f>IFERROR(__xludf.DUMMYFUNCTION("""COMPUTED_VALUE"""),0.642)</f>
        <v>0.642</v>
      </c>
      <c r="U187" s="9">
        <f>IFERROR(__xludf.DUMMYFUNCTION("SPLIT(N179, "","")"),0.486)</f>
        <v>0.486</v>
      </c>
      <c r="V187" s="9">
        <f>IFERROR(__xludf.DUMMYFUNCTION("""COMPUTED_VALUE"""),0.438)</f>
        <v>0.438</v>
      </c>
      <c r="W187" s="9">
        <f>IFERROR(__xludf.DUMMYFUNCTION("""COMPUTED_VALUE"""),0.538)</f>
        <v>0.538</v>
      </c>
      <c r="Y187" s="9">
        <f>IFERROR(__xludf.DUMMYFUNCTION("SPLIT(O179, "","")"),0.549)</f>
        <v>0.549</v>
      </c>
      <c r="Z187" s="9">
        <f>IFERROR(__xludf.DUMMYFUNCTION("""COMPUTED_VALUE"""),0.439)</f>
        <v>0.439</v>
      </c>
      <c r="AA187" s="9">
        <f>IFERROR(__xludf.DUMMYFUNCTION("""COMPUTED_VALUE"""),0.639)</f>
        <v>0.639</v>
      </c>
    </row>
    <row r="188">
      <c r="A188" s="9">
        <f>IFERROR(__xludf.DUMMYFUNCTION("SPLIT(I180, "","")"),0.439)</f>
        <v>0.439</v>
      </c>
      <c r="B188" s="9">
        <f>IFERROR(__xludf.DUMMYFUNCTION("""COMPUTED_VALUE"""),0.439)</f>
        <v>0.439</v>
      </c>
      <c r="C188" s="9">
        <f>IFERROR(__xludf.DUMMYFUNCTION("""COMPUTED_VALUE"""),0.439)</f>
        <v>0.439</v>
      </c>
      <c r="E188" s="11">
        <f>IFERROR(__xludf.DUMMYFUNCTION("SPLIT(J180, "","")"),0.432)</f>
        <v>0.432</v>
      </c>
      <c r="F188" s="9">
        <f>IFERROR(__xludf.DUMMYFUNCTION("""COMPUTED_VALUE"""),0.389)</f>
        <v>0.389</v>
      </c>
      <c r="G188" s="9">
        <f>IFERROR(__xludf.DUMMYFUNCTION("""COMPUTED_VALUE"""),0.489)</f>
        <v>0.489</v>
      </c>
      <c r="I188" s="9">
        <f>IFERROR(__xludf.DUMMYFUNCTION("SPLIT(K180, "","")"),0.452)</f>
        <v>0.452</v>
      </c>
      <c r="J188" s="9">
        <f>IFERROR(__xludf.DUMMYFUNCTION("""COMPUTED_VALUE"""),0.361)</f>
        <v>0.361</v>
      </c>
      <c r="K188" s="9">
        <f>IFERROR(__xludf.DUMMYFUNCTION("""COMPUTED_VALUE"""),0.561)</f>
        <v>0.561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"","")"),0.553)</f>
        <v>0.553</v>
      </c>
      <c r="R188" s="9">
        <f>IFERROR(__xludf.DUMMYFUNCTION("""COMPUTED_VALUE"""),0.442)</f>
        <v>0.442</v>
      </c>
      <c r="S188" s="9">
        <f>IFERROR(__xludf.DUMMYFUNCTION("""COMPUTED_VALUE"""),0.642)</f>
        <v>0.642</v>
      </c>
      <c r="U188" s="9">
        <f>IFERROR(__xludf.DUMMYFUNCTION("SPLIT(N180, "","")"),0.486)</f>
        <v>0.486</v>
      </c>
      <c r="V188" s="9">
        <f>IFERROR(__xludf.DUMMYFUNCTION("""COMPUTED_VALUE"""),0.438)</f>
        <v>0.438</v>
      </c>
      <c r="W188" s="9">
        <f>IFERROR(__xludf.DUMMYFUNCTION("""COMPUTED_VALUE"""),0.538)</f>
        <v>0.538</v>
      </c>
      <c r="Y188" s="9">
        <f>IFERROR(__xludf.DUMMYFUNCTION("SPLIT(O180, "","")"),0.549)</f>
        <v>0.549</v>
      </c>
      <c r="Z188" s="9">
        <f>IFERROR(__xludf.DUMMYFUNCTION("""COMPUTED_VALUE"""),0.439)</f>
        <v>0.439</v>
      </c>
      <c r="AA188" s="9">
        <f>IFERROR(__xludf.DUMMYFUNCTION("""COMPUTED_VALUE"""),0.639)</f>
        <v>0.639</v>
      </c>
    </row>
    <row r="189">
      <c r="A189" s="9">
        <f>IFERROR(__xludf.DUMMYFUNCTION("SPLIT(I181, "","")"),0.438)</f>
        <v>0.438</v>
      </c>
      <c r="B189" s="9">
        <f>IFERROR(__xludf.DUMMYFUNCTION("""COMPUTED_VALUE"""),0.438)</f>
        <v>0.438</v>
      </c>
      <c r="C189" s="9">
        <f>IFERROR(__xludf.DUMMYFUNCTION("""COMPUTED_VALUE"""),0.438)</f>
        <v>0.438</v>
      </c>
      <c r="E189" s="11">
        <f>IFERROR(__xludf.DUMMYFUNCTION("SPLIT(J181, "","")"),0.431)</f>
        <v>0.431</v>
      </c>
      <c r="F189" s="9">
        <f>IFERROR(__xludf.DUMMYFUNCTION("""COMPUTED_VALUE"""),0.388)</f>
        <v>0.388</v>
      </c>
      <c r="G189" s="9">
        <f>IFERROR(__xludf.DUMMYFUNCTION("""COMPUTED_VALUE"""),0.488)</f>
        <v>0.488</v>
      </c>
      <c r="I189" s="9">
        <f>IFERROR(__xludf.DUMMYFUNCTION("SPLIT(K181, "","")"),0.451)</f>
        <v>0.451</v>
      </c>
      <c r="J189" s="9">
        <f>IFERROR(__xludf.DUMMYFUNCTION("""COMPUTED_VALUE"""),0.361)</f>
        <v>0.361</v>
      </c>
      <c r="K189" s="9">
        <f>IFERROR(__xludf.DUMMYFUNCTION("""COMPUTED_VALUE"""),0.561)</f>
        <v>0.561</v>
      </c>
      <c r="M189" s="9">
        <f>IFERROR(__xludf.DUMMYFUNCTION("SPLIT(L181, "","")"),0.486)</f>
        <v>0.486</v>
      </c>
      <c r="N189" s="9">
        <f>IFERROR(__xludf.DUMMYFUNCTION("""COMPUTED_VALUE"""),0.438)</f>
        <v>0.438</v>
      </c>
      <c r="O189" s="9">
        <f>IFERROR(__xludf.DUMMYFUNCTION("""COMPUTED_VALUE"""),0.538)</f>
        <v>0.538</v>
      </c>
      <c r="Q189" s="9">
        <f>IFERROR(__xludf.DUMMYFUNCTION("SPLIT(M181, "","")"),0.552)</f>
        <v>0.552</v>
      </c>
      <c r="R189" s="9">
        <f>IFERROR(__xludf.DUMMYFUNCTION("""COMPUTED_VALUE"""),0.441)</f>
        <v>0.441</v>
      </c>
      <c r="S189" s="9">
        <f>IFERROR(__xludf.DUMMYFUNCTION("""COMPUTED_VALUE"""),0.641)</f>
        <v>0.641</v>
      </c>
      <c r="U189" s="9">
        <f>IFERROR(__xludf.DUMMYFUNCTION("SPLIT(N181, "","")"),0.487)</f>
        <v>0.487</v>
      </c>
      <c r="V189" s="9">
        <f>IFERROR(__xludf.DUMMYFUNCTION("""COMPUTED_VALUE"""),0.438)</f>
        <v>0.438</v>
      </c>
      <c r="W189" s="9">
        <f>IFERROR(__xludf.DUMMYFUNCTION("""COMPUTED_VALUE"""),0.538)</f>
        <v>0.538</v>
      </c>
      <c r="Y189" s="9">
        <f>IFERROR(__xludf.DUMMYFUNCTION("SPLIT(O181, "","")"),0.548)</f>
        <v>0.548</v>
      </c>
      <c r="Z189" s="9">
        <f>IFERROR(__xludf.DUMMYFUNCTION("""COMPUTED_VALUE"""),0.439)</f>
        <v>0.439</v>
      </c>
      <c r="AA189" s="9">
        <f>IFERROR(__xludf.DUMMYFUNCTION("""COMPUTED_VALUE"""),0.639)</f>
        <v>0.639</v>
      </c>
    </row>
    <row r="190">
      <c r="A190" s="9">
        <f>IFERROR(__xludf.DUMMYFUNCTION("SPLIT(I182, "","")"),0.439)</f>
        <v>0.439</v>
      </c>
      <c r="B190" s="9">
        <f>IFERROR(__xludf.DUMMYFUNCTION("""COMPUTED_VALUE"""),0.439)</f>
        <v>0.439</v>
      </c>
      <c r="C190" s="9">
        <f>IFERROR(__xludf.DUMMYFUNCTION("""COMPUTED_VALUE"""),0.439)</f>
        <v>0.439</v>
      </c>
      <c r="E190" s="11">
        <f>IFERROR(__xludf.DUMMYFUNCTION("SPLIT(J182, "","")"),0.432)</f>
        <v>0.432</v>
      </c>
      <c r="F190" s="9">
        <f>IFERROR(__xludf.DUMMYFUNCTION("""COMPUTED_VALUE"""),0.389)</f>
        <v>0.389</v>
      </c>
      <c r="G190" s="9">
        <f>IFERROR(__xludf.DUMMYFUNCTION("""COMPUTED_VALUE"""),0.489)</f>
        <v>0.489</v>
      </c>
      <c r="I190" s="9">
        <f>IFERROR(__xludf.DUMMYFUNCTION("SPLIT(K182, "","")"),0.452)</f>
        <v>0.452</v>
      </c>
      <c r="J190" s="9">
        <f>IFERROR(__xludf.DUMMYFUNCTION("""COMPUTED_VALUE"""),0.361)</f>
        <v>0.361</v>
      </c>
      <c r="K190" s="9">
        <f>IFERROR(__xludf.DUMMYFUNCTION("""COMPUTED_VALUE"""),0.561)</f>
        <v>0.561</v>
      </c>
      <c r="M190" s="9">
        <f>IFERROR(__xludf.DUMMYFUNCTION("SPLIT(L182, "","")"),0.487)</f>
        <v>0.487</v>
      </c>
      <c r="N190" s="9">
        <f>IFERROR(__xludf.DUMMYFUNCTION("""COMPUTED_VALUE"""),0.438)</f>
        <v>0.438</v>
      </c>
      <c r="O190" s="9">
        <f>IFERROR(__xludf.DUMMYFUNCTION("""COMPUTED_VALUE"""),0.538)</f>
        <v>0.538</v>
      </c>
      <c r="Q190" s="9">
        <f>IFERROR(__xludf.DUMMYFUNCTION("SPLIT(M182, "","")"),0.553)</f>
        <v>0.553</v>
      </c>
      <c r="R190" s="9">
        <f>IFERROR(__xludf.DUMMYFUNCTION("""COMPUTED_VALUE"""),0.442)</f>
        <v>0.442</v>
      </c>
      <c r="S190" s="9">
        <f>IFERROR(__xludf.DUMMYFUNCTION("""COMPUTED_VALUE"""),0.642)</f>
        <v>0.642</v>
      </c>
      <c r="U190" s="9">
        <f>IFERROR(__xludf.DUMMYFUNCTION("SPLIT(N182, "","")"),0.486)</f>
        <v>0.486</v>
      </c>
      <c r="V190" s="9">
        <f>IFERROR(__xludf.DUMMYFUNCTION("""COMPUTED_VALUE"""),0.438)</f>
        <v>0.438</v>
      </c>
      <c r="W190" s="9">
        <f>IFERROR(__xludf.DUMMYFUNCTION("""COMPUTED_VALUE"""),0.538)</f>
        <v>0.538</v>
      </c>
      <c r="Y190" s="9">
        <f>IFERROR(__xludf.DUMMYFUNCTION("SPLIT(O182, "","")"),0.549)</f>
        <v>0.549</v>
      </c>
      <c r="Z190" s="9">
        <f>IFERROR(__xludf.DUMMYFUNCTION("""COMPUTED_VALUE"""),0.439)</f>
        <v>0.439</v>
      </c>
      <c r="AA190" s="9">
        <f>IFERROR(__xludf.DUMMYFUNCTION("""COMPUTED_VALUE"""),0.639)</f>
        <v>0.639</v>
      </c>
    </row>
    <row r="191">
      <c r="A191" s="9">
        <f>IFERROR(__xludf.DUMMYFUNCTION("SPLIT(I183, "","")"),0.439)</f>
        <v>0.439</v>
      </c>
      <c r="B191" s="9">
        <f>IFERROR(__xludf.DUMMYFUNCTION("""COMPUTED_VALUE"""),0.439)</f>
        <v>0.439</v>
      </c>
      <c r="C191" s="9">
        <f>IFERROR(__xludf.DUMMYFUNCTION("""COMPUTED_VALUE"""),0.439)</f>
        <v>0.439</v>
      </c>
      <c r="E191" s="11">
        <f>IFERROR(__xludf.DUMMYFUNCTION("SPLIT(J183, "","")"),0.432)</f>
        <v>0.432</v>
      </c>
      <c r="F191" s="9">
        <f>IFERROR(__xludf.DUMMYFUNCTION("""COMPUTED_VALUE"""),0.389)</f>
        <v>0.389</v>
      </c>
      <c r="G191" s="9">
        <f>IFERROR(__xludf.DUMMYFUNCTION("""COMPUTED_VALUE"""),0.489)</f>
        <v>0.489</v>
      </c>
      <c r="I191" s="9">
        <f>IFERROR(__xludf.DUMMYFUNCTION("SPLIT(K183, "","")"),0.452)</f>
        <v>0.452</v>
      </c>
      <c r="J191" s="9">
        <f>IFERROR(__xludf.DUMMYFUNCTION("""COMPUTED_VALUE"""),0.361)</f>
        <v>0.361</v>
      </c>
      <c r="K191" s="9">
        <f>IFERROR(__xludf.DUMMYFUNCTION("""COMPUTED_VALUE"""),0.561)</f>
        <v>0.561</v>
      </c>
      <c r="M191" s="9">
        <f>IFERROR(__xludf.DUMMYFUNCTION("SPLIT(L183, "","")"),0.487)</f>
        <v>0.487</v>
      </c>
      <c r="N191" s="9">
        <f>IFERROR(__xludf.DUMMYFUNCTION("""COMPUTED_VALUE"""),0.438)</f>
        <v>0.438</v>
      </c>
      <c r="O191" s="9">
        <f>IFERROR(__xludf.DUMMYFUNCTION("""COMPUTED_VALUE"""),0.538)</f>
        <v>0.538</v>
      </c>
      <c r="Q191" s="9">
        <f>IFERROR(__xludf.DUMMYFUNCTION("SPLIT(M183, "","")"),0.553)</f>
        <v>0.553</v>
      </c>
      <c r="R191" s="9">
        <f>IFERROR(__xludf.DUMMYFUNCTION("""COMPUTED_VALUE"""),0.442)</f>
        <v>0.442</v>
      </c>
      <c r="S191" s="9">
        <f>IFERROR(__xludf.DUMMYFUNCTION("""COMPUTED_VALUE"""),0.642)</f>
        <v>0.642</v>
      </c>
      <c r="U191" s="9">
        <f>IFERROR(__xludf.DUMMYFUNCTION("SPLIT(N183, "","")"),0.486)</f>
        <v>0.486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"","")"),0.549)</f>
        <v>0.549</v>
      </c>
      <c r="Z191" s="9">
        <f>IFERROR(__xludf.DUMMYFUNCTION("""COMPUTED_VALUE"""),0.439)</f>
        <v>0.439</v>
      </c>
      <c r="AA191" s="9">
        <f>IFERROR(__xludf.DUMMYFUNCTION("""COMPUTED_VALUE"""),0.639)</f>
        <v>0.639</v>
      </c>
    </row>
    <row r="192">
      <c r="A192" s="9">
        <f>IFERROR(__xludf.DUMMYFUNCTION("SPLIT(I184, "","")"),0.439)</f>
        <v>0.439</v>
      </c>
      <c r="B192" s="9">
        <f>IFERROR(__xludf.DUMMYFUNCTION("""COMPUTED_VALUE"""),0.439)</f>
        <v>0.439</v>
      </c>
      <c r="C192" s="9">
        <f>IFERROR(__xludf.DUMMYFUNCTION("""COMPUTED_VALUE"""),0.439)</f>
        <v>0.439</v>
      </c>
      <c r="E192" s="11">
        <f>IFERROR(__xludf.DUMMYFUNCTION("SPLIT(J184, "","")"),0.432)</f>
        <v>0.432</v>
      </c>
      <c r="F192" s="9">
        <f>IFERROR(__xludf.DUMMYFUNCTION("""COMPUTED_VALUE"""),0.389)</f>
        <v>0.389</v>
      </c>
      <c r="G192" s="9">
        <f>IFERROR(__xludf.DUMMYFUNCTION("""COMPUTED_VALUE"""),0.489)</f>
        <v>0.489</v>
      </c>
      <c r="I192" s="9">
        <f>IFERROR(__xludf.DUMMYFUNCTION("SPLIT(K184, "","")"),0.452)</f>
        <v>0.452</v>
      </c>
      <c r="J192" s="9">
        <f>IFERROR(__xludf.DUMMYFUNCTION("""COMPUTED_VALUE"""),0.361)</f>
        <v>0.361</v>
      </c>
      <c r="K192" s="9">
        <f>IFERROR(__xludf.DUMMYFUNCTION("""COMPUTED_VALUE"""),0.561)</f>
        <v>0.561</v>
      </c>
      <c r="M192" s="9">
        <f>IFERROR(__xludf.DUMMYFUNCTION("SPLIT(L184, "","")"),0.487)</f>
        <v>0.487</v>
      </c>
      <c r="N192" s="9">
        <f>IFERROR(__xludf.DUMMYFUNCTION("""COMPUTED_VALUE"""),0.438)</f>
        <v>0.438</v>
      </c>
      <c r="O192" s="9">
        <f>IFERROR(__xludf.DUMMYFUNCTION("""COMPUTED_VALUE"""),0.538)</f>
        <v>0.538</v>
      </c>
      <c r="Q192" s="9">
        <f>IFERROR(__xludf.DUMMYFUNCTION("SPLIT(M184, "","")"),0.553)</f>
        <v>0.553</v>
      </c>
      <c r="R192" s="9">
        <f>IFERROR(__xludf.DUMMYFUNCTION("""COMPUTED_VALUE"""),0.442)</f>
        <v>0.442</v>
      </c>
      <c r="S192" s="9">
        <f>IFERROR(__xludf.DUMMYFUNCTION("""COMPUTED_VALUE"""),0.642)</f>
        <v>0.642</v>
      </c>
      <c r="U192" s="9">
        <f>IFERROR(__xludf.DUMMYFUNCTION("SPLIT(N184, "","")"),0.486)</f>
        <v>0.486</v>
      </c>
      <c r="V192" s="9">
        <f>IFERROR(__xludf.DUMMYFUNCTION("""COMPUTED_VALUE"""),0.438)</f>
        <v>0.438</v>
      </c>
      <c r="W192" s="9">
        <f>IFERROR(__xludf.DUMMYFUNCTION("""COMPUTED_VALUE"""),0.538)</f>
        <v>0.538</v>
      </c>
      <c r="Y192" s="9">
        <f>IFERROR(__xludf.DUMMYFUNCTION("SPLIT(O184, "","")"),0.549)</f>
        <v>0.549</v>
      </c>
      <c r="Z192" s="9">
        <f>IFERROR(__xludf.DUMMYFUNCTION("""COMPUTED_VALUE"""),0.439)</f>
        <v>0.439</v>
      </c>
      <c r="AA192" s="9">
        <f>IFERROR(__xludf.DUMMYFUNCTION("""COMPUTED_VALUE"""),0.639)</f>
        <v>0.639</v>
      </c>
    </row>
    <row r="193">
      <c r="A193" s="9">
        <f>IFERROR(__xludf.DUMMYFUNCTION("SPLIT(I185, "","")"),0.439)</f>
        <v>0.439</v>
      </c>
      <c r="B193" s="9">
        <f>IFERROR(__xludf.DUMMYFUNCTION("""COMPUTED_VALUE"""),0.439)</f>
        <v>0.439</v>
      </c>
      <c r="C193" s="9">
        <f>IFERROR(__xludf.DUMMYFUNCTION("""COMPUTED_VALUE"""),0.439)</f>
        <v>0.439</v>
      </c>
      <c r="E193" s="11">
        <f>IFERROR(__xludf.DUMMYFUNCTION("SPLIT(J185, "","")"),0.432)</f>
        <v>0.432</v>
      </c>
      <c r="F193" s="9">
        <f>IFERROR(__xludf.DUMMYFUNCTION("""COMPUTED_VALUE"""),0.389)</f>
        <v>0.389</v>
      </c>
      <c r="G193" s="9">
        <f>IFERROR(__xludf.DUMMYFUNCTION("""COMPUTED_VALUE"""),0.489)</f>
        <v>0.489</v>
      </c>
      <c r="I193" s="9">
        <f>IFERROR(__xludf.DUMMYFUNCTION("SPLIT(K185, "","")"),0.452)</f>
        <v>0.452</v>
      </c>
      <c r="J193" s="9">
        <f>IFERROR(__xludf.DUMMYFUNCTION("""COMPUTED_VALUE"""),0.361)</f>
        <v>0.361</v>
      </c>
      <c r="K193" s="9">
        <f>IFERROR(__xludf.DUMMYFUNCTION("""COMPUTED_VALUE"""),0.561)</f>
        <v>0.561</v>
      </c>
      <c r="M193" s="9">
        <f>IFERROR(__xludf.DUMMYFUNCTION("SPLIT(L185, "","")"),0.487)</f>
        <v>0.487</v>
      </c>
      <c r="N193" s="9">
        <f>IFERROR(__xludf.DUMMYFUNCTION("""COMPUTED_VALUE"""),0.438)</f>
        <v>0.438</v>
      </c>
      <c r="O193" s="9">
        <f>IFERROR(__xludf.DUMMYFUNCTION("""COMPUTED_VALUE"""),0.538)</f>
        <v>0.538</v>
      </c>
      <c r="Q193" s="9">
        <f>IFERROR(__xludf.DUMMYFUNCTION("SPLIT(M185, "","")"),0.553)</f>
        <v>0.553</v>
      </c>
      <c r="R193" s="9">
        <f>IFERROR(__xludf.DUMMYFUNCTION("""COMPUTED_VALUE"""),0.442)</f>
        <v>0.442</v>
      </c>
      <c r="S193" s="9">
        <f>IFERROR(__xludf.DUMMYFUNCTION("""COMPUTED_VALUE"""),0.642)</f>
        <v>0.642</v>
      </c>
      <c r="U193" s="9">
        <f>IFERROR(__xludf.DUMMYFUNCTION("SPLIT(N185, "","")"),0.486)</f>
        <v>0.486</v>
      </c>
      <c r="V193" s="9">
        <f>IFERROR(__xludf.DUMMYFUNCTION("""COMPUTED_VALUE"""),0.438)</f>
        <v>0.438</v>
      </c>
      <c r="W193" s="9">
        <f>IFERROR(__xludf.DUMMYFUNCTION("""COMPUTED_VALUE"""),0.538)</f>
        <v>0.538</v>
      </c>
      <c r="Y193" s="9">
        <f>IFERROR(__xludf.DUMMYFUNCTION("SPLIT(O185, "","")"),0.549)</f>
        <v>0.549</v>
      </c>
      <c r="Z193" s="9">
        <f>IFERROR(__xludf.DUMMYFUNCTION("""COMPUTED_VALUE"""),0.439)</f>
        <v>0.439</v>
      </c>
      <c r="AA193" s="9">
        <f>IFERROR(__xludf.DUMMYFUNCTION("""COMPUTED_VALUE"""),0.639)</f>
        <v>0.639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0.439</v>
      </c>
      <c r="D197" s="7">
        <f t="shared" ref="D197:D203" si="225">E187</f>
        <v>0.432</v>
      </c>
      <c r="E197" s="7">
        <f t="shared" ref="E197:E203" si="226">I187</f>
        <v>0.452</v>
      </c>
      <c r="F197" s="7">
        <f t="shared" ref="F197:G197" si="220">N187</f>
        <v>0.438</v>
      </c>
      <c r="G197" s="12">
        <f t="shared" si="220"/>
        <v>0.538</v>
      </c>
      <c r="H197" s="7">
        <f t="shared" ref="H197:I197" si="221">R187</f>
        <v>0.442</v>
      </c>
      <c r="I197" s="12">
        <f t="shared" si="221"/>
        <v>0.642</v>
      </c>
      <c r="J197" s="7">
        <f t="shared" ref="J197:K197" si="222">V187</f>
        <v>0.438</v>
      </c>
      <c r="K197" s="12">
        <f t="shared" si="222"/>
        <v>0.538</v>
      </c>
      <c r="L197" s="7">
        <f t="shared" ref="L197:M197" si="223">Z187</f>
        <v>0.439</v>
      </c>
      <c r="M197" s="7">
        <f t="shared" si="223"/>
        <v>0.639</v>
      </c>
    </row>
    <row r="198">
      <c r="B198" s="6" t="s">
        <v>5</v>
      </c>
      <c r="C198" s="7">
        <f t="shared" si="224"/>
        <v>0.439</v>
      </c>
      <c r="D198" s="7">
        <f t="shared" si="225"/>
        <v>0.432</v>
      </c>
      <c r="E198" s="7">
        <f t="shared" si="226"/>
        <v>0.452</v>
      </c>
      <c r="F198" s="7">
        <f t="shared" ref="F198:G198" si="227">N188</f>
        <v>0.438</v>
      </c>
      <c r="G198" s="12">
        <f t="shared" si="227"/>
        <v>0.538</v>
      </c>
      <c r="H198" s="7">
        <f t="shared" ref="H198:I198" si="228">R188</f>
        <v>0.442</v>
      </c>
      <c r="I198" s="12">
        <f t="shared" si="228"/>
        <v>0.642</v>
      </c>
      <c r="J198" s="7">
        <f t="shared" ref="J198:K198" si="229">V188</f>
        <v>0.438</v>
      </c>
      <c r="K198" s="12">
        <f t="shared" si="229"/>
        <v>0.538</v>
      </c>
      <c r="L198" s="7">
        <f t="shared" ref="L198:M198" si="230">Z188</f>
        <v>0.439</v>
      </c>
      <c r="M198" s="7">
        <f t="shared" si="230"/>
        <v>0.639</v>
      </c>
    </row>
    <row r="199">
      <c r="B199" s="6" t="s">
        <v>6</v>
      </c>
      <c r="C199" s="7">
        <f t="shared" si="224"/>
        <v>0.438</v>
      </c>
      <c r="D199" s="7">
        <f t="shared" si="225"/>
        <v>0.431</v>
      </c>
      <c r="E199" s="7">
        <f t="shared" si="226"/>
        <v>0.451</v>
      </c>
      <c r="F199" s="7">
        <f t="shared" ref="F199:G199" si="231">N189</f>
        <v>0.438</v>
      </c>
      <c r="G199" s="12">
        <f t="shared" si="231"/>
        <v>0.538</v>
      </c>
      <c r="H199" s="7">
        <f t="shared" ref="H199:I199" si="232">R189</f>
        <v>0.441</v>
      </c>
      <c r="I199" s="12">
        <f t="shared" si="232"/>
        <v>0.641</v>
      </c>
      <c r="J199" s="7">
        <f t="shared" ref="J199:K199" si="233">V189</f>
        <v>0.438</v>
      </c>
      <c r="K199" s="12">
        <f t="shared" si="233"/>
        <v>0.538</v>
      </c>
      <c r="L199" s="7">
        <f t="shared" ref="L199:M199" si="234">Z189</f>
        <v>0.439</v>
      </c>
      <c r="M199" s="7">
        <f t="shared" si="234"/>
        <v>0.639</v>
      </c>
    </row>
    <row r="200">
      <c r="B200" s="6" t="s">
        <v>7</v>
      </c>
      <c r="C200" s="7">
        <f t="shared" si="224"/>
        <v>0.439</v>
      </c>
      <c r="D200" s="7">
        <f t="shared" si="225"/>
        <v>0.432</v>
      </c>
      <c r="E200" s="7">
        <f t="shared" si="226"/>
        <v>0.452</v>
      </c>
      <c r="F200" s="7">
        <f t="shared" ref="F200:G200" si="235">N190</f>
        <v>0.438</v>
      </c>
      <c r="G200" s="12">
        <f t="shared" si="235"/>
        <v>0.538</v>
      </c>
      <c r="H200" s="7">
        <f t="shared" ref="H200:I200" si="236">R190</f>
        <v>0.442</v>
      </c>
      <c r="I200" s="12">
        <f t="shared" si="236"/>
        <v>0.642</v>
      </c>
      <c r="J200" s="7">
        <f t="shared" ref="J200:K200" si="237">V190</f>
        <v>0.438</v>
      </c>
      <c r="K200" s="12">
        <f t="shared" si="237"/>
        <v>0.538</v>
      </c>
      <c r="L200" s="7">
        <f t="shared" ref="L200:M200" si="238">Z190</f>
        <v>0.439</v>
      </c>
      <c r="M200" s="7">
        <f t="shared" si="238"/>
        <v>0.639</v>
      </c>
    </row>
    <row r="201">
      <c r="B201" s="6" t="s">
        <v>8</v>
      </c>
      <c r="C201" s="7">
        <f t="shared" si="224"/>
        <v>0.439</v>
      </c>
      <c r="D201" s="7">
        <f t="shared" si="225"/>
        <v>0.432</v>
      </c>
      <c r="E201" s="7">
        <f t="shared" si="226"/>
        <v>0.452</v>
      </c>
      <c r="F201" s="7">
        <f t="shared" ref="F201:G201" si="239">N191</f>
        <v>0.438</v>
      </c>
      <c r="G201" s="12">
        <f t="shared" si="239"/>
        <v>0.538</v>
      </c>
      <c r="H201" s="7">
        <f t="shared" ref="H201:I201" si="240">R191</f>
        <v>0.442</v>
      </c>
      <c r="I201" s="12">
        <f t="shared" si="240"/>
        <v>0.642</v>
      </c>
      <c r="J201" s="7">
        <f t="shared" ref="J201:K201" si="241">V191</f>
        <v>0.438</v>
      </c>
      <c r="K201" s="12">
        <f t="shared" si="241"/>
        <v>0.538</v>
      </c>
      <c r="L201" s="7">
        <f t="shared" ref="L201:M201" si="242">Z191</f>
        <v>0.439</v>
      </c>
      <c r="M201" s="7">
        <f t="shared" si="242"/>
        <v>0.639</v>
      </c>
    </row>
    <row r="202">
      <c r="B202" s="6" t="s">
        <v>9</v>
      </c>
      <c r="C202" s="7">
        <f t="shared" si="224"/>
        <v>0.439</v>
      </c>
      <c r="D202" s="7">
        <f t="shared" si="225"/>
        <v>0.432</v>
      </c>
      <c r="E202" s="7">
        <f t="shared" si="226"/>
        <v>0.452</v>
      </c>
      <c r="F202" s="7">
        <f t="shared" ref="F202:G202" si="243">N192</f>
        <v>0.438</v>
      </c>
      <c r="G202" s="12">
        <f t="shared" si="243"/>
        <v>0.538</v>
      </c>
      <c r="H202" s="7">
        <f t="shared" ref="H202:I202" si="244">R192</f>
        <v>0.442</v>
      </c>
      <c r="I202" s="12">
        <f t="shared" si="244"/>
        <v>0.642</v>
      </c>
      <c r="J202" s="7">
        <f t="shared" ref="J202:K202" si="245">V192</f>
        <v>0.438</v>
      </c>
      <c r="K202" s="12">
        <f t="shared" si="245"/>
        <v>0.538</v>
      </c>
      <c r="L202" s="7">
        <f t="shared" ref="L202:M202" si="246">Z192</f>
        <v>0.439</v>
      </c>
      <c r="M202" s="7">
        <f t="shared" si="246"/>
        <v>0.639</v>
      </c>
    </row>
    <row r="203">
      <c r="B203" s="6" t="s">
        <v>10</v>
      </c>
      <c r="C203" s="7">
        <f t="shared" si="224"/>
        <v>0.439</v>
      </c>
      <c r="D203" s="7">
        <f t="shared" si="225"/>
        <v>0.432</v>
      </c>
      <c r="E203" s="7">
        <f t="shared" si="226"/>
        <v>0.452</v>
      </c>
      <c r="F203" s="7">
        <f t="shared" ref="F203:G203" si="247">N193</f>
        <v>0.438</v>
      </c>
      <c r="G203" s="12">
        <f t="shared" si="247"/>
        <v>0.538</v>
      </c>
      <c r="H203" s="7">
        <f t="shared" ref="H203:I203" si="248">R193</f>
        <v>0.442</v>
      </c>
      <c r="I203" s="12">
        <f t="shared" si="248"/>
        <v>0.642</v>
      </c>
      <c r="J203" s="7">
        <f t="shared" ref="J203:K203" si="249">V193</f>
        <v>0.438</v>
      </c>
      <c r="K203" s="12">
        <f t="shared" si="249"/>
        <v>0.538</v>
      </c>
      <c r="L203" s="7">
        <f t="shared" ref="L203:M203" si="250">Z193</f>
        <v>0.439</v>
      </c>
      <c r="M203" s="7">
        <f t="shared" si="250"/>
        <v>0.639</v>
      </c>
    </row>
    <row r="205">
      <c r="A205" s="8" t="s">
        <v>787</v>
      </c>
      <c r="B205" s="8" t="s">
        <v>788</v>
      </c>
      <c r="C205" s="8" t="s">
        <v>789</v>
      </c>
      <c r="D205" s="8" t="s">
        <v>591</v>
      </c>
      <c r="E205" s="8" t="s">
        <v>790</v>
      </c>
      <c r="F205" s="8" t="s">
        <v>228</v>
      </c>
      <c r="G205" s="8" t="s">
        <v>789</v>
      </c>
      <c r="I205" s="9" t="str">
        <f t="shared" ref="I205:O205" si="251">substitute(SUBSTITUTE(A205, "(", ""), ")", "")</f>
        <v>0.348, 0.348, 0.348</v>
      </c>
      <c r="J205" s="9" t="str">
        <f t="shared" si="251"/>
        <v>0.366, 0.329, 0.429</v>
      </c>
      <c r="K205" s="9" t="str">
        <f t="shared" si="251"/>
        <v>0.378, 0.302, 0.502</v>
      </c>
      <c r="L205" s="9" t="str">
        <f t="shared" si="251"/>
        <v>0.367, 0.330, 0.430</v>
      </c>
      <c r="M205" s="9" t="str">
        <f t="shared" si="251"/>
        <v>0.373, 0.299, 0.499</v>
      </c>
      <c r="N205" s="9" t="str">
        <f t="shared" si="251"/>
        <v>0.353, 0.318, 0.418</v>
      </c>
      <c r="O205" s="9" t="str">
        <f t="shared" si="251"/>
        <v>0.378, 0.302, 0.502</v>
      </c>
      <c r="T205" s="6"/>
    </row>
    <row r="206">
      <c r="A206" s="8" t="s">
        <v>791</v>
      </c>
      <c r="B206" s="8" t="s">
        <v>792</v>
      </c>
      <c r="C206" s="8" t="s">
        <v>793</v>
      </c>
      <c r="D206" s="8" t="s">
        <v>570</v>
      </c>
      <c r="E206" s="8" t="s">
        <v>794</v>
      </c>
      <c r="F206" s="8" t="s">
        <v>795</v>
      </c>
      <c r="G206" s="8" t="s">
        <v>796</v>
      </c>
      <c r="I206" s="9" t="str">
        <f t="shared" ref="I206:O206" si="252">substitute(SUBSTITUTE(A206, "(", ""), ")", "")</f>
        <v>0.256, 0.256, 0.256</v>
      </c>
      <c r="J206" s="9" t="str">
        <f t="shared" si="252"/>
        <v>0.272, 0.245, 0.345</v>
      </c>
      <c r="K206" s="9" t="str">
        <f t="shared" si="252"/>
        <v>0.278, 0.223, 0.423</v>
      </c>
      <c r="L206" s="9" t="str">
        <f t="shared" si="252"/>
        <v>0.269, 0.242, 0.342</v>
      </c>
      <c r="M206" s="9" t="str">
        <f t="shared" si="252"/>
        <v>0.273, 0.218, 0.418</v>
      </c>
      <c r="N206" s="9" t="str">
        <f t="shared" si="252"/>
        <v>0.255, 0.230, 0.330</v>
      </c>
      <c r="O206" s="9" t="str">
        <f t="shared" si="252"/>
        <v>0.271, 0.217, 0.417</v>
      </c>
    </row>
    <row r="207">
      <c r="A207" s="8" t="s">
        <v>797</v>
      </c>
      <c r="B207" s="8" t="s">
        <v>798</v>
      </c>
      <c r="C207" s="8" t="s">
        <v>799</v>
      </c>
      <c r="D207" s="8" t="s">
        <v>800</v>
      </c>
      <c r="E207" s="8" t="s">
        <v>801</v>
      </c>
      <c r="F207" s="8" t="s">
        <v>802</v>
      </c>
      <c r="G207" s="8" t="s">
        <v>801</v>
      </c>
      <c r="I207" s="9" t="str">
        <f t="shared" ref="I207:O207" si="253">substitute(SUBSTITUTE(A207, "(", ""), ")", "")</f>
        <v>0.214, 0.214, 0.214</v>
      </c>
      <c r="J207" s="9" t="str">
        <f t="shared" si="253"/>
        <v>0.217, 0.196, 0.296</v>
      </c>
      <c r="K207" s="9" t="str">
        <f t="shared" si="253"/>
        <v>0.242, 0.193, 0.393</v>
      </c>
      <c r="L207" s="9" t="str">
        <f t="shared" si="253"/>
        <v>0.215, 0.194, 0.294</v>
      </c>
      <c r="M207" s="9" t="str">
        <f t="shared" si="253"/>
        <v>0.205, 0.164, 0.364</v>
      </c>
      <c r="N207" s="9" t="str">
        <f t="shared" si="253"/>
        <v>0.205, 0.185, 0.285</v>
      </c>
      <c r="O207" s="9" t="str">
        <f t="shared" si="253"/>
        <v>0.205, 0.164, 0.364</v>
      </c>
    </row>
    <row r="208">
      <c r="A208" s="8" t="s">
        <v>803</v>
      </c>
      <c r="B208" s="8" t="s">
        <v>676</v>
      </c>
      <c r="C208" s="8" t="s">
        <v>384</v>
      </c>
      <c r="D208" s="8" t="s">
        <v>804</v>
      </c>
      <c r="E208" s="8" t="s">
        <v>464</v>
      </c>
      <c r="F208" s="8" t="s">
        <v>463</v>
      </c>
      <c r="G208" s="8" t="s">
        <v>805</v>
      </c>
      <c r="I208" s="9" t="str">
        <f t="shared" ref="I208:O208" si="254">substitute(SUBSTITUTE(A208, "(", ""), ")", "")</f>
        <v>0.382, 0.382, 0.382</v>
      </c>
      <c r="J208" s="9" t="str">
        <f t="shared" si="254"/>
        <v>0.403, 0.362, 0.462</v>
      </c>
      <c r="K208" s="9" t="str">
        <f t="shared" si="254"/>
        <v>0.415, 0.332, 0.532</v>
      </c>
      <c r="L208" s="9" t="str">
        <f t="shared" si="254"/>
        <v>0.391, 0.351, 0.451</v>
      </c>
      <c r="M208" s="9" t="str">
        <f t="shared" si="254"/>
        <v>0.397, 0.318, 0.518</v>
      </c>
      <c r="N208" s="9" t="str">
        <f t="shared" si="254"/>
        <v>0.382, 0.344, 0.444</v>
      </c>
      <c r="O208" s="9" t="str">
        <f t="shared" si="254"/>
        <v>0.401, 0.321, 0.521</v>
      </c>
    </row>
    <row r="209">
      <c r="A209" s="8" t="s">
        <v>806</v>
      </c>
      <c r="B209" s="8" t="s">
        <v>374</v>
      </c>
      <c r="C209" s="8" t="s">
        <v>789</v>
      </c>
      <c r="D209" s="8" t="s">
        <v>807</v>
      </c>
      <c r="E209" s="8" t="s">
        <v>808</v>
      </c>
      <c r="F209" s="8" t="s">
        <v>228</v>
      </c>
      <c r="G209" s="8" t="s">
        <v>482</v>
      </c>
      <c r="I209" s="9" t="str">
        <f t="shared" ref="I209:O209" si="255">substitute(SUBSTITUTE(A209, "(", ""), ")", "")</f>
        <v>0.352, 0.352, 0.352</v>
      </c>
      <c r="J209" s="9" t="str">
        <f t="shared" si="255"/>
        <v>0.372, 0.335, 0.435</v>
      </c>
      <c r="K209" s="9" t="str">
        <f t="shared" si="255"/>
        <v>0.378, 0.302, 0.502</v>
      </c>
      <c r="L209" s="9" t="str">
        <f t="shared" si="255"/>
        <v>0.365, 0.329, 0.429</v>
      </c>
      <c r="M209" s="9" t="str">
        <f t="shared" si="255"/>
        <v>0.372, 0.298, 0.498</v>
      </c>
      <c r="N209" s="9" t="str">
        <f t="shared" si="255"/>
        <v>0.353, 0.318, 0.418</v>
      </c>
      <c r="O209" s="9" t="str">
        <f t="shared" si="255"/>
        <v>0.379, 0.303, 0.503</v>
      </c>
    </row>
    <row r="210">
      <c r="A210" s="8" t="s">
        <v>224</v>
      </c>
      <c r="B210" s="8" t="s">
        <v>809</v>
      </c>
      <c r="C210" s="8" t="s">
        <v>94</v>
      </c>
      <c r="D210" s="8" t="s">
        <v>810</v>
      </c>
      <c r="E210" s="8" t="s">
        <v>808</v>
      </c>
      <c r="F210" s="8" t="s">
        <v>811</v>
      </c>
      <c r="G210" s="8" t="s">
        <v>812</v>
      </c>
      <c r="I210" s="9" t="str">
        <f t="shared" ref="I210:O210" si="256">substitute(SUBSTITUTE(A210, "(", ""), ")", "")</f>
        <v>0.336, 0.336, 0.336</v>
      </c>
      <c r="J210" s="9" t="str">
        <f t="shared" si="256"/>
        <v>0.355, 0.319, 0.419</v>
      </c>
      <c r="K210" s="9" t="str">
        <f t="shared" si="256"/>
        <v>0.361, 0.289, 0.489</v>
      </c>
      <c r="L210" s="9" t="str">
        <f t="shared" si="256"/>
        <v>0.356, 0.320, 0.420</v>
      </c>
      <c r="M210" s="9" t="str">
        <f t="shared" si="256"/>
        <v>0.372, 0.298, 0.498</v>
      </c>
      <c r="N210" s="9" t="str">
        <f t="shared" si="256"/>
        <v>0.345, 0.310, 0.410</v>
      </c>
      <c r="O210" s="9" t="str">
        <f t="shared" si="256"/>
        <v>0.376, 0.301, 0.501</v>
      </c>
    </row>
    <row r="211">
      <c r="A211" s="8" t="s">
        <v>813</v>
      </c>
      <c r="B211" s="8" t="s">
        <v>481</v>
      </c>
      <c r="C211" s="8" t="s">
        <v>131</v>
      </c>
      <c r="D211" s="8" t="s">
        <v>591</v>
      </c>
      <c r="E211" s="8" t="s">
        <v>812</v>
      </c>
      <c r="F211" s="8" t="s">
        <v>126</v>
      </c>
      <c r="G211" s="8" t="s">
        <v>482</v>
      </c>
      <c r="I211" s="9" t="str">
        <f t="shared" ref="I211:O211" si="257">substitute(SUBSTITUTE(A211, "(", ""), ")", "")</f>
        <v>0.347, 0.347, 0.347</v>
      </c>
      <c r="J211" s="9" t="str">
        <f t="shared" si="257"/>
        <v>0.368, 0.331, 0.431</v>
      </c>
      <c r="K211" s="9" t="str">
        <f t="shared" si="257"/>
        <v>0.375, 0.300, 0.500</v>
      </c>
      <c r="L211" s="9" t="str">
        <f t="shared" si="257"/>
        <v>0.367, 0.330, 0.430</v>
      </c>
      <c r="M211" s="9" t="str">
        <f t="shared" si="257"/>
        <v>0.376, 0.301, 0.501</v>
      </c>
      <c r="N211" s="9" t="str">
        <f t="shared" si="257"/>
        <v>0.350, 0.315, 0.415</v>
      </c>
      <c r="O211" s="9" t="str">
        <f t="shared" si="257"/>
        <v>0.379, 0.303, 0.503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"","")"),0.348)</f>
        <v>0.348</v>
      </c>
      <c r="B213" s="9">
        <f>IFERROR(__xludf.DUMMYFUNCTION("""COMPUTED_VALUE"""),0.348)</f>
        <v>0.348</v>
      </c>
      <c r="C213" s="9">
        <f>IFERROR(__xludf.DUMMYFUNCTION("""COMPUTED_VALUE"""),0.348)</f>
        <v>0.348</v>
      </c>
      <c r="E213" s="11">
        <f>IFERROR(__xludf.DUMMYFUNCTION("SPLIT(J205, "","")"),0.366)</f>
        <v>0.366</v>
      </c>
      <c r="F213" s="9">
        <f>IFERROR(__xludf.DUMMYFUNCTION("""COMPUTED_VALUE"""),0.329)</f>
        <v>0.329</v>
      </c>
      <c r="G213" s="9">
        <f>IFERROR(__xludf.DUMMYFUNCTION("""COMPUTED_VALUE"""),0.429)</f>
        <v>0.429</v>
      </c>
      <c r="I213" s="9">
        <f>IFERROR(__xludf.DUMMYFUNCTION("SPLIT(K205, "","")"),0.378)</f>
        <v>0.378</v>
      </c>
      <c r="J213" s="9">
        <f>IFERROR(__xludf.DUMMYFUNCTION("""COMPUTED_VALUE"""),0.302)</f>
        <v>0.302</v>
      </c>
      <c r="K213" s="9">
        <f>IFERROR(__xludf.DUMMYFUNCTION("""COMPUTED_VALUE"""),0.502)</f>
        <v>0.502</v>
      </c>
      <c r="M213" s="9">
        <f>IFERROR(__xludf.DUMMYFUNCTION("SPLIT(L205, "","")"),0.367)</f>
        <v>0.367</v>
      </c>
      <c r="N213" s="9">
        <f>IFERROR(__xludf.DUMMYFUNCTION("""COMPUTED_VALUE"""),0.33)</f>
        <v>0.33</v>
      </c>
      <c r="O213" s="9">
        <f>IFERROR(__xludf.DUMMYFUNCTION("""COMPUTED_VALUE"""),0.43)</f>
        <v>0.43</v>
      </c>
      <c r="Q213" s="9">
        <f>IFERROR(__xludf.DUMMYFUNCTION("SPLIT(M205, "","")"),0.373)</f>
        <v>0.373</v>
      </c>
      <c r="R213" s="9">
        <f>IFERROR(__xludf.DUMMYFUNCTION("""COMPUTED_VALUE"""),0.299)</f>
        <v>0.299</v>
      </c>
      <c r="S213" s="9">
        <f>IFERROR(__xludf.DUMMYFUNCTION("""COMPUTED_VALUE"""),0.499)</f>
        <v>0.499</v>
      </c>
      <c r="U213" s="9">
        <f>IFERROR(__xludf.DUMMYFUNCTION("SPLIT(N205, "","")"),0.353)</f>
        <v>0.353</v>
      </c>
      <c r="V213" s="9">
        <f>IFERROR(__xludf.DUMMYFUNCTION("""COMPUTED_VALUE"""),0.318)</f>
        <v>0.318</v>
      </c>
      <c r="W213" s="9">
        <f>IFERROR(__xludf.DUMMYFUNCTION("""COMPUTED_VALUE"""),0.418)</f>
        <v>0.418</v>
      </c>
      <c r="Y213" s="9">
        <f>IFERROR(__xludf.DUMMYFUNCTION("SPLIT(O205, "","")"),0.378)</f>
        <v>0.378</v>
      </c>
      <c r="Z213" s="9">
        <f>IFERROR(__xludf.DUMMYFUNCTION("""COMPUTED_VALUE"""),0.302)</f>
        <v>0.302</v>
      </c>
      <c r="AA213" s="9">
        <f>IFERROR(__xludf.DUMMYFUNCTION("""COMPUTED_VALUE"""),0.502)</f>
        <v>0.502</v>
      </c>
    </row>
    <row r="214">
      <c r="A214" s="9">
        <f>IFERROR(__xludf.DUMMYFUNCTION("SPLIT(I206, "","")"),0.256)</f>
        <v>0.256</v>
      </c>
      <c r="B214" s="9">
        <f>IFERROR(__xludf.DUMMYFUNCTION("""COMPUTED_VALUE"""),0.256)</f>
        <v>0.256</v>
      </c>
      <c r="C214" s="9">
        <f>IFERROR(__xludf.DUMMYFUNCTION("""COMPUTED_VALUE"""),0.256)</f>
        <v>0.256</v>
      </c>
      <c r="E214" s="11">
        <f>IFERROR(__xludf.DUMMYFUNCTION("SPLIT(J206, "","")"),0.272)</f>
        <v>0.272</v>
      </c>
      <c r="F214" s="9">
        <f>IFERROR(__xludf.DUMMYFUNCTION("""COMPUTED_VALUE"""),0.245)</f>
        <v>0.245</v>
      </c>
      <c r="G214" s="9">
        <f>IFERROR(__xludf.DUMMYFUNCTION("""COMPUTED_VALUE"""),0.345)</f>
        <v>0.345</v>
      </c>
      <c r="I214" s="9">
        <f>IFERROR(__xludf.DUMMYFUNCTION("SPLIT(K206, "","")"),0.278)</f>
        <v>0.278</v>
      </c>
      <c r="J214" s="9">
        <f>IFERROR(__xludf.DUMMYFUNCTION("""COMPUTED_VALUE"""),0.223)</f>
        <v>0.223</v>
      </c>
      <c r="K214" s="9">
        <f>IFERROR(__xludf.DUMMYFUNCTION("""COMPUTED_VALUE"""),0.423)</f>
        <v>0.423</v>
      </c>
      <c r="M214" s="9">
        <f>IFERROR(__xludf.DUMMYFUNCTION("SPLIT(L206, "","")"),0.269)</f>
        <v>0.269</v>
      </c>
      <c r="N214" s="9">
        <f>IFERROR(__xludf.DUMMYFUNCTION("""COMPUTED_VALUE"""),0.242)</f>
        <v>0.242</v>
      </c>
      <c r="O214" s="9">
        <f>IFERROR(__xludf.DUMMYFUNCTION("""COMPUTED_VALUE"""),0.342)</f>
        <v>0.342</v>
      </c>
      <c r="Q214" s="9">
        <f>IFERROR(__xludf.DUMMYFUNCTION("SPLIT(M206, "","")"),0.273)</f>
        <v>0.273</v>
      </c>
      <c r="R214" s="9">
        <f>IFERROR(__xludf.DUMMYFUNCTION("""COMPUTED_VALUE"""),0.218)</f>
        <v>0.218</v>
      </c>
      <c r="S214" s="9">
        <f>IFERROR(__xludf.DUMMYFUNCTION("""COMPUTED_VALUE"""),0.418)</f>
        <v>0.418</v>
      </c>
      <c r="U214" s="9">
        <f>IFERROR(__xludf.DUMMYFUNCTION("SPLIT(N206, "","")"),0.255)</f>
        <v>0.255</v>
      </c>
      <c r="V214" s="9">
        <f>IFERROR(__xludf.DUMMYFUNCTION("""COMPUTED_VALUE"""),0.23)</f>
        <v>0.23</v>
      </c>
      <c r="W214" s="9">
        <f>IFERROR(__xludf.DUMMYFUNCTION("""COMPUTED_VALUE"""),0.33)</f>
        <v>0.33</v>
      </c>
      <c r="Y214" s="9">
        <f>IFERROR(__xludf.DUMMYFUNCTION("SPLIT(O206, "","")"),0.271)</f>
        <v>0.271</v>
      </c>
      <c r="Z214" s="9">
        <f>IFERROR(__xludf.DUMMYFUNCTION("""COMPUTED_VALUE"""),0.217)</f>
        <v>0.217</v>
      </c>
      <c r="AA214" s="9">
        <f>IFERROR(__xludf.DUMMYFUNCTION("""COMPUTED_VALUE"""),0.417)</f>
        <v>0.417</v>
      </c>
    </row>
    <row r="215">
      <c r="A215" s="9">
        <f>IFERROR(__xludf.DUMMYFUNCTION("SPLIT(I207, "","")"),0.214)</f>
        <v>0.214</v>
      </c>
      <c r="B215" s="9">
        <f>IFERROR(__xludf.DUMMYFUNCTION("""COMPUTED_VALUE"""),0.214)</f>
        <v>0.214</v>
      </c>
      <c r="C215" s="9">
        <f>IFERROR(__xludf.DUMMYFUNCTION("""COMPUTED_VALUE"""),0.214)</f>
        <v>0.214</v>
      </c>
      <c r="E215" s="11">
        <f>IFERROR(__xludf.DUMMYFUNCTION("SPLIT(J207, "","")"),0.217)</f>
        <v>0.217</v>
      </c>
      <c r="F215" s="9">
        <f>IFERROR(__xludf.DUMMYFUNCTION("""COMPUTED_VALUE"""),0.196)</f>
        <v>0.196</v>
      </c>
      <c r="G215" s="9">
        <f>IFERROR(__xludf.DUMMYFUNCTION("""COMPUTED_VALUE"""),0.296)</f>
        <v>0.296</v>
      </c>
      <c r="I215" s="9">
        <f>IFERROR(__xludf.DUMMYFUNCTION("SPLIT(K207, "","")"),0.242)</f>
        <v>0.242</v>
      </c>
      <c r="J215" s="9">
        <f>IFERROR(__xludf.DUMMYFUNCTION("""COMPUTED_VALUE"""),0.193)</f>
        <v>0.193</v>
      </c>
      <c r="K215" s="9">
        <f>IFERROR(__xludf.DUMMYFUNCTION("""COMPUTED_VALUE"""),0.393)</f>
        <v>0.393</v>
      </c>
      <c r="M215" s="9">
        <f>IFERROR(__xludf.DUMMYFUNCTION("SPLIT(L207, "","")"),0.215)</f>
        <v>0.215</v>
      </c>
      <c r="N215" s="9">
        <f>IFERROR(__xludf.DUMMYFUNCTION("""COMPUTED_VALUE"""),0.194)</f>
        <v>0.194</v>
      </c>
      <c r="O215" s="9">
        <f>IFERROR(__xludf.DUMMYFUNCTION("""COMPUTED_VALUE"""),0.294)</f>
        <v>0.294</v>
      </c>
      <c r="Q215" s="9">
        <f>IFERROR(__xludf.DUMMYFUNCTION("SPLIT(M207, "","")"),0.205)</f>
        <v>0.205</v>
      </c>
      <c r="R215" s="9">
        <f>IFERROR(__xludf.DUMMYFUNCTION("""COMPUTED_VALUE"""),0.164)</f>
        <v>0.164</v>
      </c>
      <c r="S215" s="9">
        <f>IFERROR(__xludf.DUMMYFUNCTION("""COMPUTED_VALUE"""),0.364)</f>
        <v>0.364</v>
      </c>
      <c r="U215" s="9">
        <f>IFERROR(__xludf.DUMMYFUNCTION("SPLIT(N207, "","")"),0.205)</f>
        <v>0.205</v>
      </c>
      <c r="V215" s="9">
        <f>IFERROR(__xludf.DUMMYFUNCTION("""COMPUTED_VALUE"""),0.185)</f>
        <v>0.185</v>
      </c>
      <c r="W215" s="9">
        <f>IFERROR(__xludf.DUMMYFUNCTION("""COMPUTED_VALUE"""),0.285)</f>
        <v>0.285</v>
      </c>
      <c r="Y215" s="9">
        <f>IFERROR(__xludf.DUMMYFUNCTION("SPLIT(O207, "","")"),0.205)</f>
        <v>0.205</v>
      </c>
      <c r="Z215" s="9">
        <f>IFERROR(__xludf.DUMMYFUNCTION("""COMPUTED_VALUE"""),0.164)</f>
        <v>0.164</v>
      </c>
      <c r="AA215" s="9">
        <f>IFERROR(__xludf.DUMMYFUNCTION("""COMPUTED_VALUE"""),0.364)</f>
        <v>0.364</v>
      </c>
    </row>
    <row r="216">
      <c r="A216" s="9">
        <f>IFERROR(__xludf.DUMMYFUNCTION("SPLIT(I208, "","")"),0.382)</f>
        <v>0.382</v>
      </c>
      <c r="B216" s="9">
        <f>IFERROR(__xludf.DUMMYFUNCTION("""COMPUTED_VALUE"""),0.382)</f>
        <v>0.382</v>
      </c>
      <c r="C216" s="9">
        <f>IFERROR(__xludf.DUMMYFUNCTION("""COMPUTED_VALUE"""),0.382)</f>
        <v>0.382</v>
      </c>
      <c r="E216" s="11">
        <f>IFERROR(__xludf.DUMMYFUNCTION("SPLIT(J208, "","")"),0.403)</f>
        <v>0.403</v>
      </c>
      <c r="F216" s="9">
        <f>IFERROR(__xludf.DUMMYFUNCTION("""COMPUTED_VALUE"""),0.362)</f>
        <v>0.362</v>
      </c>
      <c r="G216" s="9">
        <f>IFERROR(__xludf.DUMMYFUNCTION("""COMPUTED_VALUE"""),0.462)</f>
        <v>0.462</v>
      </c>
      <c r="I216" s="9">
        <f>IFERROR(__xludf.DUMMYFUNCTION("SPLIT(K208, "","")"),0.415)</f>
        <v>0.415</v>
      </c>
      <c r="J216" s="9">
        <f>IFERROR(__xludf.DUMMYFUNCTION("""COMPUTED_VALUE"""),0.332)</f>
        <v>0.332</v>
      </c>
      <c r="K216" s="9">
        <f>IFERROR(__xludf.DUMMYFUNCTION("""COMPUTED_VALUE"""),0.532)</f>
        <v>0.532</v>
      </c>
      <c r="M216" s="9">
        <f>IFERROR(__xludf.DUMMYFUNCTION("SPLIT(L208, "","")"),0.391)</f>
        <v>0.391</v>
      </c>
      <c r="N216" s="9">
        <f>IFERROR(__xludf.DUMMYFUNCTION("""COMPUTED_VALUE"""),0.351)</f>
        <v>0.351</v>
      </c>
      <c r="O216" s="9">
        <f>IFERROR(__xludf.DUMMYFUNCTION("""COMPUTED_VALUE"""),0.451)</f>
        <v>0.451</v>
      </c>
      <c r="Q216" s="9">
        <f>IFERROR(__xludf.DUMMYFUNCTION("SPLIT(M208, "","")"),0.397)</f>
        <v>0.397</v>
      </c>
      <c r="R216" s="9">
        <f>IFERROR(__xludf.DUMMYFUNCTION("""COMPUTED_VALUE"""),0.318)</f>
        <v>0.318</v>
      </c>
      <c r="S216" s="9">
        <f>IFERROR(__xludf.DUMMYFUNCTION("""COMPUTED_VALUE"""),0.518)</f>
        <v>0.518</v>
      </c>
      <c r="U216" s="9">
        <f>IFERROR(__xludf.DUMMYFUNCTION("SPLIT(N208, "","")"),0.382)</f>
        <v>0.382</v>
      </c>
      <c r="V216" s="9">
        <f>IFERROR(__xludf.DUMMYFUNCTION("""COMPUTED_VALUE"""),0.344)</f>
        <v>0.344</v>
      </c>
      <c r="W216" s="9">
        <f>IFERROR(__xludf.DUMMYFUNCTION("""COMPUTED_VALUE"""),0.444)</f>
        <v>0.444</v>
      </c>
      <c r="Y216" s="9">
        <f>IFERROR(__xludf.DUMMYFUNCTION("SPLIT(O208, "","")"),0.401)</f>
        <v>0.401</v>
      </c>
      <c r="Z216" s="9">
        <f>IFERROR(__xludf.DUMMYFUNCTION("""COMPUTED_VALUE"""),0.321)</f>
        <v>0.321</v>
      </c>
      <c r="AA216" s="9">
        <f>IFERROR(__xludf.DUMMYFUNCTION("""COMPUTED_VALUE"""),0.521)</f>
        <v>0.521</v>
      </c>
    </row>
    <row r="217">
      <c r="A217" s="9">
        <f>IFERROR(__xludf.DUMMYFUNCTION("SPLIT(I209, "","")"),0.352)</f>
        <v>0.352</v>
      </c>
      <c r="B217" s="9">
        <f>IFERROR(__xludf.DUMMYFUNCTION("""COMPUTED_VALUE"""),0.352)</f>
        <v>0.352</v>
      </c>
      <c r="C217" s="9">
        <f>IFERROR(__xludf.DUMMYFUNCTION("""COMPUTED_VALUE"""),0.352)</f>
        <v>0.352</v>
      </c>
      <c r="E217" s="11">
        <f>IFERROR(__xludf.DUMMYFUNCTION("SPLIT(J209, "","")"),0.372)</f>
        <v>0.372</v>
      </c>
      <c r="F217" s="9">
        <f>IFERROR(__xludf.DUMMYFUNCTION("""COMPUTED_VALUE"""),0.335)</f>
        <v>0.335</v>
      </c>
      <c r="G217" s="9">
        <f>IFERROR(__xludf.DUMMYFUNCTION("""COMPUTED_VALUE"""),0.435)</f>
        <v>0.435</v>
      </c>
      <c r="I217" s="9">
        <f>IFERROR(__xludf.DUMMYFUNCTION("SPLIT(K209, "","")"),0.378)</f>
        <v>0.378</v>
      </c>
      <c r="J217" s="9">
        <f>IFERROR(__xludf.DUMMYFUNCTION("""COMPUTED_VALUE"""),0.302)</f>
        <v>0.302</v>
      </c>
      <c r="K217" s="9">
        <f>IFERROR(__xludf.DUMMYFUNCTION("""COMPUTED_VALUE"""),0.502)</f>
        <v>0.502</v>
      </c>
      <c r="M217" s="9">
        <f>IFERROR(__xludf.DUMMYFUNCTION("SPLIT(L209, "","")"),0.365)</f>
        <v>0.365</v>
      </c>
      <c r="N217" s="9">
        <f>IFERROR(__xludf.DUMMYFUNCTION("""COMPUTED_VALUE"""),0.329)</f>
        <v>0.329</v>
      </c>
      <c r="O217" s="9">
        <f>IFERROR(__xludf.DUMMYFUNCTION("""COMPUTED_VALUE"""),0.429)</f>
        <v>0.429</v>
      </c>
      <c r="Q217" s="9">
        <f>IFERROR(__xludf.DUMMYFUNCTION("SPLIT(M209, "","")"),0.372)</f>
        <v>0.372</v>
      </c>
      <c r="R217" s="9">
        <f>IFERROR(__xludf.DUMMYFUNCTION("""COMPUTED_VALUE"""),0.298)</f>
        <v>0.298</v>
      </c>
      <c r="S217" s="9">
        <f>IFERROR(__xludf.DUMMYFUNCTION("""COMPUTED_VALUE"""),0.498)</f>
        <v>0.498</v>
      </c>
      <c r="U217" s="9">
        <f>IFERROR(__xludf.DUMMYFUNCTION("SPLIT(N209, "","")"),0.353)</f>
        <v>0.353</v>
      </c>
      <c r="V217" s="9">
        <f>IFERROR(__xludf.DUMMYFUNCTION("""COMPUTED_VALUE"""),0.318)</f>
        <v>0.318</v>
      </c>
      <c r="W217" s="9">
        <f>IFERROR(__xludf.DUMMYFUNCTION("""COMPUTED_VALUE"""),0.418)</f>
        <v>0.418</v>
      </c>
      <c r="Y217" s="9">
        <f>IFERROR(__xludf.DUMMYFUNCTION("SPLIT(O209, "","")"),0.379)</f>
        <v>0.379</v>
      </c>
      <c r="Z217" s="9">
        <f>IFERROR(__xludf.DUMMYFUNCTION("""COMPUTED_VALUE"""),0.303)</f>
        <v>0.303</v>
      </c>
      <c r="AA217" s="9">
        <f>IFERROR(__xludf.DUMMYFUNCTION("""COMPUTED_VALUE"""),0.503)</f>
        <v>0.503</v>
      </c>
    </row>
    <row r="218">
      <c r="A218" s="9">
        <f>IFERROR(__xludf.DUMMYFUNCTION("SPLIT(I210, "","")"),0.336)</f>
        <v>0.336</v>
      </c>
      <c r="B218" s="9">
        <f>IFERROR(__xludf.DUMMYFUNCTION("""COMPUTED_VALUE"""),0.336)</f>
        <v>0.336</v>
      </c>
      <c r="C218" s="9">
        <f>IFERROR(__xludf.DUMMYFUNCTION("""COMPUTED_VALUE"""),0.336)</f>
        <v>0.336</v>
      </c>
      <c r="E218" s="11">
        <f>IFERROR(__xludf.DUMMYFUNCTION("SPLIT(J210, "","")"),0.355)</f>
        <v>0.355</v>
      </c>
      <c r="F218" s="9">
        <f>IFERROR(__xludf.DUMMYFUNCTION("""COMPUTED_VALUE"""),0.319)</f>
        <v>0.319</v>
      </c>
      <c r="G218" s="9">
        <f>IFERROR(__xludf.DUMMYFUNCTION("""COMPUTED_VALUE"""),0.419)</f>
        <v>0.419</v>
      </c>
      <c r="I218" s="9">
        <f>IFERROR(__xludf.DUMMYFUNCTION("SPLIT(K210, "","")"),0.361)</f>
        <v>0.361</v>
      </c>
      <c r="J218" s="9">
        <f>IFERROR(__xludf.DUMMYFUNCTION("""COMPUTED_VALUE"""),0.289)</f>
        <v>0.289</v>
      </c>
      <c r="K218" s="9">
        <f>IFERROR(__xludf.DUMMYFUNCTION("""COMPUTED_VALUE"""),0.489)</f>
        <v>0.489</v>
      </c>
      <c r="M218" s="9">
        <f>IFERROR(__xludf.DUMMYFUNCTION("SPLIT(L210, "","")"),0.356)</f>
        <v>0.356</v>
      </c>
      <c r="N218" s="9">
        <f>IFERROR(__xludf.DUMMYFUNCTION("""COMPUTED_VALUE"""),0.32)</f>
        <v>0.32</v>
      </c>
      <c r="O218" s="9">
        <f>IFERROR(__xludf.DUMMYFUNCTION("""COMPUTED_VALUE"""),0.42)</f>
        <v>0.42</v>
      </c>
      <c r="Q218" s="9">
        <f>IFERROR(__xludf.DUMMYFUNCTION("SPLIT(M210, "","")"),0.372)</f>
        <v>0.372</v>
      </c>
      <c r="R218" s="9">
        <f>IFERROR(__xludf.DUMMYFUNCTION("""COMPUTED_VALUE"""),0.298)</f>
        <v>0.298</v>
      </c>
      <c r="S218" s="9">
        <f>IFERROR(__xludf.DUMMYFUNCTION("""COMPUTED_VALUE"""),0.498)</f>
        <v>0.498</v>
      </c>
      <c r="U218" s="9">
        <f>IFERROR(__xludf.DUMMYFUNCTION("SPLIT(N210, "","")"),0.345)</f>
        <v>0.345</v>
      </c>
      <c r="V218" s="9">
        <f>IFERROR(__xludf.DUMMYFUNCTION("""COMPUTED_VALUE"""),0.31)</f>
        <v>0.31</v>
      </c>
      <c r="W218" s="9">
        <f>IFERROR(__xludf.DUMMYFUNCTION("""COMPUTED_VALUE"""),0.41)</f>
        <v>0.41</v>
      </c>
      <c r="Y218" s="9">
        <f>IFERROR(__xludf.DUMMYFUNCTION("SPLIT(O210, "","")"),0.376)</f>
        <v>0.376</v>
      </c>
      <c r="Z218" s="9">
        <f>IFERROR(__xludf.DUMMYFUNCTION("""COMPUTED_VALUE"""),0.301)</f>
        <v>0.301</v>
      </c>
      <c r="AA218" s="9">
        <f>IFERROR(__xludf.DUMMYFUNCTION("""COMPUTED_VALUE"""),0.501)</f>
        <v>0.501</v>
      </c>
    </row>
    <row r="219">
      <c r="A219" s="9">
        <f>IFERROR(__xludf.DUMMYFUNCTION("SPLIT(I211, "","")"),0.347)</f>
        <v>0.347</v>
      </c>
      <c r="B219" s="9">
        <f>IFERROR(__xludf.DUMMYFUNCTION("""COMPUTED_VALUE"""),0.347)</f>
        <v>0.347</v>
      </c>
      <c r="C219" s="9">
        <f>IFERROR(__xludf.DUMMYFUNCTION("""COMPUTED_VALUE"""),0.347)</f>
        <v>0.347</v>
      </c>
      <c r="E219" s="11">
        <f>IFERROR(__xludf.DUMMYFUNCTION("SPLIT(J211, "","")"),0.368)</f>
        <v>0.368</v>
      </c>
      <c r="F219" s="9">
        <f>IFERROR(__xludf.DUMMYFUNCTION("""COMPUTED_VALUE"""),0.331)</f>
        <v>0.331</v>
      </c>
      <c r="G219" s="9">
        <f>IFERROR(__xludf.DUMMYFUNCTION("""COMPUTED_VALUE"""),0.431)</f>
        <v>0.431</v>
      </c>
      <c r="I219" s="9">
        <f>IFERROR(__xludf.DUMMYFUNCTION("SPLIT(K211, "","")"),0.375)</f>
        <v>0.375</v>
      </c>
      <c r="J219" s="9">
        <f>IFERROR(__xludf.DUMMYFUNCTION("""COMPUTED_VALUE"""),0.3)</f>
        <v>0.3</v>
      </c>
      <c r="K219" s="9">
        <f>IFERROR(__xludf.DUMMYFUNCTION("""COMPUTED_VALUE"""),0.5)</f>
        <v>0.5</v>
      </c>
      <c r="M219" s="9">
        <f>IFERROR(__xludf.DUMMYFUNCTION("SPLIT(L211, "","")"),0.367)</f>
        <v>0.367</v>
      </c>
      <c r="N219" s="9">
        <f>IFERROR(__xludf.DUMMYFUNCTION("""COMPUTED_VALUE"""),0.33)</f>
        <v>0.33</v>
      </c>
      <c r="O219" s="9">
        <f>IFERROR(__xludf.DUMMYFUNCTION("""COMPUTED_VALUE"""),0.43)</f>
        <v>0.43</v>
      </c>
      <c r="Q219" s="9">
        <f>IFERROR(__xludf.DUMMYFUNCTION("SPLIT(M211, "","")"),0.376)</f>
        <v>0.376</v>
      </c>
      <c r="R219" s="9">
        <f>IFERROR(__xludf.DUMMYFUNCTION("""COMPUTED_VALUE"""),0.301)</f>
        <v>0.301</v>
      </c>
      <c r="S219" s="9">
        <f>IFERROR(__xludf.DUMMYFUNCTION("""COMPUTED_VALUE"""),0.501)</f>
        <v>0.501</v>
      </c>
      <c r="U219" s="9">
        <f>IFERROR(__xludf.DUMMYFUNCTION("SPLIT(N211, "","")"),0.35)</f>
        <v>0.35</v>
      </c>
      <c r="V219" s="9">
        <f>IFERROR(__xludf.DUMMYFUNCTION("""COMPUTED_VALUE"""),0.315)</f>
        <v>0.315</v>
      </c>
      <c r="W219" s="9">
        <f>IFERROR(__xludf.DUMMYFUNCTION("""COMPUTED_VALUE"""),0.415)</f>
        <v>0.415</v>
      </c>
      <c r="Y219" s="9">
        <f>IFERROR(__xludf.DUMMYFUNCTION("SPLIT(O211, "","")"),0.379)</f>
        <v>0.379</v>
      </c>
      <c r="Z219" s="9">
        <f>IFERROR(__xludf.DUMMYFUNCTION("""COMPUTED_VALUE"""),0.303)</f>
        <v>0.303</v>
      </c>
      <c r="AA219" s="9">
        <f>IFERROR(__xludf.DUMMYFUNCTION("""COMPUTED_VALUE"""),0.503)</f>
        <v>0.503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0.348</v>
      </c>
      <c r="D223" s="7">
        <f t="shared" ref="D223:D229" si="263">E213</f>
        <v>0.366</v>
      </c>
      <c r="E223" s="7">
        <f t="shared" ref="E223:E229" si="264">I213</f>
        <v>0.378</v>
      </c>
      <c r="F223" s="7">
        <f t="shared" ref="F223:G223" si="258">N213</f>
        <v>0.33</v>
      </c>
      <c r="G223" s="12">
        <f t="shared" si="258"/>
        <v>0.43</v>
      </c>
      <c r="H223" s="7">
        <f t="shared" ref="H223:I223" si="259">R213</f>
        <v>0.299</v>
      </c>
      <c r="I223" s="12">
        <f t="shared" si="259"/>
        <v>0.499</v>
      </c>
      <c r="J223" s="7">
        <f t="shared" ref="J223:K223" si="260">V213</f>
        <v>0.318</v>
      </c>
      <c r="K223" s="12">
        <f t="shared" si="260"/>
        <v>0.418</v>
      </c>
      <c r="L223" s="7">
        <f t="shared" ref="L223:M223" si="261">Z213</f>
        <v>0.302</v>
      </c>
      <c r="M223" s="7">
        <f t="shared" si="261"/>
        <v>0.502</v>
      </c>
    </row>
    <row r="224">
      <c r="B224" s="6" t="s">
        <v>5</v>
      </c>
      <c r="C224" s="7">
        <f t="shared" si="262"/>
        <v>0.256</v>
      </c>
      <c r="D224" s="7">
        <f t="shared" si="263"/>
        <v>0.272</v>
      </c>
      <c r="E224" s="7">
        <f t="shared" si="264"/>
        <v>0.278</v>
      </c>
      <c r="F224" s="7">
        <f t="shared" ref="F224:G224" si="265">N214</f>
        <v>0.242</v>
      </c>
      <c r="G224" s="12">
        <f t="shared" si="265"/>
        <v>0.342</v>
      </c>
      <c r="H224" s="7">
        <f t="shared" ref="H224:I224" si="266">R214</f>
        <v>0.218</v>
      </c>
      <c r="I224" s="12">
        <f t="shared" si="266"/>
        <v>0.418</v>
      </c>
      <c r="J224" s="7">
        <f t="shared" ref="J224:K224" si="267">V214</f>
        <v>0.23</v>
      </c>
      <c r="K224" s="12">
        <f t="shared" si="267"/>
        <v>0.33</v>
      </c>
      <c r="L224" s="7">
        <f t="shared" ref="L224:M224" si="268">Z214</f>
        <v>0.217</v>
      </c>
      <c r="M224" s="7">
        <f t="shared" si="268"/>
        <v>0.417</v>
      </c>
    </row>
    <row r="225">
      <c r="B225" s="6" t="s">
        <v>6</v>
      </c>
      <c r="C225" s="7">
        <f t="shared" si="262"/>
        <v>0.214</v>
      </c>
      <c r="D225" s="7">
        <f t="shared" si="263"/>
        <v>0.217</v>
      </c>
      <c r="E225" s="7">
        <f t="shared" si="264"/>
        <v>0.242</v>
      </c>
      <c r="F225" s="7">
        <f t="shared" ref="F225:G225" si="269">N215</f>
        <v>0.194</v>
      </c>
      <c r="G225" s="12">
        <f t="shared" si="269"/>
        <v>0.294</v>
      </c>
      <c r="H225" s="7">
        <f t="shared" ref="H225:I225" si="270">R215</f>
        <v>0.164</v>
      </c>
      <c r="I225" s="12">
        <f t="shared" si="270"/>
        <v>0.364</v>
      </c>
      <c r="J225" s="7">
        <f t="shared" ref="J225:K225" si="271">V215</f>
        <v>0.185</v>
      </c>
      <c r="K225" s="12">
        <f t="shared" si="271"/>
        <v>0.285</v>
      </c>
      <c r="L225" s="7">
        <f t="shared" ref="L225:M225" si="272">Z215</f>
        <v>0.164</v>
      </c>
      <c r="M225" s="7">
        <f t="shared" si="272"/>
        <v>0.364</v>
      </c>
    </row>
    <row r="226">
      <c r="B226" s="6" t="s">
        <v>7</v>
      </c>
      <c r="C226" s="7">
        <f t="shared" si="262"/>
        <v>0.382</v>
      </c>
      <c r="D226" s="7">
        <f t="shared" si="263"/>
        <v>0.403</v>
      </c>
      <c r="E226" s="7">
        <f t="shared" si="264"/>
        <v>0.415</v>
      </c>
      <c r="F226" s="7">
        <f t="shared" ref="F226:G226" si="273">N216</f>
        <v>0.351</v>
      </c>
      <c r="G226" s="12">
        <f t="shared" si="273"/>
        <v>0.451</v>
      </c>
      <c r="H226" s="7">
        <f t="shared" ref="H226:I226" si="274">R216</f>
        <v>0.318</v>
      </c>
      <c r="I226" s="12">
        <f t="shared" si="274"/>
        <v>0.518</v>
      </c>
      <c r="J226" s="7">
        <f t="shared" ref="J226:K226" si="275">V216</f>
        <v>0.344</v>
      </c>
      <c r="K226" s="12">
        <f t="shared" si="275"/>
        <v>0.444</v>
      </c>
      <c r="L226" s="7">
        <f t="shared" ref="L226:M226" si="276">Z216</f>
        <v>0.321</v>
      </c>
      <c r="M226" s="7">
        <f t="shared" si="276"/>
        <v>0.521</v>
      </c>
    </row>
    <row r="227">
      <c r="B227" s="6" t="s">
        <v>8</v>
      </c>
      <c r="C227" s="7">
        <f t="shared" si="262"/>
        <v>0.352</v>
      </c>
      <c r="D227" s="7">
        <f t="shared" si="263"/>
        <v>0.372</v>
      </c>
      <c r="E227" s="7">
        <f t="shared" si="264"/>
        <v>0.378</v>
      </c>
      <c r="F227" s="7">
        <f t="shared" ref="F227:G227" si="277">N217</f>
        <v>0.329</v>
      </c>
      <c r="G227" s="12">
        <f t="shared" si="277"/>
        <v>0.429</v>
      </c>
      <c r="H227" s="7">
        <f t="shared" ref="H227:I227" si="278">R217</f>
        <v>0.298</v>
      </c>
      <c r="I227" s="12">
        <f t="shared" si="278"/>
        <v>0.498</v>
      </c>
      <c r="J227" s="7">
        <f t="shared" ref="J227:K227" si="279">V217</f>
        <v>0.318</v>
      </c>
      <c r="K227" s="12">
        <f t="shared" si="279"/>
        <v>0.418</v>
      </c>
      <c r="L227" s="7">
        <f t="shared" ref="L227:M227" si="280">Z217</f>
        <v>0.303</v>
      </c>
      <c r="M227" s="7">
        <f t="shared" si="280"/>
        <v>0.503</v>
      </c>
    </row>
    <row r="228">
      <c r="B228" s="6" t="s">
        <v>9</v>
      </c>
      <c r="C228" s="7">
        <f t="shared" si="262"/>
        <v>0.336</v>
      </c>
      <c r="D228" s="7">
        <f t="shared" si="263"/>
        <v>0.355</v>
      </c>
      <c r="E228" s="7">
        <f t="shared" si="264"/>
        <v>0.361</v>
      </c>
      <c r="F228" s="7">
        <f t="shared" ref="F228:G228" si="281">N218</f>
        <v>0.32</v>
      </c>
      <c r="G228" s="12">
        <f t="shared" si="281"/>
        <v>0.42</v>
      </c>
      <c r="H228" s="7">
        <f t="shared" ref="H228:I228" si="282">R218</f>
        <v>0.298</v>
      </c>
      <c r="I228" s="12">
        <f t="shared" si="282"/>
        <v>0.498</v>
      </c>
      <c r="J228" s="7">
        <f t="shared" ref="J228:K228" si="283">V218</f>
        <v>0.31</v>
      </c>
      <c r="K228" s="12">
        <f t="shared" si="283"/>
        <v>0.41</v>
      </c>
      <c r="L228" s="7">
        <f t="shared" ref="L228:M228" si="284">Z218</f>
        <v>0.301</v>
      </c>
      <c r="M228" s="7">
        <f t="shared" si="284"/>
        <v>0.501</v>
      </c>
    </row>
    <row r="229">
      <c r="B229" s="6" t="s">
        <v>10</v>
      </c>
      <c r="C229" s="7">
        <f t="shared" si="262"/>
        <v>0.347</v>
      </c>
      <c r="D229" s="7">
        <f t="shared" si="263"/>
        <v>0.368</v>
      </c>
      <c r="E229" s="7">
        <f t="shared" si="264"/>
        <v>0.375</v>
      </c>
      <c r="F229" s="7">
        <f t="shared" ref="F229:G229" si="285">N219</f>
        <v>0.33</v>
      </c>
      <c r="G229" s="12">
        <f t="shared" si="285"/>
        <v>0.43</v>
      </c>
      <c r="H229" s="7">
        <f t="shared" ref="H229:I229" si="286">R219</f>
        <v>0.301</v>
      </c>
      <c r="I229" s="12">
        <f t="shared" si="286"/>
        <v>0.501</v>
      </c>
      <c r="J229" s="7">
        <f t="shared" ref="J229:K229" si="287">V219</f>
        <v>0.315</v>
      </c>
      <c r="K229" s="12">
        <f t="shared" si="287"/>
        <v>0.415</v>
      </c>
      <c r="L229" s="7">
        <f t="shared" ref="L229:M229" si="288">Z219</f>
        <v>0.303</v>
      </c>
      <c r="M229" s="7">
        <f t="shared" si="288"/>
        <v>0.503</v>
      </c>
    </row>
    <row r="231">
      <c r="A231" s="8" t="s">
        <v>666</v>
      </c>
      <c r="B231" s="8" t="s">
        <v>814</v>
      </c>
      <c r="C231" s="8" t="s">
        <v>248</v>
      </c>
      <c r="D231" s="8" t="s">
        <v>104</v>
      </c>
      <c r="E231" s="8" t="s">
        <v>511</v>
      </c>
      <c r="F231" s="8" t="s">
        <v>375</v>
      </c>
      <c r="G231" s="8" t="s">
        <v>815</v>
      </c>
      <c r="I231" s="9" t="str">
        <f t="shared" ref="I231:O231" si="289">substitute(SUBSTITUTE(A231, "(", ""), ")", "")</f>
        <v>0.366, 0.366, 0.366</v>
      </c>
      <c r="J231" s="9" t="str">
        <f t="shared" si="289"/>
        <v>0.388, 0.349, 0.449</v>
      </c>
      <c r="K231" s="9" t="str">
        <f t="shared" si="289"/>
        <v>0.402, 0.322, 0.522</v>
      </c>
      <c r="L231" s="9" t="str">
        <f t="shared" si="289"/>
        <v>0.369, 0.332, 0.432</v>
      </c>
      <c r="M231" s="9" t="str">
        <f t="shared" si="289"/>
        <v>0.372, 0.297, 0.497</v>
      </c>
      <c r="N231" s="9" t="str">
        <f t="shared" si="289"/>
        <v>0.370, 0.333, 0.433</v>
      </c>
      <c r="O231" s="9" t="str">
        <f t="shared" si="289"/>
        <v>0.374, 0.299, 0.499</v>
      </c>
      <c r="T231" s="6"/>
    </row>
    <row r="232">
      <c r="A232" s="8" t="s">
        <v>816</v>
      </c>
      <c r="B232" s="8" t="s">
        <v>372</v>
      </c>
      <c r="C232" s="8" t="s">
        <v>817</v>
      </c>
      <c r="D232" s="8" t="s">
        <v>810</v>
      </c>
      <c r="E232" s="8" t="s">
        <v>818</v>
      </c>
      <c r="F232" s="8" t="s">
        <v>809</v>
      </c>
      <c r="G232" s="8" t="s">
        <v>819</v>
      </c>
      <c r="I232" s="9" t="str">
        <f t="shared" ref="I232:O232" si="290">substitute(SUBSTITUTE(A232, "(", ""), ")", "")</f>
        <v>0.346, 0.346, 0.346</v>
      </c>
      <c r="J232" s="9" t="str">
        <f t="shared" si="290"/>
        <v>0.367, 0.331, 0.431</v>
      </c>
      <c r="K232" s="9" t="str">
        <f t="shared" si="290"/>
        <v>0.380, 0.304, 0.504</v>
      </c>
      <c r="L232" s="9" t="str">
        <f t="shared" si="290"/>
        <v>0.356, 0.320, 0.420</v>
      </c>
      <c r="M232" s="9" t="str">
        <f t="shared" si="290"/>
        <v>0.368, 0.294, 0.494</v>
      </c>
      <c r="N232" s="9" t="str">
        <f t="shared" si="290"/>
        <v>0.355, 0.319, 0.419</v>
      </c>
      <c r="O232" s="9" t="str">
        <f t="shared" si="290"/>
        <v>0.365, 0.292, 0.492</v>
      </c>
    </row>
    <row r="233">
      <c r="A233" s="8" t="s">
        <v>813</v>
      </c>
      <c r="B233" s="8" t="s">
        <v>788</v>
      </c>
      <c r="C233" s="8" t="s">
        <v>820</v>
      </c>
      <c r="D233" s="8" t="s">
        <v>256</v>
      </c>
      <c r="E233" s="8" t="s">
        <v>821</v>
      </c>
      <c r="F233" s="8" t="s">
        <v>225</v>
      </c>
      <c r="G233" s="8" t="s">
        <v>127</v>
      </c>
      <c r="I233" s="9" t="str">
        <f t="shared" ref="I233:O233" si="291">substitute(SUBSTITUTE(A233, "(", ""), ")", "")</f>
        <v>0.347, 0.347, 0.347</v>
      </c>
      <c r="J233" s="9" t="str">
        <f t="shared" si="291"/>
        <v>0.366, 0.329, 0.429</v>
      </c>
      <c r="K233" s="9" t="str">
        <f t="shared" si="291"/>
        <v>0.381, 0.305, 0.505</v>
      </c>
      <c r="L233" s="9" t="str">
        <f t="shared" si="291"/>
        <v>0.359, 0.323, 0.423</v>
      </c>
      <c r="M233" s="9" t="str">
        <f t="shared" si="291"/>
        <v>0.370, 0.296, 0.496</v>
      </c>
      <c r="N233" s="9" t="str">
        <f t="shared" si="291"/>
        <v>0.357, 0.321, 0.421</v>
      </c>
      <c r="O233" s="9" t="str">
        <f t="shared" si="291"/>
        <v>0.369, 0.295, 0.495</v>
      </c>
    </row>
    <row r="234">
      <c r="A234" s="8" t="s">
        <v>822</v>
      </c>
      <c r="B234" s="8" t="s">
        <v>390</v>
      </c>
      <c r="C234" s="8" t="s">
        <v>727</v>
      </c>
      <c r="D234" s="8" t="s">
        <v>249</v>
      </c>
      <c r="E234" s="8" t="s">
        <v>380</v>
      </c>
      <c r="F234" s="8" t="s">
        <v>823</v>
      </c>
      <c r="G234" s="8" t="s">
        <v>380</v>
      </c>
      <c r="I234" s="9" t="str">
        <f t="shared" ref="I234:O234" si="292">substitute(SUBSTITUTE(A234, "(", ""), ")", "")</f>
        <v>0.399, 0.399, 0.399</v>
      </c>
      <c r="J234" s="9" t="str">
        <f t="shared" si="292"/>
        <v>0.422, 0.380, 0.480</v>
      </c>
      <c r="K234" s="9" t="str">
        <f t="shared" si="292"/>
        <v>0.435, 0.348, 0.548</v>
      </c>
      <c r="L234" s="9" t="str">
        <f t="shared" si="292"/>
        <v>0.402, 0.362, 0.462</v>
      </c>
      <c r="M234" s="9" t="str">
        <f t="shared" si="292"/>
        <v>0.409, 0.327, 0.527</v>
      </c>
      <c r="N234" s="9" t="str">
        <f t="shared" si="292"/>
        <v>0.403, 0.363, 0.463</v>
      </c>
      <c r="O234" s="9" t="str">
        <f t="shared" si="292"/>
        <v>0.409, 0.327, 0.527</v>
      </c>
    </row>
    <row r="235">
      <c r="A235" s="8" t="s">
        <v>824</v>
      </c>
      <c r="B235" s="8" t="s">
        <v>624</v>
      </c>
      <c r="C235" s="8" t="s">
        <v>825</v>
      </c>
      <c r="D235" s="8" t="s">
        <v>826</v>
      </c>
      <c r="E235" s="8" t="s">
        <v>243</v>
      </c>
      <c r="F235" s="8" t="s">
        <v>827</v>
      </c>
      <c r="G235" s="8" t="s">
        <v>243</v>
      </c>
      <c r="I235" s="9" t="str">
        <f t="shared" ref="I235:O235" si="293">substitute(SUBSTITUTE(A235, "(", ""), ")", "")</f>
        <v>0.413, 0.413, 0.413</v>
      </c>
      <c r="J235" s="9" t="str">
        <f t="shared" si="293"/>
        <v>0.437, 0.394, 0.494</v>
      </c>
      <c r="K235" s="9" t="str">
        <f t="shared" si="293"/>
        <v>0.450, 0.360, 0.560</v>
      </c>
      <c r="L235" s="9" t="str">
        <f t="shared" si="293"/>
        <v>0.416, 0.374, 0.474</v>
      </c>
      <c r="M235" s="9" t="str">
        <f t="shared" si="293"/>
        <v>0.424, 0.339, 0.539</v>
      </c>
      <c r="N235" s="9" t="str">
        <f t="shared" si="293"/>
        <v>0.416, 0.375, 0.475</v>
      </c>
      <c r="O235" s="9" t="str">
        <f t="shared" si="293"/>
        <v>0.424, 0.339, 0.539</v>
      </c>
    </row>
    <row r="236">
      <c r="A236" s="8" t="s">
        <v>828</v>
      </c>
      <c r="B236" s="8" t="s">
        <v>193</v>
      </c>
      <c r="C236" s="8" t="s">
        <v>829</v>
      </c>
      <c r="D236" s="8" t="s">
        <v>744</v>
      </c>
      <c r="E236" s="8" t="s">
        <v>486</v>
      </c>
      <c r="F236" s="8" t="s">
        <v>830</v>
      </c>
      <c r="G236" s="8" t="s">
        <v>486</v>
      </c>
      <c r="I236" s="9" t="str">
        <f t="shared" ref="I236:O236" si="294">substitute(SUBSTITUTE(A236, "(", ""), ")", "")</f>
        <v>0.402, 0.402, 0.402</v>
      </c>
      <c r="J236" s="9" t="str">
        <f t="shared" si="294"/>
        <v>0.426, 0.383, 0.483</v>
      </c>
      <c r="K236" s="9" t="str">
        <f t="shared" si="294"/>
        <v>0.439, 0.351, 0.551</v>
      </c>
      <c r="L236" s="9" t="str">
        <f t="shared" si="294"/>
        <v>0.406, 0.366, 0.466</v>
      </c>
      <c r="M236" s="9" t="str">
        <f t="shared" si="294"/>
        <v>0.413, 0.331, 0.531</v>
      </c>
      <c r="N236" s="9" t="str">
        <f t="shared" si="294"/>
        <v>0.407, 0.366, 0.466</v>
      </c>
      <c r="O236" s="9" t="str">
        <f t="shared" si="294"/>
        <v>0.413, 0.331, 0.531</v>
      </c>
    </row>
    <row r="237">
      <c r="A237" s="8" t="s">
        <v>831</v>
      </c>
      <c r="B237" s="8" t="s">
        <v>832</v>
      </c>
      <c r="C237" s="8" t="s">
        <v>194</v>
      </c>
      <c r="D237" s="8" t="s">
        <v>407</v>
      </c>
      <c r="E237" s="8" t="s">
        <v>833</v>
      </c>
      <c r="F237" s="8" t="s">
        <v>834</v>
      </c>
      <c r="G237" s="8" t="s">
        <v>835</v>
      </c>
      <c r="I237" s="9" t="str">
        <f t="shared" ref="I237:O237" si="295">substitute(SUBSTITUTE(A237, "(", ""), ")", "")</f>
        <v>0.400, 0.400, 0.400</v>
      </c>
      <c r="J237" s="9" t="str">
        <f t="shared" si="295"/>
        <v>0.423, 0.380, 0.480</v>
      </c>
      <c r="K237" s="9" t="str">
        <f t="shared" si="295"/>
        <v>0.436, 0.349, 0.549</v>
      </c>
      <c r="L237" s="9" t="str">
        <f t="shared" si="295"/>
        <v>0.410, 0.369, 0.469</v>
      </c>
      <c r="M237" s="9" t="str">
        <f t="shared" si="295"/>
        <v>0.427, 0.342, 0.542</v>
      </c>
      <c r="N237" s="9" t="str">
        <f t="shared" si="295"/>
        <v>0.413, 0.371, 0.471</v>
      </c>
      <c r="O237" s="9" t="str">
        <f t="shared" si="295"/>
        <v>0.426, 0.341, 0.541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"","")"),0.388)</f>
        <v>0.388</v>
      </c>
      <c r="F239" s="9">
        <f>IFERROR(__xludf.DUMMYFUNCTION("""COMPUTED_VALUE"""),0.349)</f>
        <v>0.349</v>
      </c>
      <c r="G239" s="9">
        <f>IFERROR(__xludf.DUMMYFUNCTION("""COMPUTED_VALUE"""),0.449)</f>
        <v>0.449</v>
      </c>
      <c r="I239" s="9">
        <f>IFERROR(__xludf.DUMMYFUNCTION("SPLIT(K231, "","")"),0.402)</f>
        <v>0.402</v>
      </c>
      <c r="J239" s="9">
        <f>IFERROR(__xludf.DUMMYFUNCTION("""COMPUTED_VALUE"""),0.322)</f>
        <v>0.322</v>
      </c>
      <c r="K239" s="9">
        <f>IFERROR(__xludf.DUMMYFUNCTION("""COMPUTED_VALUE"""),0.522)</f>
        <v>0.522</v>
      </c>
      <c r="M239" s="9">
        <f>IFERROR(__xludf.DUMMYFUNCTION("SPLIT(L231, "","")"),0.369)</f>
        <v>0.369</v>
      </c>
      <c r="N239" s="9">
        <f>IFERROR(__xludf.DUMMYFUNCTION("""COMPUTED_VALUE"""),0.332)</f>
        <v>0.332</v>
      </c>
      <c r="O239" s="9">
        <f>IFERROR(__xludf.DUMMYFUNCTION("""COMPUTED_VALUE"""),0.432)</f>
        <v>0.432</v>
      </c>
      <c r="Q239" s="9">
        <f>IFERROR(__xludf.DUMMYFUNCTION("SPLIT(M231, "","")"),0.372)</f>
        <v>0.372</v>
      </c>
      <c r="R239" s="9">
        <f>IFERROR(__xludf.DUMMYFUNCTION("""COMPUTED_VALUE"""),0.297)</f>
        <v>0.297</v>
      </c>
      <c r="S239" s="9">
        <f>IFERROR(__xludf.DUMMYFUNCTION("""COMPUTED_VALUE"""),0.497)</f>
        <v>0.497</v>
      </c>
      <c r="U239" s="9">
        <f>IFERROR(__xludf.DUMMYFUNCTION("SPLIT(N231, "","")"),0.37)</f>
        <v>0.37</v>
      </c>
      <c r="V239" s="9">
        <f>IFERROR(__xludf.DUMMYFUNCTION("""COMPUTED_VALUE"""),0.333)</f>
        <v>0.333</v>
      </c>
      <c r="W239" s="9">
        <f>IFERROR(__xludf.DUMMYFUNCTION("""COMPUTED_VALUE"""),0.433)</f>
        <v>0.433</v>
      </c>
      <c r="Y239" s="9">
        <f>IFERROR(__xludf.DUMMYFUNCTION("SPLIT(O231, "","")"),0.374)</f>
        <v>0.374</v>
      </c>
      <c r="Z239" s="9">
        <f>IFERROR(__xludf.DUMMYFUNCTION("""COMPUTED_VALUE"""),0.299)</f>
        <v>0.299</v>
      </c>
      <c r="AA239" s="9">
        <f>IFERROR(__xludf.DUMMYFUNCTION("""COMPUTED_VALUE"""),0.499)</f>
        <v>0.499</v>
      </c>
    </row>
    <row r="240">
      <c r="A240" s="9">
        <f>IFERROR(__xludf.DUMMYFUNCTION("SPLIT(I232, "","")"),0.346)</f>
        <v>0.346</v>
      </c>
      <c r="B240" s="9">
        <f>IFERROR(__xludf.DUMMYFUNCTION("""COMPUTED_VALUE"""),0.346)</f>
        <v>0.346</v>
      </c>
      <c r="C240" s="9">
        <f>IFERROR(__xludf.DUMMYFUNCTION("""COMPUTED_VALUE"""),0.346)</f>
        <v>0.346</v>
      </c>
      <c r="E240" s="11">
        <f>IFERROR(__xludf.DUMMYFUNCTION("SPLIT(J232, "","")"),0.367)</f>
        <v>0.367</v>
      </c>
      <c r="F240" s="9">
        <f>IFERROR(__xludf.DUMMYFUNCTION("""COMPUTED_VALUE"""),0.331)</f>
        <v>0.331</v>
      </c>
      <c r="G240" s="9">
        <f>IFERROR(__xludf.DUMMYFUNCTION("""COMPUTED_VALUE"""),0.431)</f>
        <v>0.431</v>
      </c>
      <c r="I240" s="9">
        <f>IFERROR(__xludf.DUMMYFUNCTION("SPLIT(K232, "","")"),0.38)</f>
        <v>0.38</v>
      </c>
      <c r="J240" s="9">
        <f>IFERROR(__xludf.DUMMYFUNCTION("""COMPUTED_VALUE"""),0.304)</f>
        <v>0.304</v>
      </c>
      <c r="K240" s="9">
        <f>IFERROR(__xludf.DUMMYFUNCTION("""COMPUTED_VALUE"""),0.504)</f>
        <v>0.504</v>
      </c>
      <c r="M240" s="9">
        <f>IFERROR(__xludf.DUMMYFUNCTION("SPLIT(L232, "","")"),0.356)</f>
        <v>0.356</v>
      </c>
      <c r="N240" s="9">
        <f>IFERROR(__xludf.DUMMYFUNCTION("""COMPUTED_VALUE"""),0.32)</f>
        <v>0.32</v>
      </c>
      <c r="O240" s="9">
        <f>IFERROR(__xludf.DUMMYFUNCTION("""COMPUTED_VALUE"""),0.42)</f>
        <v>0.42</v>
      </c>
      <c r="Q240" s="9">
        <f>IFERROR(__xludf.DUMMYFUNCTION("SPLIT(M232, "","")"),0.368)</f>
        <v>0.368</v>
      </c>
      <c r="R240" s="9">
        <f>IFERROR(__xludf.DUMMYFUNCTION("""COMPUTED_VALUE"""),0.294)</f>
        <v>0.294</v>
      </c>
      <c r="S240" s="9">
        <f>IFERROR(__xludf.DUMMYFUNCTION("""COMPUTED_VALUE"""),0.494)</f>
        <v>0.494</v>
      </c>
      <c r="U240" s="9">
        <f>IFERROR(__xludf.DUMMYFUNCTION("SPLIT(N232, "","")"),0.355)</f>
        <v>0.355</v>
      </c>
      <c r="V240" s="9">
        <f>IFERROR(__xludf.DUMMYFUNCTION("""COMPUTED_VALUE"""),0.319)</f>
        <v>0.319</v>
      </c>
      <c r="W240" s="9">
        <f>IFERROR(__xludf.DUMMYFUNCTION("""COMPUTED_VALUE"""),0.419)</f>
        <v>0.419</v>
      </c>
      <c r="Y240" s="9">
        <f>IFERROR(__xludf.DUMMYFUNCTION("SPLIT(O232, "","")"),0.365)</f>
        <v>0.365</v>
      </c>
      <c r="Z240" s="9">
        <f>IFERROR(__xludf.DUMMYFUNCTION("""COMPUTED_VALUE"""),0.292)</f>
        <v>0.292</v>
      </c>
      <c r="AA240" s="9">
        <f>IFERROR(__xludf.DUMMYFUNCTION("""COMPUTED_VALUE"""),0.492)</f>
        <v>0.492</v>
      </c>
    </row>
    <row r="241">
      <c r="A241" s="9">
        <f>IFERROR(__xludf.DUMMYFUNCTION("SPLIT(I233, "","")"),0.347)</f>
        <v>0.347</v>
      </c>
      <c r="B241" s="9">
        <f>IFERROR(__xludf.DUMMYFUNCTION("""COMPUTED_VALUE"""),0.347)</f>
        <v>0.347</v>
      </c>
      <c r="C241" s="9">
        <f>IFERROR(__xludf.DUMMYFUNCTION("""COMPUTED_VALUE"""),0.347)</f>
        <v>0.347</v>
      </c>
      <c r="E241" s="11">
        <f>IFERROR(__xludf.DUMMYFUNCTION("SPLIT(J233, "","")"),0.366)</f>
        <v>0.366</v>
      </c>
      <c r="F241" s="9">
        <f>IFERROR(__xludf.DUMMYFUNCTION("""COMPUTED_VALUE"""),0.329)</f>
        <v>0.329</v>
      </c>
      <c r="G241" s="9">
        <f>IFERROR(__xludf.DUMMYFUNCTION("""COMPUTED_VALUE"""),0.429)</f>
        <v>0.429</v>
      </c>
      <c r="I241" s="9">
        <f>IFERROR(__xludf.DUMMYFUNCTION("SPLIT(K233, "","")"),0.381)</f>
        <v>0.381</v>
      </c>
      <c r="J241" s="9">
        <f>IFERROR(__xludf.DUMMYFUNCTION("""COMPUTED_VALUE"""),0.305)</f>
        <v>0.305</v>
      </c>
      <c r="K241" s="9">
        <f>IFERROR(__xludf.DUMMYFUNCTION("""COMPUTED_VALUE"""),0.505)</f>
        <v>0.505</v>
      </c>
      <c r="M241" s="9">
        <f>IFERROR(__xludf.DUMMYFUNCTION("SPLIT(L233, "","")"),0.359)</f>
        <v>0.359</v>
      </c>
      <c r="N241" s="9">
        <f>IFERROR(__xludf.DUMMYFUNCTION("""COMPUTED_VALUE"""),0.323)</f>
        <v>0.323</v>
      </c>
      <c r="O241" s="9">
        <f>IFERROR(__xludf.DUMMYFUNCTION("""COMPUTED_VALUE"""),0.423)</f>
        <v>0.423</v>
      </c>
      <c r="Q241" s="9">
        <f>IFERROR(__xludf.DUMMYFUNCTION("SPLIT(M233, "","")"),0.37)</f>
        <v>0.37</v>
      </c>
      <c r="R241" s="9">
        <f>IFERROR(__xludf.DUMMYFUNCTION("""COMPUTED_VALUE"""),0.296)</f>
        <v>0.296</v>
      </c>
      <c r="S241" s="9">
        <f>IFERROR(__xludf.DUMMYFUNCTION("""COMPUTED_VALUE"""),0.496)</f>
        <v>0.496</v>
      </c>
      <c r="U241" s="9">
        <f>IFERROR(__xludf.DUMMYFUNCTION("SPLIT(N233, "","")"),0.357)</f>
        <v>0.357</v>
      </c>
      <c r="V241" s="9">
        <f>IFERROR(__xludf.DUMMYFUNCTION("""COMPUTED_VALUE"""),0.321)</f>
        <v>0.321</v>
      </c>
      <c r="W241" s="9">
        <f>IFERROR(__xludf.DUMMYFUNCTION("""COMPUTED_VALUE"""),0.421)</f>
        <v>0.421</v>
      </c>
      <c r="Y241" s="9">
        <f>IFERROR(__xludf.DUMMYFUNCTION("SPLIT(O233, "","")"),0.369)</f>
        <v>0.369</v>
      </c>
      <c r="Z241" s="9">
        <f>IFERROR(__xludf.DUMMYFUNCTION("""COMPUTED_VALUE"""),0.295)</f>
        <v>0.295</v>
      </c>
      <c r="AA241" s="9">
        <f>IFERROR(__xludf.DUMMYFUNCTION("""COMPUTED_VALUE"""),0.495)</f>
        <v>0.495</v>
      </c>
    </row>
    <row r="242">
      <c r="A242" s="9">
        <f>IFERROR(__xludf.DUMMYFUNCTION("SPLIT(I234, "","")"),0.399)</f>
        <v>0.399</v>
      </c>
      <c r="B242" s="9">
        <f>IFERROR(__xludf.DUMMYFUNCTION("""COMPUTED_VALUE"""),0.399)</f>
        <v>0.399</v>
      </c>
      <c r="C242" s="9">
        <f>IFERROR(__xludf.DUMMYFUNCTION("""COMPUTED_VALUE"""),0.399)</f>
        <v>0.399</v>
      </c>
      <c r="E242" s="11">
        <f>IFERROR(__xludf.DUMMYFUNCTION("SPLIT(J234, "","")"),0.422)</f>
        <v>0.422</v>
      </c>
      <c r="F242" s="9">
        <f>IFERROR(__xludf.DUMMYFUNCTION("""COMPUTED_VALUE"""),0.38)</f>
        <v>0.38</v>
      </c>
      <c r="G242" s="9">
        <f>IFERROR(__xludf.DUMMYFUNCTION("""COMPUTED_VALUE"""),0.48)</f>
        <v>0.48</v>
      </c>
      <c r="I242" s="9">
        <f>IFERROR(__xludf.DUMMYFUNCTION("SPLIT(K234, "","")"),0.435)</f>
        <v>0.435</v>
      </c>
      <c r="J242" s="9">
        <f>IFERROR(__xludf.DUMMYFUNCTION("""COMPUTED_VALUE"""),0.348)</f>
        <v>0.348</v>
      </c>
      <c r="K242" s="9">
        <f>IFERROR(__xludf.DUMMYFUNCTION("""COMPUTED_VALUE"""),0.548)</f>
        <v>0.548</v>
      </c>
      <c r="M242" s="9">
        <f>IFERROR(__xludf.DUMMYFUNCTION("SPLIT(L234, "","")"),0.402)</f>
        <v>0.402</v>
      </c>
      <c r="N242" s="9">
        <f>IFERROR(__xludf.DUMMYFUNCTION("""COMPUTED_VALUE"""),0.362)</f>
        <v>0.362</v>
      </c>
      <c r="O242" s="9">
        <f>IFERROR(__xludf.DUMMYFUNCTION("""COMPUTED_VALUE"""),0.462)</f>
        <v>0.462</v>
      </c>
      <c r="Q242" s="9">
        <f>IFERROR(__xludf.DUMMYFUNCTION("SPLIT(M234, "","")"),0.409)</f>
        <v>0.409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"","")"),0.403)</f>
        <v>0.403</v>
      </c>
      <c r="V242" s="9">
        <f>IFERROR(__xludf.DUMMYFUNCTION("""COMPUTED_VALUE"""),0.363)</f>
        <v>0.363</v>
      </c>
      <c r="W242" s="9">
        <f>IFERROR(__xludf.DUMMYFUNCTION("""COMPUTED_VALUE"""),0.463)</f>
        <v>0.463</v>
      </c>
      <c r="Y242" s="9">
        <f>IFERROR(__xludf.DUMMYFUNCTION("SPLIT(O234, "","")"),0.409)</f>
        <v>0.409</v>
      </c>
      <c r="Z242" s="9">
        <f>IFERROR(__xludf.DUMMYFUNCTION("""COMPUTED_VALUE"""),0.327)</f>
        <v>0.327</v>
      </c>
      <c r="AA242" s="9">
        <f>IFERROR(__xludf.DUMMYFUNCTION("""COMPUTED_VALUE"""),0.527)</f>
        <v>0.527</v>
      </c>
    </row>
    <row r="243">
      <c r="A243" s="9">
        <f>IFERROR(__xludf.DUMMYFUNCTION("SPLIT(I235, "","")"),0.413)</f>
        <v>0.413</v>
      </c>
      <c r="B243" s="9">
        <f>IFERROR(__xludf.DUMMYFUNCTION("""COMPUTED_VALUE"""),0.413)</f>
        <v>0.413</v>
      </c>
      <c r="C243" s="9">
        <f>IFERROR(__xludf.DUMMYFUNCTION("""COMPUTED_VALUE"""),0.413)</f>
        <v>0.413</v>
      </c>
      <c r="E243" s="11">
        <f>IFERROR(__xludf.DUMMYFUNCTION("SPLIT(J235, "","")"),0.437)</f>
        <v>0.437</v>
      </c>
      <c r="F243" s="9">
        <f>IFERROR(__xludf.DUMMYFUNCTION("""COMPUTED_VALUE"""),0.394)</f>
        <v>0.394</v>
      </c>
      <c r="G243" s="9">
        <f>IFERROR(__xludf.DUMMYFUNCTION("""COMPUTED_VALUE"""),0.494)</f>
        <v>0.494</v>
      </c>
      <c r="I243" s="9">
        <f>IFERROR(__xludf.DUMMYFUNCTION("SPLIT(K235, "","")"),0.45)</f>
        <v>0.45</v>
      </c>
      <c r="J243" s="9">
        <f>IFERROR(__xludf.DUMMYFUNCTION("""COMPUTED_VALUE"""),0.36)</f>
        <v>0.36</v>
      </c>
      <c r="K243" s="9">
        <f>IFERROR(__xludf.DUMMYFUNCTION("""COMPUTED_VALUE"""),0.56)</f>
        <v>0.56</v>
      </c>
      <c r="M243" s="9">
        <f>IFERROR(__xludf.DUMMYFUNCTION("SPLIT(L235, "","")"),0.416)</f>
        <v>0.416</v>
      </c>
      <c r="N243" s="9">
        <f>IFERROR(__xludf.DUMMYFUNCTION("""COMPUTED_VALUE"""),0.374)</f>
        <v>0.374</v>
      </c>
      <c r="O243" s="9">
        <f>IFERROR(__xludf.DUMMYFUNCTION("""COMPUTED_VALUE"""),0.474)</f>
        <v>0.474</v>
      </c>
      <c r="Q243" s="9">
        <f>IFERROR(__xludf.DUMMYFUNCTION("SPLIT(M235, "","")"),0.424)</f>
        <v>0.424</v>
      </c>
      <c r="R243" s="9">
        <f>IFERROR(__xludf.DUMMYFUNCTION("""COMPUTED_VALUE"""),0.339)</f>
        <v>0.339</v>
      </c>
      <c r="S243" s="9">
        <f>IFERROR(__xludf.DUMMYFUNCTION("""COMPUTED_VALUE"""),0.539)</f>
        <v>0.539</v>
      </c>
      <c r="U243" s="9">
        <f>IFERROR(__xludf.DUMMYFUNCTION("SPLIT(N235, "","")"),0.416)</f>
        <v>0.416</v>
      </c>
      <c r="V243" s="9">
        <f>IFERROR(__xludf.DUMMYFUNCTION("""COMPUTED_VALUE"""),0.375)</f>
        <v>0.375</v>
      </c>
      <c r="W243" s="9">
        <f>IFERROR(__xludf.DUMMYFUNCTION("""COMPUTED_VALUE"""),0.475)</f>
        <v>0.475</v>
      </c>
      <c r="Y243" s="9">
        <f>IFERROR(__xludf.DUMMYFUNCTION("SPLIT(O235, "","")"),0.424)</f>
        <v>0.424</v>
      </c>
      <c r="Z243" s="9">
        <f>IFERROR(__xludf.DUMMYFUNCTION("""COMPUTED_VALUE"""),0.339)</f>
        <v>0.339</v>
      </c>
      <c r="AA243" s="9">
        <f>IFERROR(__xludf.DUMMYFUNCTION("""COMPUTED_VALUE"""),0.539)</f>
        <v>0.539</v>
      </c>
    </row>
    <row r="244">
      <c r="A244" s="9">
        <f>IFERROR(__xludf.DUMMYFUNCTION("SPLIT(I236, "","")"),0.402)</f>
        <v>0.402</v>
      </c>
      <c r="B244" s="9">
        <f>IFERROR(__xludf.DUMMYFUNCTION("""COMPUTED_VALUE"""),0.402)</f>
        <v>0.402</v>
      </c>
      <c r="C244" s="9">
        <f>IFERROR(__xludf.DUMMYFUNCTION("""COMPUTED_VALUE"""),0.402)</f>
        <v>0.402</v>
      </c>
      <c r="E244" s="11">
        <f>IFERROR(__xludf.DUMMYFUNCTION("SPLIT(J236, "","")"),0.426)</f>
        <v>0.426</v>
      </c>
      <c r="F244" s="9">
        <f>IFERROR(__xludf.DUMMYFUNCTION("""COMPUTED_VALUE"""),0.383)</f>
        <v>0.383</v>
      </c>
      <c r="G244" s="9">
        <f>IFERROR(__xludf.DUMMYFUNCTION("""COMPUTED_VALUE"""),0.483)</f>
        <v>0.483</v>
      </c>
      <c r="I244" s="9">
        <f>IFERROR(__xludf.DUMMYFUNCTION("SPLIT(K236, "","")"),0.439)</f>
        <v>0.439</v>
      </c>
      <c r="J244" s="9">
        <f>IFERROR(__xludf.DUMMYFUNCTION("""COMPUTED_VALUE"""),0.351)</f>
        <v>0.351</v>
      </c>
      <c r="K244" s="9">
        <f>IFERROR(__xludf.DUMMYFUNCTION("""COMPUTED_VALUE"""),0.551)</f>
        <v>0.551</v>
      </c>
      <c r="M244" s="9">
        <f>IFERROR(__xludf.DUMMYFUNCTION("SPLIT(L236, "","")"),0.406)</f>
        <v>0.406</v>
      </c>
      <c r="N244" s="9">
        <f>IFERROR(__xludf.DUMMYFUNCTION("""COMPUTED_VALUE"""),0.366)</f>
        <v>0.366</v>
      </c>
      <c r="O244" s="9">
        <f>IFERROR(__xludf.DUMMYFUNCTION("""COMPUTED_VALUE"""),0.466)</f>
        <v>0.466</v>
      </c>
      <c r="Q244" s="9">
        <f>IFERROR(__xludf.DUMMYFUNCTION("SPLIT(M236, "","")"),0.413)</f>
        <v>0.413</v>
      </c>
      <c r="R244" s="9">
        <f>IFERROR(__xludf.DUMMYFUNCTION("""COMPUTED_VALUE"""),0.331)</f>
        <v>0.331</v>
      </c>
      <c r="S244" s="9">
        <f>IFERROR(__xludf.DUMMYFUNCTION("""COMPUTED_VALUE"""),0.531)</f>
        <v>0.531</v>
      </c>
      <c r="U244" s="9">
        <f>IFERROR(__xludf.DUMMYFUNCTION("SPLIT(N236, "","")"),0.407)</f>
        <v>0.407</v>
      </c>
      <c r="V244" s="9">
        <f>IFERROR(__xludf.DUMMYFUNCTION("""COMPUTED_VALUE"""),0.366)</f>
        <v>0.366</v>
      </c>
      <c r="W244" s="9">
        <f>IFERROR(__xludf.DUMMYFUNCTION("""COMPUTED_VALUE"""),0.466)</f>
        <v>0.466</v>
      </c>
      <c r="Y244" s="9">
        <f>IFERROR(__xludf.DUMMYFUNCTION("SPLIT(O236, "","")"),0.413)</f>
        <v>0.413</v>
      </c>
      <c r="Z244" s="9">
        <f>IFERROR(__xludf.DUMMYFUNCTION("""COMPUTED_VALUE"""),0.331)</f>
        <v>0.331</v>
      </c>
      <c r="AA244" s="9">
        <f>IFERROR(__xludf.DUMMYFUNCTION("""COMPUTED_VALUE"""),0.531)</f>
        <v>0.531</v>
      </c>
    </row>
    <row r="245">
      <c r="A245" s="9">
        <f>IFERROR(__xludf.DUMMYFUNCTION("SPLIT(I237, "","")"),0.4)</f>
        <v>0.4</v>
      </c>
      <c r="B245" s="9">
        <f>IFERROR(__xludf.DUMMYFUNCTION("""COMPUTED_VALUE"""),0.4)</f>
        <v>0.4</v>
      </c>
      <c r="C245" s="9">
        <f>IFERROR(__xludf.DUMMYFUNCTION("""COMPUTED_VALUE"""),0.4)</f>
        <v>0.4</v>
      </c>
      <c r="E245" s="11">
        <f>IFERROR(__xludf.DUMMYFUNCTION("SPLIT(J237, "","")"),0.423)</f>
        <v>0.423</v>
      </c>
      <c r="F245" s="9">
        <f>IFERROR(__xludf.DUMMYFUNCTION("""COMPUTED_VALUE"""),0.38)</f>
        <v>0.38</v>
      </c>
      <c r="G245" s="9">
        <f>IFERROR(__xludf.DUMMYFUNCTION("""COMPUTED_VALUE"""),0.48)</f>
        <v>0.48</v>
      </c>
      <c r="I245" s="9">
        <f>IFERROR(__xludf.DUMMYFUNCTION("SPLIT(K237, "","")"),0.436)</f>
        <v>0.436</v>
      </c>
      <c r="J245" s="9">
        <f>IFERROR(__xludf.DUMMYFUNCTION("""COMPUTED_VALUE"""),0.349)</f>
        <v>0.349</v>
      </c>
      <c r="K245" s="9">
        <f>IFERROR(__xludf.DUMMYFUNCTION("""COMPUTED_VALUE"""),0.549)</f>
        <v>0.549</v>
      </c>
      <c r="M245" s="9">
        <f>IFERROR(__xludf.DUMMYFUNCTION("SPLIT(L237, "","")"),0.41)</f>
        <v>0.41</v>
      </c>
      <c r="N245" s="9">
        <f>IFERROR(__xludf.DUMMYFUNCTION("""COMPUTED_VALUE"""),0.369)</f>
        <v>0.369</v>
      </c>
      <c r="O245" s="9">
        <f>IFERROR(__xludf.DUMMYFUNCTION("""COMPUTED_VALUE"""),0.469)</f>
        <v>0.469</v>
      </c>
      <c r="Q245" s="9">
        <f>IFERROR(__xludf.DUMMYFUNCTION("SPLIT(M237, "","")"),0.427)</f>
        <v>0.427</v>
      </c>
      <c r="R245" s="9">
        <f>IFERROR(__xludf.DUMMYFUNCTION("""COMPUTED_VALUE"""),0.342)</f>
        <v>0.342</v>
      </c>
      <c r="S245" s="9">
        <f>IFERROR(__xludf.DUMMYFUNCTION("""COMPUTED_VALUE"""),0.542)</f>
        <v>0.542</v>
      </c>
      <c r="U245" s="9">
        <f>IFERROR(__xludf.DUMMYFUNCTION("SPLIT(N237, "","")"),0.413)</f>
        <v>0.413</v>
      </c>
      <c r="V245" s="9">
        <f>IFERROR(__xludf.DUMMYFUNCTION("""COMPUTED_VALUE"""),0.371)</f>
        <v>0.371</v>
      </c>
      <c r="W245" s="9">
        <f>IFERROR(__xludf.DUMMYFUNCTION("""COMPUTED_VALUE"""),0.471)</f>
        <v>0.471</v>
      </c>
      <c r="Y245" s="9">
        <f>IFERROR(__xludf.DUMMYFUNCTION("SPLIT(O237, "","")"),0.426)</f>
        <v>0.426</v>
      </c>
      <c r="Z245" s="9">
        <f>IFERROR(__xludf.DUMMYFUNCTION("""COMPUTED_VALUE"""),0.341)</f>
        <v>0.341</v>
      </c>
      <c r="AA245" s="9">
        <f>IFERROR(__xludf.DUMMYFUNCTION("""COMPUTED_VALUE"""),0.541)</f>
        <v>0.541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0.366</v>
      </c>
      <c r="D249" s="7">
        <f t="shared" ref="D249:D255" si="302">E239</f>
        <v>0.388</v>
      </c>
      <c r="E249" s="7">
        <f t="shared" ref="E249:E255" si="303">I239</f>
        <v>0.402</v>
      </c>
      <c r="F249" s="7">
        <f t="shared" ref="F249:G249" si="296">N239</f>
        <v>0.332</v>
      </c>
      <c r="G249" s="12">
        <f t="shared" si="296"/>
        <v>0.432</v>
      </c>
      <c r="H249" s="7">
        <f t="shared" ref="H249:I249" si="297">R239</f>
        <v>0.297</v>
      </c>
      <c r="I249" s="12">
        <f t="shared" si="297"/>
        <v>0.497</v>
      </c>
      <c r="J249" s="7">
        <f t="shared" ref="J249:K249" si="298">V239</f>
        <v>0.333</v>
      </c>
      <c r="K249" s="12">
        <f t="shared" si="298"/>
        <v>0.433</v>
      </c>
      <c r="L249" s="7">
        <f t="shared" ref="L249:M249" si="299">Z239</f>
        <v>0.299</v>
      </c>
      <c r="M249" s="7">
        <f t="shared" si="299"/>
        <v>0.499</v>
      </c>
      <c r="P249" s="6" t="s">
        <v>4</v>
      </c>
      <c r="Q249" s="7">
        <f t="shared" ref="Q249:AA249" si="300">C249-$C$249</f>
        <v>0</v>
      </c>
      <c r="R249" s="7">
        <f t="shared" si="300"/>
        <v>0.022</v>
      </c>
      <c r="S249" s="7">
        <f t="shared" si="300"/>
        <v>0.036</v>
      </c>
      <c r="T249" s="7">
        <f t="shared" si="300"/>
        <v>-0.034</v>
      </c>
      <c r="U249" s="7">
        <f t="shared" si="300"/>
        <v>0.066</v>
      </c>
      <c r="V249" s="7">
        <f t="shared" si="300"/>
        <v>-0.069</v>
      </c>
      <c r="W249" s="7">
        <f t="shared" si="300"/>
        <v>0.131</v>
      </c>
      <c r="X249" s="7">
        <f t="shared" si="300"/>
        <v>-0.033</v>
      </c>
      <c r="Y249" s="7">
        <f t="shared" si="300"/>
        <v>0.067</v>
      </c>
      <c r="Z249" s="7">
        <f t="shared" si="300"/>
        <v>-0.067</v>
      </c>
      <c r="AA249" s="7">
        <f t="shared" si="300"/>
        <v>0.133</v>
      </c>
    </row>
    <row r="250">
      <c r="B250" s="6" t="s">
        <v>5</v>
      </c>
      <c r="C250" s="7">
        <f t="shared" si="301"/>
        <v>0.346</v>
      </c>
      <c r="D250" s="7">
        <f t="shared" si="302"/>
        <v>0.367</v>
      </c>
      <c r="E250" s="7">
        <f t="shared" si="303"/>
        <v>0.38</v>
      </c>
      <c r="F250" s="7">
        <f t="shared" ref="F250:G250" si="304">N240</f>
        <v>0.32</v>
      </c>
      <c r="G250" s="12">
        <f t="shared" si="304"/>
        <v>0.42</v>
      </c>
      <c r="H250" s="7">
        <f t="shared" ref="H250:I250" si="305">R240</f>
        <v>0.294</v>
      </c>
      <c r="I250" s="12">
        <f t="shared" si="305"/>
        <v>0.494</v>
      </c>
      <c r="J250" s="7">
        <f t="shared" ref="J250:K250" si="306">V240</f>
        <v>0.319</v>
      </c>
      <c r="K250" s="12">
        <f t="shared" si="306"/>
        <v>0.419</v>
      </c>
      <c r="L250" s="7">
        <f t="shared" ref="L250:M250" si="307">Z240</f>
        <v>0.292</v>
      </c>
      <c r="M250" s="7">
        <f t="shared" si="307"/>
        <v>0.492</v>
      </c>
      <c r="P250" s="6" t="s">
        <v>5</v>
      </c>
      <c r="Q250" s="7">
        <f t="shared" ref="Q250:AA250" si="308">C250-$C$249</f>
        <v>-0.02</v>
      </c>
      <c r="R250" s="7">
        <f t="shared" si="308"/>
        <v>0.001</v>
      </c>
      <c r="S250" s="7">
        <f t="shared" si="308"/>
        <v>0.014</v>
      </c>
      <c r="T250" s="7">
        <f t="shared" si="308"/>
        <v>-0.046</v>
      </c>
      <c r="U250" s="7">
        <f t="shared" si="308"/>
        <v>0.054</v>
      </c>
      <c r="V250" s="7">
        <f t="shared" si="308"/>
        <v>-0.072</v>
      </c>
      <c r="W250" s="7">
        <f t="shared" si="308"/>
        <v>0.128</v>
      </c>
      <c r="X250" s="7">
        <f t="shared" si="308"/>
        <v>-0.047</v>
      </c>
      <c r="Y250" s="7">
        <f t="shared" si="308"/>
        <v>0.053</v>
      </c>
      <c r="Z250" s="7">
        <f t="shared" si="308"/>
        <v>-0.074</v>
      </c>
      <c r="AA250" s="7">
        <f t="shared" si="308"/>
        <v>0.126</v>
      </c>
    </row>
    <row r="251">
      <c r="B251" s="6" t="s">
        <v>6</v>
      </c>
      <c r="C251" s="7">
        <f t="shared" si="301"/>
        <v>0.347</v>
      </c>
      <c r="D251" s="7">
        <f t="shared" si="302"/>
        <v>0.366</v>
      </c>
      <c r="E251" s="7">
        <f t="shared" si="303"/>
        <v>0.381</v>
      </c>
      <c r="F251" s="7">
        <f t="shared" ref="F251:G251" si="309">N241</f>
        <v>0.323</v>
      </c>
      <c r="G251" s="12">
        <f t="shared" si="309"/>
        <v>0.423</v>
      </c>
      <c r="H251" s="7">
        <f t="shared" ref="H251:I251" si="310">R241</f>
        <v>0.296</v>
      </c>
      <c r="I251" s="12">
        <f t="shared" si="310"/>
        <v>0.496</v>
      </c>
      <c r="J251" s="7">
        <f t="shared" ref="J251:K251" si="311">V241</f>
        <v>0.321</v>
      </c>
      <c r="K251" s="12">
        <f t="shared" si="311"/>
        <v>0.421</v>
      </c>
      <c r="L251" s="7">
        <f t="shared" ref="L251:M251" si="312">Z241</f>
        <v>0.295</v>
      </c>
      <c r="M251" s="7">
        <f t="shared" si="312"/>
        <v>0.495</v>
      </c>
      <c r="P251" s="6" t="s">
        <v>6</v>
      </c>
      <c r="Q251" s="7">
        <f t="shared" ref="Q251:AA251" si="313">C251-$C$249</f>
        <v>-0.019</v>
      </c>
      <c r="R251" s="7">
        <f t="shared" si="313"/>
        <v>0</v>
      </c>
      <c r="S251" s="7">
        <f t="shared" si="313"/>
        <v>0.015</v>
      </c>
      <c r="T251" s="7">
        <f t="shared" si="313"/>
        <v>-0.043</v>
      </c>
      <c r="U251" s="7">
        <f t="shared" si="313"/>
        <v>0.057</v>
      </c>
      <c r="V251" s="7">
        <f t="shared" si="313"/>
        <v>-0.07</v>
      </c>
      <c r="W251" s="7">
        <f t="shared" si="313"/>
        <v>0.13</v>
      </c>
      <c r="X251" s="7">
        <f t="shared" si="313"/>
        <v>-0.045</v>
      </c>
      <c r="Y251" s="7">
        <f t="shared" si="313"/>
        <v>0.055</v>
      </c>
      <c r="Z251" s="7">
        <f t="shared" si="313"/>
        <v>-0.071</v>
      </c>
      <c r="AA251" s="7">
        <f t="shared" si="313"/>
        <v>0.129</v>
      </c>
    </row>
    <row r="252">
      <c r="B252" s="6" t="s">
        <v>7</v>
      </c>
      <c r="C252" s="7">
        <f t="shared" si="301"/>
        <v>0.399</v>
      </c>
      <c r="D252" s="7">
        <f t="shared" si="302"/>
        <v>0.422</v>
      </c>
      <c r="E252" s="7">
        <f t="shared" si="303"/>
        <v>0.435</v>
      </c>
      <c r="F252" s="7">
        <f t="shared" ref="F252:G252" si="314">N242</f>
        <v>0.362</v>
      </c>
      <c r="G252" s="12">
        <f t="shared" si="314"/>
        <v>0.462</v>
      </c>
      <c r="H252" s="7">
        <f t="shared" ref="H252:I252" si="315">R242</f>
        <v>0.327</v>
      </c>
      <c r="I252" s="12">
        <f t="shared" si="315"/>
        <v>0.527</v>
      </c>
      <c r="J252" s="7">
        <f t="shared" ref="J252:K252" si="316">V242</f>
        <v>0.363</v>
      </c>
      <c r="K252" s="12">
        <f t="shared" si="316"/>
        <v>0.463</v>
      </c>
      <c r="L252" s="7">
        <f t="shared" ref="L252:M252" si="317">Z242</f>
        <v>0.327</v>
      </c>
      <c r="M252" s="7">
        <f t="shared" si="317"/>
        <v>0.527</v>
      </c>
      <c r="P252" s="6" t="s">
        <v>7</v>
      </c>
      <c r="Q252" s="7">
        <f t="shared" ref="Q252:AA252" si="318">C252-$C$249</f>
        <v>0.033</v>
      </c>
      <c r="R252" s="7">
        <f t="shared" si="318"/>
        <v>0.056</v>
      </c>
      <c r="S252" s="7">
        <f t="shared" si="318"/>
        <v>0.069</v>
      </c>
      <c r="T252" s="7">
        <f t="shared" si="318"/>
        <v>-0.004</v>
      </c>
      <c r="U252" s="7">
        <f t="shared" si="318"/>
        <v>0.096</v>
      </c>
      <c r="V252" s="7">
        <f t="shared" si="318"/>
        <v>-0.039</v>
      </c>
      <c r="W252" s="7">
        <f t="shared" si="318"/>
        <v>0.161</v>
      </c>
      <c r="X252" s="7">
        <f t="shared" si="318"/>
        <v>-0.003</v>
      </c>
      <c r="Y252" s="7">
        <f t="shared" si="318"/>
        <v>0.097</v>
      </c>
      <c r="Z252" s="7">
        <f t="shared" si="318"/>
        <v>-0.039</v>
      </c>
      <c r="AA252" s="7">
        <f t="shared" si="318"/>
        <v>0.161</v>
      </c>
    </row>
    <row r="253">
      <c r="B253" s="6" t="s">
        <v>8</v>
      </c>
      <c r="C253" s="7">
        <f t="shared" si="301"/>
        <v>0.413</v>
      </c>
      <c r="D253" s="7">
        <f t="shared" si="302"/>
        <v>0.437</v>
      </c>
      <c r="E253" s="7">
        <f t="shared" si="303"/>
        <v>0.45</v>
      </c>
      <c r="F253" s="7">
        <f t="shared" ref="F253:G253" si="319">N243</f>
        <v>0.374</v>
      </c>
      <c r="G253" s="12">
        <f t="shared" si="319"/>
        <v>0.474</v>
      </c>
      <c r="H253" s="7">
        <f t="shared" ref="H253:I253" si="320">R243</f>
        <v>0.339</v>
      </c>
      <c r="I253" s="12">
        <f t="shared" si="320"/>
        <v>0.539</v>
      </c>
      <c r="J253" s="7">
        <f t="shared" ref="J253:K253" si="321">V243</f>
        <v>0.375</v>
      </c>
      <c r="K253" s="12">
        <f t="shared" si="321"/>
        <v>0.475</v>
      </c>
      <c r="L253" s="7">
        <f t="shared" ref="L253:M253" si="322">Z243</f>
        <v>0.339</v>
      </c>
      <c r="M253" s="7">
        <f t="shared" si="322"/>
        <v>0.539</v>
      </c>
      <c r="P253" s="6" t="s">
        <v>8</v>
      </c>
      <c r="Q253" s="7">
        <f t="shared" ref="Q253:AA253" si="323">C253-$C$249</f>
        <v>0.047</v>
      </c>
      <c r="R253" s="7">
        <f t="shared" si="323"/>
        <v>0.071</v>
      </c>
      <c r="S253" s="7">
        <f t="shared" si="323"/>
        <v>0.084</v>
      </c>
      <c r="T253" s="7">
        <f t="shared" si="323"/>
        <v>0.008</v>
      </c>
      <c r="U253" s="7">
        <f t="shared" si="323"/>
        <v>0.108</v>
      </c>
      <c r="V253" s="7">
        <f t="shared" si="323"/>
        <v>-0.027</v>
      </c>
      <c r="W253" s="7">
        <f t="shared" si="323"/>
        <v>0.173</v>
      </c>
      <c r="X253" s="7">
        <f t="shared" si="323"/>
        <v>0.009</v>
      </c>
      <c r="Y253" s="7">
        <f t="shared" si="323"/>
        <v>0.109</v>
      </c>
      <c r="Z253" s="7">
        <f t="shared" si="323"/>
        <v>-0.027</v>
      </c>
      <c r="AA253" s="7">
        <f t="shared" si="323"/>
        <v>0.173</v>
      </c>
    </row>
    <row r="254">
      <c r="B254" s="6" t="s">
        <v>9</v>
      </c>
      <c r="C254" s="7">
        <f t="shared" si="301"/>
        <v>0.402</v>
      </c>
      <c r="D254" s="7">
        <f t="shared" si="302"/>
        <v>0.426</v>
      </c>
      <c r="E254" s="7">
        <f t="shared" si="303"/>
        <v>0.439</v>
      </c>
      <c r="F254" s="7">
        <f t="shared" ref="F254:G254" si="324">N244</f>
        <v>0.366</v>
      </c>
      <c r="G254" s="12">
        <f t="shared" si="324"/>
        <v>0.466</v>
      </c>
      <c r="H254" s="7">
        <f t="shared" ref="H254:I254" si="325">R244</f>
        <v>0.331</v>
      </c>
      <c r="I254" s="12">
        <f t="shared" si="325"/>
        <v>0.531</v>
      </c>
      <c r="J254" s="7">
        <f t="shared" ref="J254:K254" si="326">V244</f>
        <v>0.366</v>
      </c>
      <c r="K254" s="12">
        <f t="shared" si="326"/>
        <v>0.466</v>
      </c>
      <c r="L254" s="7">
        <f t="shared" ref="L254:M254" si="327">Z244</f>
        <v>0.331</v>
      </c>
      <c r="M254" s="7">
        <f t="shared" si="327"/>
        <v>0.531</v>
      </c>
      <c r="P254" s="6" t="s">
        <v>9</v>
      </c>
      <c r="Q254" s="7">
        <f t="shared" ref="Q254:AA254" si="328">C254-$C$249</f>
        <v>0.036</v>
      </c>
      <c r="R254" s="7">
        <f t="shared" si="328"/>
        <v>0.06</v>
      </c>
      <c r="S254" s="7">
        <f t="shared" si="328"/>
        <v>0.073</v>
      </c>
      <c r="T254" s="7">
        <f t="shared" si="328"/>
        <v>0</v>
      </c>
      <c r="U254" s="7">
        <f t="shared" si="328"/>
        <v>0.1</v>
      </c>
      <c r="V254" s="7">
        <f t="shared" si="328"/>
        <v>-0.035</v>
      </c>
      <c r="W254" s="7">
        <f t="shared" si="328"/>
        <v>0.165</v>
      </c>
      <c r="X254" s="7">
        <f t="shared" si="328"/>
        <v>0</v>
      </c>
      <c r="Y254" s="7">
        <f t="shared" si="328"/>
        <v>0.1</v>
      </c>
      <c r="Z254" s="7">
        <f t="shared" si="328"/>
        <v>-0.035</v>
      </c>
      <c r="AA254" s="7">
        <f t="shared" si="328"/>
        <v>0.165</v>
      </c>
    </row>
    <row r="255">
      <c r="B255" s="6" t="s">
        <v>10</v>
      </c>
      <c r="C255" s="7">
        <f t="shared" si="301"/>
        <v>0.4</v>
      </c>
      <c r="D255" s="7">
        <f t="shared" si="302"/>
        <v>0.423</v>
      </c>
      <c r="E255" s="7">
        <f t="shared" si="303"/>
        <v>0.436</v>
      </c>
      <c r="F255" s="7">
        <f t="shared" ref="F255:G255" si="329">N245</f>
        <v>0.369</v>
      </c>
      <c r="G255" s="12">
        <f t="shared" si="329"/>
        <v>0.469</v>
      </c>
      <c r="H255" s="7">
        <f t="shared" ref="H255:I255" si="330">R245</f>
        <v>0.342</v>
      </c>
      <c r="I255" s="12">
        <f t="shared" si="330"/>
        <v>0.542</v>
      </c>
      <c r="J255" s="7">
        <f t="shared" ref="J255:K255" si="331">V245</f>
        <v>0.371</v>
      </c>
      <c r="K255" s="12">
        <f t="shared" si="331"/>
        <v>0.471</v>
      </c>
      <c r="L255" s="7">
        <f t="shared" ref="L255:M255" si="332">Z245</f>
        <v>0.341</v>
      </c>
      <c r="M255" s="7">
        <f t="shared" si="332"/>
        <v>0.541</v>
      </c>
      <c r="P255" s="6" t="s">
        <v>10</v>
      </c>
      <c r="Q255" s="7">
        <f t="shared" ref="Q255:AA255" si="333">C255-$C$249</f>
        <v>0.034</v>
      </c>
      <c r="R255" s="7">
        <f t="shared" si="333"/>
        <v>0.057</v>
      </c>
      <c r="S255" s="7">
        <f t="shared" si="333"/>
        <v>0.07</v>
      </c>
      <c r="T255" s="7">
        <f t="shared" si="333"/>
        <v>0.003</v>
      </c>
      <c r="U255" s="7">
        <f t="shared" si="333"/>
        <v>0.103</v>
      </c>
      <c r="V255" s="7">
        <f t="shared" si="333"/>
        <v>-0.024</v>
      </c>
      <c r="W255" s="7">
        <f t="shared" si="333"/>
        <v>0.176</v>
      </c>
      <c r="X255" s="7">
        <f t="shared" si="333"/>
        <v>0.005</v>
      </c>
      <c r="Y255" s="7">
        <f t="shared" si="333"/>
        <v>0.105</v>
      </c>
      <c r="Z255" s="7">
        <f t="shared" si="333"/>
        <v>-0.025</v>
      </c>
      <c r="AA255" s="7">
        <f t="shared" si="333"/>
        <v>0.175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0.2125</v>
      </c>
      <c r="D259" s="7">
        <f t="shared" si="334"/>
        <v>0.2165</v>
      </c>
      <c r="E259" s="7">
        <f t="shared" si="334"/>
        <v>0.231</v>
      </c>
      <c r="F259" s="7">
        <f t="shared" si="334"/>
        <v>0.205</v>
      </c>
      <c r="G259" s="7">
        <f t="shared" si="334"/>
        <v>0.305</v>
      </c>
      <c r="H259" s="7">
        <f t="shared" si="334"/>
        <v>0.1995</v>
      </c>
      <c r="I259" s="7">
        <f t="shared" si="334"/>
        <v>0.3995</v>
      </c>
      <c r="J259" s="7">
        <f t="shared" si="334"/>
        <v>0.1895</v>
      </c>
      <c r="K259" s="7">
        <f t="shared" si="334"/>
        <v>0.2895</v>
      </c>
      <c r="L259" s="7">
        <f t="shared" si="334"/>
        <v>0.178</v>
      </c>
      <c r="M259" s="7">
        <f t="shared" si="334"/>
        <v>0.378</v>
      </c>
      <c r="P259" s="6" t="s">
        <v>4</v>
      </c>
      <c r="Q259" s="7">
        <f t="shared" ref="Q259:AA259" si="335">C259-$C$259</f>
        <v>0</v>
      </c>
      <c r="R259" s="7">
        <f t="shared" si="335"/>
        <v>0.004</v>
      </c>
      <c r="S259" s="7">
        <f t="shared" si="335"/>
        <v>0.0185</v>
      </c>
      <c r="T259" s="7">
        <f t="shared" si="335"/>
        <v>-0.0075</v>
      </c>
      <c r="U259" s="7">
        <f t="shared" si="335"/>
        <v>0.0925</v>
      </c>
      <c r="V259" s="7">
        <f t="shared" si="335"/>
        <v>-0.013</v>
      </c>
      <c r="W259" s="7">
        <f t="shared" si="335"/>
        <v>0.187</v>
      </c>
      <c r="X259" s="7">
        <f t="shared" si="335"/>
        <v>-0.023</v>
      </c>
      <c r="Y259" s="7">
        <f t="shared" si="335"/>
        <v>0.077</v>
      </c>
      <c r="Z259" s="7">
        <f t="shared" si="335"/>
        <v>-0.0345</v>
      </c>
      <c r="AA259" s="7">
        <f t="shared" si="335"/>
        <v>0.1655</v>
      </c>
    </row>
    <row r="260">
      <c r="B260" s="6" t="s">
        <v>5</v>
      </c>
      <c r="C260" s="7">
        <f t="shared" ref="C260:M260" si="336">AVERAGE(C120, C146)</f>
        <v>0.243</v>
      </c>
      <c r="D260" s="7">
        <f t="shared" si="336"/>
        <v>0.2475</v>
      </c>
      <c r="E260" s="7">
        <f t="shared" si="336"/>
        <v>0.2605</v>
      </c>
      <c r="F260" s="7">
        <f t="shared" si="336"/>
        <v>0.2235</v>
      </c>
      <c r="G260" s="7">
        <f t="shared" si="336"/>
        <v>0.324</v>
      </c>
      <c r="H260" s="7">
        <f t="shared" si="336"/>
        <v>0.203</v>
      </c>
      <c r="I260" s="7">
        <f t="shared" si="336"/>
        <v>0.403</v>
      </c>
      <c r="J260" s="7">
        <f t="shared" si="336"/>
        <v>0.2095</v>
      </c>
      <c r="K260" s="7">
        <f t="shared" si="336"/>
        <v>0.3095</v>
      </c>
      <c r="L260" s="7">
        <f t="shared" si="336"/>
        <v>0.1875</v>
      </c>
      <c r="M260" s="7">
        <f t="shared" si="336"/>
        <v>0.388</v>
      </c>
      <c r="P260" s="6" t="s">
        <v>5</v>
      </c>
      <c r="Q260" s="7">
        <f t="shared" ref="Q260:AA260" si="337">C260-$C$259</f>
        <v>0.0305</v>
      </c>
      <c r="R260" s="7">
        <f t="shared" si="337"/>
        <v>0.035</v>
      </c>
      <c r="S260" s="7">
        <f t="shared" si="337"/>
        <v>0.048</v>
      </c>
      <c r="T260" s="7">
        <f t="shared" si="337"/>
        <v>0.011</v>
      </c>
      <c r="U260" s="7">
        <f t="shared" si="337"/>
        <v>0.1115</v>
      </c>
      <c r="V260" s="7">
        <f t="shared" si="337"/>
        <v>-0.0095</v>
      </c>
      <c r="W260" s="7">
        <f t="shared" si="337"/>
        <v>0.1905</v>
      </c>
      <c r="X260" s="7">
        <f t="shared" si="337"/>
        <v>-0.003</v>
      </c>
      <c r="Y260" s="7">
        <f t="shared" si="337"/>
        <v>0.097</v>
      </c>
      <c r="Z260" s="7">
        <f t="shared" si="337"/>
        <v>-0.025</v>
      </c>
      <c r="AA260" s="7">
        <f t="shared" si="337"/>
        <v>0.1755</v>
      </c>
    </row>
    <row r="261">
      <c r="B261" s="6" t="s">
        <v>6</v>
      </c>
      <c r="C261" s="7">
        <f t="shared" ref="C261:M261" si="338">AVERAGE(C121, C147)</f>
        <v>0.213</v>
      </c>
      <c r="D261" s="7">
        <f t="shared" si="338"/>
        <v>0.216</v>
      </c>
      <c r="E261" s="7">
        <f t="shared" si="338"/>
        <v>0.2305</v>
      </c>
      <c r="F261" s="7">
        <f t="shared" si="338"/>
        <v>0.207</v>
      </c>
      <c r="G261" s="7">
        <f t="shared" si="338"/>
        <v>0.307</v>
      </c>
      <c r="H261" s="7">
        <f t="shared" si="338"/>
        <v>0.2025</v>
      </c>
      <c r="I261" s="7">
        <f t="shared" si="338"/>
        <v>0.4025</v>
      </c>
      <c r="J261" s="7">
        <f t="shared" si="338"/>
        <v>0.194</v>
      </c>
      <c r="K261" s="7">
        <f t="shared" si="338"/>
        <v>0.294</v>
      </c>
      <c r="L261" s="7">
        <f t="shared" si="338"/>
        <v>0.1845</v>
      </c>
      <c r="M261" s="7">
        <f t="shared" si="338"/>
        <v>0.384</v>
      </c>
      <c r="P261" s="6" t="s">
        <v>6</v>
      </c>
      <c r="Q261" s="7">
        <f t="shared" ref="Q261:AA261" si="339">C261-$C$259</f>
        <v>0.0005</v>
      </c>
      <c r="R261" s="7">
        <f t="shared" si="339"/>
        <v>0.0035</v>
      </c>
      <c r="S261" s="7">
        <f t="shared" si="339"/>
        <v>0.018</v>
      </c>
      <c r="T261" s="7">
        <f t="shared" si="339"/>
        <v>-0.0055</v>
      </c>
      <c r="U261" s="7">
        <f t="shared" si="339"/>
        <v>0.0945</v>
      </c>
      <c r="V261" s="7">
        <f t="shared" si="339"/>
        <v>-0.01</v>
      </c>
      <c r="W261" s="7">
        <f t="shared" si="339"/>
        <v>0.19</v>
      </c>
      <c r="X261" s="7">
        <f t="shared" si="339"/>
        <v>-0.0185</v>
      </c>
      <c r="Y261" s="7">
        <f t="shared" si="339"/>
        <v>0.0815</v>
      </c>
      <c r="Z261" s="7">
        <f t="shared" si="339"/>
        <v>-0.028</v>
      </c>
      <c r="AA261" s="7">
        <f t="shared" si="339"/>
        <v>0.1715</v>
      </c>
    </row>
    <row r="262">
      <c r="B262" s="6" t="s">
        <v>7</v>
      </c>
      <c r="C262" s="7">
        <f t="shared" ref="C262:M262" si="340">AVERAGE(C122, C148)</f>
        <v>0.213</v>
      </c>
      <c r="D262" s="7">
        <f t="shared" si="340"/>
        <v>0.216</v>
      </c>
      <c r="E262" s="7">
        <f t="shared" si="340"/>
        <v>0.2315</v>
      </c>
      <c r="F262" s="7">
        <f t="shared" si="340"/>
        <v>0.2045</v>
      </c>
      <c r="G262" s="7">
        <f t="shared" si="340"/>
        <v>0.305</v>
      </c>
      <c r="H262" s="7">
        <f t="shared" si="340"/>
        <v>0.199</v>
      </c>
      <c r="I262" s="7">
        <f t="shared" si="340"/>
        <v>0.399</v>
      </c>
      <c r="J262" s="7">
        <f t="shared" si="340"/>
        <v>0.189</v>
      </c>
      <c r="K262" s="7">
        <f t="shared" si="340"/>
        <v>0.289</v>
      </c>
      <c r="L262" s="7">
        <f t="shared" si="340"/>
        <v>0.177</v>
      </c>
      <c r="M262" s="7">
        <f t="shared" si="340"/>
        <v>0.3775</v>
      </c>
      <c r="P262" s="6" t="s">
        <v>7</v>
      </c>
      <c r="Q262" s="7">
        <f t="shared" ref="Q262:AA262" si="341">C262-$C$259</f>
        <v>0.0005</v>
      </c>
      <c r="R262" s="7">
        <f t="shared" si="341"/>
        <v>0.0035</v>
      </c>
      <c r="S262" s="7">
        <f t="shared" si="341"/>
        <v>0.019</v>
      </c>
      <c r="T262" s="7">
        <f t="shared" si="341"/>
        <v>-0.008</v>
      </c>
      <c r="U262" s="7">
        <f t="shared" si="341"/>
        <v>0.0925</v>
      </c>
      <c r="V262" s="7">
        <f t="shared" si="341"/>
        <v>-0.0135</v>
      </c>
      <c r="W262" s="7">
        <f t="shared" si="341"/>
        <v>0.1865</v>
      </c>
      <c r="X262" s="7">
        <f t="shared" si="341"/>
        <v>-0.0235</v>
      </c>
      <c r="Y262" s="7">
        <f t="shared" si="341"/>
        <v>0.0765</v>
      </c>
      <c r="Z262" s="7">
        <f t="shared" si="341"/>
        <v>-0.0355</v>
      </c>
      <c r="AA262" s="7">
        <f t="shared" si="341"/>
        <v>0.165</v>
      </c>
    </row>
    <row r="263">
      <c r="B263" s="6" t="s">
        <v>8</v>
      </c>
      <c r="C263" s="7">
        <f t="shared" ref="C263:M263" si="342">AVERAGE(C123, C149)</f>
        <v>0.216</v>
      </c>
      <c r="D263" s="7">
        <f t="shared" si="342"/>
        <v>0.2185</v>
      </c>
      <c r="E263" s="7">
        <f t="shared" si="342"/>
        <v>0.2355</v>
      </c>
      <c r="F263" s="7">
        <f t="shared" si="342"/>
        <v>0.2065</v>
      </c>
      <c r="G263" s="7">
        <f t="shared" si="342"/>
        <v>0.3065</v>
      </c>
      <c r="H263" s="7">
        <f t="shared" si="342"/>
        <v>0.201</v>
      </c>
      <c r="I263" s="7">
        <f t="shared" si="342"/>
        <v>0.401</v>
      </c>
      <c r="J263" s="7">
        <f t="shared" si="342"/>
        <v>0.191</v>
      </c>
      <c r="K263" s="7">
        <f t="shared" si="342"/>
        <v>0.291</v>
      </c>
      <c r="L263" s="7">
        <f t="shared" si="342"/>
        <v>0.1765</v>
      </c>
      <c r="M263" s="7">
        <f t="shared" si="342"/>
        <v>0.377</v>
      </c>
      <c r="P263" s="6" t="s">
        <v>8</v>
      </c>
      <c r="Q263" s="7">
        <f t="shared" ref="Q263:AA263" si="343">C263-$C$259</f>
        <v>0.0035</v>
      </c>
      <c r="R263" s="7">
        <f t="shared" si="343"/>
        <v>0.006</v>
      </c>
      <c r="S263" s="7">
        <f t="shared" si="343"/>
        <v>0.023</v>
      </c>
      <c r="T263" s="7">
        <f t="shared" si="343"/>
        <v>-0.006</v>
      </c>
      <c r="U263" s="7">
        <f t="shared" si="343"/>
        <v>0.094</v>
      </c>
      <c r="V263" s="7">
        <f t="shared" si="343"/>
        <v>-0.0115</v>
      </c>
      <c r="W263" s="7">
        <f t="shared" si="343"/>
        <v>0.1885</v>
      </c>
      <c r="X263" s="7">
        <f t="shared" si="343"/>
        <v>-0.0215</v>
      </c>
      <c r="Y263" s="7">
        <f t="shared" si="343"/>
        <v>0.0785</v>
      </c>
      <c r="Z263" s="7">
        <f t="shared" si="343"/>
        <v>-0.036</v>
      </c>
      <c r="AA263" s="7">
        <f t="shared" si="343"/>
        <v>0.1645</v>
      </c>
    </row>
    <row r="264">
      <c r="B264" s="6" t="s">
        <v>9</v>
      </c>
      <c r="C264" s="7">
        <f t="shared" ref="C264:M264" si="344">AVERAGE(C124, C150)</f>
        <v>0.214</v>
      </c>
      <c r="D264" s="7">
        <f t="shared" si="344"/>
        <v>0.216</v>
      </c>
      <c r="E264" s="7">
        <f t="shared" si="344"/>
        <v>0.232</v>
      </c>
      <c r="F264" s="7">
        <f t="shared" si="344"/>
        <v>0.2055</v>
      </c>
      <c r="G264" s="7">
        <f t="shared" si="344"/>
        <v>0.3055</v>
      </c>
      <c r="H264" s="7">
        <f t="shared" si="344"/>
        <v>0.199</v>
      </c>
      <c r="I264" s="7">
        <f t="shared" si="344"/>
        <v>0.399</v>
      </c>
      <c r="J264" s="7">
        <f t="shared" si="344"/>
        <v>0.1895</v>
      </c>
      <c r="K264" s="7">
        <f t="shared" si="344"/>
        <v>0.2895</v>
      </c>
      <c r="L264" s="7">
        <f t="shared" si="344"/>
        <v>0.1775</v>
      </c>
      <c r="M264" s="7">
        <f t="shared" si="344"/>
        <v>0.377</v>
      </c>
      <c r="P264" s="6" t="s">
        <v>9</v>
      </c>
      <c r="Q264" s="7">
        <f t="shared" ref="Q264:AA264" si="345">C264-$C$259</f>
        <v>0.0015</v>
      </c>
      <c r="R264" s="7">
        <f t="shared" si="345"/>
        <v>0.0035</v>
      </c>
      <c r="S264" s="7">
        <f t="shared" si="345"/>
        <v>0.0195</v>
      </c>
      <c r="T264" s="7">
        <f t="shared" si="345"/>
        <v>-0.007</v>
      </c>
      <c r="U264" s="7">
        <f t="shared" si="345"/>
        <v>0.093</v>
      </c>
      <c r="V264" s="7">
        <f t="shared" si="345"/>
        <v>-0.0135</v>
      </c>
      <c r="W264" s="7">
        <f t="shared" si="345"/>
        <v>0.1865</v>
      </c>
      <c r="X264" s="7">
        <f t="shared" si="345"/>
        <v>-0.023</v>
      </c>
      <c r="Y264" s="7">
        <f t="shared" si="345"/>
        <v>0.077</v>
      </c>
      <c r="Z264" s="7">
        <f t="shared" si="345"/>
        <v>-0.035</v>
      </c>
      <c r="AA264" s="7">
        <f t="shared" si="345"/>
        <v>0.1645</v>
      </c>
    </row>
    <row r="265">
      <c r="B265" s="6" t="s">
        <v>10</v>
      </c>
      <c r="C265" s="7">
        <f t="shared" ref="C265:M265" si="346">AVERAGE(C125, C151)</f>
        <v>0.2205</v>
      </c>
      <c r="D265" s="7">
        <f t="shared" si="346"/>
        <v>0.2235</v>
      </c>
      <c r="E265" s="7">
        <f t="shared" si="346"/>
        <v>0.2415</v>
      </c>
      <c r="F265" s="7">
        <f t="shared" si="346"/>
        <v>0.2115</v>
      </c>
      <c r="G265" s="7">
        <f t="shared" si="346"/>
        <v>0.3115</v>
      </c>
      <c r="H265" s="7">
        <f t="shared" si="346"/>
        <v>0.2045</v>
      </c>
      <c r="I265" s="7">
        <f t="shared" si="346"/>
        <v>0.4045</v>
      </c>
      <c r="J265" s="7">
        <f t="shared" si="346"/>
        <v>0.1925</v>
      </c>
      <c r="K265" s="7">
        <f t="shared" si="346"/>
        <v>0.2925</v>
      </c>
      <c r="L265" s="7">
        <f t="shared" si="346"/>
        <v>0.1775</v>
      </c>
      <c r="M265" s="7">
        <f t="shared" si="346"/>
        <v>0.3775</v>
      </c>
      <c r="P265" s="6" t="s">
        <v>10</v>
      </c>
      <c r="Q265" s="7">
        <f t="shared" ref="Q265:AA265" si="347">C265-$C$259</f>
        <v>0.008</v>
      </c>
      <c r="R265" s="7">
        <f t="shared" si="347"/>
        <v>0.011</v>
      </c>
      <c r="S265" s="7">
        <f t="shared" si="347"/>
        <v>0.029</v>
      </c>
      <c r="T265" s="7">
        <f t="shared" si="347"/>
        <v>-0.001</v>
      </c>
      <c r="U265" s="7">
        <f t="shared" si="347"/>
        <v>0.099</v>
      </c>
      <c r="V265" s="7">
        <f t="shared" si="347"/>
        <v>-0.008</v>
      </c>
      <c r="W265" s="7">
        <f t="shared" si="347"/>
        <v>0.192</v>
      </c>
      <c r="X265" s="7">
        <f t="shared" si="347"/>
        <v>-0.02</v>
      </c>
      <c r="Y265" s="7">
        <f t="shared" si="347"/>
        <v>0.08</v>
      </c>
      <c r="Z265" s="7">
        <f t="shared" si="347"/>
        <v>-0.035</v>
      </c>
      <c r="AA265" s="7">
        <f t="shared" si="347"/>
        <v>0.165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0.513</v>
      </c>
      <c r="D269" s="7">
        <f t="shared" si="348"/>
        <v>0.511</v>
      </c>
      <c r="E269" s="7">
        <f t="shared" si="348"/>
        <v>0.5185</v>
      </c>
      <c r="F269" s="7">
        <f t="shared" si="348"/>
        <v>0.4665</v>
      </c>
      <c r="G269" s="7">
        <f t="shared" si="348"/>
        <v>0.5665</v>
      </c>
      <c r="H269" s="7">
        <f t="shared" si="348"/>
        <v>0.4235</v>
      </c>
      <c r="I269" s="7">
        <f t="shared" si="348"/>
        <v>0.6235</v>
      </c>
      <c r="J269" s="7">
        <f t="shared" si="348"/>
        <v>0.468</v>
      </c>
      <c r="K269" s="7">
        <f t="shared" si="348"/>
        <v>0.568</v>
      </c>
      <c r="L269" s="7">
        <f t="shared" si="348"/>
        <v>0.4225</v>
      </c>
      <c r="M269" s="7">
        <f t="shared" si="348"/>
        <v>0.6225</v>
      </c>
      <c r="P269" s="6" t="s">
        <v>4</v>
      </c>
      <c r="Q269" s="7">
        <f t="shared" ref="Q269:AA269" si="349">C269-$C$269</f>
        <v>0</v>
      </c>
      <c r="R269" s="7">
        <f t="shared" si="349"/>
        <v>-0.002</v>
      </c>
      <c r="S269" s="7">
        <f t="shared" si="349"/>
        <v>0.0055</v>
      </c>
      <c r="T269" s="7">
        <f t="shared" si="349"/>
        <v>-0.0465</v>
      </c>
      <c r="U269" s="7">
        <f t="shared" si="349"/>
        <v>0.0535</v>
      </c>
      <c r="V269" s="7">
        <f t="shared" si="349"/>
        <v>-0.0895</v>
      </c>
      <c r="W269" s="7">
        <f t="shared" si="349"/>
        <v>0.1105</v>
      </c>
      <c r="X269" s="7">
        <f t="shared" si="349"/>
        <v>-0.045</v>
      </c>
      <c r="Y269" s="7">
        <f t="shared" si="349"/>
        <v>0.055</v>
      </c>
      <c r="Z269" s="7">
        <f t="shared" si="349"/>
        <v>-0.0905</v>
      </c>
      <c r="AA269" s="7">
        <f t="shared" si="349"/>
        <v>0.1095</v>
      </c>
    </row>
    <row r="270">
      <c r="B270" s="6" t="s">
        <v>5</v>
      </c>
      <c r="C270" s="7">
        <f t="shared" ref="C270:M270" si="350">AVERAGE(C172, C198)</f>
        <v>0.5125</v>
      </c>
      <c r="D270" s="7">
        <f t="shared" si="350"/>
        <v>0.5105</v>
      </c>
      <c r="E270" s="7">
        <f t="shared" si="350"/>
        <v>0.5175</v>
      </c>
      <c r="F270" s="7">
        <f t="shared" si="350"/>
        <v>0.4665</v>
      </c>
      <c r="G270" s="7">
        <f t="shared" si="350"/>
        <v>0.5665</v>
      </c>
      <c r="H270" s="7">
        <f t="shared" si="350"/>
        <v>0.4235</v>
      </c>
      <c r="I270" s="7">
        <f t="shared" si="350"/>
        <v>0.6235</v>
      </c>
      <c r="J270" s="7">
        <f t="shared" si="350"/>
        <v>0.468</v>
      </c>
      <c r="K270" s="7">
        <f t="shared" si="350"/>
        <v>0.568</v>
      </c>
      <c r="L270" s="7">
        <f t="shared" si="350"/>
        <v>0.423</v>
      </c>
      <c r="M270" s="7">
        <f t="shared" si="350"/>
        <v>0.623</v>
      </c>
      <c r="P270" s="6" t="s">
        <v>5</v>
      </c>
      <c r="Q270" s="7">
        <f t="shared" ref="Q270:AA270" si="351">C270-$C$269</f>
        <v>-0.0005</v>
      </c>
      <c r="R270" s="7">
        <f t="shared" si="351"/>
        <v>-0.0025</v>
      </c>
      <c r="S270" s="7">
        <f t="shared" si="351"/>
        <v>0.0045</v>
      </c>
      <c r="T270" s="7">
        <f t="shared" si="351"/>
        <v>-0.0465</v>
      </c>
      <c r="U270" s="7">
        <f t="shared" si="351"/>
        <v>0.0535</v>
      </c>
      <c r="V270" s="7">
        <f t="shared" si="351"/>
        <v>-0.0895</v>
      </c>
      <c r="W270" s="7">
        <f t="shared" si="351"/>
        <v>0.1105</v>
      </c>
      <c r="X270" s="7">
        <f t="shared" si="351"/>
        <v>-0.045</v>
      </c>
      <c r="Y270" s="7">
        <f t="shared" si="351"/>
        <v>0.055</v>
      </c>
      <c r="Z270" s="7">
        <f t="shared" si="351"/>
        <v>-0.09</v>
      </c>
      <c r="AA270" s="7">
        <f t="shared" si="351"/>
        <v>0.11</v>
      </c>
    </row>
    <row r="271">
      <c r="B271" s="6" t="s">
        <v>6</v>
      </c>
      <c r="C271" s="7">
        <f t="shared" ref="C271:M271" si="352">AVERAGE(C173, C199)</f>
        <v>0.5125</v>
      </c>
      <c r="D271" s="7">
        <f t="shared" si="352"/>
        <v>0.5105</v>
      </c>
      <c r="E271" s="7">
        <f t="shared" si="352"/>
        <v>0.5175</v>
      </c>
      <c r="F271" s="7">
        <f t="shared" si="352"/>
        <v>0.467</v>
      </c>
      <c r="G271" s="7">
        <f t="shared" si="352"/>
        <v>0.567</v>
      </c>
      <c r="H271" s="7">
        <f t="shared" si="352"/>
        <v>0.4235</v>
      </c>
      <c r="I271" s="7">
        <f t="shared" si="352"/>
        <v>0.6235</v>
      </c>
      <c r="J271" s="7">
        <f t="shared" si="352"/>
        <v>0.4685</v>
      </c>
      <c r="K271" s="7">
        <f t="shared" si="352"/>
        <v>0.5685</v>
      </c>
      <c r="L271" s="7">
        <f t="shared" si="352"/>
        <v>0.4235</v>
      </c>
      <c r="M271" s="7">
        <f t="shared" si="352"/>
        <v>0.6235</v>
      </c>
      <c r="P271" s="6" t="s">
        <v>6</v>
      </c>
      <c r="Q271" s="7">
        <f t="shared" ref="Q271:AA271" si="353">C271-$C$269</f>
        <v>-0.0005</v>
      </c>
      <c r="R271" s="7">
        <f t="shared" si="353"/>
        <v>-0.0025</v>
      </c>
      <c r="S271" s="7">
        <f t="shared" si="353"/>
        <v>0.0045</v>
      </c>
      <c r="T271" s="7">
        <f t="shared" si="353"/>
        <v>-0.046</v>
      </c>
      <c r="U271" s="7">
        <f t="shared" si="353"/>
        <v>0.054</v>
      </c>
      <c r="V271" s="7">
        <f t="shared" si="353"/>
        <v>-0.0895</v>
      </c>
      <c r="W271" s="7">
        <f t="shared" si="353"/>
        <v>0.1105</v>
      </c>
      <c r="X271" s="7">
        <f t="shared" si="353"/>
        <v>-0.0445</v>
      </c>
      <c r="Y271" s="7">
        <f t="shared" si="353"/>
        <v>0.0555</v>
      </c>
      <c r="Z271" s="7">
        <f t="shared" si="353"/>
        <v>-0.0895</v>
      </c>
      <c r="AA271" s="7">
        <f t="shared" si="353"/>
        <v>0.1105</v>
      </c>
    </row>
    <row r="272">
      <c r="B272" s="6" t="s">
        <v>7</v>
      </c>
      <c r="C272" s="7">
        <f t="shared" ref="C272:M272" si="354">AVERAGE(C174, C200)</f>
        <v>0.5125</v>
      </c>
      <c r="D272" s="7">
        <f t="shared" si="354"/>
        <v>0.511</v>
      </c>
      <c r="E272" s="7">
        <f t="shared" si="354"/>
        <v>0.518</v>
      </c>
      <c r="F272" s="7">
        <f t="shared" si="354"/>
        <v>0.4665</v>
      </c>
      <c r="G272" s="7">
        <f t="shared" si="354"/>
        <v>0.5665</v>
      </c>
      <c r="H272" s="7">
        <f t="shared" si="354"/>
        <v>0.424</v>
      </c>
      <c r="I272" s="7">
        <f t="shared" si="354"/>
        <v>0.624</v>
      </c>
      <c r="J272" s="7">
        <f t="shared" si="354"/>
        <v>0.468</v>
      </c>
      <c r="K272" s="7">
        <f t="shared" si="354"/>
        <v>0.568</v>
      </c>
      <c r="L272" s="7">
        <f t="shared" si="354"/>
        <v>0.423</v>
      </c>
      <c r="M272" s="7">
        <f t="shared" si="354"/>
        <v>0.623</v>
      </c>
      <c r="P272" s="6" t="s">
        <v>7</v>
      </c>
      <c r="Q272" s="7">
        <f t="shared" ref="Q272:AA272" si="355">C272-$C$269</f>
        <v>-0.0005</v>
      </c>
      <c r="R272" s="7">
        <f t="shared" si="355"/>
        <v>-0.002</v>
      </c>
      <c r="S272" s="7">
        <f t="shared" si="355"/>
        <v>0.005</v>
      </c>
      <c r="T272" s="7">
        <f t="shared" si="355"/>
        <v>-0.0465</v>
      </c>
      <c r="U272" s="7">
        <f t="shared" si="355"/>
        <v>0.0535</v>
      </c>
      <c r="V272" s="7">
        <f t="shared" si="355"/>
        <v>-0.089</v>
      </c>
      <c r="W272" s="7">
        <f t="shared" si="355"/>
        <v>0.111</v>
      </c>
      <c r="X272" s="7">
        <f t="shared" si="355"/>
        <v>-0.045</v>
      </c>
      <c r="Y272" s="7">
        <f t="shared" si="355"/>
        <v>0.055</v>
      </c>
      <c r="Z272" s="7">
        <f t="shared" si="355"/>
        <v>-0.09</v>
      </c>
      <c r="AA272" s="7">
        <f t="shared" si="355"/>
        <v>0.11</v>
      </c>
    </row>
    <row r="273">
      <c r="B273" s="6" t="s">
        <v>8</v>
      </c>
      <c r="C273" s="7">
        <f t="shared" ref="C273:M273" si="356">AVERAGE(C175, C201)</f>
        <v>0.5135</v>
      </c>
      <c r="D273" s="7">
        <f t="shared" si="356"/>
        <v>0.5115</v>
      </c>
      <c r="E273" s="7">
        <f t="shared" si="356"/>
        <v>0.5185</v>
      </c>
      <c r="F273" s="7">
        <f t="shared" si="356"/>
        <v>0.466</v>
      </c>
      <c r="G273" s="7">
        <f t="shared" si="356"/>
        <v>0.566</v>
      </c>
      <c r="H273" s="7">
        <f t="shared" si="356"/>
        <v>0.422</v>
      </c>
      <c r="I273" s="7">
        <f t="shared" si="356"/>
        <v>0.622</v>
      </c>
      <c r="J273" s="7">
        <f t="shared" si="356"/>
        <v>0.4675</v>
      </c>
      <c r="K273" s="7">
        <f t="shared" si="356"/>
        <v>0.5675</v>
      </c>
      <c r="L273" s="7">
        <f t="shared" si="356"/>
        <v>0.4215</v>
      </c>
      <c r="M273" s="7">
        <f t="shared" si="356"/>
        <v>0.6215</v>
      </c>
      <c r="P273" s="6" t="s">
        <v>8</v>
      </c>
      <c r="Q273" s="7">
        <f t="shared" ref="Q273:AA273" si="357">C273-$C$269</f>
        <v>0.0005</v>
      </c>
      <c r="R273" s="7">
        <f t="shared" si="357"/>
        <v>-0.0015</v>
      </c>
      <c r="S273" s="7">
        <f t="shared" si="357"/>
        <v>0.0055</v>
      </c>
      <c r="T273" s="7">
        <f t="shared" si="357"/>
        <v>-0.047</v>
      </c>
      <c r="U273" s="7">
        <f t="shared" si="357"/>
        <v>0.053</v>
      </c>
      <c r="V273" s="7">
        <f t="shared" si="357"/>
        <v>-0.091</v>
      </c>
      <c r="W273" s="7">
        <f t="shared" si="357"/>
        <v>0.109</v>
      </c>
      <c r="X273" s="7">
        <f t="shared" si="357"/>
        <v>-0.0455</v>
      </c>
      <c r="Y273" s="7">
        <f t="shared" si="357"/>
        <v>0.0545</v>
      </c>
      <c r="Z273" s="7">
        <f t="shared" si="357"/>
        <v>-0.0915</v>
      </c>
      <c r="AA273" s="7">
        <f t="shared" si="357"/>
        <v>0.1085</v>
      </c>
    </row>
    <row r="274">
      <c r="B274" s="6" t="s">
        <v>9</v>
      </c>
      <c r="C274" s="7">
        <f t="shared" ref="C274:M274" si="358">AVERAGE(C176, C202)</f>
        <v>0.513</v>
      </c>
      <c r="D274" s="7">
        <f t="shared" si="358"/>
        <v>0.511</v>
      </c>
      <c r="E274" s="7">
        <f t="shared" si="358"/>
        <v>0.5185</v>
      </c>
      <c r="F274" s="7">
        <f t="shared" si="358"/>
        <v>0.4665</v>
      </c>
      <c r="G274" s="7">
        <f t="shared" si="358"/>
        <v>0.5665</v>
      </c>
      <c r="H274" s="7">
        <f t="shared" si="358"/>
        <v>0.4225</v>
      </c>
      <c r="I274" s="7">
        <f t="shared" si="358"/>
        <v>0.6225</v>
      </c>
      <c r="J274" s="7">
        <f t="shared" si="358"/>
        <v>0.468</v>
      </c>
      <c r="K274" s="7">
        <f t="shared" si="358"/>
        <v>0.568</v>
      </c>
      <c r="L274" s="7">
        <f t="shared" si="358"/>
        <v>0.422</v>
      </c>
      <c r="M274" s="7">
        <f t="shared" si="358"/>
        <v>0.622</v>
      </c>
      <c r="P274" s="6" t="s">
        <v>9</v>
      </c>
      <c r="Q274" s="7">
        <f t="shared" ref="Q274:AA274" si="359">C274-$C$269</f>
        <v>0</v>
      </c>
      <c r="R274" s="7">
        <f t="shared" si="359"/>
        <v>-0.002</v>
      </c>
      <c r="S274" s="7">
        <f t="shared" si="359"/>
        <v>0.0055</v>
      </c>
      <c r="T274" s="7">
        <f t="shared" si="359"/>
        <v>-0.0465</v>
      </c>
      <c r="U274" s="7">
        <f t="shared" si="359"/>
        <v>0.0535</v>
      </c>
      <c r="V274" s="7">
        <f t="shared" si="359"/>
        <v>-0.0905</v>
      </c>
      <c r="W274" s="7">
        <f t="shared" si="359"/>
        <v>0.1095</v>
      </c>
      <c r="X274" s="7">
        <f t="shared" si="359"/>
        <v>-0.045</v>
      </c>
      <c r="Y274" s="7">
        <f t="shared" si="359"/>
        <v>0.055</v>
      </c>
      <c r="Z274" s="7">
        <f t="shared" si="359"/>
        <v>-0.091</v>
      </c>
      <c r="AA274" s="7">
        <f t="shared" si="359"/>
        <v>0.109</v>
      </c>
    </row>
    <row r="275">
      <c r="B275" s="6" t="s">
        <v>10</v>
      </c>
      <c r="C275" s="7">
        <f t="shared" ref="C275:M275" si="360">AVERAGE(C177, C203)</f>
        <v>0.515</v>
      </c>
      <c r="D275" s="7">
        <f t="shared" si="360"/>
        <v>0.513</v>
      </c>
      <c r="E275" s="7">
        <f t="shared" si="360"/>
        <v>0.5205</v>
      </c>
      <c r="F275" s="7">
        <f t="shared" si="360"/>
        <v>0.4685</v>
      </c>
      <c r="G275" s="7">
        <f t="shared" si="360"/>
        <v>0.5685</v>
      </c>
      <c r="H275" s="7">
        <f t="shared" si="360"/>
        <v>0.425</v>
      </c>
      <c r="I275" s="7">
        <f t="shared" si="360"/>
        <v>0.625</v>
      </c>
      <c r="J275" s="7">
        <f t="shared" si="360"/>
        <v>0.47</v>
      </c>
      <c r="K275" s="7">
        <f t="shared" si="360"/>
        <v>0.57</v>
      </c>
      <c r="L275" s="7">
        <f t="shared" si="360"/>
        <v>0.4245</v>
      </c>
      <c r="M275" s="7">
        <f t="shared" si="360"/>
        <v>0.6245</v>
      </c>
      <c r="P275" s="6" t="s">
        <v>10</v>
      </c>
      <c r="Q275" s="7">
        <f t="shared" ref="Q275:AA275" si="361">C275-$C$269</f>
        <v>0.002</v>
      </c>
      <c r="R275" s="7">
        <f t="shared" si="361"/>
        <v>0</v>
      </c>
      <c r="S275" s="7">
        <f t="shared" si="361"/>
        <v>0.0075</v>
      </c>
      <c r="T275" s="7">
        <f t="shared" si="361"/>
        <v>-0.0445</v>
      </c>
      <c r="U275" s="7">
        <f t="shared" si="361"/>
        <v>0.0555</v>
      </c>
      <c r="V275" s="7">
        <f t="shared" si="361"/>
        <v>-0.088</v>
      </c>
      <c r="W275" s="7">
        <f t="shared" si="361"/>
        <v>0.112</v>
      </c>
      <c r="X275" s="7">
        <f t="shared" si="361"/>
        <v>-0.043</v>
      </c>
      <c r="Y275" s="7">
        <f t="shared" si="361"/>
        <v>0.057</v>
      </c>
      <c r="Z275" s="7">
        <f t="shared" si="361"/>
        <v>-0.0885</v>
      </c>
      <c r="AA275" s="7">
        <f t="shared" si="361"/>
        <v>0.1115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0.357</v>
      </c>
      <c r="D279" s="7">
        <f t="shared" si="362"/>
        <v>0.377</v>
      </c>
      <c r="E279" s="7">
        <f t="shared" si="362"/>
        <v>0.39</v>
      </c>
      <c r="F279" s="7">
        <f t="shared" si="362"/>
        <v>0.331</v>
      </c>
      <c r="G279" s="7">
        <f t="shared" si="362"/>
        <v>0.431</v>
      </c>
      <c r="H279" s="7">
        <f t="shared" si="362"/>
        <v>0.298</v>
      </c>
      <c r="I279" s="7">
        <f t="shared" si="362"/>
        <v>0.498</v>
      </c>
      <c r="J279" s="7">
        <f t="shared" si="362"/>
        <v>0.3255</v>
      </c>
      <c r="K279" s="7">
        <f t="shared" si="362"/>
        <v>0.4255</v>
      </c>
      <c r="L279" s="7">
        <f t="shared" si="362"/>
        <v>0.3005</v>
      </c>
      <c r="M279" s="7">
        <f t="shared" si="362"/>
        <v>0.5005</v>
      </c>
      <c r="P279" s="6" t="s">
        <v>4</v>
      </c>
      <c r="Q279" s="7">
        <f t="shared" ref="Q279:AA279" si="363">C279-$C$279</f>
        <v>0</v>
      </c>
      <c r="R279" s="7">
        <f t="shared" si="363"/>
        <v>0.02</v>
      </c>
      <c r="S279" s="7">
        <f t="shared" si="363"/>
        <v>0.033</v>
      </c>
      <c r="T279" s="7">
        <f t="shared" si="363"/>
        <v>-0.026</v>
      </c>
      <c r="U279" s="7">
        <f t="shared" si="363"/>
        <v>0.074</v>
      </c>
      <c r="V279" s="7">
        <f t="shared" si="363"/>
        <v>-0.059</v>
      </c>
      <c r="W279" s="7">
        <f t="shared" si="363"/>
        <v>0.141</v>
      </c>
      <c r="X279" s="7">
        <f t="shared" si="363"/>
        <v>-0.0315</v>
      </c>
      <c r="Y279" s="7">
        <f t="shared" si="363"/>
        <v>0.0685</v>
      </c>
      <c r="Z279" s="7">
        <f t="shared" si="363"/>
        <v>-0.0565</v>
      </c>
      <c r="AA279" s="7">
        <f t="shared" si="363"/>
        <v>0.1435</v>
      </c>
    </row>
    <row r="280">
      <c r="B280" s="6" t="s">
        <v>5</v>
      </c>
      <c r="C280" s="7">
        <f t="shared" ref="C280:M280" si="364">AVERAGE(C224, C250)</f>
        <v>0.301</v>
      </c>
      <c r="D280" s="7">
        <f t="shared" si="364"/>
        <v>0.3195</v>
      </c>
      <c r="E280" s="7">
        <f t="shared" si="364"/>
        <v>0.329</v>
      </c>
      <c r="F280" s="7">
        <f t="shared" si="364"/>
        <v>0.281</v>
      </c>
      <c r="G280" s="7">
        <f t="shared" si="364"/>
        <v>0.381</v>
      </c>
      <c r="H280" s="7">
        <f t="shared" si="364"/>
        <v>0.256</v>
      </c>
      <c r="I280" s="7">
        <f t="shared" si="364"/>
        <v>0.456</v>
      </c>
      <c r="J280" s="7">
        <f t="shared" si="364"/>
        <v>0.2745</v>
      </c>
      <c r="K280" s="7">
        <f t="shared" si="364"/>
        <v>0.3745</v>
      </c>
      <c r="L280" s="7">
        <f t="shared" si="364"/>
        <v>0.2545</v>
      </c>
      <c r="M280" s="7">
        <f t="shared" si="364"/>
        <v>0.4545</v>
      </c>
      <c r="P280" s="6" t="s">
        <v>5</v>
      </c>
      <c r="Q280" s="7">
        <f t="shared" ref="Q280:AA280" si="365">C280-$C$279</f>
        <v>-0.056</v>
      </c>
      <c r="R280" s="7">
        <f t="shared" si="365"/>
        <v>-0.0375</v>
      </c>
      <c r="S280" s="7">
        <f t="shared" si="365"/>
        <v>-0.028</v>
      </c>
      <c r="T280" s="7">
        <f t="shared" si="365"/>
        <v>-0.076</v>
      </c>
      <c r="U280" s="7">
        <f t="shared" si="365"/>
        <v>0.024</v>
      </c>
      <c r="V280" s="7">
        <f t="shared" si="365"/>
        <v>-0.101</v>
      </c>
      <c r="W280" s="7">
        <f t="shared" si="365"/>
        <v>0.099</v>
      </c>
      <c r="X280" s="7">
        <f t="shared" si="365"/>
        <v>-0.0825</v>
      </c>
      <c r="Y280" s="7">
        <f t="shared" si="365"/>
        <v>0.0175</v>
      </c>
      <c r="Z280" s="7">
        <f t="shared" si="365"/>
        <v>-0.1025</v>
      </c>
      <c r="AA280" s="7">
        <f t="shared" si="365"/>
        <v>0.0975</v>
      </c>
    </row>
    <row r="281">
      <c r="B281" s="6" t="s">
        <v>6</v>
      </c>
      <c r="C281" s="7">
        <f t="shared" ref="C281:M281" si="366">AVERAGE(C225, C251)</f>
        <v>0.2805</v>
      </c>
      <c r="D281" s="7">
        <f t="shared" si="366"/>
        <v>0.2915</v>
      </c>
      <c r="E281" s="7">
        <f t="shared" si="366"/>
        <v>0.3115</v>
      </c>
      <c r="F281" s="7">
        <f t="shared" si="366"/>
        <v>0.2585</v>
      </c>
      <c r="G281" s="7">
        <f t="shared" si="366"/>
        <v>0.3585</v>
      </c>
      <c r="H281" s="7">
        <f t="shared" si="366"/>
        <v>0.23</v>
      </c>
      <c r="I281" s="7">
        <f t="shared" si="366"/>
        <v>0.43</v>
      </c>
      <c r="J281" s="7">
        <f t="shared" si="366"/>
        <v>0.253</v>
      </c>
      <c r="K281" s="7">
        <f t="shared" si="366"/>
        <v>0.353</v>
      </c>
      <c r="L281" s="7">
        <f t="shared" si="366"/>
        <v>0.2295</v>
      </c>
      <c r="M281" s="7">
        <f t="shared" si="366"/>
        <v>0.4295</v>
      </c>
      <c r="P281" s="6" t="s">
        <v>6</v>
      </c>
      <c r="Q281" s="7">
        <f t="shared" ref="Q281:AA281" si="367">C281-$C$279</f>
        <v>-0.0765</v>
      </c>
      <c r="R281" s="7">
        <f t="shared" si="367"/>
        <v>-0.0655</v>
      </c>
      <c r="S281" s="7">
        <f t="shared" si="367"/>
        <v>-0.0455</v>
      </c>
      <c r="T281" s="7">
        <f t="shared" si="367"/>
        <v>-0.0985</v>
      </c>
      <c r="U281" s="7">
        <f t="shared" si="367"/>
        <v>0.0015</v>
      </c>
      <c r="V281" s="7">
        <f t="shared" si="367"/>
        <v>-0.127</v>
      </c>
      <c r="W281" s="7">
        <f t="shared" si="367"/>
        <v>0.073</v>
      </c>
      <c r="X281" s="7">
        <f t="shared" si="367"/>
        <v>-0.104</v>
      </c>
      <c r="Y281" s="7">
        <f t="shared" si="367"/>
        <v>-0.004</v>
      </c>
      <c r="Z281" s="7">
        <f t="shared" si="367"/>
        <v>-0.1275</v>
      </c>
      <c r="AA281" s="7">
        <f t="shared" si="367"/>
        <v>0.0725</v>
      </c>
    </row>
    <row r="282">
      <c r="B282" s="6" t="s">
        <v>7</v>
      </c>
      <c r="C282" s="7">
        <f t="shared" ref="C282:M282" si="368">AVERAGE(C226, C252)</f>
        <v>0.3905</v>
      </c>
      <c r="D282" s="7">
        <f t="shared" si="368"/>
        <v>0.4125</v>
      </c>
      <c r="E282" s="7">
        <f t="shared" si="368"/>
        <v>0.425</v>
      </c>
      <c r="F282" s="7">
        <f t="shared" si="368"/>
        <v>0.3565</v>
      </c>
      <c r="G282" s="7">
        <f t="shared" si="368"/>
        <v>0.4565</v>
      </c>
      <c r="H282" s="7">
        <f t="shared" si="368"/>
        <v>0.3225</v>
      </c>
      <c r="I282" s="7">
        <f t="shared" si="368"/>
        <v>0.5225</v>
      </c>
      <c r="J282" s="7">
        <f t="shared" si="368"/>
        <v>0.3535</v>
      </c>
      <c r="K282" s="7">
        <f t="shared" si="368"/>
        <v>0.4535</v>
      </c>
      <c r="L282" s="7">
        <f t="shared" si="368"/>
        <v>0.324</v>
      </c>
      <c r="M282" s="7">
        <f t="shared" si="368"/>
        <v>0.524</v>
      </c>
      <c r="P282" s="6" t="s">
        <v>7</v>
      </c>
      <c r="Q282" s="7">
        <f t="shared" ref="Q282:AA282" si="369">C282-$C$279</f>
        <v>0.0335</v>
      </c>
      <c r="R282" s="7">
        <f t="shared" si="369"/>
        <v>0.0555</v>
      </c>
      <c r="S282" s="7">
        <f t="shared" si="369"/>
        <v>0.068</v>
      </c>
      <c r="T282" s="7">
        <f t="shared" si="369"/>
        <v>-0.0005</v>
      </c>
      <c r="U282" s="7">
        <f t="shared" si="369"/>
        <v>0.0995</v>
      </c>
      <c r="V282" s="7">
        <f t="shared" si="369"/>
        <v>-0.0345</v>
      </c>
      <c r="W282" s="7">
        <f t="shared" si="369"/>
        <v>0.1655</v>
      </c>
      <c r="X282" s="7">
        <f t="shared" si="369"/>
        <v>-0.0035</v>
      </c>
      <c r="Y282" s="7">
        <f t="shared" si="369"/>
        <v>0.0965</v>
      </c>
      <c r="Z282" s="7">
        <f t="shared" si="369"/>
        <v>-0.033</v>
      </c>
      <c r="AA282" s="7">
        <f t="shared" si="369"/>
        <v>0.167</v>
      </c>
    </row>
    <row r="283">
      <c r="B283" s="6" t="s">
        <v>8</v>
      </c>
      <c r="C283" s="7">
        <f t="shared" ref="C283:M283" si="370">AVERAGE(C227, C253)</f>
        <v>0.3825</v>
      </c>
      <c r="D283" s="7">
        <f t="shared" si="370"/>
        <v>0.4045</v>
      </c>
      <c r="E283" s="7">
        <f t="shared" si="370"/>
        <v>0.414</v>
      </c>
      <c r="F283" s="7">
        <f t="shared" si="370"/>
        <v>0.3515</v>
      </c>
      <c r="G283" s="7">
        <f t="shared" si="370"/>
        <v>0.4515</v>
      </c>
      <c r="H283" s="7">
        <f t="shared" si="370"/>
        <v>0.3185</v>
      </c>
      <c r="I283" s="7">
        <f t="shared" si="370"/>
        <v>0.5185</v>
      </c>
      <c r="J283" s="7">
        <f t="shared" si="370"/>
        <v>0.3465</v>
      </c>
      <c r="K283" s="7">
        <f t="shared" si="370"/>
        <v>0.4465</v>
      </c>
      <c r="L283" s="7">
        <f t="shared" si="370"/>
        <v>0.321</v>
      </c>
      <c r="M283" s="7">
        <f t="shared" si="370"/>
        <v>0.521</v>
      </c>
      <c r="P283" s="6" t="s">
        <v>8</v>
      </c>
      <c r="Q283" s="7">
        <f t="shared" ref="Q283:AA283" si="371">C283-$C$279</f>
        <v>0.0255</v>
      </c>
      <c r="R283" s="7">
        <f t="shared" si="371"/>
        <v>0.0475</v>
      </c>
      <c r="S283" s="7">
        <f t="shared" si="371"/>
        <v>0.057</v>
      </c>
      <c r="T283" s="7">
        <f t="shared" si="371"/>
        <v>-0.0055</v>
      </c>
      <c r="U283" s="7">
        <f t="shared" si="371"/>
        <v>0.0945</v>
      </c>
      <c r="V283" s="7">
        <f t="shared" si="371"/>
        <v>-0.0385</v>
      </c>
      <c r="W283" s="7">
        <f t="shared" si="371"/>
        <v>0.1615</v>
      </c>
      <c r="X283" s="7">
        <f t="shared" si="371"/>
        <v>-0.0105</v>
      </c>
      <c r="Y283" s="7">
        <f t="shared" si="371"/>
        <v>0.0895</v>
      </c>
      <c r="Z283" s="7">
        <f t="shared" si="371"/>
        <v>-0.036</v>
      </c>
      <c r="AA283" s="7">
        <f t="shared" si="371"/>
        <v>0.164</v>
      </c>
    </row>
    <row r="284">
      <c r="B284" s="6" t="s">
        <v>9</v>
      </c>
      <c r="C284" s="7">
        <f t="shared" ref="C284:M284" si="372">AVERAGE(C228, C254)</f>
        <v>0.369</v>
      </c>
      <c r="D284" s="7">
        <f t="shared" si="372"/>
        <v>0.3905</v>
      </c>
      <c r="E284" s="7">
        <f t="shared" si="372"/>
        <v>0.4</v>
      </c>
      <c r="F284" s="7">
        <f t="shared" si="372"/>
        <v>0.343</v>
      </c>
      <c r="G284" s="7">
        <f t="shared" si="372"/>
        <v>0.443</v>
      </c>
      <c r="H284" s="7">
        <f t="shared" si="372"/>
        <v>0.3145</v>
      </c>
      <c r="I284" s="7">
        <f t="shared" si="372"/>
        <v>0.5145</v>
      </c>
      <c r="J284" s="7">
        <f t="shared" si="372"/>
        <v>0.338</v>
      </c>
      <c r="K284" s="7">
        <f t="shared" si="372"/>
        <v>0.438</v>
      </c>
      <c r="L284" s="7">
        <f t="shared" si="372"/>
        <v>0.316</v>
      </c>
      <c r="M284" s="7">
        <f t="shared" si="372"/>
        <v>0.516</v>
      </c>
      <c r="P284" s="6" t="s">
        <v>9</v>
      </c>
      <c r="Q284" s="7">
        <f t="shared" ref="Q284:AA284" si="373">C284-$C$279</f>
        <v>0.012</v>
      </c>
      <c r="R284" s="7">
        <f t="shared" si="373"/>
        <v>0.0335</v>
      </c>
      <c r="S284" s="7">
        <f t="shared" si="373"/>
        <v>0.043</v>
      </c>
      <c r="T284" s="7">
        <f t="shared" si="373"/>
        <v>-0.014</v>
      </c>
      <c r="U284" s="7">
        <f t="shared" si="373"/>
        <v>0.086</v>
      </c>
      <c r="V284" s="7">
        <f t="shared" si="373"/>
        <v>-0.0425</v>
      </c>
      <c r="W284" s="7">
        <f t="shared" si="373"/>
        <v>0.1575</v>
      </c>
      <c r="X284" s="7">
        <f t="shared" si="373"/>
        <v>-0.019</v>
      </c>
      <c r="Y284" s="7">
        <f t="shared" si="373"/>
        <v>0.081</v>
      </c>
      <c r="Z284" s="7">
        <f t="shared" si="373"/>
        <v>-0.041</v>
      </c>
      <c r="AA284" s="7">
        <f t="shared" si="373"/>
        <v>0.159</v>
      </c>
    </row>
    <row r="285">
      <c r="B285" s="6" t="s">
        <v>10</v>
      </c>
      <c r="C285" s="7">
        <f t="shared" ref="C285:M285" si="374">AVERAGE(C229, C255)</f>
        <v>0.3735</v>
      </c>
      <c r="D285" s="7">
        <f t="shared" si="374"/>
        <v>0.3955</v>
      </c>
      <c r="E285" s="7">
        <f t="shared" si="374"/>
        <v>0.4055</v>
      </c>
      <c r="F285" s="7">
        <f t="shared" si="374"/>
        <v>0.3495</v>
      </c>
      <c r="G285" s="7">
        <f t="shared" si="374"/>
        <v>0.4495</v>
      </c>
      <c r="H285" s="7">
        <f t="shared" si="374"/>
        <v>0.3215</v>
      </c>
      <c r="I285" s="7">
        <f t="shared" si="374"/>
        <v>0.5215</v>
      </c>
      <c r="J285" s="7">
        <f t="shared" si="374"/>
        <v>0.343</v>
      </c>
      <c r="K285" s="7">
        <f t="shared" si="374"/>
        <v>0.443</v>
      </c>
      <c r="L285" s="7">
        <f t="shared" si="374"/>
        <v>0.322</v>
      </c>
      <c r="M285" s="7">
        <f t="shared" si="374"/>
        <v>0.522</v>
      </c>
      <c r="P285" s="6" t="s">
        <v>10</v>
      </c>
      <c r="Q285" s="7">
        <f t="shared" ref="Q285:AA285" si="375">C285-$C$279</f>
        <v>0.0165</v>
      </c>
      <c r="R285" s="7">
        <f t="shared" si="375"/>
        <v>0.0385</v>
      </c>
      <c r="S285" s="7">
        <f t="shared" si="375"/>
        <v>0.0485</v>
      </c>
      <c r="T285" s="7">
        <f t="shared" si="375"/>
        <v>-0.0075</v>
      </c>
      <c r="U285" s="7">
        <f t="shared" si="375"/>
        <v>0.0925</v>
      </c>
      <c r="V285" s="7">
        <f t="shared" si="375"/>
        <v>-0.0355</v>
      </c>
      <c r="W285" s="7">
        <f t="shared" si="375"/>
        <v>0.1645</v>
      </c>
      <c r="X285" s="7">
        <f t="shared" si="375"/>
        <v>-0.014</v>
      </c>
      <c r="Y285" s="7">
        <f t="shared" si="375"/>
        <v>0.086</v>
      </c>
      <c r="Z285" s="7">
        <f t="shared" si="375"/>
        <v>-0.035</v>
      </c>
      <c r="AA285" s="7">
        <f t="shared" si="375"/>
        <v>0.165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0.3608333333</v>
      </c>
      <c r="D289" s="7">
        <f t="shared" si="376"/>
        <v>0.3681666667</v>
      </c>
      <c r="E289" s="7">
        <f t="shared" si="376"/>
        <v>0.3798333333</v>
      </c>
      <c r="F289" s="7">
        <f t="shared" si="376"/>
        <v>0.3341666667</v>
      </c>
      <c r="G289" s="7">
        <f t="shared" si="376"/>
        <v>0.4341666667</v>
      </c>
      <c r="H289" s="7">
        <f t="shared" si="376"/>
        <v>0.307</v>
      </c>
      <c r="I289" s="7">
        <f t="shared" si="376"/>
        <v>0.507</v>
      </c>
      <c r="J289" s="7">
        <f t="shared" si="376"/>
        <v>0.3276666667</v>
      </c>
      <c r="K289" s="7">
        <f t="shared" si="376"/>
        <v>0.4276666667</v>
      </c>
      <c r="L289" s="7">
        <f t="shared" si="376"/>
        <v>0.3003333333</v>
      </c>
      <c r="M289" s="7">
        <f t="shared" si="376"/>
        <v>0.5003333333</v>
      </c>
      <c r="P289" s="6" t="s">
        <v>4</v>
      </c>
      <c r="Q289" s="7">
        <f t="shared" ref="Q289:AA289" si="377">C289-$C$289</f>
        <v>0</v>
      </c>
      <c r="R289" s="7">
        <f t="shared" si="377"/>
        <v>0.007333333333</v>
      </c>
      <c r="S289" s="7">
        <f t="shared" si="377"/>
        <v>0.019</v>
      </c>
      <c r="T289" s="7">
        <f t="shared" si="377"/>
        <v>-0.02666666667</v>
      </c>
      <c r="U289" s="7">
        <f t="shared" si="377"/>
        <v>0.07333333333</v>
      </c>
      <c r="V289" s="7">
        <f t="shared" si="377"/>
        <v>-0.05383333333</v>
      </c>
      <c r="W289" s="7">
        <f t="shared" si="377"/>
        <v>0.1461666667</v>
      </c>
      <c r="X289" s="7">
        <f t="shared" si="377"/>
        <v>-0.03316666667</v>
      </c>
      <c r="Y289" s="7">
        <f t="shared" si="377"/>
        <v>0.06683333333</v>
      </c>
      <c r="Z289" s="7">
        <f t="shared" si="377"/>
        <v>-0.0605</v>
      </c>
      <c r="AA289" s="7">
        <f t="shared" si="377"/>
        <v>0.1395</v>
      </c>
    </row>
    <row r="290">
      <c r="B290" s="6" t="s">
        <v>5</v>
      </c>
      <c r="C290" s="7">
        <f t="shared" ref="C290:M290" si="378">AVERAGE(C260, C270, C280)</f>
        <v>0.3521666667</v>
      </c>
      <c r="D290" s="7">
        <f t="shared" si="378"/>
        <v>0.3591666667</v>
      </c>
      <c r="E290" s="7">
        <f t="shared" si="378"/>
        <v>0.369</v>
      </c>
      <c r="F290" s="7">
        <f t="shared" si="378"/>
        <v>0.3236666667</v>
      </c>
      <c r="G290" s="7">
        <f t="shared" si="378"/>
        <v>0.4238333333</v>
      </c>
      <c r="H290" s="7">
        <f t="shared" si="378"/>
        <v>0.2941666667</v>
      </c>
      <c r="I290" s="7">
        <f t="shared" si="378"/>
        <v>0.4941666667</v>
      </c>
      <c r="J290" s="7">
        <f t="shared" si="378"/>
        <v>0.3173333333</v>
      </c>
      <c r="K290" s="7">
        <f t="shared" si="378"/>
        <v>0.4173333333</v>
      </c>
      <c r="L290" s="7">
        <f t="shared" si="378"/>
        <v>0.2883333333</v>
      </c>
      <c r="M290" s="7">
        <f t="shared" si="378"/>
        <v>0.4885</v>
      </c>
      <c r="P290" s="6" t="s">
        <v>5</v>
      </c>
      <c r="Q290" s="7">
        <f t="shared" ref="Q290:AA290" si="379">C290-$C$289</f>
        <v>-0.008666666667</v>
      </c>
      <c r="R290" s="7">
        <f t="shared" si="379"/>
        <v>-0.001666666667</v>
      </c>
      <c r="S290" s="7">
        <f t="shared" si="379"/>
        <v>0.008166666667</v>
      </c>
      <c r="T290" s="7">
        <f t="shared" si="379"/>
        <v>-0.03716666667</v>
      </c>
      <c r="U290" s="7">
        <f t="shared" si="379"/>
        <v>0.063</v>
      </c>
      <c r="V290" s="7">
        <f t="shared" si="379"/>
        <v>-0.06666666667</v>
      </c>
      <c r="W290" s="7">
        <f t="shared" si="379"/>
        <v>0.1333333333</v>
      </c>
      <c r="X290" s="7">
        <f t="shared" si="379"/>
        <v>-0.0435</v>
      </c>
      <c r="Y290" s="7">
        <f t="shared" si="379"/>
        <v>0.0565</v>
      </c>
      <c r="Z290" s="7">
        <f t="shared" si="379"/>
        <v>-0.0725</v>
      </c>
      <c r="AA290" s="7">
        <f t="shared" si="379"/>
        <v>0.1276666667</v>
      </c>
    </row>
    <row r="291">
      <c r="B291" s="6" t="s">
        <v>6</v>
      </c>
      <c r="C291" s="7">
        <f t="shared" ref="C291:M291" si="380">AVERAGE(C261, C271, C281)</f>
        <v>0.3353333333</v>
      </c>
      <c r="D291" s="7">
        <f t="shared" si="380"/>
        <v>0.3393333333</v>
      </c>
      <c r="E291" s="7">
        <f t="shared" si="380"/>
        <v>0.3531666667</v>
      </c>
      <c r="F291" s="7">
        <f t="shared" si="380"/>
        <v>0.3108333333</v>
      </c>
      <c r="G291" s="7">
        <f t="shared" si="380"/>
        <v>0.4108333333</v>
      </c>
      <c r="H291" s="7">
        <f t="shared" si="380"/>
        <v>0.2853333333</v>
      </c>
      <c r="I291" s="7">
        <f t="shared" si="380"/>
        <v>0.4853333333</v>
      </c>
      <c r="J291" s="7">
        <f t="shared" si="380"/>
        <v>0.3051666667</v>
      </c>
      <c r="K291" s="7">
        <f t="shared" si="380"/>
        <v>0.4051666667</v>
      </c>
      <c r="L291" s="7">
        <f t="shared" si="380"/>
        <v>0.2791666667</v>
      </c>
      <c r="M291" s="7">
        <f t="shared" si="380"/>
        <v>0.479</v>
      </c>
      <c r="P291" s="6" t="s">
        <v>6</v>
      </c>
      <c r="Q291" s="7">
        <f t="shared" ref="Q291:AA291" si="381">C291-$C$289</f>
        <v>-0.0255</v>
      </c>
      <c r="R291" s="7">
        <f t="shared" si="381"/>
        <v>-0.0215</v>
      </c>
      <c r="S291" s="7">
        <f t="shared" si="381"/>
        <v>-0.007666666667</v>
      </c>
      <c r="T291" s="7">
        <f t="shared" si="381"/>
        <v>-0.05</v>
      </c>
      <c r="U291" s="7">
        <f t="shared" si="381"/>
        <v>0.05</v>
      </c>
      <c r="V291" s="7">
        <f t="shared" si="381"/>
        <v>-0.0755</v>
      </c>
      <c r="W291" s="7">
        <f t="shared" si="381"/>
        <v>0.1245</v>
      </c>
      <c r="X291" s="7">
        <f t="shared" si="381"/>
        <v>-0.05566666667</v>
      </c>
      <c r="Y291" s="7">
        <f t="shared" si="381"/>
        <v>0.04433333333</v>
      </c>
      <c r="Z291" s="7">
        <f t="shared" si="381"/>
        <v>-0.08166666667</v>
      </c>
      <c r="AA291" s="7">
        <f t="shared" si="381"/>
        <v>0.1181666667</v>
      </c>
    </row>
    <row r="292">
      <c r="B292" s="6" t="s">
        <v>7</v>
      </c>
      <c r="C292" s="7">
        <f t="shared" ref="C292:M292" si="382">AVERAGE(C262, C272, C282)</f>
        <v>0.372</v>
      </c>
      <c r="D292" s="7">
        <f t="shared" si="382"/>
        <v>0.3798333333</v>
      </c>
      <c r="E292" s="7">
        <f t="shared" si="382"/>
        <v>0.3915</v>
      </c>
      <c r="F292" s="7">
        <f t="shared" si="382"/>
        <v>0.3425</v>
      </c>
      <c r="G292" s="7">
        <f t="shared" si="382"/>
        <v>0.4426666667</v>
      </c>
      <c r="H292" s="7">
        <f t="shared" si="382"/>
        <v>0.3151666667</v>
      </c>
      <c r="I292" s="7">
        <f t="shared" si="382"/>
        <v>0.5151666667</v>
      </c>
      <c r="J292" s="7">
        <f t="shared" si="382"/>
        <v>0.3368333333</v>
      </c>
      <c r="K292" s="7">
        <f t="shared" si="382"/>
        <v>0.4368333333</v>
      </c>
      <c r="L292" s="7">
        <f t="shared" si="382"/>
        <v>0.308</v>
      </c>
      <c r="M292" s="7">
        <f t="shared" si="382"/>
        <v>0.5081666667</v>
      </c>
      <c r="P292" s="6" t="s">
        <v>7</v>
      </c>
      <c r="Q292" s="7">
        <f t="shared" ref="Q292:AA292" si="383">C292-$C$289</f>
        <v>0.01116666667</v>
      </c>
      <c r="R292" s="7">
        <f t="shared" si="383"/>
        <v>0.019</v>
      </c>
      <c r="S292" s="7">
        <f t="shared" si="383"/>
        <v>0.03066666667</v>
      </c>
      <c r="T292" s="7">
        <f t="shared" si="383"/>
        <v>-0.01833333333</v>
      </c>
      <c r="U292" s="7">
        <f t="shared" si="383"/>
        <v>0.08183333333</v>
      </c>
      <c r="V292" s="7">
        <f t="shared" si="383"/>
        <v>-0.04566666667</v>
      </c>
      <c r="W292" s="7">
        <f t="shared" si="383"/>
        <v>0.1543333333</v>
      </c>
      <c r="X292" s="7">
        <f t="shared" si="383"/>
        <v>-0.024</v>
      </c>
      <c r="Y292" s="7">
        <f t="shared" si="383"/>
        <v>0.076</v>
      </c>
      <c r="Z292" s="7">
        <f t="shared" si="383"/>
        <v>-0.05283333333</v>
      </c>
      <c r="AA292" s="7">
        <f t="shared" si="383"/>
        <v>0.1473333333</v>
      </c>
    </row>
    <row r="293">
      <c r="B293" s="6" t="s">
        <v>8</v>
      </c>
      <c r="C293" s="7">
        <f t="shared" ref="C293:M293" si="384">AVERAGE(C263, C273, C283)</f>
        <v>0.3706666667</v>
      </c>
      <c r="D293" s="7">
        <f t="shared" si="384"/>
        <v>0.3781666667</v>
      </c>
      <c r="E293" s="7">
        <f t="shared" si="384"/>
        <v>0.3893333333</v>
      </c>
      <c r="F293" s="7">
        <f t="shared" si="384"/>
        <v>0.3413333333</v>
      </c>
      <c r="G293" s="7">
        <f t="shared" si="384"/>
        <v>0.4413333333</v>
      </c>
      <c r="H293" s="7">
        <f t="shared" si="384"/>
        <v>0.3138333333</v>
      </c>
      <c r="I293" s="7">
        <f t="shared" si="384"/>
        <v>0.5138333333</v>
      </c>
      <c r="J293" s="7">
        <f t="shared" si="384"/>
        <v>0.335</v>
      </c>
      <c r="K293" s="7">
        <f t="shared" si="384"/>
        <v>0.435</v>
      </c>
      <c r="L293" s="7">
        <f t="shared" si="384"/>
        <v>0.3063333333</v>
      </c>
      <c r="M293" s="7">
        <f t="shared" si="384"/>
        <v>0.5065</v>
      </c>
      <c r="P293" s="6" t="s">
        <v>8</v>
      </c>
      <c r="Q293" s="7">
        <f t="shared" ref="Q293:AA293" si="385">C293-$C$289</f>
        <v>0.009833333333</v>
      </c>
      <c r="R293" s="7">
        <f t="shared" si="385"/>
        <v>0.01733333333</v>
      </c>
      <c r="S293" s="7">
        <f t="shared" si="385"/>
        <v>0.0285</v>
      </c>
      <c r="T293" s="7">
        <f t="shared" si="385"/>
        <v>-0.0195</v>
      </c>
      <c r="U293" s="7">
        <f t="shared" si="385"/>
        <v>0.0805</v>
      </c>
      <c r="V293" s="7">
        <f t="shared" si="385"/>
        <v>-0.047</v>
      </c>
      <c r="W293" s="7">
        <f t="shared" si="385"/>
        <v>0.153</v>
      </c>
      <c r="X293" s="7">
        <f t="shared" si="385"/>
        <v>-0.02583333333</v>
      </c>
      <c r="Y293" s="7">
        <f t="shared" si="385"/>
        <v>0.07416666667</v>
      </c>
      <c r="Z293" s="7">
        <f t="shared" si="385"/>
        <v>-0.0545</v>
      </c>
      <c r="AA293" s="7">
        <f t="shared" si="385"/>
        <v>0.1456666667</v>
      </c>
    </row>
    <row r="294">
      <c r="B294" s="6" t="s">
        <v>9</v>
      </c>
      <c r="C294" s="7">
        <f t="shared" ref="C294:M294" si="386">AVERAGE(C264, C274, C284)</f>
        <v>0.3653333333</v>
      </c>
      <c r="D294" s="7">
        <f t="shared" si="386"/>
        <v>0.3725</v>
      </c>
      <c r="E294" s="7">
        <f t="shared" si="386"/>
        <v>0.3835</v>
      </c>
      <c r="F294" s="7">
        <f t="shared" si="386"/>
        <v>0.3383333333</v>
      </c>
      <c r="G294" s="7">
        <f t="shared" si="386"/>
        <v>0.4383333333</v>
      </c>
      <c r="H294" s="7">
        <f t="shared" si="386"/>
        <v>0.312</v>
      </c>
      <c r="I294" s="7">
        <f t="shared" si="386"/>
        <v>0.512</v>
      </c>
      <c r="J294" s="7">
        <f t="shared" si="386"/>
        <v>0.3318333333</v>
      </c>
      <c r="K294" s="7">
        <f t="shared" si="386"/>
        <v>0.4318333333</v>
      </c>
      <c r="L294" s="7">
        <f t="shared" si="386"/>
        <v>0.3051666667</v>
      </c>
      <c r="M294" s="7">
        <f t="shared" si="386"/>
        <v>0.505</v>
      </c>
      <c r="P294" s="6" t="s">
        <v>9</v>
      </c>
      <c r="Q294" s="7">
        <f t="shared" ref="Q294:AA294" si="387">C294-$C$289</f>
        <v>0.0045</v>
      </c>
      <c r="R294" s="7">
        <f t="shared" si="387"/>
        <v>0.01166666667</v>
      </c>
      <c r="S294" s="7">
        <f t="shared" si="387"/>
        <v>0.02266666667</v>
      </c>
      <c r="T294" s="7">
        <f t="shared" si="387"/>
        <v>-0.0225</v>
      </c>
      <c r="U294" s="7">
        <f t="shared" si="387"/>
        <v>0.0775</v>
      </c>
      <c r="V294" s="7">
        <f t="shared" si="387"/>
        <v>-0.04883333333</v>
      </c>
      <c r="W294" s="7">
        <f t="shared" si="387"/>
        <v>0.1511666667</v>
      </c>
      <c r="X294" s="7">
        <f t="shared" si="387"/>
        <v>-0.029</v>
      </c>
      <c r="Y294" s="7">
        <f t="shared" si="387"/>
        <v>0.071</v>
      </c>
      <c r="Z294" s="7">
        <f t="shared" si="387"/>
        <v>-0.05566666667</v>
      </c>
      <c r="AA294" s="7">
        <f t="shared" si="387"/>
        <v>0.1441666667</v>
      </c>
    </row>
    <row r="295">
      <c r="B295" s="6" t="s">
        <v>10</v>
      </c>
      <c r="C295" s="7">
        <f t="shared" ref="C295:M295" si="388">AVERAGE(C265, C275, C285)</f>
        <v>0.3696666667</v>
      </c>
      <c r="D295" s="7">
        <f t="shared" si="388"/>
        <v>0.3773333333</v>
      </c>
      <c r="E295" s="7">
        <f t="shared" si="388"/>
        <v>0.3891666667</v>
      </c>
      <c r="F295" s="7">
        <f t="shared" si="388"/>
        <v>0.3431666667</v>
      </c>
      <c r="G295" s="7">
        <f t="shared" si="388"/>
        <v>0.4431666667</v>
      </c>
      <c r="H295" s="7">
        <f t="shared" si="388"/>
        <v>0.317</v>
      </c>
      <c r="I295" s="7">
        <f t="shared" si="388"/>
        <v>0.517</v>
      </c>
      <c r="J295" s="7">
        <f t="shared" si="388"/>
        <v>0.3351666667</v>
      </c>
      <c r="K295" s="7">
        <f t="shared" si="388"/>
        <v>0.4351666667</v>
      </c>
      <c r="L295" s="7">
        <f t="shared" si="388"/>
        <v>0.308</v>
      </c>
      <c r="M295" s="7">
        <f t="shared" si="388"/>
        <v>0.508</v>
      </c>
      <c r="P295" s="6" t="s">
        <v>10</v>
      </c>
      <c r="Q295" s="7">
        <f t="shared" ref="Q295:AA295" si="389">C295-$C$289</f>
        <v>0.008833333333</v>
      </c>
      <c r="R295" s="7">
        <f t="shared" si="389"/>
        <v>0.0165</v>
      </c>
      <c r="S295" s="7">
        <f t="shared" si="389"/>
        <v>0.02833333333</v>
      </c>
      <c r="T295" s="7">
        <f t="shared" si="389"/>
        <v>-0.01766666667</v>
      </c>
      <c r="U295" s="7">
        <f t="shared" si="389"/>
        <v>0.08233333333</v>
      </c>
      <c r="V295" s="7">
        <f t="shared" si="389"/>
        <v>-0.04383333333</v>
      </c>
      <c r="W295" s="7">
        <f t="shared" si="389"/>
        <v>0.1561666667</v>
      </c>
      <c r="X295" s="7">
        <f t="shared" si="389"/>
        <v>-0.02566666667</v>
      </c>
      <c r="Y295" s="7">
        <f t="shared" si="389"/>
        <v>0.07433333333</v>
      </c>
      <c r="Z295" s="7">
        <f t="shared" si="389"/>
        <v>-0.05283333333</v>
      </c>
      <c r="AA295" s="7">
        <f t="shared" si="389"/>
        <v>0.1471666667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0.96</v>
      </c>
      <c r="D299" s="20">
        <v>0.92</v>
      </c>
      <c r="E299" s="20"/>
      <c r="G299" s="19" t="s">
        <v>4</v>
      </c>
      <c r="H299" s="20">
        <v>0.92</v>
      </c>
      <c r="I299" s="20">
        <v>0.96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0.9</v>
      </c>
      <c r="D300" s="20">
        <v>0.89</v>
      </c>
      <c r="E300" s="20"/>
      <c r="G300" s="19" t="s">
        <v>5</v>
      </c>
      <c r="H300" s="20">
        <v>0.89</v>
      </c>
      <c r="I300" s="20">
        <v>0.9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0.87</v>
      </c>
      <c r="D301" s="20">
        <v>0.86</v>
      </c>
      <c r="E301" s="20"/>
      <c r="G301" s="19" t="s">
        <v>6</v>
      </c>
      <c r="H301" s="20">
        <v>0.85</v>
      </c>
      <c r="I301" s="20">
        <v>0.87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0.97</v>
      </c>
      <c r="D302" s="20">
        <v>0.78</v>
      </c>
      <c r="E302" s="20"/>
      <c r="G302" s="19" t="s">
        <v>7</v>
      </c>
      <c r="H302" s="20">
        <v>0.78</v>
      </c>
      <c r="I302" s="20">
        <v>0.97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0.97</v>
      </c>
      <c r="D303" s="20">
        <v>0.72</v>
      </c>
      <c r="E303" s="20"/>
      <c r="G303" s="19" t="s">
        <v>8</v>
      </c>
      <c r="H303" s="20">
        <v>0.75</v>
      </c>
      <c r="I303" s="20">
        <v>0.96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0.98</v>
      </c>
      <c r="D304" s="20">
        <v>0.86</v>
      </c>
      <c r="E304" s="20"/>
      <c r="G304" s="19" t="s">
        <v>9</v>
      </c>
      <c r="H304" s="20">
        <v>0.85</v>
      </c>
      <c r="I304" s="20">
        <v>0.98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0.99</v>
      </c>
      <c r="D305" s="20">
        <v>0.81</v>
      </c>
      <c r="E305" s="20"/>
      <c r="G305" s="19" t="s">
        <v>10</v>
      </c>
      <c r="H305" s="20">
        <v>0.81</v>
      </c>
      <c r="I305" s="20">
        <v>0.99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0.95</v>
      </c>
      <c r="D309" s="20">
        <v>0.82</v>
      </c>
      <c r="E309" s="22">
        <v>0.66</v>
      </c>
      <c r="F309" s="22">
        <v>0.4</v>
      </c>
      <c r="G309" s="22">
        <v>0.83</v>
      </c>
      <c r="H309" s="16"/>
      <c r="J309" s="19" t="s">
        <v>4</v>
      </c>
      <c r="K309" s="20">
        <v>0.94</v>
      </c>
      <c r="L309" s="20">
        <v>0.84</v>
      </c>
      <c r="M309" s="22">
        <v>0.54</v>
      </c>
      <c r="N309" s="22">
        <v>0.85</v>
      </c>
      <c r="O309" s="22">
        <v>0.02</v>
      </c>
      <c r="P309" s="16"/>
      <c r="Q309" s="16"/>
    </row>
    <row r="310">
      <c r="B310" s="19" t="s">
        <v>5</v>
      </c>
      <c r="C310" s="20">
        <v>0.85</v>
      </c>
      <c r="D310" s="20">
        <v>0.81</v>
      </c>
      <c r="E310" s="22">
        <v>0.59</v>
      </c>
      <c r="F310" s="22">
        <v>0.34</v>
      </c>
      <c r="G310" s="22">
        <v>0.59</v>
      </c>
      <c r="H310" s="16"/>
      <c r="J310" s="19" t="s">
        <v>5</v>
      </c>
      <c r="K310" s="20">
        <v>0.94</v>
      </c>
      <c r="L310" s="20">
        <v>0.76</v>
      </c>
      <c r="M310" s="22">
        <v>0.16</v>
      </c>
      <c r="N310" s="22">
        <v>0.91</v>
      </c>
      <c r="O310" s="22">
        <v>0.02</v>
      </c>
      <c r="P310" s="16"/>
      <c r="Q310" s="16"/>
    </row>
    <row r="311">
      <c r="B311" s="19" t="s">
        <v>6</v>
      </c>
      <c r="C311" s="20">
        <v>0.81</v>
      </c>
      <c r="D311" s="20">
        <v>0.75</v>
      </c>
      <c r="E311" s="22">
        <v>0.6</v>
      </c>
      <c r="F311" s="22">
        <v>0.37</v>
      </c>
      <c r="G311" s="22">
        <v>0.65</v>
      </c>
      <c r="H311" s="16"/>
      <c r="J311" s="19" t="s">
        <v>6</v>
      </c>
      <c r="K311" s="20">
        <v>0.88</v>
      </c>
      <c r="L311" s="20">
        <v>0.74</v>
      </c>
      <c r="M311" s="22">
        <v>0.42</v>
      </c>
      <c r="N311" s="22">
        <v>0.8</v>
      </c>
      <c r="O311" s="22">
        <v>0.03</v>
      </c>
      <c r="P311" s="16"/>
      <c r="Q311" s="16"/>
    </row>
    <row r="312">
      <c r="B312" s="19" t="s">
        <v>7</v>
      </c>
      <c r="C312" s="20">
        <v>0.69</v>
      </c>
      <c r="D312" s="20">
        <v>0.81</v>
      </c>
      <c r="E312" s="22">
        <v>0.68</v>
      </c>
      <c r="F312" s="22">
        <v>0.39</v>
      </c>
      <c r="G312" s="22">
        <v>0.8</v>
      </c>
      <c r="H312" s="16"/>
      <c r="J312" s="19" t="s">
        <v>7</v>
      </c>
      <c r="K312" s="20">
        <v>0.95</v>
      </c>
      <c r="L312" s="20">
        <v>0.86</v>
      </c>
      <c r="M312" s="22">
        <v>0.49</v>
      </c>
      <c r="N312" s="22">
        <v>0.67</v>
      </c>
      <c r="O312" s="22">
        <v>0.02</v>
      </c>
      <c r="P312" s="16"/>
      <c r="Q312" s="16"/>
    </row>
    <row r="313">
      <c r="B313" s="19" t="s">
        <v>8</v>
      </c>
      <c r="C313" s="20">
        <v>0.47</v>
      </c>
      <c r="D313" s="20">
        <v>0.8</v>
      </c>
      <c r="E313" s="22">
        <v>0.69</v>
      </c>
      <c r="F313" s="22">
        <v>0.39</v>
      </c>
      <c r="G313" s="22">
        <v>0.83</v>
      </c>
      <c r="H313" s="16"/>
      <c r="J313" s="19" t="s">
        <v>8</v>
      </c>
      <c r="K313" s="20">
        <v>0.96</v>
      </c>
      <c r="L313" s="20">
        <v>0.87</v>
      </c>
      <c r="M313" s="22">
        <v>0.47</v>
      </c>
      <c r="N313" s="22">
        <v>0.56</v>
      </c>
      <c r="O313" s="22">
        <v>0.02</v>
      </c>
      <c r="P313" s="16"/>
      <c r="Q313" s="16"/>
    </row>
    <row r="314">
      <c r="B314" s="19" t="s">
        <v>9</v>
      </c>
      <c r="C314" s="20">
        <v>0.89</v>
      </c>
      <c r="D314" s="20">
        <v>0.84</v>
      </c>
      <c r="E314" s="22">
        <v>0.68</v>
      </c>
      <c r="F314" s="22">
        <v>0.4</v>
      </c>
      <c r="G314" s="22">
        <v>0.86</v>
      </c>
      <c r="H314" s="16"/>
      <c r="J314" s="19" t="s">
        <v>9</v>
      </c>
      <c r="K314" s="20">
        <v>0.98</v>
      </c>
      <c r="L314" s="20">
        <v>0.82</v>
      </c>
      <c r="M314" s="22">
        <v>0.52</v>
      </c>
      <c r="N314" s="22">
        <v>0.85</v>
      </c>
      <c r="O314" s="22">
        <v>0.02</v>
      </c>
      <c r="P314" s="16"/>
      <c r="Q314" s="16"/>
    </row>
    <row r="315">
      <c r="B315" s="19" t="s">
        <v>10</v>
      </c>
      <c r="C315" s="20">
        <v>0.87</v>
      </c>
      <c r="D315" s="20">
        <v>0.82</v>
      </c>
      <c r="E315" s="22">
        <v>0.71</v>
      </c>
      <c r="F315" s="22">
        <v>0.4</v>
      </c>
      <c r="G315" s="22">
        <v>0.89</v>
      </c>
      <c r="H315" s="16"/>
      <c r="J315" s="19" t="s">
        <v>10</v>
      </c>
      <c r="K315" s="20">
        <v>0.98</v>
      </c>
      <c r="L315" s="20">
        <v>0.84</v>
      </c>
      <c r="M315" s="22">
        <v>0.54</v>
      </c>
      <c r="N315" s="22">
        <v>0.85</v>
      </c>
      <c r="O315" s="22">
        <v>0.02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0.69</v>
      </c>
      <c r="D319" s="20">
        <v>0.39</v>
      </c>
      <c r="E319" s="20"/>
      <c r="G319" s="19" t="s">
        <v>4</v>
      </c>
      <c r="H319" s="20">
        <v>0.1</v>
      </c>
      <c r="I319" s="20">
        <v>0.93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0.66</v>
      </c>
      <c r="D320" s="20">
        <v>0.4</v>
      </c>
      <c r="E320" s="20"/>
      <c r="G320" s="19" t="s">
        <v>5</v>
      </c>
      <c r="H320" s="20">
        <v>0.11</v>
      </c>
      <c r="I320" s="20">
        <v>0.91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0.65</v>
      </c>
      <c r="D321" s="20">
        <v>0.41</v>
      </c>
      <c r="E321" s="20"/>
      <c r="G321" s="19" t="s">
        <v>6</v>
      </c>
      <c r="H321" s="20">
        <v>0.09</v>
      </c>
      <c r="I321" s="20">
        <v>0.93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</v>
      </c>
      <c r="D322" s="20">
        <v>0.44</v>
      </c>
      <c r="E322" s="20"/>
      <c r="G322" s="19" t="s">
        <v>7</v>
      </c>
      <c r="H322" s="20">
        <v>0.1</v>
      </c>
      <c r="I322" s="20">
        <v>0.91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0.56</v>
      </c>
      <c r="D323" s="20">
        <v>0.49</v>
      </c>
      <c r="E323" s="20"/>
      <c r="G323" s="19" t="s">
        <v>8</v>
      </c>
      <c r="H323" s="20">
        <v>0.1</v>
      </c>
      <c r="I323" s="20">
        <v>0.91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0.67</v>
      </c>
      <c r="D324" s="20">
        <v>0.38</v>
      </c>
      <c r="E324" s="20"/>
      <c r="G324" s="19" t="s">
        <v>9</v>
      </c>
      <c r="H324" s="20">
        <v>0.11</v>
      </c>
      <c r="I324" s="20">
        <v>0.91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0.72</v>
      </c>
      <c r="D325" s="20">
        <v>0.39</v>
      </c>
      <c r="E325" s="20"/>
      <c r="G325" s="19" t="s">
        <v>10</v>
      </c>
      <c r="H325" s="20">
        <v>0.09</v>
      </c>
      <c r="I325" s="20">
        <v>0.94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0.67</v>
      </c>
      <c r="D329" s="20">
        <v>0.55</v>
      </c>
      <c r="E329" s="20"/>
      <c r="G329" s="19" t="s">
        <v>4</v>
      </c>
      <c r="H329" s="20">
        <v>0.03</v>
      </c>
      <c r="I329" s="20">
        <v>0.99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0.86</v>
      </c>
      <c r="D330" s="20">
        <v>0.55</v>
      </c>
      <c r="E330" s="20"/>
      <c r="G330" s="19" t="s">
        <v>5</v>
      </c>
      <c r="H330" s="20">
        <v>0.03</v>
      </c>
      <c r="I330" s="20">
        <v>1.0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0.46</v>
      </c>
      <c r="D331" s="20">
        <v>0.56</v>
      </c>
      <c r="E331" s="20"/>
      <c r="G331" s="19" t="s">
        <v>6</v>
      </c>
      <c r="H331" s="20">
        <v>0.02</v>
      </c>
      <c r="I331" s="20">
        <v>0.98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0.58</v>
      </c>
      <c r="D332" s="20">
        <v>0.49</v>
      </c>
      <c r="E332" s="20"/>
      <c r="G332" s="19" t="s">
        <v>7</v>
      </c>
      <c r="H332" s="20">
        <v>0.04</v>
      </c>
      <c r="I332" s="20">
        <v>0.97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0.58</v>
      </c>
      <c r="D333" s="20">
        <v>0.44</v>
      </c>
      <c r="E333" s="20"/>
      <c r="G333" s="19" t="s">
        <v>8</v>
      </c>
      <c r="H333" s="20">
        <v>0.03</v>
      </c>
      <c r="I333" s="20">
        <v>0.97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0.57</v>
      </c>
      <c r="D334" s="20">
        <v>0.52</v>
      </c>
      <c r="E334" s="20"/>
      <c r="G334" s="19" t="s">
        <v>9</v>
      </c>
      <c r="H334" s="20">
        <v>0.03</v>
      </c>
      <c r="I334" s="20">
        <v>0.98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0.76</v>
      </c>
      <c r="D335" s="20">
        <v>0.46</v>
      </c>
      <c r="E335" s="20"/>
      <c r="G335" s="19" t="s">
        <v>10</v>
      </c>
      <c r="H335" s="20">
        <v>0.04</v>
      </c>
      <c r="I335" s="20">
        <v>0.99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0.74</v>
      </c>
      <c r="D339" s="20">
        <v>1.0</v>
      </c>
      <c r="E339" s="22">
        <v>0.58</v>
      </c>
      <c r="F339" s="22">
        <v>0.82</v>
      </c>
      <c r="G339" s="22">
        <v>0.79</v>
      </c>
      <c r="H339" s="22">
        <v>0.51</v>
      </c>
      <c r="I339" s="16"/>
      <c r="K339" s="19" t="s">
        <v>4</v>
      </c>
      <c r="L339" s="20">
        <v>0.82</v>
      </c>
      <c r="M339" s="20">
        <v>0.34</v>
      </c>
      <c r="N339" s="22">
        <v>0.89</v>
      </c>
      <c r="O339" s="22">
        <v>0.35</v>
      </c>
      <c r="P339" s="22">
        <v>0.58</v>
      </c>
      <c r="Q339" s="22">
        <v>0.94</v>
      </c>
    </row>
    <row r="340">
      <c r="B340" s="19" t="s">
        <v>5</v>
      </c>
      <c r="C340" s="20">
        <v>0.68</v>
      </c>
      <c r="D340" s="20">
        <v>0.98</v>
      </c>
      <c r="E340" s="22">
        <v>0.47</v>
      </c>
      <c r="F340" s="22">
        <v>0.74</v>
      </c>
      <c r="G340" s="22">
        <v>0.73</v>
      </c>
      <c r="H340" s="22">
        <v>0.85</v>
      </c>
      <c r="I340" s="16"/>
      <c r="K340" s="19" t="s">
        <v>5</v>
      </c>
      <c r="L340" s="20">
        <v>0.78</v>
      </c>
      <c r="M340" s="20">
        <v>0.93</v>
      </c>
      <c r="N340" s="22">
        <v>0.89</v>
      </c>
      <c r="O340" s="22">
        <v>0.15</v>
      </c>
      <c r="P340" s="22">
        <v>0.64</v>
      </c>
      <c r="Q340" s="22">
        <v>0.88</v>
      </c>
    </row>
    <row r="341">
      <c r="B341" s="19" t="s">
        <v>6</v>
      </c>
      <c r="C341" s="20">
        <v>0.66</v>
      </c>
      <c r="D341" s="20">
        <v>0.9</v>
      </c>
      <c r="E341" s="22">
        <v>0.76</v>
      </c>
      <c r="F341" s="22">
        <v>0.6</v>
      </c>
      <c r="G341" s="22">
        <v>0.67</v>
      </c>
      <c r="H341" s="22">
        <v>0.72</v>
      </c>
      <c r="I341" s="16"/>
      <c r="K341" s="19" t="s">
        <v>6</v>
      </c>
      <c r="L341" s="20">
        <v>0.75</v>
      </c>
      <c r="M341" s="20">
        <v>0.87</v>
      </c>
      <c r="N341" s="22">
        <v>0.51</v>
      </c>
      <c r="O341" s="22">
        <v>0.81</v>
      </c>
      <c r="P341" s="22">
        <v>0.53</v>
      </c>
      <c r="Q341" s="22">
        <v>0.78</v>
      </c>
    </row>
    <row r="342">
      <c r="B342" s="19" t="s">
        <v>7</v>
      </c>
      <c r="C342" s="20">
        <v>0.6</v>
      </c>
      <c r="D342" s="20">
        <v>1.0</v>
      </c>
      <c r="E342" s="22">
        <v>0.58</v>
      </c>
      <c r="F342" s="22">
        <v>0.82</v>
      </c>
      <c r="G342" s="22">
        <v>0.55</v>
      </c>
      <c r="H342" s="22">
        <v>0.51</v>
      </c>
      <c r="I342" s="16"/>
      <c r="K342" s="19" t="s">
        <v>7</v>
      </c>
      <c r="L342" s="20">
        <v>0.86</v>
      </c>
      <c r="M342" s="20">
        <v>0.34</v>
      </c>
      <c r="N342" s="22">
        <v>0.64</v>
      </c>
      <c r="O342" s="22">
        <v>0.35</v>
      </c>
      <c r="P342" s="22">
        <v>0.42</v>
      </c>
      <c r="Q342" s="22">
        <v>0.92</v>
      </c>
    </row>
    <row r="343">
      <c r="B343" s="19" t="s">
        <v>8</v>
      </c>
      <c r="C343" s="20">
        <v>0.63</v>
      </c>
      <c r="D343" s="20">
        <v>1.0</v>
      </c>
      <c r="E343" s="22">
        <v>0.58</v>
      </c>
      <c r="F343" s="22">
        <v>0.82</v>
      </c>
      <c r="G343" s="22">
        <v>0.49</v>
      </c>
      <c r="H343" s="22">
        <v>0.52</v>
      </c>
      <c r="I343" s="16"/>
      <c r="K343" s="19" t="s">
        <v>8</v>
      </c>
      <c r="L343" s="20">
        <v>0.87</v>
      </c>
      <c r="M343" s="20">
        <v>0.34</v>
      </c>
      <c r="N343" s="22">
        <v>0.54</v>
      </c>
      <c r="O343" s="22">
        <v>0.35</v>
      </c>
      <c r="P343" s="22">
        <v>0.64</v>
      </c>
      <c r="Q343" s="22">
        <v>0.92</v>
      </c>
    </row>
    <row r="344">
      <c r="B344" s="19" t="s">
        <v>9</v>
      </c>
      <c r="C344" s="20">
        <v>0.71</v>
      </c>
      <c r="D344" s="20">
        <v>1.0</v>
      </c>
      <c r="E344" s="22">
        <v>0.58</v>
      </c>
      <c r="F344" s="22">
        <v>0.82</v>
      </c>
      <c r="G344" s="22">
        <v>0.7</v>
      </c>
      <c r="H344" s="22">
        <v>0.52</v>
      </c>
      <c r="I344" s="16"/>
      <c r="K344" s="19" t="s">
        <v>9</v>
      </c>
      <c r="L344" s="20">
        <v>0.81</v>
      </c>
      <c r="M344" s="20">
        <v>0.34</v>
      </c>
      <c r="N344" s="22">
        <v>0.67</v>
      </c>
      <c r="O344" s="22">
        <v>0.35</v>
      </c>
      <c r="P344" s="22">
        <v>0.74</v>
      </c>
      <c r="Q344" s="22">
        <v>0.93</v>
      </c>
    </row>
    <row r="345">
      <c r="B345" s="19" t="s">
        <v>10</v>
      </c>
      <c r="C345" s="20">
        <v>0.67</v>
      </c>
      <c r="D345" s="20">
        <v>1.0</v>
      </c>
      <c r="E345" s="22">
        <v>0.58</v>
      </c>
      <c r="F345" s="22">
        <v>0.82</v>
      </c>
      <c r="G345" s="22">
        <v>0.43</v>
      </c>
      <c r="H345" s="22">
        <v>0.51</v>
      </c>
      <c r="I345" s="16"/>
      <c r="K345" s="19" t="s">
        <v>10</v>
      </c>
      <c r="L345" s="20">
        <v>0.83</v>
      </c>
      <c r="M345" s="20">
        <v>0.34</v>
      </c>
      <c r="N345" s="22">
        <v>0.54</v>
      </c>
      <c r="O345" s="22">
        <v>0.35</v>
      </c>
      <c r="P345" s="22">
        <v>0.65</v>
      </c>
      <c r="Q345" s="22">
        <v>0.92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0.72</v>
      </c>
      <c r="D349" s="20">
        <v>0.95</v>
      </c>
      <c r="E349" s="22">
        <v>0.95</v>
      </c>
      <c r="F349" s="22">
        <v>0.26</v>
      </c>
      <c r="G349" s="22">
        <v>0.45</v>
      </c>
      <c r="H349" s="22">
        <v>0.82</v>
      </c>
      <c r="I349" s="16"/>
      <c r="K349" s="19" t="s">
        <v>4</v>
      </c>
      <c r="L349" s="20">
        <v>0.98</v>
      </c>
      <c r="M349" s="20">
        <v>0.79</v>
      </c>
      <c r="N349" s="22">
        <v>0.73</v>
      </c>
      <c r="O349" s="22">
        <v>0.18</v>
      </c>
      <c r="P349" s="22">
        <v>0.86</v>
      </c>
      <c r="Q349" s="22">
        <v>0.3</v>
      </c>
    </row>
    <row r="350">
      <c r="B350" s="19" t="s">
        <v>5</v>
      </c>
      <c r="C350" s="20">
        <v>0.64</v>
      </c>
      <c r="D350" s="20">
        <v>0.94</v>
      </c>
      <c r="E350" s="22">
        <v>0.91</v>
      </c>
      <c r="F350" s="22">
        <v>0.29</v>
      </c>
      <c r="G350" s="22">
        <v>0.48</v>
      </c>
      <c r="H350" s="22">
        <v>0.78</v>
      </c>
      <c r="I350" s="16"/>
      <c r="K350" s="19" t="s">
        <v>5</v>
      </c>
      <c r="L350" s="20">
        <v>0.94</v>
      </c>
      <c r="M350" s="20">
        <v>0.71</v>
      </c>
      <c r="N350" s="22">
        <v>0.63</v>
      </c>
      <c r="O350" s="22">
        <v>0.23</v>
      </c>
      <c r="P350" s="22">
        <v>0.78</v>
      </c>
      <c r="Q350" s="22">
        <v>0.42</v>
      </c>
    </row>
    <row r="351">
      <c r="B351" s="19" t="s">
        <v>6</v>
      </c>
      <c r="C351" s="20">
        <v>0.6</v>
      </c>
      <c r="D351" s="20">
        <v>0.9</v>
      </c>
      <c r="E351" s="22">
        <v>0.86</v>
      </c>
      <c r="F351" s="22">
        <v>0.32</v>
      </c>
      <c r="G351" s="22">
        <v>0.41</v>
      </c>
      <c r="H351" s="22">
        <v>0.76</v>
      </c>
      <c r="I351" s="16"/>
      <c r="K351" s="19" t="s">
        <v>6</v>
      </c>
      <c r="L351" s="20">
        <v>0.89</v>
      </c>
      <c r="M351" s="20">
        <v>0.65</v>
      </c>
      <c r="N351" s="22">
        <v>0.61</v>
      </c>
      <c r="O351" s="22">
        <v>0.05</v>
      </c>
      <c r="P351" s="22">
        <v>0.91</v>
      </c>
      <c r="Q351" s="22">
        <v>0.44</v>
      </c>
    </row>
    <row r="352">
      <c r="B352" s="19" t="s">
        <v>7</v>
      </c>
      <c r="C352" s="20">
        <v>0.66</v>
      </c>
      <c r="D352" s="20">
        <v>0.9</v>
      </c>
      <c r="E352" s="22">
        <v>0.92</v>
      </c>
      <c r="F352" s="22">
        <v>0.26</v>
      </c>
      <c r="G352" s="22">
        <v>0.45</v>
      </c>
      <c r="H352" s="22">
        <v>0.61</v>
      </c>
      <c r="I352" s="16"/>
      <c r="K352" s="19" t="s">
        <v>7</v>
      </c>
      <c r="L352" s="20">
        <v>0.99</v>
      </c>
      <c r="M352" s="20">
        <v>0.78</v>
      </c>
      <c r="N352" s="22">
        <v>0.38</v>
      </c>
      <c r="O352" s="22">
        <v>0.19</v>
      </c>
      <c r="P352" s="22">
        <v>0.86</v>
      </c>
      <c r="Q352" s="22">
        <v>0.28</v>
      </c>
    </row>
    <row r="353">
      <c r="B353" s="19" t="s">
        <v>8</v>
      </c>
      <c r="C353" s="20">
        <v>0.64</v>
      </c>
      <c r="D353" s="20">
        <v>0.87</v>
      </c>
      <c r="E353" s="22">
        <v>0.92</v>
      </c>
      <c r="F353" s="22">
        <v>0.25</v>
      </c>
      <c r="G353" s="22">
        <v>0.45</v>
      </c>
      <c r="H353" s="22">
        <v>0.36</v>
      </c>
      <c r="I353" s="16"/>
      <c r="K353" s="19" t="s">
        <v>8</v>
      </c>
      <c r="L353" s="20">
        <v>0.99</v>
      </c>
      <c r="M353" s="20">
        <v>0.79</v>
      </c>
      <c r="N353" s="22">
        <v>0.25</v>
      </c>
      <c r="O353" s="22">
        <v>0.19</v>
      </c>
      <c r="P353" s="22">
        <v>0.86</v>
      </c>
      <c r="Q353" s="22">
        <v>0.26</v>
      </c>
    </row>
    <row r="354">
      <c r="B354" s="19" t="s">
        <v>9</v>
      </c>
      <c r="C354" s="20">
        <v>0.65</v>
      </c>
      <c r="D354" s="20">
        <v>0.89</v>
      </c>
      <c r="E354" s="22">
        <v>0.92</v>
      </c>
      <c r="F354" s="22">
        <v>0.25</v>
      </c>
      <c r="G354" s="22">
        <v>0.45</v>
      </c>
      <c r="H354" s="22">
        <v>0.6</v>
      </c>
      <c r="I354" s="16"/>
      <c r="K354" s="19" t="s">
        <v>9</v>
      </c>
      <c r="L354" s="20">
        <v>0.99</v>
      </c>
      <c r="M354" s="20">
        <v>0.78</v>
      </c>
      <c r="N354" s="22">
        <v>0.37</v>
      </c>
      <c r="O354" s="22">
        <v>0.19</v>
      </c>
      <c r="P354" s="22">
        <v>0.86</v>
      </c>
      <c r="Q354" s="22">
        <v>0.27</v>
      </c>
    </row>
    <row r="355">
      <c r="B355" s="19" t="s">
        <v>10</v>
      </c>
      <c r="C355" s="20">
        <v>0.64</v>
      </c>
      <c r="D355" s="20">
        <v>0.86</v>
      </c>
      <c r="E355" s="22">
        <v>0.87</v>
      </c>
      <c r="F355" s="22">
        <v>0.23</v>
      </c>
      <c r="G355" s="22">
        <v>0.45</v>
      </c>
      <c r="H355" s="22">
        <v>0.34</v>
      </c>
      <c r="I355" s="16"/>
      <c r="K355" s="19" t="s">
        <v>10</v>
      </c>
      <c r="L355" s="20">
        <v>0.99</v>
      </c>
      <c r="M355" s="20">
        <v>0.79</v>
      </c>
      <c r="N355" s="22">
        <v>0.25</v>
      </c>
      <c r="O355" s="22">
        <v>0.12</v>
      </c>
      <c r="P355" s="22">
        <v>0.86</v>
      </c>
      <c r="Q355" s="22">
        <v>0.36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0.048</v>
      </c>
      <c r="D3" s="7">
        <v>0.088</v>
      </c>
      <c r="E3" s="7">
        <v>0.139</v>
      </c>
      <c r="F3" s="7">
        <v>0.095</v>
      </c>
      <c r="G3" s="7">
        <v>0.146</v>
      </c>
      <c r="H3" s="7">
        <v>0.076</v>
      </c>
      <c r="I3" s="7">
        <v>0.121</v>
      </c>
      <c r="J3" s="3"/>
      <c r="L3" s="6" t="s">
        <v>4</v>
      </c>
      <c r="M3" s="7">
        <f t="shared" ref="M3:S3" si="1">C3-$C$3</f>
        <v>0</v>
      </c>
      <c r="N3" s="7">
        <f t="shared" si="1"/>
        <v>0.04</v>
      </c>
      <c r="O3" s="7">
        <f t="shared" si="1"/>
        <v>0.091</v>
      </c>
      <c r="P3" s="7">
        <f t="shared" si="1"/>
        <v>0.047</v>
      </c>
      <c r="Q3" s="7">
        <f t="shared" si="1"/>
        <v>0.098</v>
      </c>
      <c r="R3" s="7">
        <f t="shared" si="1"/>
        <v>0.028</v>
      </c>
      <c r="S3" s="7">
        <f t="shared" si="1"/>
        <v>0.073</v>
      </c>
    </row>
    <row r="4">
      <c r="B4" s="6" t="s">
        <v>5</v>
      </c>
      <c r="C4" s="7">
        <v>0.051</v>
      </c>
      <c r="D4" s="7">
        <v>0.092</v>
      </c>
      <c r="E4" s="7">
        <v>0.142</v>
      </c>
      <c r="F4" s="7">
        <v>0.097</v>
      </c>
      <c r="G4" s="7">
        <v>0.149</v>
      </c>
      <c r="H4" s="7">
        <v>0.08</v>
      </c>
      <c r="I4" s="7">
        <v>0.122</v>
      </c>
      <c r="J4" s="3"/>
      <c r="L4" s="6" t="s">
        <v>5</v>
      </c>
      <c r="M4" s="7">
        <f t="shared" ref="M4:S4" si="2">C4-$C$3</f>
        <v>0.003</v>
      </c>
      <c r="N4" s="7">
        <f t="shared" si="2"/>
        <v>0.044</v>
      </c>
      <c r="O4" s="7">
        <f t="shared" si="2"/>
        <v>0.094</v>
      </c>
      <c r="P4" s="7">
        <f t="shared" si="2"/>
        <v>0.049</v>
      </c>
      <c r="Q4" s="7">
        <f t="shared" si="2"/>
        <v>0.101</v>
      </c>
      <c r="R4" s="7">
        <f t="shared" si="2"/>
        <v>0.032</v>
      </c>
      <c r="S4" s="7">
        <f t="shared" si="2"/>
        <v>0.074</v>
      </c>
    </row>
    <row r="5">
      <c r="B5" s="6" t="s">
        <v>6</v>
      </c>
      <c r="C5" s="7">
        <v>0.059</v>
      </c>
      <c r="D5" s="7">
        <v>0.099</v>
      </c>
      <c r="E5" s="7">
        <v>0.146</v>
      </c>
      <c r="F5" s="7">
        <v>0.105</v>
      </c>
      <c r="G5" s="7">
        <v>0.158</v>
      </c>
      <c r="H5" s="7">
        <v>0.09</v>
      </c>
      <c r="I5" s="7">
        <v>0.135</v>
      </c>
      <c r="J5" s="3"/>
      <c r="L5" s="6" t="s">
        <v>6</v>
      </c>
      <c r="M5" s="7">
        <f t="shared" ref="M5:S5" si="3">C5-$C$3</f>
        <v>0.011</v>
      </c>
      <c r="N5" s="7">
        <f t="shared" si="3"/>
        <v>0.051</v>
      </c>
      <c r="O5" s="7">
        <f t="shared" si="3"/>
        <v>0.098</v>
      </c>
      <c r="P5" s="7">
        <f t="shared" si="3"/>
        <v>0.057</v>
      </c>
      <c r="Q5" s="7">
        <f t="shared" si="3"/>
        <v>0.11</v>
      </c>
      <c r="R5" s="7">
        <f t="shared" si="3"/>
        <v>0.042</v>
      </c>
      <c r="S5" s="7">
        <f t="shared" si="3"/>
        <v>0.087</v>
      </c>
    </row>
    <row r="6">
      <c r="B6" s="6" t="s">
        <v>7</v>
      </c>
      <c r="C6" s="7">
        <v>0.05</v>
      </c>
      <c r="D6" s="7">
        <v>0.089</v>
      </c>
      <c r="E6" s="7">
        <v>0.137</v>
      </c>
      <c r="F6" s="7">
        <v>0.093</v>
      </c>
      <c r="G6" s="7">
        <v>0.145</v>
      </c>
      <c r="H6" s="7">
        <v>0.073</v>
      </c>
      <c r="I6" s="7">
        <v>0.117</v>
      </c>
      <c r="J6" s="3"/>
      <c r="L6" s="6" t="s">
        <v>7</v>
      </c>
      <c r="M6" s="7">
        <f t="shared" ref="M6:S6" si="4">C6-$C$3</f>
        <v>0.002</v>
      </c>
      <c r="N6" s="7">
        <f t="shared" si="4"/>
        <v>0.041</v>
      </c>
      <c r="O6" s="7">
        <f t="shared" si="4"/>
        <v>0.089</v>
      </c>
      <c r="P6" s="7">
        <f t="shared" si="4"/>
        <v>0.045</v>
      </c>
      <c r="Q6" s="7">
        <f t="shared" si="4"/>
        <v>0.097</v>
      </c>
      <c r="R6" s="7">
        <f t="shared" si="4"/>
        <v>0.025</v>
      </c>
      <c r="S6" s="7">
        <f t="shared" si="4"/>
        <v>0.069</v>
      </c>
    </row>
    <row r="7">
      <c r="B7" s="6" t="s">
        <v>8</v>
      </c>
      <c r="C7" s="7">
        <v>0.065</v>
      </c>
      <c r="D7" s="7">
        <v>0.104</v>
      </c>
      <c r="E7" s="7">
        <v>0.149</v>
      </c>
      <c r="F7" s="7">
        <v>0.107</v>
      </c>
      <c r="G7" s="7">
        <v>0.154</v>
      </c>
      <c r="H7" s="7">
        <v>0.085</v>
      </c>
      <c r="I7" s="7">
        <v>0.12</v>
      </c>
      <c r="J7" s="3"/>
      <c r="L7" s="6" t="s">
        <v>8</v>
      </c>
      <c r="M7" s="7">
        <f t="shared" ref="M7:S7" si="5">C7-$C$3</f>
        <v>0.017</v>
      </c>
      <c r="N7" s="7">
        <f t="shared" si="5"/>
        <v>0.056</v>
      </c>
      <c r="O7" s="7">
        <f t="shared" si="5"/>
        <v>0.101</v>
      </c>
      <c r="P7" s="7">
        <f t="shared" si="5"/>
        <v>0.059</v>
      </c>
      <c r="Q7" s="7">
        <f t="shared" si="5"/>
        <v>0.106</v>
      </c>
      <c r="R7" s="7">
        <f t="shared" si="5"/>
        <v>0.037</v>
      </c>
      <c r="S7" s="7">
        <f t="shared" si="5"/>
        <v>0.072</v>
      </c>
    </row>
    <row r="8">
      <c r="B8" s="6" t="s">
        <v>9</v>
      </c>
      <c r="C8" s="7">
        <v>0.052</v>
      </c>
      <c r="D8" s="7">
        <v>0.095</v>
      </c>
      <c r="E8" s="7">
        <v>0.143</v>
      </c>
      <c r="F8" s="7">
        <v>0.096</v>
      </c>
      <c r="G8" s="7">
        <v>0.144</v>
      </c>
      <c r="H8" s="7">
        <v>0.069</v>
      </c>
      <c r="I8" s="7">
        <v>0.11</v>
      </c>
      <c r="J8" s="3"/>
      <c r="L8" s="6" t="s">
        <v>9</v>
      </c>
      <c r="M8" s="7">
        <f t="shared" ref="M8:S8" si="6">C8-$C$3</f>
        <v>0.004</v>
      </c>
      <c r="N8" s="7">
        <f t="shared" si="6"/>
        <v>0.047</v>
      </c>
      <c r="O8" s="7">
        <f t="shared" si="6"/>
        <v>0.095</v>
      </c>
      <c r="P8" s="7">
        <f t="shared" si="6"/>
        <v>0.048</v>
      </c>
      <c r="Q8" s="7">
        <f t="shared" si="6"/>
        <v>0.096</v>
      </c>
      <c r="R8" s="7">
        <f t="shared" si="6"/>
        <v>0.021</v>
      </c>
      <c r="S8" s="7">
        <f t="shared" si="6"/>
        <v>0.062</v>
      </c>
    </row>
    <row r="9">
      <c r="B9" s="6" t="s">
        <v>10</v>
      </c>
      <c r="C9" s="7">
        <v>0.07</v>
      </c>
      <c r="D9" s="7">
        <v>0.104</v>
      </c>
      <c r="E9" s="7">
        <v>0.157</v>
      </c>
      <c r="F9" s="7">
        <v>0.108</v>
      </c>
      <c r="G9" s="7">
        <v>0.154</v>
      </c>
      <c r="H9" s="7">
        <v>0.077</v>
      </c>
      <c r="I9" s="7">
        <v>0.115</v>
      </c>
      <c r="J9" s="3"/>
      <c r="L9" s="6" t="s">
        <v>10</v>
      </c>
      <c r="M9" s="7">
        <f t="shared" ref="M9:S9" si="7">C9-$C$3</f>
        <v>0.022</v>
      </c>
      <c r="N9" s="7">
        <f t="shared" si="7"/>
        <v>0.056</v>
      </c>
      <c r="O9" s="7">
        <f t="shared" si="7"/>
        <v>0.109</v>
      </c>
      <c r="P9" s="7">
        <f t="shared" si="7"/>
        <v>0.06</v>
      </c>
      <c r="Q9" s="7">
        <f t="shared" si="7"/>
        <v>0.106</v>
      </c>
      <c r="R9" s="7">
        <f t="shared" si="7"/>
        <v>0.029</v>
      </c>
      <c r="S9" s="7">
        <f t="shared" si="7"/>
        <v>0.067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0.224</v>
      </c>
      <c r="D13" s="7">
        <v>0.257</v>
      </c>
      <c r="E13" s="7">
        <v>0.296</v>
      </c>
      <c r="F13" s="7">
        <v>0.255</v>
      </c>
      <c r="G13" s="7">
        <v>0.284</v>
      </c>
      <c r="H13" s="7">
        <v>0.25</v>
      </c>
      <c r="I13" s="7">
        <v>0.279</v>
      </c>
      <c r="J13" s="3"/>
      <c r="L13" s="6" t="s">
        <v>4</v>
      </c>
      <c r="M13" s="7">
        <f t="shared" ref="M13:S13" si="8">C13-$C$13</f>
        <v>0</v>
      </c>
      <c r="N13" s="7">
        <f t="shared" si="8"/>
        <v>0.033</v>
      </c>
      <c r="O13" s="7">
        <f t="shared" si="8"/>
        <v>0.072</v>
      </c>
      <c r="P13" s="7">
        <f t="shared" si="8"/>
        <v>0.031</v>
      </c>
      <c r="Q13" s="7">
        <f t="shared" si="8"/>
        <v>0.06</v>
      </c>
      <c r="R13" s="7">
        <f t="shared" si="8"/>
        <v>0.026</v>
      </c>
      <c r="S13" s="7">
        <f t="shared" si="8"/>
        <v>0.055</v>
      </c>
    </row>
    <row r="14">
      <c r="B14" s="6" t="s">
        <v>5</v>
      </c>
      <c r="C14" s="7">
        <v>0.228</v>
      </c>
      <c r="D14" s="7">
        <v>0.259</v>
      </c>
      <c r="E14" s="7">
        <v>0.301</v>
      </c>
      <c r="F14" s="7">
        <v>0.259</v>
      </c>
      <c r="G14" s="7">
        <v>0.285</v>
      </c>
      <c r="H14" s="7">
        <v>0.253</v>
      </c>
      <c r="I14" s="7">
        <v>0.281</v>
      </c>
      <c r="J14" s="3"/>
      <c r="L14" s="6" t="s">
        <v>5</v>
      </c>
      <c r="M14" s="7">
        <f t="shared" ref="M14:S14" si="9">C14-$C$13</f>
        <v>0.004</v>
      </c>
      <c r="N14" s="7">
        <f t="shared" si="9"/>
        <v>0.035</v>
      </c>
      <c r="O14" s="7">
        <f t="shared" si="9"/>
        <v>0.077</v>
      </c>
      <c r="P14" s="7">
        <f t="shared" si="9"/>
        <v>0.035</v>
      </c>
      <c r="Q14" s="7">
        <f t="shared" si="9"/>
        <v>0.061</v>
      </c>
      <c r="R14" s="7">
        <f t="shared" si="9"/>
        <v>0.029</v>
      </c>
      <c r="S14" s="7">
        <f t="shared" si="9"/>
        <v>0.057</v>
      </c>
    </row>
    <row r="15">
      <c r="B15" s="6" t="s">
        <v>6</v>
      </c>
      <c r="C15" s="7">
        <v>0.229</v>
      </c>
      <c r="D15" s="7">
        <v>0.261</v>
      </c>
      <c r="E15" s="7">
        <v>0.299</v>
      </c>
      <c r="F15" s="7">
        <v>0.258</v>
      </c>
      <c r="G15" s="7">
        <v>0.286</v>
      </c>
      <c r="H15" s="7">
        <v>0.254</v>
      </c>
      <c r="I15" s="7">
        <v>0.281</v>
      </c>
      <c r="J15" s="3"/>
      <c r="L15" s="6" t="s">
        <v>6</v>
      </c>
      <c r="M15" s="7">
        <f t="shared" ref="M15:S15" si="10">C15-$C$13</f>
        <v>0.005</v>
      </c>
      <c r="N15" s="7">
        <f t="shared" si="10"/>
        <v>0.037</v>
      </c>
      <c r="O15" s="7">
        <f t="shared" si="10"/>
        <v>0.075</v>
      </c>
      <c r="P15" s="7">
        <f t="shared" si="10"/>
        <v>0.034</v>
      </c>
      <c r="Q15" s="7">
        <f t="shared" si="10"/>
        <v>0.062</v>
      </c>
      <c r="R15" s="7">
        <f t="shared" si="10"/>
        <v>0.03</v>
      </c>
      <c r="S15" s="7">
        <f t="shared" si="10"/>
        <v>0.057</v>
      </c>
    </row>
    <row r="16">
      <c r="B16" s="6" t="s">
        <v>7</v>
      </c>
      <c r="C16" s="7">
        <v>0.246</v>
      </c>
      <c r="D16" s="7">
        <v>0.277</v>
      </c>
      <c r="E16" s="7">
        <v>0.318</v>
      </c>
      <c r="F16" s="7">
        <v>0.277</v>
      </c>
      <c r="G16" s="7">
        <v>0.304</v>
      </c>
      <c r="H16" s="7">
        <v>0.273</v>
      </c>
      <c r="I16" s="7">
        <v>0.301</v>
      </c>
      <c r="J16" s="3"/>
      <c r="L16" s="6" t="s">
        <v>7</v>
      </c>
      <c r="M16" s="7">
        <f t="shared" ref="M16:S16" si="11">C16-$C$13</f>
        <v>0.022</v>
      </c>
      <c r="N16" s="7">
        <f t="shared" si="11"/>
        <v>0.053</v>
      </c>
      <c r="O16" s="7">
        <f t="shared" si="11"/>
        <v>0.094</v>
      </c>
      <c r="P16" s="7">
        <f t="shared" si="11"/>
        <v>0.053</v>
      </c>
      <c r="Q16" s="7">
        <f t="shared" si="11"/>
        <v>0.08</v>
      </c>
      <c r="R16" s="7">
        <f t="shared" si="11"/>
        <v>0.049</v>
      </c>
      <c r="S16" s="7">
        <f t="shared" si="11"/>
        <v>0.077</v>
      </c>
    </row>
    <row r="17">
      <c r="B17" s="6" t="s">
        <v>8</v>
      </c>
      <c r="C17" s="7">
        <v>0.312</v>
      </c>
      <c r="D17" s="7">
        <v>0.341</v>
      </c>
      <c r="E17" s="7">
        <v>0.371</v>
      </c>
      <c r="F17" s="7">
        <v>0.345</v>
      </c>
      <c r="G17" s="7">
        <v>0.377</v>
      </c>
      <c r="H17" s="7">
        <v>0.341</v>
      </c>
      <c r="I17" s="7">
        <v>0.369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0.117</v>
      </c>
      <c r="O17" s="7">
        <f t="shared" si="12"/>
        <v>0.147</v>
      </c>
      <c r="P17" s="7">
        <f t="shared" si="12"/>
        <v>0.121</v>
      </c>
      <c r="Q17" s="7">
        <f t="shared" si="12"/>
        <v>0.153</v>
      </c>
      <c r="R17" s="7">
        <f t="shared" si="12"/>
        <v>0.117</v>
      </c>
      <c r="S17" s="7">
        <f t="shared" si="12"/>
        <v>0.145</v>
      </c>
    </row>
    <row r="18">
      <c r="B18" s="6" t="s">
        <v>9</v>
      </c>
      <c r="C18" s="7">
        <v>0.237</v>
      </c>
      <c r="D18" s="7">
        <v>0.268</v>
      </c>
      <c r="E18" s="7">
        <v>0.306</v>
      </c>
      <c r="F18" s="7">
        <v>0.269</v>
      </c>
      <c r="G18" s="7">
        <v>0.299</v>
      </c>
      <c r="H18" s="7">
        <v>0.263</v>
      </c>
      <c r="I18" s="7">
        <v>0.292</v>
      </c>
      <c r="J18" s="3"/>
      <c r="L18" s="6" t="s">
        <v>9</v>
      </c>
      <c r="M18" s="7">
        <f t="shared" ref="M18:S18" si="13">C18-$C$13</f>
        <v>0.013</v>
      </c>
      <c r="N18" s="7">
        <f t="shared" si="13"/>
        <v>0.044</v>
      </c>
      <c r="O18" s="7">
        <f t="shared" si="13"/>
        <v>0.082</v>
      </c>
      <c r="P18" s="7">
        <f t="shared" si="13"/>
        <v>0.045</v>
      </c>
      <c r="Q18" s="7">
        <f t="shared" si="13"/>
        <v>0.075</v>
      </c>
      <c r="R18" s="7">
        <f t="shared" si="13"/>
        <v>0.039</v>
      </c>
      <c r="S18" s="7">
        <f t="shared" si="13"/>
        <v>0.068</v>
      </c>
    </row>
    <row r="19">
      <c r="B19" s="6" t="s">
        <v>10</v>
      </c>
      <c r="C19" s="7">
        <v>0.296</v>
      </c>
      <c r="D19" s="7">
        <v>0.323</v>
      </c>
      <c r="E19" s="7">
        <v>0.36</v>
      </c>
      <c r="F19" s="7">
        <v>0.328</v>
      </c>
      <c r="G19" s="7">
        <v>0.357</v>
      </c>
      <c r="H19" s="7">
        <v>0.323</v>
      </c>
      <c r="I19" s="7">
        <v>0.35</v>
      </c>
      <c r="J19" s="3"/>
      <c r="L19" s="6" t="s">
        <v>10</v>
      </c>
      <c r="M19" s="7">
        <f t="shared" ref="M19:S19" si="14">C19-$C$13</f>
        <v>0.072</v>
      </c>
      <c r="N19" s="7">
        <f t="shared" si="14"/>
        <v>0.099</v>
      </c>
      <c r="O19" s="7">
        <f t="shared" si="14"/>
        <v>0.136</v>
      </c>
      <c r="P19" s="7">
        <f t="shared" si="14"/>
        <v>0.104</v>
      </c>
      <c r="Q19" s="7">
        <f t="shared" si="14"/>
        <v>0.133</v>
      </c>
      <c r="R19" s="7">
        <f t="shared" si="14"/>
        <v>0.099</v>
      </c>
      <c r="S19" s="7">
        <f t="shared" si="14"/>
        <v>0.126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0.339</v>
      </c>
      <c r="D23" s="7">
        <v>0.355</v>
      </c>
      <c r="E23" s="7">
        <v>0.371</v>
      </c>
      <c r="F23" s="7">
        <v>0.372</v>
      </c>
      <c r="G23" s="7">
        <v>0.402</v>
      </c>
      <c r="H23" s="7">
        <v>0.37</v>
      </c>
      <c r="I23" s="7">
        <v>0.4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0.016</v>
      </c>
      <c r="O23" s="7">
        <f t="shared" si="15"/>
        <v>0.032</v>
      </c>
      <c r="P23" s="7">
        <f t="shared" si="15"/>
        <v>0.033</v>
      </c>
      <c r="Q23" s="7">
        <f t="shared" si="15"/>
        <v>0.063</v>
      </c>
      <c r="R23" s="7">
        <f t="shared" si="15"/>
        <v>0.031</v>
      </c>
      <c r="S23" s="7">
        <f t="shared" si="15"/>
        <v>0.061</v>
      </c>
    </row>
    <row r="24">
      <c r="B24" s="6" t="s">
        <v>5</v>
      </c>
      <c r="C24" s="7">
        <v>0.346</v>
      </c>
      <c r="D24" s="7">
        <v>0.362</v>
      </c>
      <c r="E24" s="7">
        <v>0.376</v>
      </c>
      <c r="F24" s="7">
        <v>0.379</v>
      </c>
      <c r="G24" s="7">
        <v>0.412</v>
      </c>
      <c r="H24" s="7">
        <v>0.376</v>
      </c>
      <c r="I24" s="7">
        <v>0.407</v>
      </c>
      <c r="J24" s="3"/>
      <c r="L24" s="6" t="s">
        <v>5</v>
      </c>
      <c r="M24" s="7">
        <f t="shared" ref="M24:S24" si="16">C24-$C$23</f>
        <v>0.007</v>
      </c>
      <c r="N24" s="7">
        <f t="shared" si="16"/>
        <v>0.023</v>
      </c>
      <c r="O24" s="7">
        <f t="shared" si="16"/>
        <v>0.037</v>
      </c>
      <c r="P24" s="7">
        <f t="shared" si="16"/>
        <v>0.04</v>
      </c>
      <c r="Q24" s="7">
        <f t="shared" si="16"/>
        <v>0.073</v>
      </c>
      <c r="R24" s="7">
        <f t="shared" si="16"/>
        <v>0.037</v>
      </c>
      <c r="S24" s="7">
        <f t="shared" si="16"/>
        <v>0.068</v>
      </c>
    </row>
    <row r="25">
      <c r="B25" s="6" t="s">
        <v>6</v>
      </c>
      <c r="C25" s="7">
        <v>0.347</v>
      </c>
      <c r="D25" s="7">
        <v>0.362</v>
      </c>
      <c r="E25" s="7">
        <v>0.379</v>
      </c>
      <c r="F25" s="7">
        <v>0.38</v>
      </c>
      <c r="G25" s="7">
        <v>0.412</v>
      </c>
      <c r="H25" s="7">
        <v>0.379</v>
      </c>
      <c r="I25" s="7">
        <v>0.412</v>
      </c>
      <c r="J25" s="3"/>
      <c r="L25" s="6" t="s">
        <v>6</v>
      </c>
      <c r="M25" s="7">
        <f t="shared" ref="M25:S25" si="17">C25-$C$23</f>
        <v>0.008</v>
      </c>
      <c r="N25" s="7">
        <f t="shared" si="17"/>
        <v>0.023</v>
      </c>
      <c r="O25" s="7">
        <f t="shared" si="17"/>
        <v>0.04</v>
      </c>
      <c r="P25" s="7">
        <f t="shared" si="17"/>
        <v>0.041</v>
      </c>
      <c r="Q25" s="7">
        <f t="shared" si="17"/>
        <v>0.073</v>
      </c>
      <c r="R25" s="7">
        <f t="shared" si="17"/>
        <v>0.04</v>
      </c>
      <c r="S25" s="7">
        <f t="shared" si="17"/>
        <v>0.073</v>
      </c>
    </row>
    <row r="26">
      <c r="B26" s="6" t="s">
        <v>7</v>
      </c>
      <c r="C26" s="7">
        <v>0.362</v>
      </c>
      <c r="D26" s="7">
        <v>0.376</v>
      </c>
      <c r="E26" s="7">
        <v>0.391</v>
      </c>
      <c r="F26" s="7">
        <v>0.387</v>
      </c>
      <c r="G26" s="7">
        <v>0.412</v>
      </c>
      <c r="H26" s="7">
        <v>0.385</v>
      </c>
      <c r="I26" s="7">
        <v>0.409</v>
      </c>
      <c r="J26" s="3"/>
      <c r="L26" s="6" t="s">
        <v>7</v>
      </c>
      <c r="M26" s="7">
        <f t="shared" ref="M26:S26" si="18">C26-$C$23</f>
        <v>0.023</v>
      </c>
      <c r="N26" s="7">
        <f t="shared" si="18"/>
        <v>0.037</v>
      </c>
      <c r="O26" s="7">
        <f t="shared" si="18"/>
        <v>0.052</v>
      </c>
      <c r="P26" s="7">
        <f t="shared" si="18"/>
        <v>0.048</v>
      </c>
      <c r="Q26" s="7">
        <f t="shared" si="18"/>
        <v>0.073</v>
      </c>
      <c r="R26" s="7">
        <f t="shared" si="18"/>
        <v>0.046</v>
      </c>
      <c r="S26" s="7">
        <f t="shared" si="18"/>
        <v>0.07</v>
      </c>
    </row>
    <row r="27">
      <c r="B27" s="6" t="s">
        <v>8</v>
      </c>
      <c r="C27" s="7">
        <v>0.371</v>
      </c>
      <c r="D27" s="7">
        <v>0.385</v>
      </c>
      <c r="E27" s="7">
        <v>0.397</v>
      </c>
      <c r="F27" s="7">
        <v>0.388</v>
      </c>
      <c r="G27" s="7">
        <v>0.406</v>
      </c>
      <c r="H27" s="7">
        <v>0.388</v>
      </c>
      <c r="I27" s="7">
        <v>0.401</v>
      </c>
      <c r="J27" s="3"/>
      <c r="L27" s="6" t="s">
        <v>8</v>
      </c>
      <c r="M27" s="7">
        <f t="shared" ref="M27:S27" si="19">C27-$C$23</f>
        <v>0.032</v>
      </c>
      <c r="N27" s="7">
        <f t="shared" si="19"/>
        <v>0.046</v>
      </c>
      <c r="O27" s="7">
        <f t="shared" si="19"/>
        <v>0.058</v>
      </c>
      <c r="P27" s="7">
        <f t="shared" si="19"/>
        <v>0.049</v>
      </c>
      <c r="Q27" s="7">
        <f t="shared" si="19"/>
        <v>0.067</v>
      </c>
      <c r="R27" s="7">
        <f t="shared" si="19"/>
        <v>0.049</v>
      </c>
      <c r="S27" s="7">
        <f t="shared" si="19"/>
        <v>0.062</v>
      </c>
    </row>
    <row r="28">
      <c r="B28" s="6" t="s">
        <v>9</v>
      </c>
      <c r="C28" s="7">
        <v>0.35</v>
      </c>
      <c r="D28" s="7">
        <v>0.365</v>
      </c>
      <c r="E28" s="7">
        <v>0.379</v>
      </c>
      <c r="F28" s="7">
        <v>0.376</v>
      </c>
      <c r="G28" s="7">
        <v>0.403</v>
      </c>
      <c r="H28" s="7">
        <v>0.375</v>
      </c>
      <c r="I28" s="7">
        <v>0.401</v>
      </c>
      <c r="J28" s="3"/>
      <c r="L28" s="6" t="s">
        <v>9</v>
      </c>
      <c r="M28" s="7">
        <f t="shared" ref="M28:S28" si="20">C28-$C$23</f>
        <v>0.011</v>
      </c>
      <c r="N28" s="7">
        <f t="shared" si="20"/>
        <v>0.026</v>
      </c>
      <c r="O28" s="7">
        <f t="shared" si="20"/>
        <v>0.04</v>
      </c>
      <c r="P28" s="7">
        <f t="shared" si="20"/>
        <v>0.037</v>
      </c>
      <c r="Q28" s="7">
        <f t="shared" si="20"/>
        <v>0.064</v>
      </c>
      <c r="R28" s="7">
        <f t="shared" si="20"/>
        <v>0.036</v>
      </c>
      <c r="S28" s="7">
        <f t="shared" si="20"/>
        <v>0.062</v>
      </c>
    </row>
    <row r="29">
      <c r="B29" s="6" t="s">
        <v>10</v>
      </c>
      <c r="C29" s="7">
        <v>0.36</v>
      </c>
      <c r="D29" s="7">
        <v>0.375</v>
      </c>
      <c r="E29" s="7">
        <v>0.39</v>
      </c>
      <c r="F29" s="7">
        <v>0.379</v>
      </c>
      <c r="G29" s="7">
        <v>0.4</v>
      </c>
      <c r="H29" s="7">
        <v>0.379</v>
      </c>
      <c r="I29" s="7">
        <v>0.395</v>
      </c>
      <c r="J29" s="3"/>
      <c r="L29" s="6" t="s">
        <v>10</v>
      </c>
      <c r="M29" s="7">
        <f t="shared" ref="M29:S29" si="21">C29-$C$23</f>
        <v>0.021</v>
      </c>
      <c r="N29" s="7">
        <f t="shared" si="21"/>
        <v>0.036</v>
      </c>
      <c r="O29" s="7">
        <f t="shared" si="21"/>
        <v>0.051</v>
      </c>
      <c r="P29" s="7">
        <f t="shared" si="21"/>
        <v>0.04</v>
      </c>
      <c r="Q29" s="7">
        <f t="shared" si="21"/>
        <v>0.061</v>
      </c>
      <c r="R29" s="7">
        <f t="shared" si="21"/>
        <v>0.04</v>
      </c>
      <c r="S29" s="7">
        <f t="shared" si="21"/>
        <v>0.056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0.548</v>
      </c>
      <c r="D33" s="7">
        <v>0.543</v>
      </c>
      <c r="E33" s="7">
        <v>0.548</v>
      </c>
      <c r="F33" s="7">
        <v>0.554</v>
      </c>
      <c r="G33" s="7">
        <v>0.557</v>
      </c>
      <c r="H33" s="7">
        <v>0.552</v>
      </c>
      <c r="I33" s="7">
        <v>0.549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-0.005</v>
      </c>
      <c r="O33" s="7">
        <f t="shared" si="22"/>
        <v>0</v>
      </c>
      <c r="P33" s="7">
        <f t="shared" si="22"/>
        <v>0.006</v>
      </c>
      <c r="Q33" s="7">
        <f t="shared" si="22"/>
        <v>0.009</v>
      </c>
      <c r="R33" s="7">
        <f t="shared" si="22"/>
        <v>0.004</v>
      </c>
      <c r="S33" s="7">
        <f t="shared" si="22"/>
        <v>0.001</v>
      </c>
    </row>
    <row r="34">
      <c r="B34" s="6" t="s">
        <v>5</v>
      </c>
      <c r="C34" s="7">
        <v>0.567</v>
      </c>
      <c r="D34" s="7">
        <v>0.569</v>
      </c>
      <c r="E34" s="7">
        <v>0.56</v>
      </c>
      <c r="F34" s="7">
        <v>0.571</v>
      </c>
      <c r="G34" s="7">
        <v>0.562</v>
      </c>
      <c r="H34" s="7">
        <v>0.566</v>
      </c>
      <c r="I34" s="7">
        <v>0.574</v>
      </c>
      <c r="J34" s="3"/>
      <c r="L34" s="6" t="s">
        <v>5</v>
      </c>
      <c r="M34" s="7">
        <f t="shared" ref="M34:S34" si="23">C34-$C$33</f>
        <v>0.019</v>
      </c>
      <c r="N34" s="7">
        <f t="shared" si="23"/>
        <v>0.021</v>
      </c>
      <c r="O34" s="7">
        <f t="shared" si="23"/>
        <v>0.012</v>
      </c>
      <c r="P34" s="7">
        <f t="shared" si="23"/>
        <v>0.023</v>
      </c>
      <c r="Q34" s="7">
        <f t="shared" si="23"/>
        <v>0.014</v>
      </c>
      <c r="R34" s="7">
        <f t="shared" si="23"/>
        <v>0.018</v>
      </c>
      <c r="S34" s="7">
        <f t="shared" si="23"/>
        <v>0.026</v>
      </c>
    </row>
    <row r="35">
      <c r="B35" s="6" t="s">
        <v>6</v>
      </c>
      <c r="C35" s="7">
        <v>0.569</v>
      </c>
      <c r="D35" s="7">
        <v>0.56</v>
      </c>
      <c r="E35" s="7">
        <v>0.561</v>
      </c>
      <c r="F35" s="7">
        <v>0.571</v>
      </c>
      <c r="G35" s="7">
        <v>0.566</v>
      </c>
      <c r="H35" s="7">
        <v>0.573</v>
      </c>
      <c r="I35" s="7">
        <v>0.567</v>
      </c>
      <c r="J35" s="3"/>
      <c r="L35" s="6" t="s">
        <v>6</v>
      </c>
      <c r="M35" s="7">
        <f t="shared" ref="M35:S35" si="24">C35-$C$33</f>
        <v>0.021</v>
      </c>
      <c r="N35" s="7">
        <f t="shared" si="24"/>
        <v>0.012</v>
      </c>
      <c r="O35" s="7">
        <f t="shared" si="24"/>
        <v>0.013</v>
      </c>
      <c r="P35" s="7">
        <f t="shared" si="24"/>
        <v>0.023</v>
      </c>
      <c r="Q35" s="7">
        <f t="shared" si="24"/>
        <v>0.018</v>
      </c>
      <c r="R35" s="7">
        <f t="shared" si="24"/>
        <v>0.025</v>
      </c>
      <c r="S35" s="7">
        <f t="shared" si="24"/>
        <v>0.019</v>
      </c>
    </row>
    <row r="36">
      <c r="B36" s="6" t="s">
        <v>7</v>
      </c>
      <c r="C36" s="7">
        <v>0.56</v>
      </c>
      <c r="D36" s="7">
        <v>0.55</v>
      </c>
      <c r="E36" s="7">
        <v>0.566</v>
      </c>
      <c r="F36" s="7">
        <v>0.566</v>
      </c>
      <c r="G36" s="7">
        <v>0.568</v>
      </c>
      <c r="H36" s="7">
        <v>0.562</v>
      </c>
      <c r="I36" s="7">
        <v>0.562</v>
      </c>
      <c r="J36" s="3"/>
      <c r="L36" s="6" t="s">
        <v>7</v>
      </c>
      <c r="M36" s="7">
        <f t="shared" ref="M36:S36" si="25">C36-$C$33</f>
        <v>0.012</v>
      </c>
      <c r="N36" s="7">
        <f t="shared" si="25"/>
        <v>0.002</v>
      </c>
      <c r="O36" s="7">
        <f t="shared" si="25"/>
        <v>0.018</v>
      </c>
      <c r="P36" s="7">
        <f t="shared" si="25"/>
        <v>0.018</v>
      </c>
      <c r="Q36" s="7">
        <f t="shared" si="25"/>
        <v>0.02</v>
      </c>
      <c r="R36" s="7">
        <f t="shared" si="25"/>
        <v>0.014</v>
      </c>
      <c r="S36" s="7">
        <f t="shared" si="25"/>
        <v>0.014</v>
      </c>
    </row>
    <row r="37">
      <c r="B37" s="6" t="s">
        <v>8</v>
      </c>
      <c r="C37" s="7">
        <v>0.558</v>
      </c>
      <c r="D37" s="7">
        <v>0.558</v>
      </c>
      <c r="E37" s="7">
        <v>0.556</v>
      </c>
      <c r="F37" s="7">
        <v>0.561</v>
      </c>
      <c r="G37" s="7">
        <v>0.55</v>
      </c>
      <c r="H37" s="7">
        <v>0.56</v>
      </c>
      <c r="I37" s="7">
        <v>0.548</v>
      </c>
      <c r="J37" s="3"/>
      <c r="L37" s="6" t="s">
        <v>8</v>
      </c>
      <c r="M37" s="7">
        <f t="shared" ref="M37:S37" si="26">C37-$C$33</f>
        <v>0.01</v>
      </c>
      <c r="N37" s="7">
        <f t="shared" si="26"/>
        <v>0.01</v>
      </c>
      <c r="O37" s="7">
        <f t="shared" si="26"/>
        <v>0.008</v>
      </c>
      <c r="P37" s="7">
        <f t="shared" si="26"/>
        <v>0.013</v>
      </c>
      <c r="Q37" s="7">
        <f t="shared" si="26"/>
        <v>0.002</v>
      </c>
      <c r="R37" s="7">
        <f t="shared" si="26"/>
        <v>0.012</v>
      </c>
      <c r="S37" s="7">
        <f t="shared" si="26"/>
        <v>0</v>
      </c>
    </row>
    <row r="38">
      <c r="B38" s="6" t="s">
        <v>9</v>
      </c>
      <c r="C38" s="7">
        <v>0.565</v>
      </c>
      <c r="D38" s="7">
        <v>0.56</v>
      </c>
      <c r="E38" s="7">
        <v>0.566</v>
      </c>
      <c r="F38" s="7">
        <v>0.573</v>
      </c>
      <c r="G38" s="7">
        <v>0.564</v>
      </c>
      <c r="H38" s="7">
        <v>0.567</v>
      </c>
      <c r="I38" s="7">
        <v>0.571</v>
      </c>
      <c r="J38" s="3"/>
      <c r="L38" s="6" t="s">
        <v>9</v>
      </c>
      <c r="M38" s="7">
        <f t="shared" ref="M38:S38" si="27">C38-$C$33</f>
        <v>0.017</v>
      </c>
      <c r="N38" s="7">
        <f t="shared" si="27"/>
        <v>0.012</v>
      </c>
      <c r="O38" s="7">
        <f t="shared" si="27"/>
        <v>0.018</v>
      </c>
      <c r="P38" s="7">
        <f t="shared" si="27"/>
        <v>0.025</v>
      </c>
      <c r="Q38" s="7">
        <f t="shared" si="27"/>
        <v>0.016</v>
      </c>
      <c r="R38" s="7">
        <f t="shared" si="27"/>
        <v>0.019</v>
      </c>
      <c r="S38" s="7">
        <f t="shared" si="27"/>
        <v>0.023</v>
      </c>
    </row>
    <row r="39">
      <c r="B39" s="6" t="s">
        <v>10</v>
      </c>
      <c r="C39" s="7">
        <v>0.562</v>
      </c>
      <c r="D39" s="7">
        <v>0.556</v>
      </c>
      <c r="E39" s="7">
        <v>0.555</v>
      </c>
      <c r="F39" s="7">
        <v>0.565</v>
      </c>
      <c r="G39" s="7">
        <v>0.557</v>
      </c>
      <c r="H39" s="7">
        <v>0.557</v>
      </c>
      <c r="I39" s="7">
        <v>0.557</v>
      </c>
      <c r="J39" s="3"/>
      <c r="L39" s="6" t="s">
        <v>10</v>
      </c>
      <c r="M39" s="7">
        <f t="shared" ref="M39:S39" si="28">C39-$C$33</f>
        <v>0.014</v>
      </c>
      <c r="N39" s="7">
        <f t="shared" si="28"/>
        <v>0.008</v>
      </c>
      <c r="O39" s="7">
        <f t="shared" si="28"/>
        <v>0.007</v>
      </c>
      <c r="P39" s="7">
        <f t="shared" si="28"/>
        <v>0.017</v>
      </c>
      <c r="Q39" s="7">
        <f t="shared" si="28"/>
        <v>0.009</v>
      </c>
      <c r="R39" s="7">
        <f t="shared" si="28"/>
        <v>0.009</v>
      </c>
      <c r="S39" s="7">
        <f t="shared" si="28"/>
        <v>0.009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0.308</v>
      </c>
      <c r="D43" s="7">
        <v>0.341</v>
      </c>
      <c r="E43" s="7">
        <v>0.364</v>
      </c>
      <c r="F43" s="7">
        <v>0.347</v>
      </c>
      <c r="G43" s="7">
        <v>0.377</v>
      </c>
      <c r="H43" s="7">
        <v>0.328</v>
      </c>
      <c r="I43" s="7">
        <v>0.371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0.033</v>
      </c>
      <c r="O43" s="7">
        <f t="shared" si="29"/>
        <v>0.056</v>
      </c>
      <c r="P43" s="7">
        <f t="shared" si="29"/>
        <v>0.039</v>
      </c>
      <c r="Q43" s="7">
        <f t="shared" si="29"/>
        <v>0.069</v>
      </c>
      <c r="R43" s="7">
        <f t="shared" si="29"/>
        <v>0.02</v>
      </c>
      <c r="S43" s="7">
        <f t="shared" si="29"/>
        <v>0.063</v>
      </c>
    </row>
    <row r="44">
      <c r="B44" s="6" t="s">
        <v>5</v>
      </c>
      <c r="C44" s="7">
        <v>0.191</v>
      </c>
      <c r="D44" s="7">
        <v>0.228</v>
      </c>
      <c r="E44" s="7">
        <v>0.265</v>
      </c>
      <c r="F44" s="7">
        <v>0.232</v>
      </c>
      <c r="G44" s="7">
        <v>0.258</v>
      </c>
      <c r="H44" s="7">
        <v>0.213</v>
      </c>
      <c r="I44" s="7">
        <v>0.256</v>
      </c>
      <c r="J44" s="3"/>
      <c r="L44" s="6" t="s">
        <v>5</v>
      </c>
      <c r="M44" s="7">
        <f t="shared" ref="M44:S44" si="30">C44-$C$43</f>
        <v>-0.117</v>
      </c>
      <c r="N44" s="7">
        <f t="shared" si="30"/>
        <v>-0.08</v>
      </c>
      <c r="O44" s="7">
        <f t="shared" si="30"/>
        <v>-0.043</v>
      </c>
      <c r="P44" s="7">
        <f t="shared" si="30"/>
        <v>-0.076</v>
      </c>
      <c r="Q44" s="7">
        <f t="shared" si="30"/>
        <v>-0.05</v>
      </c>
      <c r="R44" s="7">
        <f t="shared" si="30"/>
        <v>-0.095</v>
      </c>
      <c r="S44" s="7">
        <f t="shared" si="30"/>
        <v>-0.052</v>
      </c>
    </row>
    <row r="45">
      <c r="B45" s="6" t="s">
        <v>6</v>
      </c>
      <c r="C45" s="7">
        <v>0.192</v>
      </c>
      <c r="D45" s="7">
        <v>0.229</v>
      </c>
      <c r="E45" s="7">
        <v>0.262</v>
      </c>
      <c r="F45" s="7">
        <v>0.231</v>
      </c>
      <c r="G45" s="7">
        <v>0.256</v>
      </c>
      <c r="H45" s="7">
        <v>0.209</v>
      </c>
      <c r="I45" s="7">
        <v>0.255</v>
      </c>
      <c r="J45" s="3"/>
      <c r="L45" s="6" t="s">
        <v>6</v>
      </c>
      <c r="M45" s="7">
        <f t="shared" ref="M45:S45" si="31">C45-$C$43</f>
        <v>-0.116</v>
      </c>
      <c r="N45" s="7">
        <f t="shared" si="31"/>
        <v>-0.079</v>
      </c>
      <c r="O45" s="7">
        <f t="shared" si="31"/>
        <v>-0.046</v>
      </c>
      <c r="P45" s="7">
        <f t="shared" si="31"/>
        <v>-0.077</v>
      </c>
      <c r="Q45" s="7">
        <f t="shared" si="31"/>
        <v>-0.052</v>
      </c>
      <c r="R45" s="7">
        <f t="shared" si="31"/>
        <v>-0.099</v>
      </c>
      <c r="S45" s="7">
        <f t="shared" si="31"/>
        <v>-0.053</v>
      </c>
    </row>
    <row r="46">
      <c r="B46" s="6" t="s">
        <v>7</v>
      </c>
      <c r="C46" s="7">
        <v>0.324</v>
      </c>
      <c r="D46" s="7">
        <v>0.36</v>
      </c>
      <c r="E46" s="7">
        <v>0.38</v>
      </c>
      <c r="F46" s="7">
        <v>0.354</v>
      </c>
      <c r="G46" s="7">
        <v>0.366</v>
      </c>
      <c r="H46" s="7">
        <v>0.341</v>
      </c>
      <c r="I46" s="7">
        <v>0.368</v>
      </c>
      <c r="J46" s="3"/>
      <c r="L46" s="6" t="s">
        <v>7</v>
      </c>
      <c r="M46" s="7">
        <f t="shared" ref="M46:S46" si="32">C46-$C$43</f>
        <v>0.016</v>
      </c>
      <c r="N46" s="7">
        <f t="shared" si="32"/>
        <v>0.052</v>
      </c>
      <c r="O46" s="7">
        <f t="shared" si="32"/>
        <v>0.072</v>
      </c>
      <c r="P46" s="7">
        <f t="shared" si="32"/>
        <v>0.046</v>
      </c>
      <c r="Q46" s="7">
        <f t="shared" si="32"/>
        <v>0.058</v>
      </c>
      <c r="R46" s="7">
        <f t="shared" si="32"/>
        <v>0.033</v>
      </c>
      <c r="S46" s="7">
        <f t="shared" si="32"/>
        <v>0.06</v>
      </c>
    </row>
    <row r="47">
      <c r="B47" s="6" t="s">
        <v>8</v>
      </c>
      <c r="C47" s="7">
        <v>0.236</v>
      </c>
      <c r="D47" s="7">
        <v>0.272</v>
      </c>
      <c r="E47" s="7">
        <v>0.303</v>
      </c>
      <c r="F47" s="7">
        <v>0.241</v>
      </c>
      <c r="G47" s="7">
        <v>0.243</v>
      </c>
      <c r="H47" s="7">
        <v>0.239</v>
      </c>
      <c r="I47" s="7">
        <v>0.247</v>
      </c>
      <c r="J47" s="3"/>
      <c r="L47" s="6" t="s">
        <v>8</v>
      </c>
      <c r="M47" s="7">
        <f t="shared" ref="M47:S47" si="33">C47-$C$43</f>
        <v>-0.072</v>
      </c>
      <c r="N47" s="7">
        <f t="shared" si="33"/>
        <v>-0.036</v>
      </c>
      <c r="O47" s="7">
        <f t="shared" si="33"/>
        <v>-0.005</v>
      </c>
      <c r="P47" s="7">
        <f t="shared" si="33"/>
        <v>-0.067</v>
      </c>
      <c r="Q47" s="7">
        <f t="shared" si="33"/>
        <v>-0.065</v>
      </c>
      <c r="R47" s="7">
        <f t="shared" si="33"/>
        <v>-0.069</v>
      </c>
      <c r="S47" s="7">
        <f t="shared" si="33"/>
        <v>-0.061</v>
      </c>
    </row>
    <row r="48">
      <c r="B48" s="6" t="s">
        <v>9</v>
      </c>
      <c r="C48" s="7">
        <v>0.251</v>
      </c>
      <c r="D48" s="7">
        <v>0.283</v>
      </c>
      <c r="E48" s="7">
        <v>0.314</v>
      </c>
      <c r="F48" s="7">
        <v>0.261</v>
      </c>
      <c r="G48" s="7">
        <v>0.274</v>
      </c>
      <c r="H48" s="7">
        <v>0.26</v>
      </c>
      <c r="I48" s="7">
        <v>0.271</v>
      </c>
      <c r="J48" s="3"/>
      <c r="L48" s="6" t="s">
        <v>9</v>
      </c>
      <c r="M48" s="7">
        <f t="shared" ref="M48:S48" si="34">C48-$C$43</f>
        <v>-0.057</v>
      </c>
      <c r="N48" s="7">
        <f t="shared" si="34"/>
        <v>-0.025</v>
      </c>
      <c r="O48" s="7">
        <f t="shared" si="34"/>
        <v>0.006</v>
      </c>
      <c r="P48" s="7">
        <f t="shared" si="34"/>
        <v>-0.047</v>
      </c>
      <c r="Q48" s="7">
        <f t="shared" si="34"/>
        <v>-0.034</v>
      </c>
      <c r="R48" s="7">
        <f t="shared" si="34"/>
        <v>-0.048</v>
      </c>
      <c r="S48" s="7">
        <f t="shared" si="34"/>
        <v>-0.037</v>
      </c>
    </row>
    <row r="49">
      <c r="B49" s="6" t="s">
        <v>10</v>
      </c>
      <c r="C49" s="7">
        <v>0.397</v>
      </c>
      <c r="D49" s="7">
        <v>0.426</v>
      </c>
      <c r="E49" s="7">
        <v>0.441</v>
      </c>
      <c r="F49" s="7">
        <v>0.408</v>
      </c>
      <c r="G49" s="7">
        <v>0.414</v>
      </c>
      <c r="H49" s="7">
        <v>0.402</v>
      </c>
      <c r="I49" s="7">
        <v>0.412</v>
      </c>
      <c r="J49" s="3"/>
      <c r="L49" s="6" t="s">
        <v>10</v>
      </c>
      <c r="M49" s="7">
        <f t="shared" ref="M49:S49" si="35">C49-$C$43</f>
        <v>0.089</v>
      </c>
      <c r="N49" s="7">
        <f t="shared" si="35"/>
        <v>0.118</v>
      </c>
      <c r="O49" s="7">
        <f t="shared" si="35"/>
        <v>0.133</v>
      </c>
      <c r="P49" s="7">
        <f t="shared" si="35"/>
        <v>0.1</v>
      </c>
      <c r="Q49" s="7">
        <f t="shared" si="35"/>
        <v>0.106</v>
      </c>
      <c r="R49" s="7">
        <f t="shared" si="35"/>
        <v>0.094</v>
      </c>
      <c r="S49" s="7">
        <f t="shared" si="35"/>
        <v>0.104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0.035</v>
      </c>
      <c r="O53" s="7">
        <f t="shared" si="36"/>
        <v>0.067</v>
      </c>
      <c r="P53" s="7">
        <f t="shared" si="36"/>
        <v>0.032</v>
      </c>
      <c r="Q53" s="7">
        <f t="shared" si="36"/>
        <v>0.064</v>
      </c>
      <c r="R53" s="7">
        <f t="shared" si="36"/>
        <v>0.031</v>
      </c>
      <c r="S53" s="7">
        <f t="shared" si="36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37">C54-$C$53</f>
        <v>-0.001</v>
      </c>
      <c r="N54" s="7">
        <f t="shared" si="37"/>
        <v>0.034</v>
      </c>
      <c r="O54" s="7">
        <f t="shared" si="37"/>
        <v>0.063</v>
      </c>
      <c r="P54" s="7">
        <f t="shared" si="37"/>
        <v>0.029</v>
      </c>
      <c r="Q54" s="7">
        <f t="shared" si="37"/>
        <v>0.06</v>
      </c>
      <c r="R54" s="7">
        <f t="shared" si="37"/>
        <v>0.029</v>
      </c>
      <c r="S54" s="7">
        <f t="shared" si="37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38">C55-$C$53</f>
        <v>-0.004</v>
      </c>
      <c r="N55" s="7">
        <f t="shared" si="38"/>
        <v>0.03</v>
      </c>
      <c r="O55" s="7">
        <f t="shared" si="38"/>
        <v>0.064</v>
      </c>
      <c r="P55" s="7">
        <f t="shared" si="38"/>
        <v>0.029</v>
      </c>
      <c r="Q55" s="7">
        <f t="shared" si="38"/>
        <v>0.063</v>
      </c>
      <c r="R55" s="7">
        <f t="shared" si="38"/>
        <v>0.027</v>
      </c>
      <c r="S55" s="7">
        <f t="shared" si="38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39">C56-$C$53</f>
        <v>0.017</v>
      </c>
      <c r="N56" s="7">
        <f t="shared" si="39"/>
        <v>0.051</v>
      </c>
      <c r="O56" s="7">
        <f t="shared" si="39"/>
        <v>0.081</v>
      </c>
      <c r="P56" s="7">
        <f t="shared" si="39"/>
        <v>0.041</v>
      </c>
      <c r="Q56" s="7">
        <f t="shared" si="39"/>
        <v>0.062</v>
      </c>
      <c r="R56" s="7">
        <f t="shared" si="39"/>
        <v>0.037</v>
      </c>
      <c r="S56" s="7">
        <f t="shared" si="39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40">C57-$C$53</f>
        <v>0.071</v>
      </c>
      <c r="N57" s="7">
        <f t="shared" si="40"/>
        <v>0.104</v>
      </c>
      <c r="O57" s="7">
        <f t="shared" si="40"/>
        <v>0.13</v>
      </c>
      <c r="P57" s="7">
        <f t="shared" si="40"/>
        <v>0.062</v>
      </c>
      <c r="Q57" s="7">
        <f t="shared" si="40"/>
        <v>0.062</v>
      </c>
      <c r="R57" s="7">
        <f t="shared" si="40"/>
        <v>0.063</v>
      </c>
      <c r="S57" s="7">
        <f t="shared" si="40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41">C58-$C$53</f>
        <v>0.031</v>
      </c>
      <c r="N58" s="7">
        <f t="shared" si="41"/>
        <v>0.064</v>
      </c>
      <c r="O58" s="7">
        <f t="shared" si="41"/>
        <v>0.095</v>
      </c>
      <c r="P58" s="7">
        <f t="shared" si="41"/>
        <v>0.05</v>
      </c>
      <c r="Q58" s="7">
        <f t="shared" si="41"/>
        <v>0.063</v>
      </c>
      <c r="R58" s="7">
        <f t="shared" si="41"/>
        <v>0.046</v>
      </c>
      <c r="S58" s="7">
        <f t="shared" si="41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42">C59-$C$53</f>
        <v>0.072</v>
      </c>
      <c r="N59" s="7">
        <f t="shared" si="42"/>
        <v>0.103</v>
      </c>
      <c r="O59" s="7">
        <f t="shared" si="42"/>
        <v>0.127</v>
      </c>
      <c r="P59" s="7">
        <f t="shared" si="42"/>
        <v>0.062</v>
      </c>
      <c r="Q59" s="7">
        <f t="shared" si="42"/>
        <v>0.051</v>
      </c>
      <c r="R59" s="7">
        <f t="shared" si="42"/>
        <v>0.062</v>
      </c>
      <c r="S59" s="7">
        <f t="shared" si="42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0.0545</v>
      </c>
    </row>
    <row r="63">
      <c r="B63" s="6" t="s">
        <v>4</v>
      </c>
      <c r="C63" s="7">
        <f t="shared" ref="C63:I63" si="43">AVERAGE(C3, C13)</f>
        <v>0.136</v>
      </c>
      <c r="D63" s="7">
        <f t="shared" si="43"/>
        <v>0.1725</v>
      </c>
      <c r="E63" s="7">
        <f t="shared" si="43"/>
        <v>0.2175</v>
      </c>
      <c r="F63" s="7">
        <f t="shared" si="43"/>
        <v>0.175</v>
      </c>
      <c r="G63" s="7">
        <f t="shared" si="43"/>
        <v>0.215</v>
      </c>
      <c r="H63" s="7">
        <f t="shared" si="43"/>
        <v>0.163</v>
      </c>
      <c r="I63" s="7">
        <f t="shared" si="43"/>
        <v>0.2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0.0365</v>
      </c>
      <c r="O63" s="7">
        <f t="shared" si="44"/>
        <v>0.0815</v>
      </c>
      <c r="P63" s="7">
        <f t="shared" si="44"/>
        <v>0.039</v>
      </c>
      <c r="Q63" s="7">
        <f t="shared" si="44"/>
        <v>0.079</v>
      </c>
      <c r="R63" s="7">
        <f t="shared" si="44"/>
        <v>0.027</v>
      </c>
      <c r="S63" s="7">
        <f t="shared" si="44"/>
        <v>0.064</v>
      </c>
      <c r="U63" s="8" t="s">
        <v>23</v>
      </c>
      <c r="V63" s="3">
        <f>average(M64:M69)</f>
        <v>0.02191666667</v>
      </c>
    </row>
    <row r="64">
      <c r="B64" s="6" t="s">
        <v>5</v>
      </c>
      <c r="C64" s="7">
        <f t="shared" ref="C64:I64" si="45">AVERAGE(C4, C14)</f>
        <v>0.1395</v>
      </c>
      <c r="D64" s="7">
        <f t="shared" si="45"/>
        <v>0.1755</v>
      </c>
      <c r="E64" s="7">
        <f t="shared" si="45"/>
        <v>0.2215</v>
      </c>
      <c r="F64" s="7">
        <f t="shared" si="45"/>
        <v>0.178</v>
      </c>
      <c r="G64" s="7">
        <f t="shared" si="45"/>
        <v>0.217</v>
      </c>
      <c r="H64" s="7">
        <f t="shared" si="45"/>
        <v>0.1665</v>
      </c>
      <c r="I64" s="7">
        <f t="shared" si="45"/>
        <v>0.2015</v>
      </c>
      <c r="J64" s="3"/>
      <c r="L64" s="6" t="s">
        <v>5</v>
      </c>
      <c r="M64" s="7">
        <f t="shared" ref="M64:S64" si="46">C64-$C$63</f>
        <v>0.0035</v>
      </c>
      <c r="N64" s="7">
        <f t="shared" si="46"/>
        <v>0.0395</v>
      </c>
      <c r="O64" s="7">
        <f t="shared" si="46"/>
        <v>0.0855</v>
      </c>
      <c r="P64" s="7">
        <f t="shared" si="46"/>
        <v>0.042</v>
      </c>
      <c r="Q64" s="7">
        <f t="shared" si="46"/>
        <v>0.081</v>
      </c>
      <c r="R64" s="7">
        <f t="shared" si="46"/>
        <v>0.0305</v>
      </c>
      <c r="S64" s="7">
        <f t="shared" si="46"/>
        <v>0.0655</v>
      </c>
      <c r="U64" s="8" t="s">
        <v>24</v>
      </c>
      <c r="V64" s="3">
        <f>AVERAGE(N64:S69)</f>
        <v>0.07329166667</v>
      </c>
    </row>
    <row r="65">
      <c r="B65" s="6" t="s">
        <v>6</v>
      </c>
      <c r="C65" s="7">
        <f t="shared" ref="C65:I65" si="47">AVERAGE(C5, C15)</f>
        <v>0.144</v>
      </c>
      <c r="D65" s="7">
        <f t="shared" si="47"/>
        <v>0.18</v>
      </c>
      <c r="E65" s="7">
        <f t="shared" si="47"/>
        <v>0.2225</v>
      </c>
      <c r="F65" s="7">
        <f t="shared" si="47"/>
        <v>0.1815</v>
      </c>
      <c r="G65" s="7">
        <f t="shared" si="47"/>
        <v>0.222</v>
      </c>
      <c r="H65" s="7">
        <f t="shared" si="47"/>
        <v>0.172</v>
      </c>
      <c r="I65" s="7">
        <f t="shared" si="47"/>
        <v>0.208</v>
      </c>
      <c r="J65" s="3"/>
      <c r="L65" s="6" t="s">
        <v>6</v>
      </c>
      <c r="M65" s="7">
        <f t="shared" ref="M65:S65" si="48">C65-$C$63</f>
        <v>0.008</v>
      </c>
      <c r="N65" s="7">
        <f t="shared" si="48"/>
        <v>0.044</v>
      </c>
      <c r="O65" s="7">
        <f t="shared" si="48"/>
        <v>0.0865</v>
      </c>
      <c r="P65" s="7">
        <f t="shared" si="48"/>
        <v>0.0455</v>
      </c>
      <c r="Q65" s="7">
        <f t="shared" si="48"/>
        <v>0.086</v>
      </c>
      <c r="R65" s="7">
        <f t="shared" si="48"/>
        <v>0.036</v>
      </c>
      <c r="S65" s="7">
        <f t="shared" si="48"/>
        <v>0.072</v>
      </c>
    </row>
    <row r="66">
      <c r="B66" s="6" t="s">
        <v>7</v>
      </c>
      <c r="C66" s="7">
        <f t="shared" ref="C66:I66" si="49">AVERAGE(C6, C16)</f>
        <v>0.148</v>
      </c>
      <c r="D66" s="7">
        <f t="shared" si="49"/>
        <v>0.183</v>
      </c>
      <c r="E66" s="7">
        <f t="shared" si="49"/>
        <v>0.2275</v>
      </c>
      <c r="F66" s="7">
        <f t="shared" si="49"/>
        <v>0.185</v>
      </c>
      <c r="G66" s="7">
        <f t="shared" si="49"/>
        <v>0.2245</v>
      </c>
      <c r="H66" s="7">
        <f t="shared" si="49"/>
        <v>0.173</v>
      </c>
      <c r="I66" s="7">
        <f t="shared" si="49"/>
        <v>0.209</v>
      </c>
      <c r="J66" s="3"/>
      <c r="L66" s="6" t="s">
        <v>7</v>
      </c>
      <c r="M66" s="7">
        <f t="shared" ref="M66:S66" si="50">C66-$C$63</f>
        <v>0.012</v>
      </c>
      <c r="N66" s="7">
        <f t="shared" si="50"/>
        <v>0.047</v>
      </c>
      <c r="O66" s="7">
        <f t="shared" si="50"/>
        <v>0.0915</v>
      </c>
      <c r="P66" s="7">
        <f t="shared" si="50"/>
        <v>0.049</v>
      </c>
      <c r="Q66" s="7">
        <f t="shared" si="50"/>
        <v>0.0885</v>
      </c>
      <c r="R66" s="7">
        <f t="shared" si="50"/>
        <v>0.037</v>
      </c>
      <c r="S66" s="7">
        <f t="shared" si="50"/>
        <v>0.073</v>
      </c>
    </row>
    <row r="67">
      <c r="B67" s="6" t="s">
        <v>8</v>
      </c>
      <c r="C67" s="7">
        <f t="shared" ref="C67:I67" si="51">AVERAGE(C7, C17)</f>
        <v>0.1885</v>
      </c>
      <c r="D67" s="7">
        <f t="shared" si="51"/>
        <v>0.2225</v>
      </c>
      <c r="E67" s="7">
        <f t="shared" si="51"/>
        <v>0.26</v>
      </c>
      <c r="F67" s="7">
        <f t="shared" si="51"/>
        <v>0.226</v>
      </c>
      <c r="G67" s="7">
        <f t="shared" si="51"/>
        <v>0.2655</v>
      </c>
      <c r="H67" s="7">
        <f t="shared" si="51"/>
        <v>0.213</v>
      </c>
      <c r="I67" s="7">
        <f t="shared" si="51"/>
        <v>0.2445</v>
      </c>
      <c r="J67" s="3"/>
      <c r="L67" s="6" t="s">
        <v>8</v>
      </c>
      <c r="M67" s="7">
        <f t="shared" ref="M67:S67" si="52">C67-$C$63</f>
        <v>0.0525</v>
      </c>
      <c r="N67" s="7">
        <f t="shared" si="52"/>
        <v>0.0865</v>
      </c>
      <c r="O67" s="7">
        <f t="shared" si="52"/>
        <v>0.124</v>
      </c>
      <c r="P67" s="7">
        <f t="shared" si="52"/>
        <v>0.09</v>
      </c>
      <c r="Q67" s="7">
        <f t="shared" si="52"/>
        <v>0.1295</v>
      </c>
      <c r="R67" s="7">
        <f t="shared" si="52"/>
        <v>0.077</v>
      </c>
      <c r="S67" s="7">
        <f t="shared" si="52"/>
        <v>0.1085</v>
      </c>
    </row>
    <row r="68">
      <c r="B68" s="6" t="s">
        <v>9</v>
      </c>
      <c r="C68" s="7">
        <f t="shared" ref="C68:I68" si="53">AVERAGE(C8, C18)</f>
        <v>0.1445</v>
      </c>
      <c r="D68" s="7">
        <f t="shared" si="53"/>
        <v>0.1815</v>
      </c>
      <c r="E68" s="7">
        <f t="shared" si="53"/>
        <v>0.2245</v>
      </c>
      <c r="F68" s="7">
        <f t="shared" si="53"/>
        <v>0.1825</v>
      </c>
      <c r="G68" s="7">
        <f t="shared" si="53"/>
        <v>0.2215</v>
      </c>
      <c r="H68" s="7">
        <f t="shared" si="53"/>
        <v>0.166</v>
      </c>
      <c r="I68" s="7">
        <f t="shared" si="53"/>
        <v>0.201</v>
      </c>
      <c r="J68" s="3"/>
      <c r="L68" s="6" t="s">
        <v>9</v>
      </c>
      <c r="M68" s="7">
        <f t="shared" ref="M68:S68" si="54">C68-$C$63</f>
        <v>0.0085</v>
      </c>
      <c r="N68" s="7">
        <f t="shared" si="54"/>
        <v>0.0455</v>
      </c>
      <c r="O68" s="7">
        <f t="shared" si="54"/>
        <v>0.0885</v>
      </c>
      <c r="P68" s="7">
        <f t="shared" si="54"/>
        <v>0.0465</v>
      </c>
      <c r="Q68" s="7">
        <f t="shared" si="54"/>
        <v>0.0855</v>
      </c>
      <c r="R68" s="7">
        <f t="shared" si="54"/>
        <v>0.03</v>
      </c>
      <c r="S68" s="7">
        <f t="shared" si="54"/>
        <v>0.065</v>
      </c>
    </row>
    <row r="69">
      <c r="B69" s="6" t="s">
        <v>10</v>
      </c>
      <c r="C69" s="7">
        <f t="shared" ref="C69:I69" si="55">AVERAGE(C9, C19)</f>
        <v>0.183</v>
      </c>
      <c r="D69" s="7">
        <f t="shared" si="55"/>
        <v>0.2135</v>
      </c>
      <c r="E69" s="7">
        <f t="shared" si="55"/>
        <v>0.2585</v>
      </c>
      <c r="F69" s="7">
        <f t="shared" si="55"/>
        <v>0.218</v>
      </c>
      <c r="G69" s="7">
        <f t="shared" si="55"/>
        <v>0.2555</v>
      </c>
      <c r="H69" s="7">
        <f t="shared" si="55"/>
        <v>0.2</v>
      </c>
      <c r="I69" s="7">
        <f t="shared" si="55"/>
        <v>0.2325</v>
      </c>
      <c r="J69" s="3"/>
      <c r="L69" s="6" t="s">
        <v>10</v>
      </c>
      <c r="M69" s="7">
        <f t="shared" ref="M69:S69" si="56">C69-$C$63</f>
        <v>0.047</v>
      </c>
      <c r="N69" s="7">
        <f t="shared" si="56"/>
        <v>0.0775</v>
      </c>
      <c r="O69" s="7">
        <f t="shared" si="56"/>
        <v>0.1225</v>
      </c>
      <c r="P69" s="7">
        <f t="shared" si="56"/>
        <v>0.082</v>
      </c>
      <c r="Q69" s="7">
        <f t="shared" si="56"/>
        <v>0.1195</v>
      </c>
      <c r="R69" s="7">
        <f t="shared" si="56"/>
        <v>0.064</v>
      </c>
      <c r="S69" s="7">
        <f t="shared" si="56"/>
        <v>0.0965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0.02091666667</v>
      </c>
    </row>
    <row r="73">
      <c r="B73" s="6" t="s">
        <v>4</v>
      </c>
      <c r="C73" s="7">
        <f t="shared" ref="C73:I73" si="57">AVERAGE(C23, C33)</f>
        <v>0.4435</v>
      </c>
      <c r="D73" s="7">
        <f t="shared" si="57"/>
        <v>0.449</v>
      </c>
      <c r="E73" s="7">
        <f t="shared" si="57"/>
        <v>0.4595</v>
      </c>
      <c r="F73" s="7">
        <f t="shared" si="57"/>
        <v>0.463</v>
      </c>
      <c r="G73" s="7">
        <f t="shared" si="57"/>
        <v>0.4795</v>
      </c>
      <c r="H73" s="7">
        <f t="shared" si="57"/>
        <v>0.461</v>
      </c>
      <c r="I73" s="7">
        <f t="shared" si="57"/>
        <v>0.4745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0.0055</v>
      </c>
      <c r="O73" s="7">
        <f t="shared" si="58"/>
        <v>0.016</v>
      </c>
      <c r="P73" s="7">
        <f t="shared" si="58"/>
        <v>0.0195</v>
      </c>
      <c r="Q73" s="7">
        <f t="shared" si="58"/>
        <v>0.036</v>
      </c>
      <c r="R73" s="7">
        <f t="shared" si="58"/>
        <v>0.0175</v>
      </c>
      <c r="S73" s="7">
        <f t="shared" si="58"/>
        <v>0.031</v>
      </c>
      <c r="U73" s="8" t="s">
        <v>23</v>
      </c>
      <c r="V73" s="3">
        <f>average(M74:M79)</f>
        <v>0.01625</v>
      </c>
    </row>
    <row r="74">
      <c r="B74" s="6" t="s">
        <v>5</v>
      </c>
      <c r="C74" s="7">
        <f t="shared" ref="C74:I74" si="59">AVERAGE(C24, C34)</f>
        <v>0.4565</v>
      </c>
      <c r="D74" s="7">
        <f t="shared" si="59"/>
        <v>0.4655</v>
      </c>
      <c r="E74" s="7">
        <f t="shared" si="59"/>
        <v>0.468</v>
      </c>
      <c r="F74" s="7">
        <f t="shared" si="59"/>
        <v>0.475</v>
      </c>
      <c r="G74" s="7">
        <f t="shared" si="59"/>
        <v>0.487</v>
      </c>
      <c r="H74" s="7">
        <f t="shared" si="59"/>
        <v>0.471</v>
      </c>
      <c r="I74" s="7">
        <f t="shared" si="59"/>
        <v>0.4905</v>
      </c>
      <c r="J74" s="3"/>
      <c r="L74" s="6" t="s">
        <v>5</v>
      </c>
      <c r="M74" s="7">
        <f t="shared" ref="M74:S74" si="60">C74-$C$73</f>
        <v>0.013</v>
      </c>
      <c r="N74" s="7">
        <f t="shared" si="60"/>
        <v>0.022</v>
      </c>
      <c r="O74" s="7">
        <f t="shared" si="60"/>
        <v>0.0245</v>
      </c>
      <c r="P74" s="7">
        <f t="shared" si="60"/>
        <v>0.0315</v>
      </c>
      <c r="Q74" s="7">
        <f t="shared" si="60"/>
        <v>0.0435</v>
      </c>
      <c r="R74" s="7">
        <f t="shared" si="60"/>
        <v>0.0275</v>
      </c>
      <c r="S74" s="7">
        <f t="shared" si="60"/>
        <v>0.047</v>
      </c>
      <c r="U74" s="8" t="s">
        <v>24</v>
      </c>
      <c r="V74" s="3">
        <f>AVERAGE(N74:S79)</f>
        <v>0.03195833333</v>
      </c>
    </row>
    <row r="75">
      <c r="B75" s="6" t="s">
        <v>6</v>
      </c>
      <c r="C75" s="7">
        <f t="shared" ref="C75:I75" si="61">AVERAGE(C25, C35)</f>
        <v>0.458</v>
      </c>
      <c r="D75" s="7">
        <f t="shared" si="61"/>
        <v>0.461</v>
      </c>
      <c r="E75" s="7">
        <f t="shared" si="61"/>
        <v>0.47</v>
      </c>
      <c r="F75" s="7">
        <f t="shared" si="61"/>
        <v>0.4755</v>
      </c>
      <c r="G75" s="7">
        <f t="shared" si="61"/>
        <v>0.489</v>
      </c>
      <c r="H75" s="7">
        <f t="shared" si="61"/>
        <v>0.476</v>
      </c>
      <c r="I75" s="7">
        <f t="shared" si="61"/>
        <v>0.4895</v>
      </c>
      <c r="J75" s="3"/>
      <c r="L75" s="6" t="s">
        <v>6</v>
      </c>
      <c r="M75" s="7">
        <f t="shared" ref="M75:S75" si="62">C75-$C$73</f>
        <v>0.0145</v>
      </c>
      <c r="N75" s="7">
        <f t="shared" si="62"/>
        <v>0.0175</v>
      </c>
      <c r="O75" s="7">
        <f t="shared" si="62"/>
        <v>0.0265</v>
      </c>
      <c r="P75" s="7">
        <f t="shared" si="62"/>
        <v>0.032</v>
      </c>
      <c r="Q75" s="7">
        <f t="shared" si="62"/>
        <v>0.0455</v>
      </c>
      <c r="R75" s="7">
        <f t="shared" si="62"/>
        <v>0.0325</v>
      </c>
      <c r="S75" s="7">
        <f t="shared" si="62"/>
        <v>0.046</v>
      </c>
    </row>
    <row r="76">
      <c r="B76" s="6" t="s">
        <v>7</v>
      </c>
      <c r="C76" s="7">
        <f t="shared" ref="C76:I76" si="63">AVERAGE(C26, C36)</f>
        <v>0.461</v>
      </c>
      <c r="D76" s="7">
        <f t="shared" si="63"/>
        <v>0.463</v>
      </c>
      <c r="E76" s="7">
        <f t="shared" si="63"/>
        <v>0.4785</v>
      </c>
      <c r="F76" s="7">
        <f t="shared" si="63"/>
        <v>0.4765</v>
      </c>
      <c r="G76" s="7">
        <f t="shared" si="63"/>
        <v>0.49</v>
      </c>
      <c r="H76" s="7">
        <f t="shared" si="63"/>
        <v>0.4735</v>
      </c>
      <c r="I76" s="7">
        <f t="shared" si="63"/>
        <v>0.4855</v>
      </c>
      <c r="J76" s="3"/>
      <c r="L76" s="6" t="s">
        <v>7</v>
      </c>
      <c r="M76" s="7">
        <f t="shared" ref="M76:S76" si="64">C76-$C$73</f>
        <v>0.0175</v>
      </c>
      <c r="N76" s="7">
        <f t="shared" si="64"/>
        <v>0.0195</v>
      </c>
      <c r="O76" s="7">
        <f t="shared" si="64"/>
        <v>0.035</v>
      </c>
      <c r="P76" s="7">
        <f t="shared" si="64"/>
        <v>0.033</v>
      </c>
      <c r="Q76" s="7">
        <f t="shared" si="64"/>
        <v>0.0465</v>
      </c>
      <c r="R76" s="7">
        <f t="shared" si="64"/>
        <v>0.03</v>
      </c>
      <c r="S76" s="7">
        <f t="shared" si="64"/>
        <v>0.042</v>
      </c>
    </row>
    <row r="77">
      <c r="B77" s="6" t="s">
        <v>8</v>
      </c>
      <c r="C77" s="7">
        <f t="shared" ref="C77:I77" si="65">AVERAGE(C27, C37)</f>
        <v>0.4645</v>
      </c>
      <c r="D77" s="7">
        <f t="shared" si="65"/>
        <v>0.4715</v>
      </c>
      <c r="E77" s="7">
        <f t="shared" si="65"/>
        <v>0.4765</v>
      </c>
      <c r="F77" s="7">
        <f t="shared" si="65"/>
        <v>0.4745</v>
      </c>
      <c r="G77" s="7">
        <f t="shared" si="65"/>
        <v>0.478</v>
      </c>
      <c r="H77" s="7">
        <f t="shared" si="65"/>
        <v>0.474</v>
      </c>
      <c r="I77" s="7">
        <f t="shared" si="65"/>
        <v>0.4745</v>
      </c>
      <c r="J77" s="3"/>
      <c r="L77" s="6" t="s">
        <v>8</v>
      </c>
      <c r="M77" s="7">
        <f t="shared" ref="M77:S77" si="66">C77-$C$73</f>
        <v>0.021</v>
      </c>
      <c r="N77" s="7">
        <f t="shared" si="66"/>
        <v>0.028</v>
      </c>
      <c r="O77" s="7">
        <f t="shared" si="66"/>
        <v>0.033</v>
      </c>
      <c r="P77" s="7">
        <f t="shared" si="66"/>
        <v>0.031</v>
      </c>
      <c r="Q77" s="7">
        <f t="shared" si="66"/>
        <v>0.0345</v>
      </c>
      <c r="R77" s="7">
        <f t="shared" si="66"/>
        <v>0.0305</v>
      </c>
      <c r="S77" s="7">
        <f t="shared" si="66"/>
        <v>0.031</v>
      </c>
    </row>
    <row r="78">
      <c r="B78" s="6" t="s">
        <v>9</v>
      </c>
      <c r="C78" s="7">
        <f t="shared" ref="C78:I78" si="67">AVERAGE(C28, C38)</f>
        <v>0.4575</v>
      </c>
      <c r="D78" s="7">
        <f t="shared" si="67"/>
        <v>0.4625</v>
      </c>
      <c r="E78" s="7">
        <f t="shared" si="67"/>
        <v>0.4725</v>
      </c>
      <c r="F78" s="7">
        <f t="shared" si="67"/>
        <v>0.4745</v>
      </c>
      <c r="G78" s="7">
        <f t="shared" si="67"/>
        <v>0.4835</v>
      </c>
      <c r="H78" s="7">
        <f t="shared" si="67"/>
        <v>0.471</v>
      </c>
      <c r="I78" s="7">
        <f t="shared" si="67"/>
        <v>0.486</v>
      </c>
      <c r="J78" s="3"/>
      <c r="L78" s="6" t="s">
        <v>9</v>
      </c>
      <c r="M78" s="7">
        <f t="shared" ref="M78:S78" si="68">C78-$C$73</f>
        <v>0.014</v>
      </c>
      <c r="N78" s="7">
        <f t="shared" si="68"/>
        <v>0.019</v>
      </c>
      <c r="O78" s="7">
        <f t="shared" si="68"/>
        <v>0.029</v>
      </c>
      <c r="P78" s="7">
        <f t="shared" si="68"/>
        <v>0.031</v>
      </c>
      <c r="Q78" s="7">
        <f t="shared" si="68"/>
        <v>0.04</v>
      </c>
      <c r="R78" s="7">
        <f t="shared" si="68"/>
        <v>0.0275</v>
      </c>
      <c r="S78" s="7">
        <f t="shared" si="68"/>
        <v>0.0425</v>
      </c>
    </row>
    <row r="79">
      <c r="B79" s="6" t="s">
        <v>10</v>
      </c>
      <c r="C79" s="7">
        <f t="shared" ref="C79:I79" si="69">AVERAGE(C29, C39)</f>
        <v>0.461</v>
      </c>
      <c r="D79" s="7">
        <f t="shared" si="69"/>
        <v>0.4655</v>
      </c>
      <c r="E79" s="7">
        <f t="shared" si="69"/>
        <v>0.4725</v>
      </c>
      <c r="F79" s="7">
        <f t="shared" si="69"/>
        <v>0.472</v>
      </c>
      <c r="G79" s="7">
        <f t="shared" si="69"/>
        <v>0.4785</v>
      </c>
      <c r="H79" s="7">
        <f t="shared" si="69"/>
        <v>0.468</v>
      </c>
      <c r="I79" s="7">
        <f t="shared" si="69"/>
        <v>0.476</v>
      </c>
      <c r="J79" s="3"/>
      <c r="L79" s="6" t="s">
        <v>10</v>
      </c>
      <c r="M79" s="7">
        <f t="shared" ref="M79:S79" si="70">C79-$C$73</f>
        <v>0.0175</v>
      </c>
      <c r="N79" s="7">
        <f t="shared" si="70"/>
        <v>0.022</v>
      </c>
      <c r="O79" s="7">
        <f t="shared" si="70"/>
        <v>0.029</v>
      </c>
      <c r="P79" s="7">
        <f t="shared" si="70"/>
        <v>0.0285</v>
      </c>
      <c r="Q79" s="7">
        <f t="shared" si="70"/>
        <v>0.035</v>
      </c>
      <c r="R79" s="7">
        <f t="shared" si="70"/>
        <v>0.0245</v>
      </c>
      <c r="S79" s="7">
        <f t="shared" si="70"/>
        <v>0.0325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0.04758333333</v>
      </c>
    </row>
    <row r="83">
      <c r="B83" s="6" t="s">
        <v>4</v>
      </c>
      <c r="C83" s="7">
        <f t="shared" ref="C83:I83" si="71">AVERAGE(C43, C53)</f>
        <v>0.2995</v>
      </c>
      <c r="D83" s="7">
        <f t="shared" si="71"/>
        <v>0.3335</v>
      </c>
      <c r="E83" s="7">
        <f t="shared" si="71"/>
        <v>0.361</v>
      </c>
      <c r="F83" s="7">
        <f t="shared" si="71"/>
        <v>0.335</v>
      </c>
      <c r="G83" s="7">
        <f t="shared" si="71"/>
        <v>0.366</v>
      </c>
      <c r="H83" s="7">
        <f t="shared" si="71"/>
        <v>0.325</v>
      </c>
      <c r="I83" s="7">
        <f t="shared" si="71"/>
        <v>0.362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0.034</v>
      </c>
      <c r="O83" s="7">
        <f t="shared" si="72"/>
        <v>0.0615</v>
      </c>
      <c r="P83" s="7">
        <f t="shared" si="72"/>
        <v>0.0355</v>
      </c>
      <c r="Q83" s="7">
        <f t="shared" si="72"/>
        <v>0.0665</v>
      </c>
      <c r="R83" s="7">
        <f t="shared" si="72"/>
        <v>0.0255</v>
      </c>
      <c r="S83" s="7">
        <f t="shared" si="72"/>
        <v>0.0625</v>
      </c>
      <c r="U83" s="8" t="s">
        <v>23</v>
      </c>
      <c r="V83" s="3">
        <f>average(M84:M89)</f>
        <v>-0.005916666667</v>
      </c>
    </row>
    <row r="84">
      <c r="B84" s="6" t="s">
        <v>5</v>
      </c>
      <c r="C84" s="7">
        <f t="shared" ref="C84:I84" si="73">AVERAGE(C44, C54)</f>
        <v>0.2405</v>
      </c>
      <c r="D84" s="7">
        <f t="shared" si="73"/>
        <v>0.2765</v>
      </c>
      <c r="E84" s="7">
        <f t="shared" si="73"/>
        <v>0.3095</v>
      </c>
      <c r="F84" s="7">
        <f t="shared" si="73"/>
        <v>0.276</v>
      </c>
      <c r="G84" s="7">
        <f t="shared" si="73"/>
        <v>0.3045</v>
      </c>
      <c r="H84" s="7">
        <f t="shared" si="73"/>
        <v>0.2665</v>
      </c>
      <c r="I84" s="7">
        <f t="shared" si="73"/>
        <v>0.3015</v>
      </c>
      <c r="J84" s="3"/>
      <c r="L84" s="6" t="s">
        <v>5</v>
      </c>
      <c r="M84" s="7">
        <f t="shared" ref="M84:S84" si="74">C84-$C$83</f>
        <v>-0.059</v>
      </c>
      <c r="N84" s="7">
        <f t="shared" si="74"/>
        <v>-0.023</v>
      </c>
      <c r="O84" s="7">
        <f t="shared" si="74"/>
        <v>0.01</v>
      </c>
      <c r="P84" s="7">
        <f t="shared" si="74"/>
        <v>-0.0235</v>
      </c>
      <c r="Q84" s="7">
        <f t="shared" si="74"/>
        <v>0.005</v>
      </c>
      <c r="R84" s="7">
        <f t="shared" si="74"/>
        <v>-0.033</v>
      </c>
      <c r="S84" s="7">
        <f t="shared" si="74"/>
        <v>0.002</v>
      </c>
      <c r="U84" s="8" t="s">
        <v>24</v>
      </c>
      <c r="V84" s="3">
        <f>AVERAGE(N84:S89)</f>
        <v>0.026</v>
      </c>
    </row>
    <row r="85">
      <c r="B85" s="6" t="s">
        <v>6</v>
      </c>
      <c r="C85" s="7">
        <f t="shared" ref="C85:I85" si="75">AVERAGE(C45, C55)</f>
        <v>0.2395</v>
      </c>
      <c r="D85" s="7">
        <f t="shared" si="75"/>
        <v>0.275</v>
      </c>
      <c r="E85" s="7">
        <f t="shared" si="75"/>
        <v>0.3085</v>
      </c>
      <c r="F85" s="7">
        <f t="shared" si="75"/>
        <v>0.2755</v>
      </c>
      <c r="G85" s="7">
        <f t="shared" si="75"/>
        <v>0.305</v>
      </c>
      <c r="H85" s="7">
        <f t="shared" si="75"/>
        <v>0.2635</v>
      </c>
      <c r="I85" s="7">
        <f t="shared" si="75"/>
        <v>0.302</v>
      </c>
      <c r="J85" s="3"/>
      <c r="L85" s="6" t="s">
        <v>6</v>
      </c>
      <c r="M85" s="7">
        <f t="shared" ref="M85:S85" si="76">C85-$C$83</f>
        <v>-0.06</v>
      </c>
      <c r="N85" s="7">
        <f t="shared" si="76"/>
        <v>-0.0245</v>
      </c>
      <c r="O85" s="7">
        <f t="shared" si="76"/>
        <v>0.009</v>
      </c>
      <c r="P85" s="7">
        <f t="shared" si="76"/>
        <v>-0.024</v>
      </c>
      <c r="Q85" s="7">
        <f t="shared" si="76"/>
        <v>0.0055</v>
      </c>
      <c r="R85" s="7">
        <f t="shared" si="76"/>
        <v>-0.036</v>
      </c>
      <c r="S85" s="7">
        <f t="shared" si="76"/>
        <v>0.0025</v>
      </c>
    </row>
    <row r="86">
      <c r="B86" s="6" t="s">
        <v>7</v>
      </c>
      <c r="C86" s="7">
        <f t="shared" ref="C86:I86" si="77">AVERAGE(C46, C56)</f>
        <v>0.316</v>
      </c>
      <c r="D86" s="7">
        <f t="shared" si="77"/>
        <v>0.351</v>
      </c>
      <c r="E86" s="7">
        <f t="shared" si="77"/>
        <v>0.376</v>
      </c>
      <c r="F86" s="7">
        <f t="shared" si="77"/>
        <v>0.343</v>
      </c>
      <c r="G86" s="7">
        <f t="shared" si="77"/>
        <v>0.3595</v>
      </c>
      <c r="H86" s="7">
        <f t="shared" si="77"/>
        <v>0.3345</v>
      </c>
      <c r="I86" s="7">
        <f t="shared" si="77"/>
        <v>0.3595</v>
      </c>
      <c r="J86" s="3"/>
      <c r="L86" s="6" t="s">
        <v>7</v>
      </c>
      <c r="M86" s="7">
        <f t="shared" ref="M86:S86" si="78">C86-$C$83</f>
        <v>0.0165</v>
      </c>
      <c r="N86" s="7">
        <f t="shared" si="78"/>
        <v>0.0515</v>
      </c>
      <c r="O86" s="7">
        <f t="shared" si="78"/>
        <v>0.0765</v>
      </c>
      <c r="P86" s="7">
        <f t="shared" si="78"/>
        <v>0.0435</v>
      </c>
      <c r="Q86" s="7">
        <f t="shared" si="78"/>
        <v>0.06</v>
      </c>
      <c r="R86" s="7">
        <f t="shared" si="78"/>
        <v>0.035</v>
      </c>
      <c r="S86" s="7">
        <f t="shared" si="78"/>
        <v>0.06</v>
      </c>
    </row>
    <row r="87">
      <c r="B87" s="6" t="s">
        <v>8</v>
      </c>
      <c r="C87" s="7">
        <f t="shared" ref="C87:I87" si="79">AVERAGE(C47, C57)</f>
        <v>0.299</v>
      </c>
      <c r="D87" s="7">
        <f t="shared" si="79"/>
        <v>0.3335</v>
      </c>
      <c r="E87" s="7">
        <f t="shared" si="79"/>
        <v>0.362</v>
      </c>
      <c r="F87" s="7">
        <f t="shared" si="79"/>
        <v>0.297</v>
      </c>
      <c r="G87" s="7">
        <f t="shared" si="79"/>
        <v>0.298</v>
      </c>
      <c r="H87" s="7">
        <f t="shared" si="79"/>
        <v>0.2965</v>
      </c>
      <c r="I87" s="7">
        <f t="shared" si="79"/>
        <v>0.2975</v>
      </c>
      <c r="J87" s="3"/>
      <c r="L87" s="6" t="s">
        <v>8</v>
      </c>
      <c r="M87" s="7">
        <f t="shared" ref="M87:S87" si="80">C87-$C$83</f>
        <v>-0.0005</v>
      </c>
      <c r="N87" s="7">
        <f t="shared" si="80"/>
        <v>0.034</v>
      </c>
      <c r="O87" s="7">
        <f t="shared" si="80"/>
        <v>0.0625</v>
      </c>
      <c r="P87" s="7">
        <f t="shared" si="80"/>
        <v>-0.0025</v>
      </c>
      <c r="Q87" s="7">
        <f t="shared" si="80"/>
        <v>-0.0015</v>
      </c>
      <c r="R87" s="7">
        <f t="shared" si="80"/>
        <v>-0.003</v>
      </c>
      <c r="S87" s="7">
        <f t="shared" si="80"/>
        <v>-0.002</v>
      </c>
    </row>
    <row r="88">
      <c r="B88" s="6" t="s">
        <v>9</v>
      </c>
      <c r="C88" s="7">
        <f t="shared" ref="C88:I88" si="81">AVERAGE(C48, C58)</f>
        <v>0.2865</v>
      </c>
      <c r="D88" s="7">
        <f t="shared" si="81"/>
        <v>0.319</v>
      </c>
      <c r="E88" s="7">
        <f t="shared" si="81"/>
        <v>0.35</v>
      </c>
      <c r="F88" s="7">
        <f t="shared" si="81"/>
        <v>0.301</v>
      </c>
      <c r="G88" s="7">
        <f t="shared" si="81"/>
        <v>0.314</v>
      </c>
      <c r="H88" s="7">
        <f t="shared" si="81"/>
        <v>0.2985</v>
      </c>
      <c r="I88" s="7">
        <f t="shared" si="81"/>
        <v>0.312</v>
      </c>
      <c r="J88" s="3"/>
      <c r="L88" s="6" t="s">
        <v>9</v>
      </c>
      <c r="M88" s="7">
        <f t="shared" ref="M88:S88" si="82">C88-$C$83</f>
        <v>-0.013</v>
      </c>
      <c r="N88" s="7">
        <f t="shared" si="82"/>
        <v>0.0195</v>
      </c>
      <c r="O88" s="7">
        <f t="shared" si="82"/>
        <v>0.0505</v>
      </c>
      <c r="P88" s="7">
        <f t="shared" si="82"/>
        <v>0.0015</v>
      </c>
      <c r="Q88" s="7">
        <f t="shared" si="82"/>
        <v>0.0145</v>
      </c>
      <c r="R88" s="7">
        <f t="shared" si="82"/>
        <v>-0.001</v>
      </c>
      <c r="S88" s="7">
        <f t="shared" si="82"/>
        <v>0.0125</v>
      </c>
    </row>
    <row r="89">
      <c r="B89" s="6" t="s">
        <v>10</v>
      </c>
      <c r="C89" s="7">
        <f t="shared" ref="C89:I89" si="83">AVERAGE(C49, C59)</f>
        <v>0.38</v>
      </c>
      <c r="D89" s="7">
        <f t="shared" si="83"/>
        <v>0.41</v>
      </c>
      <c r="E89" s="7">
        <f t="shared" si="83"/>
        <v>0.4295</v>
      </c>
      <c r="F89" s="7">
        <f t="shared" si="83"/>
        <v>0.3805</v>
      </c>
      <c r="G89" s="7">
        <f t="shared" si="83"/>
        <v>0.378</v>
      </c>
      <c r="H89" s="7">
        <f t="shared" si="83"/>
        <v>0.3775</v>
      </c>
      <c r="I89" s="7">
        <f t="shared" si="83"/>
        <v>0.376</v>
      </c>
      <c r="J89" s="3"/>
      <c r="L89" s="6" t="s">
        <v>10</v>
      </c>
      <c r="M89" s="7">
        <f t="shared" ref="M89:S89" si="84">C89-$C$83</f>
        <v>0.0805</v>
      </c>
      <c r="N89" s="7">
        <f t="shared" si="84"/>
        <v>0.1105</v>
      </c>
      <c r="O89" s="7">
        <f t="shared" si="84"/>
        <v>0.13</v>
      </c>
      <c r="P89" s="7">
        <f t="shared" si="84"/>
        <v>0.081</v>
      </c>
      <c r="Q89" s="7">
        <f t="shared" si="84"/>
        <v>0.0785</v>
      </c>
      <c r="R89" s="7">
        <f t="shared" si="84"/>
        <v>0.078</v>
      </c>
      <c r="S89" s="7">
        <f t="shared" si="84"/>
        <v>0.0765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0.041</v>
      </c>
    </row>
    <row r="93">
      <c r="B93" s="6" t="s">
        <v>4</v>
      </c>
      <c r="C93" s="7">
        <f t="shared" ref="C93:I93" si="85">AVERAGE(C63, C73, C83)</f>
        <v>0.293</v>
      </c>
      <c r="D93" s="7">
        <f t="shared" si="85"/>
        <v>0.3183333333</v>
      </c>
      <c r="E93" s="7">
        <f t="shared" si="85"/>
        <v>0.346</v>
      </c>
      <c r="F93" s="7">
        <f t="shared" si="85"/>
        <v>0.3243333333</v>
      </c>
      <c r="G93" s="7">
        <f t="shared" si="85"/>
        <v>0.3535</v>
      </c>
      <c r="H93" s="7">
        <f t="shared" si="85"/>
        <v>0.3163333333</v>
      </c>
      <c r="I93" s="7">
        <f t="shared" si="85"/>
        <v>0.3455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0.02533333333</v>
      </c>
      <c r="O93" s="7">
        <f t="shared" si="86"/>
        <v>0.053</v>
      </c>
      <c r="P93" s="7">
        <f t="shared" si="86"/>
        <v>0.03133333333</v>
      </c>
      <c r="Q93" s="7">
        <f t="shared" si="86"/>
        <v>0.0605</v>
      </c>
      <c r="R93" s="7">
        <f t="shared" si="86"/>
        <v>0.02333333333</v>
      </c>
      <c r="S93" s="7">
        <f t="shared" si="86"/>
        <v>0.0525</v>
      </c>
      <c r="U93" s="8" t="s">
        <v>23</v>
      </c>
      <c r="V93" s="3">
        <f>average(M94:M99)</f>
        <v>0.01075</v>
      </c>
    </row>
    <row r="94">
      <c r="B94" s="6" t="s">
        <v>5</v>
      </c>
      <c r="C94" s="7">
        <f t="shared" ref="C94:I94" si="87">AVERAGE(C64, C74, C84)</f>
        <v>0.2788333333</v>
      </c>
      <c r="D94" s="7">
        <f t="shared" si="87"/>
        <v>0.3058333333</v>
      </c>
      <c r="E94" s="7">
        <f t="shared" si="87"/>
        <v>0.333</v>
      </c>
      <c r="F94" s="7">
        <f t="shared" si="87"/>
        <v>0.3096666667</v>
      </c>
      <c r="G94" s="7">
        <f t="shared" si="87"/>
        <v>0.3361666667</v>
      </c>
      <c r="H94" s="7">
        <f t="shared" si="87"/>
        <v>0.3013333333</v>
      </c>
      <c r="I94" s="7">
        <f t="shared" si="87"/>
        <v>0.3311666667</v>
      </c>
      <c r="J94" s="3"/>
      <c r="L94" s="6" t="s">
        <v>5</v>
      </c>
      <c r="M94" s="7">
        <f t="shared" ref="M94:S94" si="88">C94-$C$93</f>
        <v>-0.01416666667</v>
      </c>
      <c r="N94" s="7">
        <f t="shared" si="88"/>
        <v>0.01283333333</v>
      </c>
      <c r="O94" s="7">
        <f t="shared" si="88"/>
        <v>0.04</v>
      </c>
      <c r="P94" s="7">
        <f t="shared" si="88"/>
        <v>0.01666666667</v>
      </c>
      <c r="Q94" s="7">
        <f t="shared" si="88"/>
        <v>0.04316666667</v>
      </c>
      <c r="R94" s="7">
        <f t="shared" si="88"/>
        <v>0.008333333333</v>
      </c>
      <c r="S94" s="7">
        <f t="shared" si="88"/>
        <v>0.03816666667</v>
      </c>
      <c r="U94" s="8" t="s">
        <v>24</v>
      </c>
      <c r="V94" s="3">
        <f>AVERAGE(N94:S99)</f>
        <v>0.04375</v>
      </c>
    </row>
    <row r="95">
      <c r="B95" s="6" t="s">
        <v>6</v>
      </c>
      <c r="C95" s="7">
        <f t="shared" ref="C95:I95" si="89">AVERAGE(C65, C75, C85)</f>
        <v>0.2805</v>
      </c>
      <c r="D95" s="7">
        <f t="shared" si="89"/>
        <v>0.3053333333</v>
      </c>
      <c r="E95" s="7">
        <f t="shared" si="89"/>
        <v>0.3336666667</v>
      </c>
      <c r="F95" s="7">
        <f t="shared" si="89"/>
        <v>0.3108333333</v>
      </c>
      <c r="G95" s="7">
        <f t="shared" si="89"/>
        <v>0.3386666667</v>
      </c>
      <c r="H95" s="7">
        <f t="shared" si="89"/>
        <v>0.3038333333</v>
      </c>
      <c r="I95" s="7">
        <f t="shared" si="89"/>
        <v>0.3331666667</v>
      </c>
      <c r="J95" s="3"/>
      <c r="L95" s="6" t="s">
        <v>6</v>
      </c>
      <c r="M95" s="7">
        <f t="shared" ref="M95:S95" si="90">C95-$C$93</f>
        <v>-0.0125</v>
      </c>
      <c r="N95" s="7">
        <f t="shared" si="90"/>
        <v>0.01233333333</v>
      </c>
      <c r="O95" s="7">
        <f t="shared" si="90"/>
        <v>0.04066666667</v>
      </c>
      <c r="P95" s="7">
        <f t="shared" si="90"/>
        <v>0.01783333333</v>
      </c>
      <c r="Q95" s="7">
        <f t="shared" si="90"/>
        <v>0.04566666667</v>
      </c>
      <c r="R95" s="7">
        <f t="shared" si="90"/>
        <v>0.01083333333</v>
      </c>
      <c r="S95" s="7">
        <f t="shared" si="90"/>
        <v>0.04016666667</v>
      </c>
    </row>
    <row r="96">
      <c r="B96" s="6" t="s">
        <v>7</v>
      </c>
      <c r="C96" s="7">
        <f t="shared" ref="C96:I96" si="91">AVERAGE(C66, C76, C86)</f>
        <v>0.3083333333</v>
      </c>
      <c r="D96" s="7">
        <f t="shared" si="91"/>
        <v>0.3323333333</v>
      </c>
      <c r="E96" s="7">
        <f t="shared" si="91"/>
        <v>0.3606666667</v>
      </c>
      <c r="F96" s="7">
        <f t="shared" si="91"/>
        <v>0.3348333333</v>
      </c>
      <c r="G96" s="7">
        <f t="shared" si="91"/>
        <v>0.358</v>
      </c>
      <c r="H96" s="7">
        <f t="shared" si="91"/>
        <v>0.327</v>
      </c>
      <c r="I96" s="7">
        <f t="shared" si="91"/>
        <v>0.3513333333</v>
      </c>
      <c r="J96" s="3"/>
      <c r="L96" s="6" t="s">
        <v>7</v>
      </c>
      <c r="M96" s="7">
        <f t="shared" ref="M96:S96" si="92">C96-$C$93</f>
        <v>0.01533333333</v>
      </c>
      <c r="N96" s="7">
        <f t="shared" si="92"/>
        <v>0.03933333333</v>
      </c>
      <c r="O96" s="7">
        <f t="shared" si="92"/>
        <v>0.06766666667</v>
      </c>
      <c r="P96" s="7">
        <f t="shared" si="92"/>
        <v>0.04183333333</v>
      </c>
      <c r="Q96" s="7">
        <f t="shared" si="92"/>
        <v>0.065</v>
      </c>
      <c r="R96" s="7">
        <f t="shared" si="92"/>
        <v>0.034</v>
      </c>
      <c r="S96" s="7">
        <f t="shared" si="92"/>
        <v>0.05833333333</v>
      </c>
    </row>
    <row r="97">
      <c r="B97" s="6" t="s">
        <v>8</v>
      </c>
      <c r="C97" s="7">
        <f t="shared" ref="C97:I97" si="93">AVERAGE(C67, C77, C87)</f>
        <v>0.3173333333</v>
      </c>
      <c r="D97" s="7">
        <f t="shared" si="93"/>
        <v>0.3425</v>
      </c>
      <c r="E97" s="7">
        <f t="shared" si="93"/>
        <v>0.3661666667</v>
      </c>
      <c r="F97" s="7">
        <f t="shared" si="93"/>
        <v>0.3325</v>
      </c>
      <c r="G97" s="7">
        <f t="shared" si="93"/>
        <v>0.3471666667</v>
      </c>
      <c r="H97" s="7">
        <f t="shared" si="93"/>
        <v>0.3278333333</v>
      </c>
      <c r="I97" s="7">
        <f t="shared" si="93"/>
        <v>0.3388333333</v>
      </c>
      <c r="J97" s="3"/>
      <c r="L97" s="6" t="s">
        <v>8</v>
      </c>
      <c r="M97" s="7">
        <f t="shared" ref="M97:S97" si="94">C97-$C$93</f>
        <v>0.02433333333</v>
      </c>
      <c r="N97" s="7">
        <f t="shared" si="94"/>
        <v>0.0495</v>
      </c>
      <c r="O97" s="7">
        <f t="shared" si="94"/>
        <v>0.07316666667</v>
      </c>
      <c r="P97" s="7">
        <f t="shared" si="94"/>
        <v>0.0395</v>
      </c>
      <c r="Q97" s="7">
        <f t="shared" si="94"/>
        <v>0.05416666667</v>
      </c>
      <c r="R97" s="7">
        <f t="shared" si="94"/>
        <v>0.03483333333</v>
      </c>
      <c r="S97" s="7">
        <f t="shared" si="94"/>
        <v>0.04583333333</v>
      </c>
    </row>
    <row r="98">
      <c r="B98" s="6" t="s">
        <v>9</v>
      </c>
      <c r="C98" s="7">
        <f t="shared" ref="C98:I98" si="95">AVERAGE(C68, C78, C88)</f>
        <v>0.2961666667</v>
      </c>
      <c r="D98" s="7">
        <f t="shared" si="95"/>
        <v>0.321</v>
      </c>
      <c r="E98" s="7">
        <f t="shared" si="95"/>
        <v>0.349</v>
      </c>
      <c r="F98" s="7">
        <f t="shared" si="95"/>
        <v>0.3193333333</v>
      </c>
      <c r="G98" s="7">
        <f t="shared" si="95"/>
        <v>0.3396666667</v>
      </c>
      <c r="H98" s="7">
        <f t="shared" si="95"/>
        <v>0.3118333333</v>
      </c>
      <c r="I98" s="7">
        <f t="shared" si="95"/>
        <v>0.333</v>
      </c>
      <c r="J98" s="3"/>
      <c r="L98" s="6" t="s">
        <v>9</v>
      </c>
      <c r="M98" s="7">
        <f t="shared" ref="M98:S98" si="96">C98-$C$93</f>
        <v>0.003166666667</v>
      </c>
      <c r="N98" s="7">
        <f t="shared" si="96"/>
        <v>0.028</v>
      </c>
      <c r="O98" s="7">
        <f t="shared" si="96"/>
        <v>0.056</v>
      </c>
      <c r="P98" s="7">
        <f t="shared" si="96"/>
        <v>0.02633333333</v>
      </c>
      <c r="Q98" s="7">
        <f t="shared" si="96"/>
        <v>0.04666666667</v>
      </c>
      <c r="R98" s="7">
        <f t="shared" si="96"/>
        <v>0.01883333333</v>
      </c>
      <c r="S98" s="7">
        <f t="shared" si="96"/>
        <v>0.04</v>
      </c>
    </row>
    <row r="99">
      <c r="B99" s="6" t="s">
        <v>10</v>
      </c>
      <c r="C99" s="7">
        <f t="shared" ref="C99:I99" si="97">AVERAGE(C69, C79, C89)</f>
        <v>0.3413333333</v>
      </c>
      <c r="D99" s="7">
        <f t="shared" si="97"/>
        <v>0.363</v>
      </c>
      <c r="E99" s="7">
        <f t="shared" si="97"/>
        <v>0.3868333333</v>
      </c>
      <c r="F99" s="7">
        <f t="shared" si="97"/>
        <v>0.3568333333</v>
      </c>
      <c r="G99" s="7">
        <f t="shared" si="97"/>
        <v>0.3706666667</v>
      </c>
      <c r="H99" s="7">
        <f t="shared" si="97"/>
        <v>0.3485</v>
      </c>
      <c r="I99" s="7">
        <f t="shared" si="97"/>
        <v>0.3615</v>
      </c>
      <c r="J99" s="3"/>
      <c r="L99" s="6" t="s">
        <v>10</v>
      </c>
      <c r="M99" s="7">
        <f t="shared" ref="M99:S99" si="98">C99-$C$93</f>
        <v>0.04833333333</v>
      </c>
      <c r="N99" s="7">
        <f t="shared" si="98"/>
        <v>0.07</v>
      </c>
      <c r="O99" s="7">
        <f t="shared" si="98"/>
        <v>0.09383333333</v>
      </c>
      <c r="P99" s="7">
        <f t="shared" si="98"/>
        <v>0.06383333333</v>
      </c>
      <c r="Q99" s="7">
        <f t="shared" si="98"/>
        <v>0.07766666667</v>
      </c>
      <c r="R99" s="7">
        <f t="shared" si="98"/>
        <v>0.0555</v>
      </c>
      <c r="S99" s="7">
        <f t="shared" si="98"/>
        <v>0.0685</v>
      </c>
    </row>
    <row r="101">
      <c r="A101" s="8" t="s">
        <v>836</v>
      </c>
      <c r="B101" s="8" t="s">
        <v>837</v>
      </c>
      <c r="C101" s="8" t="s">
        <v>558</v>
      </c>
      <c r="D101" s="8" t="s">
        <v>838</v>
      </c>
      <c r="E101" s="8" t="s">
        <v>839</v>
      </c>
      <c r="F101" s="8" t="s">
        <v>840</v>
      </c>
      <c r="G101" s="8" t="s">
        <v>841</v>
      </c>
      <c r="I101" s="9" t="str">
        <f t="shared" ref="I101:O101" si="99">substitute(SUBSTITUTE(A101, "(", ""), ")", "")</f>
        <v>0.048, 0.048, 0.048</v>
      </c>
      <c r="J101" s="9" t="str">
        <f t="shared" si="99"/>
        <v>0.042, 0.038, 0.138</v>
      </c>
      <c r="K101" s="9" t="str">
        <f t="shared" si="99"/>
        <v>0.049, 0.039, 0.239</v>
      </c>
      <c r="L101" s="9" t="str">
        <f t="shared" si="99"/>
        <v>0.049, 0.044, 0.145</v>
      </c>
      <c r="M101" s="9" t="str">
        <f t="shared" si="99"/>
        <v>0.057, 0.046, 0.246</v>
      </c>
      <c r="N101" s="9" t="str">
        <f t="shared" si="99"/>
        <v>0.029, 0.026, 0.127</v>
      </c>
      <c r="O101" s="9" t="str">
        <f t="shared" si="99"/>
        <v>0.027, 0.021, 0.222</v>
      </c>
      <c r="T101" s="6"/>
    </row>
    <row r="102">
      <c r="A102" s="8" t="s">
        <v>556</v>
      </c>
      <c r="B102" s="8" t="s">
        <v>557</v>
      </c>
      <c r="C102" s="8" t="s">
        <v>842</v>
      </c>
      <c r="D102" s="8" t="s">
        <v>701</v>
      </c>
      <c r="E102" s="8" t="s">
        <v>715</v>
      </c>
      <c r="F102" s="8" t="s">
        <v>843</v>
      </c>
      <c r="G102" s="8" t="s">
        <v>844</v>
      </c>
      <c r="I102" s="9" t="str">
        <f t="shared" ref="I102:O102" si="100">substitute(SUBSTITUTE(A102, "(", ""), ")", "")</f>
        <v>0.051, 0.051, 0.051</v>
      </c>
      <c r="J102" s="9" t="str">
        <f t="shared" si="100"/>
        <v>0.047, 0.042, 0.142</v>
      </c>
      <c r="K102" s="9" t="str">
        <f t="shared" si="100"/>
        <v>0.052, 0.042, 0.242</v>
      </c>
      <c r="L102" s="9" t="str">
        <f t="shared" si="100"/>
        <v>0.052, 0.046, 0.147</v>
      </c>
      <c r="M102" s="9" t="str">
        <f t="shared" si="100"/>
        <v>0.061, 0.049, 0.249</v>
      </c>
      <c r="N102" s="9" t="str">
        <f t="shared" si="100"/>
        <v>0.033, 0.029, 0.130</v>
      </c>
      <c r="O102" s="9" t="str">
        <f t="shared" si="100"/>
        <v>0.028, 0.022, 0.223</v>
      </c>
    </row>
    <row r="103">
      <c r="A103" s="8" t="s">
        <v>714</v>
      </c>
      <c r="B103" s="8" t="s">
        <v>845</v>
      </c>
      <c r="C103" s="8" t="s">
        <v>530</v>
      </c>
      <c r="D103" s="8" t="s">
        <v>846</v>
      </c>
      <c r="E103" s="8" t="s">
        <v>847</v>
      </c>
      <c r="F103" s="8" t="s">
        <v>536</v>
      </c>
      <c r="G103" s="8" t="s">
        <v>848</v>
      </c>
      <c r="I103" s="9" t="str">
        <f t="shared" ref="I103:O103" si="101">substitute(SUBSTITUTE(A103, "(", ""), ")", "")</f>
        <v>0.059, 0.059, 0.059</v>
      </c>
      <c r="J103" s="9" t="str">
        <f t="shared" si="101"/>
        <v>0.054, 0.049, 0.149</v>
      </c>
      <c r="K103" s="9" t="str">
        <f t="shared" si="101"/>
        <v>0.058, 0.046, 0.246</v>
      </c>
      <c r="L103" s="9" t="str">
        <f t="shared" si="101"/>
        <v>0.061, 0.055, 0.155</v>
      </c>
      <c r="M103" s="9" t="str">
        <f t="shared" si="101"/>
        <v>0.072, 0.057, 0.258</v>
      </c>
      <c r="N103" s="9" t="str">
        <f t="shared" si="101"/>
        <v>0.044, 0.040, 0.140</v>
      </c>
      <c r="O103" s="9" t="str">
        <f t="shared" si="101"/>
        <v>0.044, 0.035, 0.235</v>
      </c>
    </row>
    <row r="104">
      <c r="A104" s="8" t="s">
        <v>849</v>
      </c>
      <c r="B104" s="8" t="s">
        <v>850</v>
      </c>
      <c r="C104" s="8" t="s">
        <v>541</v>
      </c>
      <c r="D104" s="8" t="s">
        <v>696</v>
      </c>
      <c r="E104" s="8" t="s">
        <v>560</v>
      </c>
      <c r="F104" s="8" t="s">
        <v>851</v>
      </c>
      <c r="G104" s="8" t="s">
        <v>852</v>
      </c>
      <c r="I104" s="9" t="str">
        <f t="shared" ref="I104:O104" si="102">substitute(SUBSTITUTE(A104, "(", ""), ")", "")</f>
        <v>0.050, 0.050, 0.050</v>
      </c>
      <c r="J104" s="9" t="str">
        <f t="shared" si="102"/>
        <v>0.043, 0.039, 0.139</v>
      </c>
      <c r="K104" s="9" t="str">
        <f t="shared" si="102"/>
        <v>0.046, 0.037, 0.237</v>
      </c>
      <c r="L104" s="9" t="str">
        <f t="shared" si="102"/>
        <v>0.048, 0.043, 0.144</v>
      </c>
      <c r="M104" s="9" t="str">
        <f t="shared" si="102"/>
        <v>0.056, 0.045, 0.245</v>
      </c>
      <c r="N104" s="9" t="str">
        <f t="shared" si="102"/>
        <v>0.026, 0.023, 0.123</v>
      </c>
      <c r="O104" s="9" t="str">
        <f t="shared" si="102"/>
        <v>0.022, 0.017, 0.217</v>
      </c>
    </row>
    <row r="105">
      <c r="A105" s="8" t="s">
        <v>853</v>
      </c>
      <c r="B105" s="8" t="s">
        <v>854</v>
      </c>
      <c r="C105" s="8" t="s">
        <v>715</v>
      </c>
      <c r="D105" s="8" t="s">
        <v>855</v>
      </c>
      <c r="E105" s="8" t="s">
        <v>720</v>
      </c>
      <c r="F105" s="8" t="s">
        <v>534</v>
      </c>
      <c r="G105" s="8" t="s">
        <v>856</v>
      </c>
      <c r="I105" s="9" t="str">
        <f t="shared" ref="I105:O105" si="103">substitute(SUBSTITUTE(A105, "(", ""), ")", "")</f>
        <v>0.065, 0.065, 0.065</v>
      </c>
      <c r="J105" s="9" t="str">
        <f t="shared" si="103"/>
        <v>0.060, 0.054, 0.154</v>
      </c>
      <c r="K105" s="9" t="str">
        <f t="shared" si="103"/>
        <v>0.061, 0.049, 0.249</v>
      </c>
      <c r="L105" s="9" t="str">
        <f t="shared" si="103"/>
        <v>0.064, 0.057, 0.158</v>
      </c>
      <c r="M105" s="9" t="str">
        <f t="shared" si="103"/>
        <v>0.067, 0.054, 0.254</v>
      </c>
      <c r="N105" s="9" t="str">
        <f t="shared" si="103"/>
        <v>0.038, 0.035, 0.135</v>
      </c>
      <c r="O105" s="9" t="str">
        <f t="shared" si="103"/>
        <v>0.026, 0.020, 0.221</v>
      </c>
    </row>
    <row r="106">
      <c r="A106" s="8" t="s">
        <v>695</v>
      </c>
      <c r="B106" s="8" t="s">
        <v>838</v>
      </c>
      <c r="C106" s="8" t="s">
        <v>546</v>
      </c>
      <c r="D106" s="8" t="s">
        <v>857</v>
      </c>
      <c r="E106" s="8" t="s">
        <v>565</v>
      </c>
      <c r="F106" s="8" t="s">
        <v>703</v>
      </c>
      <c r="G106" s="8" t="s">
        <v>548</v>
      </c>
      <c r="I106" s="9" t="str">
        <f t="shared" ref="I106:O106" si="104">substitute(SUBSTITUTE(A106, "(", ""), ")", "")</f>
        <v>0.052, 0.052, 0.052</v>
      </c>
      <c r="J106" s="9" t="str">
        <f t="shared" si="104"/>
        <v>0.049, 0.044, 0.145</v>
      </c>
      <c r="K106" s="9" t="str">
        <f t="shared" si="104"/>
        <v>0.054, 0.043, 0.243</v>
      </c>
      <c r="L106" s="9" t="str">
        <f t="shared" si="104"/>
        <v>0.051, 0.046, 0.146</v>
      </c>
      <c r="M106" s="9" t="str">
        <f t="shared" si="104"/>
        <v>0.056, 0.044, 0.244</v>
      </c>
      <c r="N106" s="9" t="str">
        <f t="shared" si="104"/>
        <v>0.021, 0.019, 0.119</v>
      </c>
      <c r="O106" s="9" t="str">
        <f t="shared" si="104"/>
        <v>0.012, 0.010, 0.210</v>
      </c>
    </row>
    <row r="107">
      <c r="A107" s="8" t="s">
        <v>858</v>
      </c>
      <c r="B107" s="8" t="s">
        <v>854</v>
      </c>
      <c r="C107" s="8" t="s">
        <v>859</v>
      </c>
      <c r="D107" s="8" t="s">
        <v>860</v>
      </c>
      <c r="E107" s="8" t="s">
        <v>720</v>
      </c>
      <c r="F107" s="8" t="s">
        <v>861</v>
      </c>
      <c r="G107" s="8" t="s">
        <v>862</v>
      </c>
      <c r="I107" s="9" t="str">
        <f t="shared" ref="I107:O107" si="105">substitute(SUBSTITUTE(A107, "(", ""), ")", "")</f>
        <v>0.070, 0.070, 0.070</v>
      </c>
      <c r="J107" s="9" t="str">
        <f t="shared" si="105"/>
        <v>0.060, 0.054, 0.154</v>
      </c>
      <c r="K107" s="9" t="str">
        <f t="shared" si="105"/>
        <v>0.071, 0.057, 0.257</v>
      </c>
      <c r="L107" s="9" t="str">
        <f t="shared" si="105"/>
        <v>0.065, 0.058, 0.159</v>
      </c>
      <c r="M107" s="9" t="str">
        <f t="shared" si="105"/>
        <v>0.067, 0.054, 0.254</v>
      </c>
      <c r="N107" s="9" t="str">
        <f t="shared" si="105"/>
        <v>0.031, 0.027, 0.128</v>
      </c>
      <c r="O107" s="9" t="str">
        <f t="shared" si="105"/>
        <v>0.018, 0.014, 0.215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"","")"),0.048)</f>
        <v>0.048</v>
      </c>
      <c r="B109" s="9">
        <f>IFERROR(__xludf.DUMMYFUNCTION("""COMPUTED_VALUE"""),0.048)</f>
        <v>0.048</v>
      </c>
      <c r="C109" s="9">
        <f>IFERROR(__xludf.DUMMYFUNCTION("""COMPUTED_VALUE"""),0.048)</f>
        <v>0.048</v>
      </c>
      <c r="E109" s="11">
        <f>IFERROR(__xludf.DUMMYFUNCTION("SPLIT(J101, "","")"),0.042)</f>
        <v>0.042</v>
      </c>
      <c r="F109" s="9">
        <f>IFERROR(__xludf.DUMMYFUNCTION("""COMPUTED_VALUE"""),0.038)</f>
        <v>0.038</v>
      </c>
      <c r="G109" s="9">
        <f>IFERROR(__xludf.DUMMYFUNCTION("""COMPUTED_VALUE"""),0.138)</f>
        <v>0.138</v>
      </c>
      <c r="I109" s="9">
        <f>IFERROR(__xludf.DUMMYFUNCTION("SPLIT(K101, "","")"),0.049)</f>
        <v>0.049</v>
      </c>
      <c r="J109" s="9">
        <f>IFERROR(__xludf.DUMMYFUNCTION("""COMPUTED_VALUE"""),0.039)</f>
        <v>0.039</v>
      </c>
      <c r="K109" s="9">
        <f>IFERROR(__xludf.DUMMYFUNCTION("""COMPUTED_VALUE"""),0.239)</f>
        <v>0.239</v>
      </c>
      <c r="M109" s="9">
        <f>IFERROR(__xludf.DUMMYFUNCTION("SPLIT(L101, "","")"),0.049)</f>
        <v>0.049</v>
      </c>
      <c r="N109" s="9">
        <f>IFERROR(__xludf.DUMMYFUNCTION("""COMPUTED_VALUE"""),0.044)</f>
        <v>0.044</v>
      </c>
      <c r="O109" s="9">
        <f>IFERROR(__xludf.DUMMYFUNCTION("""COMPUTED_VALUE"""),0.145)</f>
        <v>0.145</v>
      </c>
      <c r="Q109" s="9">
        <f>IFERROR(__xludf.DUMMYFUNCTION("SPLIT(M101, "","")"),0.057)</f>
        <v>0.057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"","")"),0.029)</f>
        <v>0.029</v>
      </c>
      <c r="V109" s="9">
        <f>IFERROR(__xludf.DUMMYFUNCTION("""COMPUTED_VALUE"""),0.026)</f>
        <v>0.026</v>
      </c>
      <c r="W109" s="9">
        <f>IFERROR(__xludf.DUMMYFUNCTION("""COMPUTED_VALUE"""),0.127)</f>
        <v>0.127</v>
      </c>
      <c r="Y109" s="9">
        <f>IFERROR(__xludf.DUMMYFUNCTION("SPLIT(O101, "","")"),0.027)</f>
        <v>0.027</v>
      </c>
      <c r="Z109" s="9">
        <f>IFERROR(__xludf.DUMMYFUNCTION("""COMPUTED_VALUE"""),0.021)</f>
        <v>0.021</v>
      </c>
      <c r="AA109" s="9">
        <f>IFERROR(__xludf.DUMMYFUNCTION("""COMPUTED_VALUE"""),0.222)</f>
        <v>0.222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"","")"),0.047)</f>
        <v>0.047</v>
      </c>
      <c r="F110" s="9">
        <f>IFERROR(__xludf.DUMMYFUNCTION("""COMPUTED_VALUE"""),0.042)</f>
        <v>0.042</v>
      </c>
      <c r="G110" s="9">
        <f>IFERROR(__xludf.DUMMYFUNCTION("""COMPUTED_VALUE"""),0.142)</f>
        <v>0.142</v>
      </c>
      <c r="I110" s="9">
        <f>IFERROR(__xludf.DUMMYFUNCTION("SPLIT(K102, "","")"),0.052)</f>
        <v>0.052</v>
      </c>
      <c r="J110" s="9">
        <f>IFERROR(__xludf.DUMMYFUNCTION("""COMPUTED_VALUE"""),0.042)</f>
        <v>0.042</v>
      </c>
      <c r="K110" s="9">
        <f>IFERROR(__xludf.DUMMYFUNCTION("""COMPUTED_VALUE"""),0.242)</f>
        <v>0.242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"","")"),0.061)</f>
        <v>0.061</v>
      </c>
      <c r="R110" s="9">
        <f>IFERROR(__xludf.DUMMYFUNCTION("""COMPUTED_VALUE"""),0.049)</f>
        <v>0.049</v>
      </c>
      <c r="S110" s="9">
        <f>IFERROR(__xludf.DUMMYFUNCTION("""COMPUTED_VALUE"""),0.249)</f>
        <v>0.249</v>
      </c>
      <c r="U110" s="9">
        <f>IFERROR(__xludf.DUMMYFUNCTION("SPLIT(N102, "","")"),0.033)</f>
        <v>0.033</v>
      </c>
      <c r="V110" s="9">
        <f>IFERROR(__xludf.DUMMYFUNCTION("""COMPUTED_VALUE"""),0.029)</f>
        <v>0.029</v>
      </c>
      <c r="W110" s="9">
        <f>IFERROR(__xludf.DUMMYFUNCTION("""COMPUTED_VALUE"""),0.13)</f>
        <v>0.13</v>
      </c>
      <c r="Y110" s="9">
        <f>IFERROR(__xludf.DUMMYFUNCTION("SPLIT(O102, "","")"),0.028)</f>
        <v>0.028</v>
      </c>
      <c r="Z110" s="9">
        <f>IFERROR(__xludf.DUMMYFUNCTION("""COMPUTED_VALUE"""),0.022)</f>
        <v>0.022</v>
      </c>
      <c r="AA110" s="9">
        <f>IFERROR(__xludf.DUMMYFUNCTION("""COMPUTED_VALUE"""),0.223)</f>
        <v>0.223</v>
      </c>
    </row>
    <row r="111">
      <c r="A111" s="9">
        <f>IFERROR(__xludf.DUMMYFUNCTION("SPLIT(I103, "","")"),0.059)</f>
        <v>0.059</v>
      </c>
      <c r="B111" s="9">
        <f>IFERROR(__xludf.DUMMYFUNCTION("""COMPUTED_VALUE"""),0.059)</f>
        <v>0.059</v>
      </c>
      <c r="C111" s="9">
        <f>IFERROR(__xludf.DUMMYFUNCTION("""COMPUTED_VALUE"""),0.059)</f>
        <v>0.059</v>
      </c>
      <c r="E111" s="11">
        <f>IFERROR(__xludf.DUMMYFUNCTION("SPLIT(J103, "","")"),0.054)</f>
        <v>0.054</v>
      </c>
      <c r="F111" s="9">
        <f>IFERROR(__xludf.DUMMYFUNCTION("""COMPUTED_VALUE"""),0.049)</f>
        <v>0.049</v>
      </c>
      <c r="G111" s="9">
        <f>IFERROR(__xludf.DUMMYFUNCTION("""COMPUTED_VALUE"""),0.149)</f>
        <v>0.149</v>
      </c>
      <c r="I111" s="9">
        <f>IFERROR(__xludf.DUMMYFUNCTION("SPLIT(K103, "","")"),0.058)</f>
        <v>0.058</v>
      </c>
      <c r="J111" s="9">
        <f>IFERROR(__xludf.DUMMYFUNCTION("""COMPUTED_VALUE"""),0.046)</f>
        <v>0.046</v>
      </c>
      <c r="K111" s="9">
        <f>IFERROR(__xludf.DUMMYFUNCTION("""COMPUTED_VALUE"""),0.246)</f>
        <v>0.246</v>
      </c>
      <c r="M111" s="9">
        <f>IFERROR(__xludf.DUMMYFUNCTION("SPLIT(L103, "","")"),0.061)</f>
        <v>0.061</v>
      </c>
      <c r="N111" s="9">
        <f>IFERROR(__xludf.DUMMYFUNCTION("""COMPUTED_VALUE"""),0.055)</f>
        <v>0.055</v>
      </c>
      <c r="O111" s="9">
        <f>IFERROR(__xludf.DUMMYFUNCTION("""COMPUTED_VALUE"""),0.155)</f>
        <v>0.155</v>
      </c>
      <c r="Q111" s="9">
        <f>IFERROR(__xludf.DUMMYFUNCTION("SPLIT(M103, "","")"),0.072)</f>
        <v>0.072</v>
      </c>
      <c r="R111" s="9">
        <f>IFERROR(__xludf.DUMMYFUNCTION("""COMPUTED_VALUE"""),0.057)</f>
        <v>0.057</v>
      </c>
      <c r="S111" s="9">
        <f>IFERROR(__xludf.DUMMYFUNCTION("""COMPUTED_VALUE"""),0.258)</f>
        <v>0.258</v>
      </c>
      <c r="U111" s="9">
        <f>IFERROR(__xludf.DUMMYFUNCTION("SPLIT(N103, "","")"),0.044)</f>
        <v>0.044</v>
      </c>
      <c r="V111" s="9">
        <f>IFERROR(__xludf.DUMMYFUNCTION("""COMPUTED_VALUE"""),0.04)</f>
        <v>0.04</v>
      </c>
      <c r="W111" s="9">
        <f>IFERROR(__xludf.DUMMYFUNCTION("""COMPUTED_VALUE"""),0.14)</f>
        <v>0.14</v>
      </c>
      <c r="Y111" s="9">
        <f>IFERROR(__xludf.DUMMYFUNCTION("SPLIT(O103, "","")"),0.044)</f>
        <v>0.044</v>
      </c>
      <c r="Z111" s="9">
        <f>IFERROR(__xludf.DUMMYFUNCTION("""COMPUTED_VALUE"""),0.035)</f>
        <v>0.035</v>
      </c>
      <c r="AA111" s="9">
        <f>IFERROR(__xludf.DUMMYFUNCTION("""COMPUTED_VALUE"""),0.235)</f>
        <v>0.235</v>
      </c>
    </row>
    <row r="112">
      <c r="A112" s="9">
        <f>IFERROR(__xludf.DUMMYFUNCTION("SPLIT(I104, "","")"),0.05)</f>
        <v>0.05</v>
      </c>
      <c r="B112" s="9">
        <f>IFERROR(__xludf.DUMMYFUNCTION("""COMPUTED_VALUE"""),0.05)</f>
        <v>0.05</v>
      </c>
      <c r="C112" s="9">
        <f>IFERROR(__xludf.DUMMYFUNCTION("""COMPUTED_VALUE"""),0.05)</f>
        <v>0.05</v>
      </c>
      <c r="E112" s="11">
        <f>IFERROR(__xludf.DUMMYFUNCTION("SPLIT(J104, "","")"),0.043)</f>
        <v>0.043</v>
      </c>
      <c r="F112" s="9">
        <f>IFERROR(__xludf.DUMMYFUNCTION("""COMPUTED_VALUE"""),0.039)</f>
        <v>0.039</v>
      </c>
      <c r="G112" s="9">
        <f>IFERROR(__xludf.DUMMYFUNCTION("""COMPUTED_VALUE"""),0.139)</f>
        <v>0.139</v>
      </c>
      <c r="I112" s="9">
        <f>IFERROR(__xludf.DUMMYFUNCTION("SPLIT(K104, "","")"),0.046)</f>
        <v>0.046</v>
      </c>
      <c r="J112" s="9">
        <f>IFERROR(__xludf.DUMMYFUNCTION("""COMPUTED_VALUE"""),0.037)</f>
        <v>0.037</v>
      </c>
      <c r="K112" s="9">
        <f>IFERROR(__xludf.DUMMYFUNCTION("""COMPUTED_VALUE"""),0.237)</f>
        <v>0.237</v>
      </c>
      <c r="M112" s="9">
        <f>IFERROR(__xludf.DUMMYFUNCTION("SPLIT(L104, "","")"),0.048)</f>
        <v>0.048</v>
      </c>
      <c r="N112" s="9">
        <f>IFERROR(__xludf.DUMMYFUNCTION("""COMPUTED_VALUE"""),0.043)</f>
        <v>0.043</v>
      </c>
      <c r="O112" s="9">
        <f>IFERROR(__xludf.DUMMYFUNCTION("""COMPUTED_VALUE"""),0.144)</f>
        <v>0.144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"","")"),0.026)</f>
        <v>0.026</v>
      </c>
      <c r="V112" s="9">
        <f>IFERROR(__xludf.DUMMYFUNCTION("""COMPUTED_VALUE"""),0.023)</f>
        <v>0.023</v>
      </c>
      <c r="W112" s="9">
        <f>IFERROR(__xludf.DUMMYFUNCTION("""COMPUTED_VALUE"""),0.123)</f>
        <v>0.123</v>
      </c>
      <c r="Y112" s="9">
        <f>IFERROR(__xludf.DUMMYFUNCTION("SPLIT(O104, "","")"),0.022)</f>
        <v>0.022</v>
      </c>
      <c r="Z112" s="9">
        <f>IFERROR(__xludf.DUMMYFUNCTION("""COMPUTED_VALUE"""),0.017)</f>
        <v>0.017</v>
      </c>
      <c r="AA112" s="9">
        <f>IFERROR(__xludf.DUMMYFUNCTION("""COMPUTED_VALUE"""),0.217)</f>
        <v>0.217</v>
      </c>
    </row>
    <row r="113">
      <c r="A113" s="9">
        <f>IFERROR(__xludf.DUMMYFUNCTION("SPLIT(I105, "","")"),0.065)</f>
        <v>0.065</v>
      </c>
      <c r="B113" s="9">
        <f>IFERROR(__xludf.DUMMYFUNCTION("""COMPUTED_VALUE"""),0.065)</f>
        <v>0.065</v>
      </c>
      <c r="C113" s="9">
        <f>IFERROR(__xludf.DUMMYFUNCTION("""COMPUTED_VALUE"""),0.065)</f>
        <v>0.065</v>
      </c>
      <c r="E113" s="11">
        <f>IFERROR(__xludf.DUMMYFUNCTION("SPLIT(J105, "","")"),0.06)</f>
        <v>0.06</v>
      </c>
      <c r="F113" s="9">
        <f>IFERROR(__xludf.DUMMYFUNCTION("""COMPUTED_VALUE"""),0.054)</f>
        <v>0.054</v>
      </c>
      <c r="G113" s="9">
        <f>IFERROR(__xludf.DUMMYFUNCTION("""COMPUTED_VALUE"""),0.154)</f>
        <v>0.154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"","")"),0.064)</f>
        <v>0.064</v>
      </c>
      <c r="N113" s="9">
        <f>IFERROR(__xludf.DUMMYFUNCTION("""COMPUTED_VALUE"""),0.057)</f>
        <v>0.057</v>
      </c>
      <c r="O113" s="9">
        <f>IFERROR(__xludf.DUMMYFUNCTION("""COMPUTED_VALUE"""),0.158)</f>
        <v>0.158</v>
      </c>
      <c r="Q113" s="9">
        <f>IFERROR(__xludf.DUMMYFUNCTION("SPLIT(M105, "","")"),0.067)</f>
        <v>0.067</v>
      </c>
      <c r="R113" s="9">
        <f>IFERROR(__xludf.DUMMYFUNCTION("""COMPUTED_VALUE"""),0.054)</f>
        <v>0.054</v>
      </c>
      <c r="S113" s="9">
        <f>IFERROR(__xludf.DUMMYFUNCTION("""COMPUTED_VALUE"""),0.254)</f>
        <v>0.254</v>
      </c>
      <c r="U113" s="9">
        <f>IFERROR(__xludf.DUMMYFUNCTION("SPLIT(N105, "","")"),0.038)</f>
        <v>0.038</v>
      </c>
      <c r="V113" s="9">
        <f>IFERROR(__xludf.DUMMYFUNCTION("""COMPUTED_VALUE"""),0.035)</f>
        <v>0.035</v>
      </c>
      <c r="W113" s="9">
        <f>IFERROR(__xludf.DUMMYFUNCTION("""COMPUTED_VALUE"""),0.135)</f>
        <v>0.135</v>
      </c>
      <c r="Y113" s="9">
        <f>IFERROR(__xludf.DUMMYFUNCTION("SPLIT(O105, "","")"),0.026)</f>
        <v>0.026</v>
      </c>
      <c r="Z113" s="9">
        <f>IFERROR(__xludf.DUMMYFUNCTION("""COMPUTED_VALUE"""),0.02)</f>
        <v>0.02</v>
      </c>
      <c r="AA113" s="9">
        <f>IFERROR(__xludf.DUMMYFUNCTION("""COMPUTED_VALUE"""),0.221)</f>
        <v>0.221</v>
      </c>
    </row>
    <row r="114">
      <c r="A114" s="9">
        <f>IFERROR(__xludf.DUMMYFUNCTION("SPLIT(I106, "","")"),0.052)</f>
        <v>0.052</v>
      </c>
      <c r="B114" s="9">
        <f>IFERROR(__xludf.DUMMYFUNCTION("""COMPUTED_VALUE"""),0.052)</f>
        <v>0.052</v>
      </c>
      <c r="C114" s="9">
        <f>IFERROR(__xludf.DUMMYFUNCTION("""COMPUTED_VALUE"""),0.052)</f>
        <v>0.052</v>
      </c>
      <c r="E114" s="11">
        <f>IFERROR(__xludf.DUMMYFUNCTION("SPLIT(J106, "","")"),0.049)</f>
        <v>0.049</v>
      </c>
      <c r="F114" s="9">
        <f>IFERROR(__xludf.DUMMYFUNCTION("""COMPUTED_VALUE"""),0.044)</f>
        <v>0.044</v>
      </c>
      <c r="G114" s="9">
        <f>IFERROR(__xludf.DUMMYFUNCTION("""COMPUTED_VALUE"""),0.145)</f>
        <v>0.145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"","")"),0.051)</f>
        <v>0.051</v>
      </c>
      <c r="N114" s="9">
        <f>IFERROR(__xludf.DUMMYFUNCTION("""COMPUTED_VALUE"""),0.046)</f>
        <v>0.046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IFERROR(__xludf.DUMMYFUNCTION("""COMPUTED_VALUE"""),0.044)</f>
        <v>0.044</v>
      </c>
      <c r="S114" s="9">
        <f>IFERROR(__xludf.DUMMYFUNCTION("""COMPUTED_VALUE"""),0.244)</f>
        <v>0.244</v>
      </c>
      <c r="U114" s="9">
        <f>IFERROR(__xludf.DUMMYFUNCTION("SPLIT(N106, "","")"),0.021)</f>
        <v>0.021</v>
      </c>
      <c r="V114" s="9">
        <f>IFERROR(__xludf.DUMMYFUNCTION("""COMPUTED_VALUE"""),0.019)</f>
        <v>0.019</v>
      </c>
      <c r="W114" s="9">
        <f>IFERROR(__xludf.DUMMYFUNCTION("""COMPUTED_VALUE"""),0.119)</f>
        <v>0.119</v>
      </c>
      <c r="Y114" s="9">
        <f>IFERROR(__xludf.DUMMYFUNCTION("SPLIT(O106, "","")"),0.012)</f>
        <v>0.012</v>
      </c>
      <c r="Z114" s="9">
        <f>IFERROR(__xludf.DUMMYFUNCTION("""COMPUTED_VALUE"""),0.01)</f>
        <v>0.01</v>
      </c>
      <c r="AA114" s="9">
        <f>IFERROR(__xludf.DUMMYFUNCTION("""COMPUTED_VALUE"""),0.21)</f>
        <v>0.21</v>
      </c>
    </row>
    <row r="115">
      <c r="A115" s="9">
        <f>IFERROR(__xludf.DUMMYFUNCTION("SPLIT(I107, "","")"),0.07)</f>
        <v>0.07</v>
      </c>
      <c r="B115" s="9">
        <f>IFERROR(__xludf.DUMMYFUNCTION("""COMPUTED_VALUE"""),0.07)</f>
        <v>0.07</v>
      </c>
      <c r="C115" s="9">
        <f>IFERROR(__xludf.DUMMYFUNCTION("""COMPUTED_VALUE"""),0.07)</f>
        <v>0.07</v>
      </c>
      <c r="E115" s="11">
        <f>IFERROR(__xludf.DUMMYFUNCTION("SPLIT(J107, "","")"),0.06)</f>
        <v>0.06</v>
      </c>
      <c r="F115" s="9">
        <f>IFERROR(__xludf.DUMMYFUNCTION("""COMPUTED_VALUE"""),0.054)</f>
        <v>0.054</v>
      </c>
      <c r="G115" s="9">
        <f>IFERROR(__xludf.DUMMYFUNCTION("""COMPUTED_VALUE"""),0.154)</f>
        <v>0.154</v>
      </c>
      <c r="I115" s="9">
        <f>IFERROR(__xludf.DUMMYFUNCTION("SPLIT(K107, "","")"),0.071)</f>
        <v>0.071</v>
      </c>
      <c r="J115" s="9">
        <f>IFERROR(__xludf.DUMMYFUNCTION("""COMPUTED_VALUE"""),0.057)</f>
        <v>0.057</v>
      </c>
      <c r="K115" s="9">
        <f>IFERROR(__xludf.DUMMYFUNCTION("""COMPUTED_VALUE"""),0.257)</f>
        <v>0.257</v>
      </c>
      <c r="M115" s="9">
        <f>IFERROR(__xludf.DUMMYFUNCTION("SPLIT(L107, "","")"),0.065)</f>
        <v>0.065</v>
      </c>
      <c r="N115" s="9">
        <f>IFERROR(__xludf.DUMMYFUNCTION("""COMPUTED_VALUE"""),0.058)</f>
        <v>0.058</v>
      </c>
      <c r="O115" s="9">
        <f>IFERROR(__xludf.DUMMYFUNCTION("""COMPUTED_VALUE"""),0.159)</f>
        <v>0.159</v>
      </c>
      <c r="Q115" s="9">
        <f>IFERROR(__xludf.DUMMYFUNCTION("SPLIT(M107, "","")"),0.067)</f>
        <v>0.067</v>
      </c>
      <c r="R115" s="9">
        <f>IFERROR(__xludf.DUMMYFUNCTION("""COMPUTED_VALUE"""),0.054)</f>
        <v>0.054</v>
      </c>
      <c r="S115" s="9">
        <f>IFERROR(__xludf.DUMMYFUNCTION("""COMPUTED_VALUE"""),0.254)</f>
        <v>0.254</v>
      </c>
      <c r="U115" s="9">
        <f>IFERROR(__xludf.DUMMYFUNCTION("SPLIT(N107, "","")"),0.031)</f>
        <v>0.031</v>
      </c>
      <c r="V115" s="9">
        <f>IFERROR(__xludf.DUMMYFUNCTION("""COMPUTED_VALUE"""),0.027)</f>
        <v>0.027</v>
      </c>
      <c r="W115" s="9">
        <f>IFERROR(__xludf.DUMMYFUNCTION("""COMPUTED_VALUE"""),0.128)</f>
        <v>0.128</v>
      </c>
      <c r="Y115" s="9">
        <f>IFERROR(__xludf.DUMMYFUNCTION("SPLIT(O107, "","")"),0.018)</f>
        <v>0.018</v>
      </c>
      <c r="Z115" s="9">
        <f>IFERROR(__xludf.DUMMYFUNCTION("""COMPUTED_VALUE"""),0.014)</f>
        <v>0.014</v>
      </c>
      <c r="AA115" s="9">
        <f>IFERROR(__xludf.DUMMYFUNCTION("""COMPUTED_VALUE"""),0.215)</f>
        <v>0.215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0.048</v>
      </c>
      <c r="D119" s="7">
        <f t="shared" ref="D119:D125" si="111">E109</f>
        <v>0.042</v>
      </c>
      <c r="E119" s="7">
        <f t="shared" ref="E119:E125" si="112">I109</f>
        <v>0.049</v>
      </c>
      <c r="F119" s="7">
        <f t="shared" ref="F119:G119" si="106">N109</f>
        <v>0.044</v>
      </c>
      <c r="G119" s="12">
        <f t="shared" si="106"/>
        <v>0.145</v>
      </c>
      <c r="H119" s="7">
        <f t="shared" ref="H119:I119" si="107">R109</f>
        <v>0.046</v>
      </c>
      <c r="I119" s="12">
        <f t="shared" si="107"/>
        <v>0.246</v>
      </c>
      <c r="J119" s="7">
        <f t="shared" ref="J119:K119" si="108">V109</f>
        <v>0.026</v>
      </c>
      <c r="K119" s="12">
        <f t="shared" si="108"/>
        <v>0.127</v>
      </c>
      <c r="L119" s="7">
        <f t="shared" ref="L119:M119" si="109">Z109</f>
        <v>0.021</v>
      </c>
      <c r="M119" s="7">
        <f t="shared" si="109"/>
        <v>0.222</v>
      </c>
    </row>
    <row r="120">
      <c r="B120" s="6" t="s">
        <v>5</v>
      </c>
      <c r="C120" s="7">
        <f t="shared" si="110"/>
        <v>0.051</v>
      </c>
      <c r="D120" s="7">
        <f t="shared" si="111"/>
        <v>0.047</v>
      </c>
      <c r="E120" s="7">
        <f t="shared" si="112"/>
        <v>0.052</v>
      </c>
      <c r="F120" s="7">
        <f t="shared" ref="F120:G120" si="113">N110</f>
        <v>0.046</v>
      </c>
      <c r="G120" s="12">
        <f t="shared" si="113"/>
        <v>0.147</v>
      </c>
      <c r="H120" s="7">
        <f t="shared" ref="H120:I120" si="114">R110</f>
        <v>0.049</v>
      </c>
      <c r="I120" s="12">
        <f t="shared" si="114"/>
        <v>0.249</v>
      </c>
      <c r="J120" s="7">
        <f t="shared" ref="J120:K120" si="115">V110</f>
        <v>0.029</v>
      </c>
      <c r="K120" s="12">
        <f t="shared" si="115"/>
        <v>0.13</v>
      </c>
      <c r="L120" s="7">
        <f t="shared" ref="L120:M120" si="116">Z110</f>
        <v>0.022</v>
      </c>
      <c r="M120" s="7">
        <f t="shared" si="116"/>
        <v>0.223</v>
      </c>
    </row>
    <row r="121">
      <c r="B121" s="6" t="s">
        <v>6</v>
      </c>
      <c r="C121" s="7">
        <f t="shared" si="110"/>
        <v>0.059</v>
      </c>
      <c r="D121" s="7">
        <f t="shared" si="111"/>
        <v>0.054</v>
      </c>
      <c r="E121" s="7">
        <f t="shared" si="112"/>
        <v>0.058</v>
      </c>
      <c r="F121" s="7">
        <f t="shared" ref="F121:G121" si="117">N111</f>
        <v>0.055</v>
      </c>
      <c r="G121" s="12">
        <f t="shared" si="117"/>
        <v>0.155</v>
      </c>
      <c r="H121" s="7">
        <f t="shared" ref="H121:I121" si="118">R111</f>
        <v>0.057</v>
      </c>
      <c r="I121" s="12">
        <f t="shared" si="118"/>
        <v>0.258</v>
      </c>
      <c r="J121" s="7">
        <f t="shared" ref="J121:K121" si="119">V111</f>
        <v>0.04</v>
      </c>
      <c r="K121" s="12">
        <f t="shared" si="119"/>
        <v>0.14</v>
      </c>
      <c r="L121" s="7">
        <f t="shared" ref="L121:M121" si="120">Z111</f>
        <v>0.035</v>
      </c>
      <c r="M121" s="7">
        <f t="shared" si="120"/>
        <v>0.235</v>
      </c>
    </row>
    <row r="122">
      <c r="B122" s="6" t="s">
        <v>7</v>
      </c>
      <c r="C122" s="7">
        <f t="shared" si="110"/>
        <v>0.05</v>
      </c>
      <c r="D122" s="7">
        <f t="shared" si="111"/>
        <v>0.043</v>
      </c>
      <c r="E122" s="7">
        <f t="shared" si="112"/>
        <v>0.046</v>
      </c>
      <c r="F122" s="7">
        <f t="shared" ref="F122:G122" si="121">N112</f>
        <v>0.043</v>
      </c>
      <c r="G122" s="12">
        <f t="shared" si="121"/>
        <v>0.144</v>
      </c>
      <c r="H122" s="7">
        <f t="shared" ref="H122:I122" si="122">R112</f>
        <v>0.045</v>
      </c>
      <c r="I122" s="12">
        <f t="shared" si="122"/>
        <v>0.245</v>
      </c>
      <c r="J122" s="7">
        <f t="shared" ref="J122:K122" si="123">V112</f>
        <v>0.023</v>
      </c>
      <c r="K122" s="12">
        <f t="shared" si="123"/>
        <v>0.123</v>
      </c>
      <c r="L122" s="7">
        <f t="shared" ref="L122:M122" si="124">Z112</f>
        <v>0.017</v>
      </c>
      <c r="M122" s="7">
        <f t="shared" si="124"/>
        <v>0.217</v>
      </c>
    </row>
    <row r="123">
      <c r="B123" s="6" t="s">
        <v>8</v>
      </c>
      <c r="C123" s="7">
        <f t="shared" si="110"/>
        <v>0.065</v>
      </c>
      <c r="D123" s="7">
        <f t="shared" si="111"/>
        <v>0.06</v>
      </c>
      <c r="E123" s="7">
        <f t="shared" si="112"/>
        <v>0.061</v>
      </c>
      <c r="F123" s="7">
        <f t="shared" ref="F123:G123" si="125">N113</f>
        <v>0.057</v>
      </c>
      <c r="G123" s="12">
        <f t="shared" si="125"/>
        <v>0.158</v>
      </c>
      <c r="H123" s="7">
        <f t="shared" ref="H123:I123" si="126">R113</f>
        <v>0.054</v>
      </c>
      <c r="I123" s="12">
        <f t="shared" si="126"/>
        <v>0.254</v>
      </c>
      <c r="J123" s="7">
        <f t="shared" ref="J123:K123" si="127">V113</f>
        <v>0.035</v>
      </c>
      <c r="K123" s="12">
        <f t="shared" si="127"/>
        <v>0.135</v>
      </c>
      <c r="L123" s="7">
        <f t="shared" ref="L123:M123" si="128">Z113</f>
        <v>0.02</v>
      </c>
      <c r="M123" s="7">
        <f t="shared" si="128"/>
        <v>0.221</v>
      </c>
    </row>
    <row r="124">
      <c r="B124" s="6" t="s">
        <v>9</v>
      </c>
      <c r="C124" s="7">
        <f t="shared" si="110"/>
        <v>0.052</v>
      </c>
      <c r="D124" s="7">
        <f t="shared" si="111"/>
        <v>0.049</v>
      </c>
      <c r="E124" s="7">
        <f t="shared" si="112"/>
        <v>0.054</v>
      </c>
      <c r="F124" s="7">
        <f t="shared" ref="F124:G124" si="129">N114</f>
        <v>0.046</v>
      </c>
      <c r="G124" s="12">
        <f t="shared" si="129"/>
        <v>0.146</v>
      </c>
      <c r="H124" s="7">
        <f t="shared" ref="H124:I124" si="130">R114</f>
        <v>0.044</v>
      </c>
      <c r="I124" s="12">
        <f t="shared" si="130"/>
        <v>0.244</v>
      </c>
      <c r="J124" s="7">
        <f t="shared" ref="J124:K124" si="131">V114</f>
        <v>0.019</v>
      </c>
      <c r="K124" s="12">
        <f t="shared" si="131"/>
        <v>0.119</v>
      </c>
      <c r="L124" s="7">
        <f t="shared" ref="L124:M124" si="132">Z114</f>
        <v>0.01</v>
      </c>
      <c r="M124" s="7">
        <f t="shared" si="132"/>
        <v>0.21</v>
      </c>
    </row>
    <row r="125">
      <c r="B125" s="6" t="s">
        <v>10</v>
      </c>
      <c r="C125" s="7">
        <f t="shared" si="110"/>
        <v>0.07</v>
      </c>
      <c r="D125" s="7">
        <f t="shared" si="111"/>
        <v>0.06</v>
      </c>
      <c r="E125" s="7">
        <f t="shared" si="112"/>
        <v>0.071</v>
      </c>
      <c r="F125" s="7">
        <f t="shared" ref="F125:G125" si="133">N115</f>
        <v>0.058</v>
      </c>
      <c r="G125" s="12">
        <f t="shared" si="133"/>
        <v>0.159</v>
      </c>
      <c r="H125" s="7">
        <f t="shared" ref="H125:I125" si="134">R115</f>
        <v>0.054</v>
      </c>
      <c r="I125" s="12">
        <f t="shared" si="134"/>
        <v>0.254</v>
      </c>
      <c r="J125" s="7">
        <f t="shared" ref="J125:K125" si="135">V115</f>
        <v>0.027</v>
      </c>
      <c r="K125" s="12">
        <f t="shared" si="135"/>
        <v>0.128</v>
      </c>
      <c r="L125" s="7">
        <f t="shared" ref="L125:M125" si="136">Z115</f>
        <v>0.014</v>
      </c>
      <c r="M125" s="7">
        <f t="shared" si="136"/>
        <v>0.215</v>
      </c>
    </row>
    <row r="127">
      <c r="A127" s="8" t="s">
        <v>863</v>
      </c>
      <c r="B127" s="8" t="s">
        <v>366</v>
      </c>
      <c r="C127" s="8" t="s">
        <v>864</v>
      </c>
      <c r="D127" s="8" t="s">
        <v>865</v>
      </c>
      <c r="E127" s="8" t="s">
        <v>866</v>
      </c>
      <c r="F127" s="8" t="s">
        <v>517</v>
      </c>
      <c r="G127" s="8" t="s">
        <v>867</v>
      </c>
      <c r="I127" s="9" t="str">
        <f t="shared" ref="I127:O127" si="137">substitute(SUBSTITUTE(A127, "(", ""), ")", "")</f>
        <v>0.224, 0.224, 0.224</v>
      </c>
      <c r="J127" s="9" t="str">
        <f t="shared" si="137"/>
        <v>0.230, 0.207, 0.307</v>
      </c>
      <c r="K127" s="9" t="str">
        <f t="shared" si="137"/>
        <v>0.245, 0.196, 0.396</v>
      </c>
      <c r="L127" s="9" t="str">
        <f t="shared" si="137"/>
        <v>0.227, 0.205, 0.304</v>
      </c>
      <c r="M127" s="9" t="str">
        <f t="shared" si="137"/>
        <v>0.230, 0.184, 0.384</v>
      </c>
      <c r="N127" s="9" t="str">
        <f t="shared" si="137"/>
        <v>0.222, 0.200, 0.300</v>
      </c>
      <c r="O127" s="9" t="str">
        <f t="shared" si="137"/>
        <v>0.223, 0.179, 0.379</v>
      </c>
      <c r="T127" s="6"/>
    </row>
    <row r="128">
      <c r="A128" s="8" t="s">
        <v>868</v>
      </c>
      <c r="B128" s="8" t="s">
        <v>869</v>
      </c>
      <c r="C128" s="8" t="s">
        <v>870</v>
      </c>
      <c r="D128" s="8" t="s">
        <v>303</v>
      </c>
      <c r="E128" s="8" t="s">
        <v>306</v>
      </c>
      <c r="F128" s="8" t="s">
        <v>664</v>
      </c>
      <c r="G128" s="8" t="s">
        <v>356</v>
      </c>
      <c r="I128" s="9" t="str">
        <f t="shared" ref="I128:O128" si="138">substitute(SUBSTITUTE(A128, "(", ""), ")", "")</f>
        <v>0.228, 0.228, 0.228</v>
      </c>
      <c r="J128" s="9" t="str">
        <f t="shared" si="138"/>
        <v>0.233, 0.209, 0.309</v>
      </c>
      <c r="K128" s="9" t="str">
        <f t="shared" si="138"/>
        <v>0.251, 0.201, 0.401</v>
      </c>
      <c r="L128" s="9" t="str">
        <f t="shared" si="138"/>
        <v>0.232, 0.209, 0.309</v>
      </c>
      <c r="M128" s="9" t="str">
        <f t="shared" si="138"/>
        <v>0.231, 0.185, 0.385</v>
      </c>
      <c r="N128" s="9" t="str">
        <f t="shared" si="138"/>
        <v>0.226, 0.203, 0.303</v>
      </c>
      <c r="O128" s="9" t="str">
        <f t="shared" si="138"/>
        <v>0.226, 0.181, 0.381</v>
      </c>
    </row>
    <row r="129">
      <c r="A129" s="8" t="s">
        <v>871</v>
      </c>
      <c r="B129" s="8" t="s">
        <v>872</v>
      </c>
      <c r="C129" s="8" t="s">
        <v>279</v>
      </c>
      <c r="D129" s="8" t="s">
        <v>873</v>
      </c>
      <c r="E129" s="8" t="s">
        <v>874</v>
      </c>
      <c r="F129" s="8" t="s">
        <v>875</v>
      </c>
      <c r="G129" s="8" t="s">
        <v>356</v>
      </c>
      <c r="I129" s="9" t="str">
        <f t="shared" ref="I129:O129" si="139">substitute(SUBSTITUTE(A129, "(", ""), ")", "")</f>
        <v>0.229, 0.229, 0.229</v>
      </c>
      <c r="J129" s="9" t="str">
        <f t="shared" si="139"/>
        <v>0.235, 0.211, 0.311</v>
      </c>
      <c r="K129" s="9" t="str">
        <f t="shared" si="139"/>
        <v>0.249, 0.199, 0.399</v>
      </c>
      <c r="L129" s="9" t="str">
        <f t="shared" si="139"/>
        <v>0.231, 0.208, 0.308</v>
      </c>
      <c r="M129" s="9" t="str">
        <f t="shared" si="139"/>
        <v>0.233, 0.186, 0.386</v>
      </c>
      <c r="N129" s="9" t="str">
        <f t="shared" si="139"/>
        <v>0.227, 0.204, 0.304</v>
      </c>
      <c r="O129" s="9" t="str">
        <f t="shared" si="139"/>
        <v>0.226, 0.181, 0.381</v>
      </c>
    </row>
    <row r="130">
      <c r="A130" s="8" t="s">
        <v>876</v>
      </c>
      <c r="B130" s="8" t="s">
        <v>877</v>
      </c>
      <c r="C130" s="8" t="s">
        <v>794</v>
      </c>
      <c r="D130" s="8" t="s">
        <v>360</v>
      </c>
      <c r="E130" s="8" t="s">
        <v>878</v>
      </c>
      <c r="F130" s="8" t="s">
        <v>879</v>
      </c>
      <c r="G130" s="8" t="s">
        <v>880</v>
      </c>
      <c r="I130" s="9" t="str">
        <f t="shared" ref="I130:O130" si="140">substitute(SUBSTITUTE(A130, "(", ""), ")", "")</f>
        <v>0.246, 0.246, 0.246</v>
      </c>
      <c r="J130" s="9" t="str">
        <f t="shared" si="140"/>
        <v>0.253, 0.227, 0.327</v>
      </c>
      <c r="K130" s="9" t="str">
        <f t="shared" si="140"/>
        <v>0.273, 0.218, 0.418</v>
      </c>
      <c r="L130" s="9" t="str">
        <f t="shared" si="140"/>
        <v>0.252, 0.227, 0.327</v>
      </c>
      <c r="M130" s="9" t="str">
        <f t="shared" si="140"/>
        <v>0.255, 0.204, 0.404</v>
      </c>
      <c r="N130" s="9" t="str">
        <f t="shared" si="140"/>
        <v>0.247, 0.223, 0.323</v>
      </c>
      <c r="O130" s="9" t="str">
        <f t="shared" si="140"/>
        <v>0.252, 0.201, 0.401</v>
      </c>
    </row>
    <row r="131">
      <c r="A131" s="8" t="s">
        <v>881</v>
      </c>
      <c r="B131" s="8" t="s">
        <v>882</v>
      </c>
      <c r="C131" s="8" t="s">
        <v>883</v>
      </c>
      <c r="D131" s="8" t="s">
        <v>884</v>
      </c>
      <c r="E131" s="8" t="s">
        <v>885</v>
      </c>
      <c r="F131" s="8" t="s">
        <v>882</v>
      </c>
      <c r="G131" s="8" t="s">
        <v>234</v>
      </c>
      <c r="I131" s="9" t="str">
        <f t="shared" ref="I131:O131" si="141">substitute(SUBSTITUTE(A131, "(", ""), ")", "")</f>
        <v>0.312, 0.312, 0.312</v>
      </c>
      <c r="J131" s="9" t="str">
        <f t="shared" si="141"/>
        <v>0.323, 0.291, 0.391</v>
      </c>
      <c r="K131" s="9" t="str">
        <f t="shared" si="141"/>
        <v>0.339, 0.271, 0.471</v>
      </c>
      <c r="L131" s="9" t="str">
        <f t="shared" si="141"/>
        <v>0.328, 0.295, 0.395</v>
      </c>
      <c r="M131" s="9" t="str">
        <f t="shared" si="141"/>
        <v>0.346, 0.276, 0.477</v>
      </c>
      <c r="N131" s="9" t="str">
        <f t="shared" si="141"/>
        <v>0.323, 0.291, 0.391</v>
      </c>
      <c r="O131" s="9" t="str">
        <f t="shared" si="141"/>
        <v>0.337, 0.269, 0.469</v>
      </c>
    </row>
    <row r="132">
      <c r="A132" s="8" t="s">
        <v>886</v>
      </c>
      <c r="B132" s="8" t="s">
        <v>362</v>
      </c>
      <c r="C132" s="8" t="s">
        <v>659</v>
      </c>
      <c r="D132" s="8" t="s">
        <v>887</v>
      </c>
      <c r="E132" s="8" t="s">
        <v>279</v>
      </c>
      <c r="F132" s="8" t="s">
        <v>888</v>
      </c>
      <c r="G132" s="8" t="s">
        <v>49</v>
      </c>
      <c r="I132" s="9" t="str">
        <f t="shared" ref="I132:O132" si="142">substitute(SUBSTITUTE(A132, "(", ""), ")", "")</f>
        <v>0.237, 0.237, 0.237</v>
      </c>
      <c r="J132" s="9" t="str">
        <f t="shared" si="142"/>
        <v>0.242, 0.218, 0.318</v>
      </c>
      <c r="K132" s="9" t="str">
        <f t="shared" si="142"/>
        <v>0.258, 0.206, 0.406</v>
      </c>
      <c r="L132" s="9" t="str">
        <f t="shared" si="142"/>
        <v>0.243, 0.219, 0.319</v>
      </c>
      <c r="M132" s="9" t="str">
        <f t="shared" si="142"/>
        <v>0.249, 0.199, 0.399</v>
      </c>
      <c r="N132" s="9" t="str">
        <f t="shared" si="142"/>
        <v>0.236, 0.213, 0.313</v>
      </c>
      <c r="O132" s="9" t="str">
        <f t="shared" si="142"/>
        <v>0.241, 0.192, 0.392</v>
      </c>
    </row>
    <row r="133">
      <c r="A133" s="8" t="s">
        <v>889</v>
      </c>
      <c r="B133" s="8" t="s">
        <v>890</v>
      </c>
      <c r="C133" s="8" t="s">
        <v>891</v>
      </c>
      <c r="D133" s="8" t="s">
        <v>892</v>
      </c>
      <c r="E133" s="8" t="s">
        <v>893</v>
      </c>
      <c r="F133" s="8" t="s">
        <v>894</v>
      </c>
      <c r="G133" s="8" t="s">
        <v>477</v>
      </c>
      <c r="I133" s="9" t="str">
        <f t="shared" ref="I133:O133" si="143">substitute(SUBSTITUTE(A133, "(", ""), ")", "")</f>
        <v>0.296, 0.296, 0.296</v>
      </c>
      <c r="J133" s="9" t="str">
        <f t="shared" si="143"/>
        <v>0.303, 0.273, 0.373</v>
      </c>
      <c r="K133" s="9" t="str">
        <f t="shared" si="143"/>
        <v>0.325, 0.260, 0.460</v>
      </c>
      <c r="L133" s="9" t="str">
        <f t="shared" si="143"/>
        <v>0.308, 0.278, 0.378</v>
      </c>
      <c r="M133" s="9" t="str">
        <f t="shared" si="143"/>
        <v>0.321, 0.257, 0.457</v>
      </c>
      <c r="N133" s="9" t="str">
        <f t="shared" si="143"/>
        <v>0.304, 0.273, 0.373</v>
      </c>
      <c r="O133" s="9" t="str">
        <f t="shared" si="143"/>
        <v>0.313, 0.250, 0.450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"","")"),0.224)</f>
        <v>0.224</v>
      </c>
      <c r="B135" s="9">
        <f>IFERROR(__xludf.DUMMYFUNCTION("""COMPUTED_VALUE"""),0.224)</f>
        <v>0.224</v>
      </c>
      <c r="C135" s="9">
        <f>IFERROR(__xludf.DUMMYFUNCTION("""COMPUTED_VALUE"""),0.224)</f>
        <v>0.224</v>
      </c>
      <c r="E135" s="11">
        <f>IFERROR(__xludf.DUMMYFUNCTION("SPLIT(J127, "","")"),0.23)</f>
        <v>0.23</v>
      </c>
      <c r="F135" s="9">
        <f>IFERROR(__xludf.DUMMYFUNCTION("""COMPUTED_VALUE"""),0.207)</f>
        <v>0.207</v>
      </c>
      <c r="G135" s="9">
        <f>IFERROR(__xludf.DUMMYFUNCTION("""COMPUTED_VALUE"""),0.307)</f>
        <v>0.307</v>
      </c>
      <c r="I135" s="9">
        <f>IFERROR(__xludf.DUMMYFUNCTION("SPLIT(K127, "","")"),0.245)</f>
        <v>0.245</v>
      </c>
      <c r="J135" s="9">
        <f>IFERROR(__xludf.DUMMYFUNCTION("""COMPUTED_VALUE"""),0.196)</f>
        <v>0.196</v>
      </c>
      <c r="K135" s="9">
        <f>IFERROR(__xludf.DUMMYFUNCTION("""COMPUTED_VALUE"""),0.396)</f>
        <v>0.396</v>
      </c>
      <c r="M135" s="9">
        <f>IFERROR(__xludf.DUMMYFUNCTION("SPLIT(L127, "","")"),0.227)</f>
        <v>0.227</v>
      </c>
      <c r="N135" s="9">
        <f>IFERROR(__xludf.DUMMYFUNCTION("""COMPUTED_VALUE"""),0.205)</f>
        <v>0.205</v>
      </c>
      <c r="O135" s="9">
        <f>IFERROR(__xludf.DUMMYFUNCTION("""COMPUTED_VALUE"""),0.304)</f>
        <v>0.304</v>
      </c>
      <c r="Q135" s="9">
        <f>IFERROR(__xludf.DUMMYFUNCTION("SPLIT(M127, "","")"),0.23)</f>
        <v>0.23</v>
      </c>
      <c r="R135" s="9">
        <f>IFERROR(__xludf.DUMMYFUNCTION("""COMPUTED_VALUE"""),0.184)</f>
        <v>0.184</v>
      </c>
      <c r="S135" s="9">
        <f>IFERROR(__xludf.DUMMYFUNCTION("""COMPUTED_VALUE"""),0.384)</f>
        <v>0.384</v>
      </c>
      <c r="U135" s="9">
        <f>IFERROR(__xludf.DUMMYFUNCTION("SPLIT(N127, "","")"),0.222)</f>
        <v>0.222</v>
      </c>
      <c r="V135" s="9">
        <f>IFERROR(__xludf.DUMMYFUNCTION("""COMPUTED_VALUE"""),0.2)</f>
        <v>0.2</v>
      </c>
      <c r="W135" s="9">
        <f>IFERROR(__xludf.DUMMYFUNCTION("""COMPUTED_VALUE"""),0.3)</f>
        <v>0.3</v>
      </c>
      <c r="Y135" s="9">
        <f>IFERROR(__xludf.DUMMYFUNCTION("SPLIT(O127, "","")"),0.223)</f>
        <v>0.223</v>
      </c>
      <c r="Z135" s="9">
        <f>IFERROR(__xludf.DUMMYFUNCTION("""COMPUTED_VALUE"""),0.179)</f>
        <v>0.179</v>
      </c>
      <c r="AA135" s="9">
        <f>IFERROR(__xludf.DUMMYFUNCTION("""COMPUTED_VALUE"""),0.379)</f>
        <v>0.379</v>
      </c>
    </row>
    <row r="136">
      <c r="A136" s="9">
        <f>IFERROR(__xludf.DUMMYFUNCTION("SPLIT(I128, "","")"),0.228)</f>
        <v>0.228</v>
      </c>
      <c r="B136" s="9">
        <f>IFERROR(__xludf.DUMMYFUNCTION("""COMPUTED_VALUE"""),0.228)</f>
        <v>0.228</v>
      </c>
      <c r="C136" s="9">
        <f>IFERROR(__xludf.DUMMYFUNCTION("""COMPUTED_VALUE"""),0.228)</f>
        <v>0.228</v>
      </c>
      <c r="E136" s="11">
        <f>IFERROR(__xludf.DUMMYFUNCTION("SPLIT(J128, "","")"),0.233)</f>
        <v>0.233</v>
      </c>
      <c r="F136" s="9">
        <f>IFERROR(__xludf.DUMMYFUNCTION("""COMPUTED_VALUE"""),0.209)</f>
        <v>0.209</v>
      </c>
      <c r="G136" s="9">
        <f>IFERROR(__xludf.DUMMYFUNCTION("""COMPUTED_VALUE"""),0.309)</f>
        <v>0.309</v>
      </c>
      <c r="I136" s="9">
        <f>IFERROR(__xludf.DUMMYFUNCTION("SPLIT(K128, "","")"),0.251)</f>
        <v>0.251</v>
      </c>
      <c r="J136" s="9">
        <f>IFERROR(__xludf.DUMMYFUNCTION("""COMPUTED_VALUE"""),0.201)</f>
        <v>0.201</v>
      </c>
      <c r="K136" s="9">
        <f>IFERROR(__xludf.DUMMYFUNCTION("""COMPUTED_VALUE"""),0.401)</f>
        <v>0.401</v>
      </c>
      <c r="M136" s="9">
        <f>IFERROR(__xludf.DUMMYFUNCTION("SPLIT(L128, "","")"),0.232)</f>
        <v>0.232</v>
      </c>
      <c r="N136" s="9">
        <f>IFERROR(__xludf.DUMMYFUNCTION("""COMPUTED_VALUE"""),0.209)</f>
        <v>0.209</v>
      </c>
      <c r="O136" s="9">
        <f>IFERROR(__xludf.DUMMYFUNCTION("""COMPUTED_VALUE"""),0.309)</f>
        <v>0.309</v>
      </c>
      <c r="Q136" s="9">
        <f>IFERROR(__xludf.DUMMYFUNCTION("SPLIT(M128, "","")"),0.231)</f>
        <v>0.231</v>
      </c>
      <c r="R136" s="9">
        <f>IFERROR(__xludf.DUMMYFUNCTION("""COMPUTED_VALUE"""),0.185)</f>
        <v>0.185</v>
      </c>
      <c r="S136" s="9">
        <f>IFERROR(__xludf.DUMMYFUNCTION("""COMPUTED_VALUE"""),0.385)</f>
        <v>0.385</v>
      </c>
      <c r="U136" s="9">
        <f>IFERROR(__xludf.DUMMYFUNCTION("SPLIT(N128, "","")"),0.226)</f>
        <v>0.226</v>
      </c>
      <c r="V136" s="9">
        <f>IFERROR(__xludf.DUMMYFUNCTION("""COMPUTED_VALUE"""),0.203)</f>
        <v>0.203</v>
      </c>
      <c r="W136" s="9">
        <f>IFERROR(__xludf.DUMMYFUNCTION("""COMPUTED_VALUE"""),0.303)</f>
        <v>0.303</v>
      </c>
      <c r="Y136" s="9">
        <f>IFERROR(__xludf.DUMMYFUNCTION("SPLIT(O128, "","")"),0.226)</f>
        <v>0.226</v>
      </c>
      <c r="Z136" s="9">
        <f>IFERROR(__xludf.DUMMYFUNCTION("""COMPUTED_VALUE"""),0.181)</f>
        <v>0.181</v>
      </c>
      <c r="AA136" s="9">
        <f>IFERROR(__xludf.DUMMYFUNCTION("""COMPUTED_VALUE"""),0.381)</f>
        <v>0.381</v>
      </c>
    </row>
    <row r="137">
      <c r="A137" s="9">
        <f>IFERROR(__xludf.DUMMYFUNCTION("SPLIT(I129, "","")"),0.229)</f>
        <v>0.229</v>
      </c>
      <c r="B137" s="9">
        <f>IFERROR(__xludf.DUMMYFUNCTION("""COMPUTED_VALUE"""),0.229)</f>
        <v>0.229</v>
      </c>
      <c r="C137" s="9">
        <f>IFERROR(__xludf.DUMMYFUNCTION("""COMPUTED_VALUE"""),0.229)</f>
        <v>0.229</v>
      </c>
      <c r="E137" s="11">
        <f>IFERROR(__xludf.DUMMYFUNCTION("SPLIT(J129, "","")"),0.235)</f>
        <v>0.235</v>
      </c>
      <c r="F137" s="9">
        <f>IFERROR(__xludf.DUMMYFUNCTION("""COMPUTED_VALUE"""),0.211)</f>
        <v>0.211</v>
      </c>
      <c r="G137" s="9">
        <f>IFERROR(__xludf.DUMMYFUNCTION("""COMPUTED_VALUE"""),0.311)</f>
        <v>0.311</v>
      </c>
      <c r="I137" s="9">
        <f>IFERROR(__xludf.DUMMYFUNCTION("SPLIT(K129, "","")"),0.249)</f>
        <v>0.249</v>
      </c>
      <c r="J137" s="9">
        <f>IFERROR(__xludf.DUMMYFUNCTION("""COMPUTED_VALUE"""),0.199)</f>
        <v>0.199</v>
      </c>
      <c r="K137" s="9">
        <f>IFERROR(__xludf.DUMMYFUNCTION("""COMPUTED_VALUE"""),0.399)</f>
        <v>0.399</v>
      </c>
      <c r="M137" s="9">
        <f>IFERROR(__xludf.DUMMYFUNCTION("SPLIT(L129, "","")"),0.231)</f>
        <v>0.231</v>
      </c>
      <c r="N137" s="9">
        <f>IFERROR(__xludf.DUMMYFUNCTION("""COMPUTED_VALUE"""),0.208)</f>
        <v>0.208</v>
      </c>
      <c r="O137" s="9">
        <f>IFERROR(__xludf.DUMMYFUNCTION("""COMPUTED_VALUE"""),0.308)</f>
        <v>0.308</v>
      </c>
      <c r="Q137" s="9">
        <f>IFERROR(__xludf.DUMMYFUNCTION("SPLIT(M129, "","")"),0.233)</f>
        <v>0.233</v>
      </c>
      <c r="R137" s="9">
        <f>IFERROR(__xludf.DUMMYFUNCTION("""COMPUTED_VALUE"""),0.186)</f>
        <v>0.186</v>
      </c>
      <c r="S137" s="9">
        <f>IFERROR(__xludf.DUMMYFUNCTION("""COMPUTED_VALUE"""),0.386)</f>
        <v>0.386</v>
      </c>
      <c r="U137" s="9">
        <f>IFERROR(__xludf.DUMMYFUNCTION("SPLIT(N129, "","")"),0.227)</f>
        <v>0.227</v>
      </c>
      <c r="V137" s="9">
        <f>IFERROR(__xludf.DUMMYFUNCTION("""COMPUTED_VALUE"""),0.204)</f>
        <v>0.204</v>
      </c>
      <c r="W137" s="9">
        <f>IFERROR(__xludf.DUMMYFUNCTION("""COMPUTED_VALUE"""),0.304)</f>
        <v>0.304</v>
      </c>
      <c r="Y137" s="9">
        <f>IFERROR(__xludf.DUMMYFUNCTION("SPLIT(O129, "","")"),0.226)</f>
        <v>0.226</v>
      </c>
      <c r="Z137" s="9">
        <f>IFERROR(__xludf.DUMMYFUNCTION("""COMPUTED_VALUE"""),0.181)</f>
        <v>0.181</v>
      </c>
      <c r="AA137" s="9">
        <f>IFERROR(__xludf.DUMMYFUNCTION("""COMPUTED_VALUE"""),0.381)</f>
        <v>0.381</v>
      </c>
    </row>
    <row r="138">
      <c r="A138" s="9">
        <f>IFERROR(__xludf.DUMMYFUNCTION("SPLIT(I130, "","")"),0.246)</f>
        <v>0.246</v>
      </c>
      <c r="B138" s="9">
        <f>IFERROR(__xludf.DUMMYFUNCTION("""COMPUTED_VALUE"""),0.246)</f>
        <v>0.246</v>
      </c>
      <c r="C138" s="9">
        <f>IFERROR(__xludf.DUMMYFUNCTION("""COMPUTED_VALUE"""),0.246)</f>
        <v>0.246</v>
      </c>
      <c r="E138" s="11">
        <f>IFERROR(__xludf.DUMMYFUNCTION("SPLIT(J130, "","")"),0.253)</f>
        <v>0.253</v>
      </c>
      <c r="F138" s="9">
        <f>IFERROR(__xludf.DUMMYFUNCTION("""COMPUTED_VALUE"""),0.227)</f>
        <v>0.227</v>
      </c>
      <c r="G138" s="9">
        <f>IFERROR(__xludf.DUMMYFUNCTION("""COMPUTED_VALUE"""),0.327)</f>
        <v>0.327</v>
      </c>
      <c r="I138" s="9">
        <f>IFERROR(__xludf.DUMMYFUNCTION("SPLIT(K130, "","")"),0.273)</f>
        <v>0.273</v>
      </c>
      <c r="J138" s="9">
        <f>IFERROR(__xludf.DUMMYFUNCTION("""COMPUTED_VALUE"""),0.218)</f>
        <v>0.218</v>
      </c>
      <c r="K138" s="9">
        <f>IFERROR(__xludf.DUMMYFUNCTION("""COMPUTED_VALUE"""),0.418)</f>
        <v>0.418</v>
      </c>
      <c r="M138" s="9">
        <f>IFERROR(__xludf.DUMMYFUNCTION("SPLIT(L130, "","")"),0.252)</f>
        <v>0.252</v>
      </c>
      <c r="N138" s="9">
        <f>IFERROR(__xludf.DUMMYFUNCTION("""COMPUTED_VALUE"""),0.227)</f>
        <v>0.227</v>
      </c>
      <c r="O138" s="9">
        <f>IFERROR(__xludf.DUMMYFUNCTION("""COMPUTED_VALUE"""),0.327)</f>
        <v>0.327</v>
      </c>
      <c r="Q138" s="9">
        <f>IFERROR(__xludf.DUMMYFUNCTION("SPLIT(M130, "","")"),0.255)</f>
        <v>0.255</v>
      </c>
      <c r="R138" s="9">
        <f>IFERROR(__xludf.DUMMYFUNCTION("""COMPUTED_VALUE"""),0.204)</f>
        <v>0.204</v>
      </c>
      <c r="S138" s="9">
        <f>IFERROR(__xludf.DUMMYFUNCTION("""COMPUTED_VALUE"""),0.404)</f>
        <v>0.404</v>
      </c>
      <c r="U138" s="9">
        <f>IFERROR(__xludf.DUMMYFUNCTION("SPLIT(N130, "","")"),0.247)</f>
        <v>0.247</v>
      </c>
      <c r="V138" s="9">
        <f>IFERROR(__xludf.DUMMYFUNCTION("""COMPUTED_VALUE"""),0.223)</f>
        <v>0.223</v>
      </c>
      <c r="W138" s="9">
        <f>IFERROR(__xludf.DUMMYFUNCTION("""COMPUTED_VALUE"""),0.323)</f>
        <v>0.323</v>
      </c>
      <c r="Y138" s="9">
        <f>IFERROR(__xludf.DUMMYFUNCTION("SPLIT(O130, "","")"),0.252)</f>
        <v>0.252</v>
      </c>
      <c r="Z138" s="9">
        <f>IFERROR(__xludf.DUMMYFUNCTION("""COMPUTED_VALUE"""),0.201)</f>
        <v>0.201</v>
      </c>
      <c r="AA138" s="9">
        <f>IFERROR(__xludf.DUMMYFUNCTION("""COMPUTED_VALUE"""),0.401)</f>
        <v>0.401</v>
      </c>
    </row>
    <row r="139">
      <c r="A139" s="9">
        <f>IFERROR(__xludf.DUMMYFUNCTION("SPLIT(I131, "","")"),0.312)</f>
        <v>0.312</v>
      </c>
      <c r="B139" s="9">
        <f>IFERROR(__xludf.DUMMYFUNCTION("""COMPUTED_VALUE"""),0.312)</f>
        <v>0.312</v>
      </c>
      <c r="C139" s="9">
        <f>IFERROR(__xludf.DUMMYFUNCTION("""COMPUTED_VALUE"""),0.312)</f>
        <v>0.312</v>
      </c>
      <c r="E139" s="11">
        <f>IFERROR(__xludf.DUMMYFUNCTION("SPLIT(J131, "","")"),0.323)</f>
        <v>0.323</v>
      </c>
      <c r="F139" s="9">
        <f>IFERROR(__xludf.DUMMYFUNCTION("""COMPUTED_VALUE"""),0.291)</f>
        <v>0.291</v>
      </c>
      <c r="G139" s="9">
        <f>IFERROR(__xludf.DUMMYFUNCTION("""COMPUTED_VALUE"""),0.391)</f>
        <v>0.391</v>
      </c>
      <c r="I139" s="9">
        <f>IFERROR(__xludf.DUMMYFUNCTION("SPLIT(K131, "","")"),0.339)</f>
        <v>0.339</v>
      </c>
      <c r="J139" s="9">
        <f>IFERROR(__xludf.DUMMYFUNCTION("""COMPUTED_VALUE"""),0.271)</f>
        <v>0.271</v>
      </c>
      <c r="K139" s="9">
        <f>IFERROR(__xludf.DUMMYFUNCTION("""COMPUTED_VALUE"""),0.471)</f>
        <v>0.471</v>
      </c>
      <c r="M139" s="9">
        <f>IFERROR(__xludf.DUMMYFUNCTION("SPLIT(L131, "","")"),0.328)</f>
        <v>0.328</v>
      </c>
      <c r="N139" s="9">
        <f>IFERROR(__xludf.DUMMYFUNCTION("""COMPUTED_VALUE"""),0.295)</f>
        <v>0.295</v>
      </c>
      <c r="O139" s="9">
        <f>IFERROR(__xludf.DUMMYFUNCTION("""COMPUTED_VALUE"""),0.395)</f>
        <v>0.395</v>
      </c>
      <c r="Q139" s="9">
        <f>IFERROR(__xludf.DUMMYFUNCTION("SPLIT(M131, "","")"),0.346)</f>
        <v>0.346</v>
      </c>
      <c r="R139" s="9">
        <f>IFERROR(__xludf.DUMMYFUNCTION("""COMPUTED_VALUE"""),0.276)</f>
        <v>0.276</v>
      </c>
      <c r="S139" s="9">
        <f>IFERROR(__xludf.DUMMYFUNCTION("""COMPUTED_VALUE"""),0.477)</f>
        <v>0.477</v>
      </c>
      <c r="U139" s="9">
        <f>IFERROR(__xludf.DUMMYFUNCTION("SPLIT(N131, "","")"),0.323)</f>
        <v>0.323</v>
      </c>
      <c r="V139" s="9">
        <f>IFERROR(__xludf.DUMMYFUNCTION("""COMPUTED_VALUE"""),0.291)</f>
        <v>0.291</v>
      </c>
      <c r="W139" s="9">
        <f>IFERROR(__xludf.DUMMYFUNCTION("""COMPUTED_VALUE"""),0.391)</f>
        <v>0.391</v>
      </c>
      <c r="Y139" s="9">
        <f>IFERROR(__xludf.DUMMYFUNCTION("SPLIT(O131, "","")"),0.337)</f>
        <v>0.337</v>
      </c>
      <c r="Z139" s="9">
        <f>IFERROR(__xludf.DUMMYFUNCTION("""COMPUTED_VALUE"""),0.269)</f>
        <v>0.269</v>
      </c>
      <c r="AA139" s="9">
        <f>IFERROR(__xludf.DUMMYFUNCTION("""COMPUTED_VALUE"""),0.469)</f>
        <v>0.469</v>
      </c>
    </row>
    <row r="140">
      <c r="A140" s="9">
        <f>IFERROR(__xludf.DUMMYFUNCTION("SPLIT(I132, "","")"),0.237)</f>
        <v>0.237</v>
      </c>
      <c r="B140" s="9">
        <f>IFERROR(__xludf.DUMMYFUNCTION("""COMPUTED_VALUE"""),0.237)</f>
        <v>0.237</v>
      </c>
      <c r="C140" s="9">
        <f>IFERROR(__xludf.DUMMYFUNCTION("""COMPUTED_VALUE"""),0.237)</f>
        <v>0.237</v>
      </c>
      <c r="E140" s="11">
        <f>IFERROR(__xludf.DUMMYFUNCTION("SPLIT(J132, "","")"),0.242)</f>
        <v>0.242</v>
      </c>
      <c r="F140" s="9">
        <f>IFERROR(__xludf.DUMMYFUNCTION("""COMPUTED_VALUE"""),0.218)</f>
        <v>0.218</v>
      </c>
      <c r="G140" s="9">
        <f>IFERROR(__xludf.DUMMYFUNCTION("""COMPUTED_VALUE"""),0.318)</f>
        <v>0.318</v>
      </c>
      <c r="I140" s="9">
        <f>IFERROR(__xludf.DUMMYFUNCTION("SPLIT(K132, "","")"),0.258)</f>
        <v>0.258</v>
      </c>
      <c r="J140" s="9">
        <f>IFERROR(__xludf.DUMMYFUNCTION("""COMPUTED_VALUE"""),0.206)</f>
        <v>0.206</v>
      </c>
      <c r="K140" s="9">
        <f>IFERROR(__xludf.DUMMYFUNCTION("""COMPUTED_VALUE"""),0.406)</f>
        <v>0.406</v>
      </c>
      <c r="M140" s="9">
        <f>IFERROR(__xludf.DUMMYFUNCTION("SPLIT(L132, "","")"),0.243)</f>
        <v>0.243</v>
      </c>
      <c r="N140" s="9">
        <f>IFERROR(__xludf.DUMMYFUNCTION("""COMPUTED_VALUE"""),0.219)</f>
        <v>0.219</v>
      </c>
      <c r="O140" s="9">
        <f>IFERROR(__xludf.DUMMYFUNCTION("""COMPUTED_VALUE"""),0.319)</f>
        <v>0.319</v>
      </c>
      <c r="Q140" s="9">
        <f>IFERROR(__xludf.DUMMYFUNCTION("SPLIT(M132, "","")"),0.249)</f>
        <v>0.249</v>
      </c>
      <c r="R140" s="9">
        <f>IFERROR(__xludf.DUMMYFUNCTION("""COMPUTED_VALUE"""),0.199)</f>
        <v>0.199</v>
      </c>
      <c r="S140" s="9">
        <f>IFERROR(__xludf.DUMMYFUNCTION("""COMPUTED_VALUE"""),0.399)</f>
        <v>0.399</v>
      </c>
      <c r="U140" s="9">
        <f>IFERROR(__xludf.DUMMYFUNCTION("SPLIT(N132, "","")"),0.236)</f>
        <v>0.236</v>
      </c>
      <c r="V140" s="9">
        <f>IFERROR(__xludf.DUMMYFUNCTION("""COMPUTED_VALUE"""),0.213)</f>
        <v>0.213</v>
      </c>
      <c r="W140" s="9">
        <f>IFERROR(__xludf.DUMMYFUNCTION("""COMPUTED_VALUE"""),0.313)</f>
        <v>0.313</v>
      </c>
      <c r="Y140" s="9">
        <f>IFERROR(__xludf.DUMMYFUNCTION("SPLIT(O132, "","")"),0.241)</f>
        <v>0.241</v>
      </c>
      <c r="Z140" s="9">
        <f>IFERROR(__xludf.DUMMYFUNCTION("""COMPUTED_VALUE"""),0.192)</f>
        <v>0.192</v>
      </c>
      <c r="AA140" s="9">
        <f>IFERROR(__xludf.DUMMYFUNCTION("""COMPUTED_VALUE"""),0.392)</f>
        <v>0.392</v>
      </c>
    </row>
    <row r="141">
      <c r="A141" s="9">
        <f>IFERROR(__xludf.DUMMYFUNCTION("SPLIT(I133, "","")"),0.296)</f>
        <v>0.296</v>
      </c>
      <c r="B141" s="9">
        <f>IFERROR(__xludf.DUMMYFUNCTION("""COMPUTED_VALUE"""),0.296)</f>
        <v>0.296</v>
      </c>
      <c r="C141" s="9">
        <f>IFERROR(__xludf.DUMMYFUNCTION("""COMPUTED_VALUE"""),0.296)</f>
        <v>0.296</v>
      </c>
      <c r="E141" s="11">
        <f>IFERROR(__xludf.DUMMYFUNCTION("SPLIT(J133, "","")"),0.303)</f>
        <v>0.303</v>
      </c>
      <c r="F141" s="9">
        <f>IFERROR(__xludf.DUMMYFUNCTION("""COMPUTED_VALUE"""),0.273)</f>
        <v>0.273</v>
      </c>
      <c r="G141" s="9">
        <f>IFERROR(__xludf.DUMMYFUNCTION("""COMPUTED_VALUE"""),0.373)</f>
        <v>0.373</v>
      </c>
      <c r="I141" s="9">
        <f>IFERROR(__xludf.DUMMYFUNCTION("SPLIT(K133, "","")"),0.325)</f>
        <v>0.325</v>
      </c>
      <c r="J141" s="9">
        <f>IFERROR(__xludf.DUMMYFUNCTION("""COMPUTED_VALUE"""),0.26)</f>
        <v>0.26</v>
      </c>
      <c r="K141" s="9">
        <f>IFERROR(__xludf.DUMMYFUNCTION("""COMPUTED_VALUE"""),0.46)</f>
        <v>0.46</v>
      </c>
      <c r="M141" s="9">
        <f>IFERROR(__xludf.DUMMYFUNCTION("SPLIT(L133, "","")"),0.308)</f>
        <v>0.308</v>
      </c>
      <c r="N141" s="9">
        <f>IFERROR(__xludf.DUMMYFUNCTION("""COMPUTED_VALUE"""),0.278)</f>
        <v>0.278</v>
      </c>
      <c r="O141" s="9">
        <f>IFERROR(__xludf.DUMMYFUNCTION("""COMPUTED_VALUE"""),0.378)</f>
        <v>0.378</v>
      </c>
      <c r="Q141" s="9">
        <f>IFERROR(__xludf.DUMMYFUNCTION("SPLIT(M133, "","")"),0.321)</f>
        <v>0.321</v>
      </c>
      <c r="R141" s="9">
        <f>IFERROR(__xludf.DUMMYFUNCTION("""COMPUTED_VALUE"""),0.257)</f>
        <v>0.257</v>
      </c>
      <c r="S141" s="9">
        <f>IFERROR(__xludf.DUMMYFUNCTION("""COMPUTED_VALUE"""),0.457)</f>
        <v>0.457</v>
      </c>
      <c r="U141" s="9">
        <f>IFERROR(__xludf.DUMMYFUNCTION("SPLIT(N133, "","")"),0.304)</f>
        <v>0.304</v>
      </c>
      <c r="V141" s="9">
        <f>IFERROR(__xludf.DUMMYFUNCTION("""COMPUTED_VALUE"""),0.273)</f>
        <v>0.273</v>
      </c>
      <c r="W141" s="9">
        <f>IFERROR(__xludf.DUMMYFUNCTION("""COMPUTED_VALUE"""),0.373)</f>
        <v>0.373</v>
      </c>
      <c r="Y141" s="9">
        <f>IFERROR(__xludf.DUMMYFUNCTION("SPLIT(O133, "","")"),0.313)</f>
        <v>0.313</v>
      </c>
      <c r="Z141" s="9">
        <f>IFERROR(__xludf.DUMMYFUNCTION("""COMPUTED_VALUE"""),0.25)</f>
        <v>0.25</v>
      </c>
      <c r="AA141" s="9">
        <f>IFERROR(__xludf.DUMMYFUNCTION("""COMPUTED_VALUE"""),0.45)</f>
        <v>0.45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0.224</v>
      </c>
      <c r="D145" s="7">
        <f t="shared" ref="D145:D151" si="149">E135</f>
        <v>0.23</v>
      </c>
      <c r="E145" s="7">
        <f t="shared" ref="E145:E151" si="150">I135</f>
        <v>0.245</v>
      </c>
      <c r="F145" s="7">
        <f t="shared" ref="F145:G145" si="144">N135</f>
        <v>0.205</v>
      </c>
      <c r="G145" s="12">
        <f t="shared" si="144"/>
        <v>0.304</v>
      </c>
      <c r="H145" s="7">
        <f t="shared" ref="H145:I145" si="145">R135</f>
        <v>0.184</v>
      </c>
      <c r="I145" s="12">
        <f t="shared" si="145"/>
        <v>0.384</v>
      </c>
      <c r="J145" s="7">
        <f t="shared" ref="J145:K145" si="146">V135</f>
        <v>0.2</v>
      </c>
      <c r="K145" s="12">
        <f t="shared" si="146"/>
        <v>0.3</v>
      </c>
      <c r="L145" s="7">
        <f t="shared" ref="L145:M145" si="147">Z135</f>
        <v>0.179</v>
      </c>
      <c r="M145" s="7">
        <f t="shared" si="147"/>
        <v>0.379</v>
      </c>
    </row>
    <row r="146">
      <c r="B146" s="6" t="s">
        <v>5</v>
      </c>
      <c r="C146" s="7">
        <f t="shared" si="148"/>
        <v>0.228</v>
      </c>
      <c r="D146" s="7">
        <f t="shared" si="149"/>
        <v>0.233</v>
      </c>
      <c r="E146" s="7">
        <f t="shared" si="150"/>
        <v>0.251</v>
      </c>
      <c r="F146" s="7">
        <f t="shared" ref="F146:G146" si="151">N136</f>
        <v>0.209</v>
      </c>
      <c r="G146" s="12">
        <f t="shared" si="151"/>
        <v>0.309</v>
      </c>
      <c r="H146" s="7">
        <f t="shared" ref="H146:I146" si="152">R136</f>
        <v>0.185</v>
      </c>
      <c r="I146" s="12">
        <f t="shared" si="152"/>
        <v>0.385</v>
      </c>
      <c r="J146" s="7">
        <f t="shared" ref="J146:K146" si="153">V136</f>
        <v>0.203</v>
      </c>
      <c r="K146" s="12">
        <f t="shared" si="153"/>
        <v>0.303</v>
      </c>
      <c r="L146" s="7">
        <f t="shared" ref="L146:M146" si="154">Z136</f>
        <v>0.181</v>
      </c>
      <c r="M146" s="7">
        <f t="shared" si="154"/>
        <v>0.381</v>
      </c>
    </row>
    <row r="147">
      <c r="B147" s="6" t="s">
        <v>6</v>
      </c>
      <c r="C147" s="7">
        <f t="shared" si="148"/>
        <v>0.229</v>
      </c>
      <c r="D147" s="7">
        <f t="shared" si="149"/>
        <v>0.235</v>
      </c>
      <c r="E147" s="7">
        <f t="shared" si="150"/>
        <v>0.249</v>
      </c>
      <c r="F147" s="7">
        <f t="shared" ref="F147:G147" si="155">N137</f>
        <v>0.208</v>
      </c>
      <c r="G147" s="12">
        <f t="shared" si="155"/>
        <v>0.308</v>
      </c>
      <c r="H147" s="7">
        <f t="shared" ref="H147:I147" si="156">R137</f>
        <v>0.186</v>
      </c>
      <c r="I147" s="12">
        <f t="shared" si="156"/>
        <v>0.386</v>
      </c>
      <c r="J147" s="7">
        <f t="shared" ref="J147:K147" si="157">V137</f>
        <v>0.204</v>
      </c>
      <c r="K147" s="12">
        <f t="shared" si="157"/>
        <v>0.304</v>
      </c>
      <c r="L147" s="7">
        <f t="shared" ref="L147:M147" si="158">Z137</f>
        <v>0.181</v>
      </c>
      <c r="M147" s="7">
        <f t="shared" si="158"/>
        <v>0.381</v>
      </c>
    </row>
    <row r="148">
      <c r="B148" s="6" t="s">
        <v>7</v>
      </c>
      <c r="C148" s="7">
        <f t="shared" si="148"/>
        <v>0.246</v>
      </c>
      <c r="D148" s="7">
        <f t="shared" si="149"/>
        <v>0.253</v>
      </c>
      <c r="E148" s="7">
        <f t="shared" si="150"/>
        <v>0.273</v>
      </c>
      <c r="F148" s="7">
        <f t="shared" ref="F148:G148" si="159">N138</f>
        <v>0.227</v>
      </c>
      <c r="G148" s="12">
        <f t="shared" si="159"/>
        <v>0.327</v>
      </c>
      <c r="H148" s="7">
        <f t="shared" ref="H148:I148" si="160">R138</f>
        <v>0.204</v>
      </c>
      <c r="I148" s="12">
        <f t="shared" si="160"/>
        <v>0.404</v>
      </c>
      <c r="J148" s="7">
        <f t="shared" ref="J148:K148" si="161">V138</f>
        <v>0.223</v>
      </c>
      <c r="K148" s="12">
        <f t="shared" si="161"/>
        <v>0.323</v>
      </c>
      <c r="L148" s="7">
        <f t="shared" ref="L148:M148" si="162">Z138</f>
        <v>0.201</v>
      </c>
      <c r="M148" s="7">
        <f t="shared" si="162"/>
        <v>0.401</v>
      </c>
    </row>
    <row r="149">
      <c r="B149" s="6" t="s">
        <v>8</v>
      </c>
      <c r="C149" s="7">
        <f t="shared" si="148"/>
        <v>0.312</v>
      </c>
      <c r="D149" s="7">
        <f t="shared" si="149"/>
        <v>0.323</v>
      </c>
      <c r="E149" s="7">
        <f t="shared" si="150"/>
        <v>0.339</v>
      </c>
      <c r="F149" s="7">
        <f t="shared" ref="F149:G149" si="163">N139</f>
        <v>0.295</v>
      </c>
      <c r="G149" s="12">
        <f t="shared" si="163"/>
        <v>0.395</v>
      </c>
      <c r="H149" s="7">
        <f t="shared" ref="H149:I149" si="164">R139</f>
        <v>0.276</v>
      </c>
      <c r="I149" s="12">
        <f t="shared" si="164"/>
        <v>0.477</v>
      </c>
      <c r="J149" s="7">
        <f t="shared" ref="J149:K149" si="165">V139</f>
        <v>0.291</v>
      </c>
      <c r="K149" s="12">
        <f t="shared" si="165"/>
        <v>0.391</v>
      </c>
      <c r="L149" s="7">
        <f t="shared" ref="L149:M149" si="166">Z139</f>
        <v>0.269</v>
      </c>
      <c r="M149" s="7">
        <f t="shared" si="166"/>
        <v>0.469</v>
      </c>
    </row>
    <row r="150">
      <c r="B150" s="6" t="s">
        <v>9</v>
      </c>
      <c r="C150" s="7">
        <f t="shared" si="148"/>
        <v>0.237</v>
      </c>
      <c r="D150" s="7">
        <f t="shared" si="149"/>
        <v>0.242</v>
      </c>
      <c r="E150" s="7">
        <f t="shared" si="150"/>
        <v>0.258</v>
      </c>
      <c r="F150" s="7">
        <f t="shared" ref="F150:G150" si="167">N140</f>
        <v>0.219</v>
      </c>
      <c r="G150" s="12">
        <f t="shared" si="167"/>
        <v>0.319</v>
      </c>
      <c r="H150" s="7">
        <f t="shared" ref="H150:I150" si="168">R140</f>
        <v>0.199</v>
      </c>
      <c r="I150" s="12">
        <f t="shared" si="168"/>
        <v>0.399</v>
      </c>
      <c r="J150" s="7">
        <f t="shared" ref="J150:K150" si="169">V140</f>
        <v>0.213</v>
      </c>
      <c r="K150" s="12">
        <f t="shared" si="169"/>
        <v>0.313</v>
      </c>
      <c r="L150" s="7">
        <f t="shared" ref="L150:M150" si="170">Z140</f>
        <v>0.192</v>
      </c>
      <c r="M150" s="7">
        <f t="shared" si="170"/>
        <v>0.392</v>
      </c>
    </row>
    <row r="151">
      <c r="B151" s="6" t="s">
        <v>10</v>
      </c>
      <c r="C151" s="7">
        <f t="shared" si="148"/>
        <v>0.296</v>
      </c>
      <c r="D151" s="7">
        <f t="shared" si="149"/>
        <v>0.303</v>
      </c>
      <c r="E151" s="7">
        <f t="shared" si="150"/>
        <v>0.325</v>
      </c>
      <c r="F151" s="7">
        <f t="shared" ref="F151:G151" si="171">N141</f>
        <v>0.278</v>
      </c>
      <c r="G151" s="12">
        <f t="shared" si="171"/>
        <v>0.378</v>
      </c>
      <c r="H151" s="7">
        <f t="shared" ref="H151:I151" si="172">R141</f>
        <v>0.257</v>
      </c>
      <c r="I151" s="12">
        <f t="shared" si="172"/>
        <v>0.457</v>
      </c>
      <c r="J151" s="7">
        <f t="shared" ref="J151:K151" si="173">V141</f>
        <v>0.273</v>
      </c>
      <c r="K151" s="12">
        <f t="shared" si="173"/>
        <v>0.373</v>
      </c>
      <c r="L151" s="7">
        <f t="shared" ref="L151:M151" si="174">Z141</f>
        <v>0.25</v>
      </c>
      <c r="M151" s="7">
        <f t="shared" si="174"/>
        <v>0.45</v>
      </c>
    </row>
    <row r="153">
      <c r="A153" s="8" t="s">
        <v>895</v>
      </c>
      <c r="B153" s="8" t="s">
        <v>896</v>
      </c>
      <c r="C153" s="8" t="s">
        <v>883</v>
      </c>
      <c r="D153" s="8" t="s">
        <v>897</v>
      </c>
      <c r="E153" s="8" t="s">
        <v>789</v>
      </c>
      <c r="F153" s="8" t="s">
        <v>898</v>
      </c>
      <c r="G153" s="8" t="s">
        <v>899</v>
      </c>
      <c r="I153" s="9" t="str">
        <f t="shared" ref="I153:O153" si="175">substitute(SUBSTITUTE(A153, "(", ""), ")", "")</f>
        <v>0.339, 0.339, 0.339</v>
      </c>
      <c r="J153" s="9" t="str">
        <f t="shared" si="175"/>
        <v>0.338, 0.305, 0.405</v>
      </c>
      <c r="K153" s="9" t="str">
        <f t="shared" si="175"/>
        <v>0.339, 0.271, 0.471</v>
      </c>
      <c r="L153" s="9" t="str">
        <f t="shared" si="175"/>
        <v>0.357, 0.322, 0.422</v>
      </c>
      <c r="M153" s="9" t="str">
        <f t="shared" si="175"/>
        <v>0.378, 0.302, 0.502</v>
      </c>
      <c r="N153" s="9" t="str">
        <f t="shared" si="175"/>
        <v>0.355, 0.320, 0.420</v>
      </c>
      <c r="O153" s="9" t="str">
        <f t="shared" si="175"/>
        <v>0.374, 0.300, 0.500</v>
      </c>
      <c r="T153" s="6"/>
    </row>
    <row r="154">
      <c r="A154" s="8" t="s">
        <v>816</v>
      </c>
      <c r="B154" s="8" t="s">
        <v>900</v>
      </c>
      <c r="C154" s="8" t="s">
        <v>232</v>
      </c>
      <c r="D154" s="8" t="s">
        <v>807</v>
      </c>
      <c r="E154" s="8" t="s">
        <v>107</v>
      </c>
      <c r="F154" s="8" t="s">
        <v>901</v>
      </c>
      <c r="G154" s="8" t="s">
        <v>109</v>
      </c>
      <c r="I154" s="9" t="str">
        <f t="shared" ref="I154:O154" si="176">substitute(SUBSTITUTE(A154, "(", ""), ")", "")</f>
        <v>0.346, 0.346, 0.346</v>
      </c>
      <c r="J154" s="9" t="str">
        <f t="shared" si="176"/>
        <v>0.347, 0.312, 0.412</v>
      </c>
      <c r="K154" s="9" t="str">
        <f t="shared" si="176"/>
        <v>0.345, 0.276, 0.476</v>
      </c>
      <c r="L154" s="9" t="str">
        <f t="shared" si="176"/>
        <v>0.365, 0.329, 0.429</v>
      </c>
      <c r="M154" s="9" t="str">
        <f t="shared" si="176"/>
        <v>0.390, 0.312, 0.512</v>
      </c>
      <c r="N154" s="9" t="str">
        <f t="shared" si="176"/>
        <v>0.362, 0.326, 0.426</v>
      </c>
      <c r="O154" s="9" t="str">
        <f t="shared" si="176"/>
        <v>0.384, 0.307, 0.507</v>
      </c>
    </row>
    <row r="155">
      <c r="A155" s="8" t="s">
        <v>813</v>
      </c>
      <c r="B155" s="8" t="s">
        <v>900</v>
      </c>
      <c r="C155" s="8" t="s">
        <v>902</v>
      </c>
      <c r="D155" s="8" t="s">
        <v>591</v>
      </c>
      <c r="E155" s="8" t="s">
        <v>107</v>
      </c>
      <c r="F155" s="8" t="s">
        <v>788</v>
      </c>
      <c r="G155" s="8" t="s">
        <v>107</v>
      </c>
      <c r="I155" s="9" t="str">
        <f t="shared" ref="I155:O155" si="177">substitute(SUBSTITUTE(A155, "(", ""), ")", "")</f>
        <v>0.347, 0.347, 0.347</v>
      </c>
      <c r="J155" s="9" t="str">
        <f t="shared" si="177"/>
        <v>0.347, 0.312, 0.412</v>
      </c>
      <c r="K155" s="9" t="str">
        <f t="shared" si="177"/>
        <v>0.349, 0.279, 0.479</v>
      </c>
      <c r="L155" s="9" t="str">
        <f t="shared" si="177"/>
        <v>0.367, 0.330, 0.430</v>
      </c>
      <c r="M155" s="9" t="str">
        <f t="shared" si="177"/>
        <v>0.390, 0.312, 0.512</v>
      </c>
      <c r="N155" s="9" t="str">
        <f t="shared" si="177"/>
        <v>0.366, 0.329, 0.429</v>
      </c>
      <c r="O155" s="9" t="str">
        <f t="shared" si="177"/>
        <v>0.390, 0.312, 0.512</v>
      </c>
    </row>
    <row r="156">
      <c r="A156" s="8" t="s">
        <v>903</v>
      </c>
      <c r="B156" s="8" t="s">
        <v>901</v>
      </c>
      <c r="C156" s="8" t="s">
        <v>255</v>
      </c>
      <c r="D156" s="8" t="s">
        <v>106</v>
      </c>
      <c r="E156" s="8" t="s">
        <v>107</v>
      </c>
      <c r="F156" s="8" t="s">
        <v>904</v>
      </c>
      <c r="G156" s="8" t="s">
        <v>229</v>
      </c>
      <c r="I156" s="9" t="str">
        <f t="shared" ref="I156:O156" si="178">substitute(SUBSTITUTE(A156, "(", ""), ")", "")</f>
        <v>0.362, 0.362, 0.362</v>
      </c>
      <c r="J156" s="9" t="str">
        <f t="shared" si="178"/>
        <v>0.362, 0.326, 0.426</v>
      </c>
      <c r="K156" s="9" t="str">
        <f t="shared" si="178"/>
        <v>0.364, 0.291, 0.491</v>
      </c>
      <c r="L156" s="9" t="str">
        <f t="shared" si="178"/>
        <v>0.374, 0.337, 0.437</v>
      </c>
      <c r="M156" s="9" t="str">
        <f t="shared" si="178"/>
        <v>0.390, 0.312, 0.512</v>
      </c>
      <c r="N156" s="9" t="str">
        <f t="shared" si="178"/>
        <v>0.373, 0.335, 0.435</v>
      </c>
      <c r="O156" s="9" t="str">
        <f t="shared" si="178"/>
        <v>0.386, 0.309, 0.509</v>
      </c>
    </row>
    <row r="157">
      <c r="A157" s="8" t="s">
        <v>905</v>
      </c>
      <c r="B157" s="8" t="s">
        <v>374</v>
      </c>
      <c r="C157" s="8" t="s">
        <v>906</v>
      </c>
      <c r="D157" s="8" t="s">
        <v>907</v>
      </c>
      <c r="E157" s="8" t="s">
        <v>129</v>
      </c>
      <c r="F157" s="8" t="s">
        <v>907</v>
      </c>
      <c r="G157" s="8" t="s">
        <v>812</v>
      </c>
      <c r="I157" s="9" t="str">
        <f t="shared" ref="I157:O157" si="179">substitute(SUBSTITUTE(A157, "(", ""), ")", "")</f>
        <v>0.371, 0.371, 0.371</v>
      </c>
      <c r="J157" s="9" t="str">
        <f t="shared" si="179"/>
        <v>0.372, 0.335, 0.435</v>
      </c>
      <c r="K157" s="9" t="str">
        <f t="shared" si="179"/>
        <v>0.371, 0.297, 0.497</v>
      </c>
      <c r="L157" s="9" t="str">
        <f t="shared" si="179"/>
        <v>0.376, 0.338, 0.438</v>
      </c>
      <c r="M157" s="9" t="str">
        <f t="shared" si="179"/>
        <v>0.383, 0.306, 0.506</v>
      </c>
      <c r="N157" s="9" t="str">
        <f t="shared" si="179"/>
        <v>0.376, 0.338, 0.438</v>
      </c>
      <c r="O157" s="9" t="str">
        <f t="shared" si="179"/>
        <v>0.376, 0.301, 0.501</v>
      </c>
    </row>
    <row r="158">
      <c r="A158" s="8" t="s">
        <v>908</v>
      </c>
      <c r="B158" s="8" t="s">
        <v>126</v>
      </c>
      <c r="C158" s="8" t="s">
        <v>909</v>
      </c>
      <c r="D158" s="8" t="s">
        <v>901</v>
      </c>
      <c r="E158" s="8" t="s">
        <v>482</v>
      </c>
      <c r="F158" s="8" t="s">
        <v>128</v>
      </c>
      <c r="G158" s="8" t="s">
        <v>237</v>
      </c>
      <c r="I158" s="9" t="str">
        <f t="shared" ref="I158:O158" si="180">substitute(SUBSTITUTE(A158, "(", ""), ")", "")</f>
        <v>0.350, 0.350, 0.350</v>
      </c>
      <c r="J158" s="9" t="str">
        <f t="shared" si="180"/>
        <v>0.350, 0.315, 0.415</v>
      </c>
      <c r="K158" s="9" t="str">
        <f t="shared" si="180"/>
        <v>0.348, 0.279, 0.479</v>
      </c>
      <c r="L158" s="9" t="str">
        <f t="shared" si="180"/>
        <v>0.362, 0.326, 0.426</v>
      </c>
      <c r="M158" s="9" t="str">
        <f t="shared" si="180"/>
        <v>0.379, 0.303, 0.503</v>
      </c>
      <c r="N158" s="9" t="str">
        <f t="shared" si="180"/>
        <v>0.361, 0.325, 0.425</v>
      </c>
      <c r="O158" s="9" t="str">
        <f t="shared" si="180"/>
        <v>0.377, 0.301, 0.501</v>
      </c>
    </row>
    <row r="159">
      <c r="A159" s="8" t="s">
        <v>910</v>
      </c>
      <c r="B159" s="8" t="s">
        <v>128</v>
      </c>
      <c r="C159" s="8" t="s">
        <v>911</v>
      </c>
      <c r="D159" s="8" t="s">
        <v>807</v>
      </c>
      <c r="E159" s="8" t="s">
        <v>131</v>
      </c>
      <c r="F159" s="8" t="s">
        <v>788</v>
      </c>
      <c r="G159" s="8" t="s">
        <v>127</v>
      </c>
      <c r="I159" s="9" t="str">
        <f t="shared" ref="I159:O159" si="181">substitute(SUBSTITUTE(A159, "(", ""), ")", "")</f>
        <v>0.360, 0.360, 0.360</v>
      </c>
      <c r="J159" s="9" t="str">
        <f t="shared" si="181"/>
        <v>0.361, 0.325, 0.425</v>
      </c>
      <c r="K159" s="9" t="str">
        <f t="shared" si="181"/>
        <v>0.362, 0.290, 0.490</v>
      </c>
      <c r="L159" s="9" t="str">
        <f t="shared" si="181"/>
        <v>0.365, 0.329, 0.429</v>
      </c>
      <c r="M159" s="9" t="str">
        <f t="shared" si="181"/>
        <v>0.375, 0.300, 0.500</v>
      </c>
      <c r="N159" s="9" t="str">
        <f t="shared" si="181"/>
        <v>0.366, 0.329, 0.429</v>
      </c>
      <c r="O159" s="9" t="str">
        <f t="shared" si="181"/>
        <v>0.369, 0.295, 0.495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"","")"),0.339)</f>
        <v>0.339</v>
      </c>
      <c r="B161" s="9">
        <f>IFERROR(__xludf.DUMMYFUNCTION("""COMPUTED_VALUE"""),0.339)</f>
        <v>0.339</v>
      </c>
      <c r="C161" s="9">
        <f>IFERROR(__xludf.DUMMYFUNCTION("""COMPUTED_VALUE"""),0.339)</f>
        <v>0.339</v>
      </c>
      <c r="E161" s="11">
        <f>IFERROR(__xludf.DUMMYFUNCTION("SPLIT(J153, "","")"),0.338)</f>
        <v>0.338</v>
      </c>
      <c r="F161" s="9">
        <f>IFERROR(__xludf.DUMMYFUNCTION("""COMPUTED_VALUE"""),0.305)</f>
        <v>0.305</v>
      </c>
      <c r="G161" s="9">
        <f>IFERROR(__xludf.DUMMYFUNCTION("""COMPUTED_VALUE"""),0.405)</f>
        <v>0.405</v>
      </c>
      <c r="I161" s="9">
        <f>IFERROR(__xludf.DUMMYFUNCTION("SPLIT(K153, "","")"),0.339)</f>
        <v>0.339</v>
      </c>
      <c r="J161" s="9">
        <f>IFERROR(__xludf.DUMMYFUNCTION("""COMPUTED_VALUE"""),0.271)</f>
        <v>0.271</v>
      </c>
      <c r="K161" s="9">
        <f>IFERROR(__xludf.DUMMYFUNCTION("""COMPUTED_VALUE"""),0.471)</f>
        <v>0.471</v>
      </c>
      <c r="M161" s="9">
        <f>IFERROR(__xludf.DUMMYFUNCTION("SPLIT(L153, "","")"),0.357)</f>
        <v>0.357</v>
      </c>
      <c r="N161" s="9">
        <f>IFERROR(__xludf.DUMMYFUNCTION("""COMPUTED_VALUE"""),0.322)</f>
        <v>0.322</v>
      </c>
      <c r="O161" s="9">
        <f>IFERROR(__xludf.DUMMYFUNCTION("""COMPUTED_VALUE"""),0.422)</f>
        <v>0.422</v>
      </c>
      <c r="Q161" s="9">
        <f>IFERROR(__xludf.DUMMYFUNCTION("SPLIT(M153, "","")"),0.378)</f>
        <v>0.378</v>
      </c>
      <c r="R161" s="9">
        <f>IFERROR(__xludf.DUMMYFUNCTION("""COMPUTED_VALUE"""),0.302)</f>
        <v>0.302</v>
      </c>
      <c r="S161" s="9">
        <f>IFERROR(__xludf.DUMMYFUNCTION("""COMPUTED_VALUE"""),0.502)</f>
        <v>0.502</v>
      </c>
      <c r="U161" s="9">
        <f>IFERROR(__xludf.DUMMYFUNCTION("SPLIT(N153, "","")"),0.355)</f>
        <v>0.355</v>
      </c>
      <c r="V161" s="9">
        <f>IFERROR(__xludf.DUMMYFUNCTION("""COMPUTED_VALUE"""),0.32)</f>
        <v>0.32</v>
      </c>
      <c r="W161" s="9">
        <f>IFERROR(__xludf.DUMMYFUNCTION("""COMPUTED_VALUE"""),0.42)</f>
        <v>0.42</v>
      </c>
      <c r="Y161" s="9">
        <f>IFERROR(__xludf.DUMMYFUNCTION("SPLIT(O153, "","")"),0.374)</f>
        <v>0.374</v>
      </c>
      <c r="Z161" s="9">
        <f>IFERROR(__xludf.DUMMYFUNCTION("""COMPUTED_VALUE"""),0.3)</f>
        <v>0.3</v>
      </c>
      <c r="AA161" s="9">
        <f>IFERROR(__xludf.DUMMYFUNCTION("""COMPUTED_VALUE"""),0.5)</f>
        <v>0.5</v>
      </c>
    </row>
    <row r="162">
      <c r="A162" s="9">
        <f>IFERROR(__xludf.DUMMYFUNCTION("SPLIT(I154, "","")"),0.346)</f>
        <v>0.346</v>
      </c>
      <c r="B162" s="9">
        <f>IFERROR(__xludf.DUMMYFUNCTION("""COMPUTED_VALUE"""),0.346)</f>
        <v>0.346</v>
      </c>
      <c r="C162" s="9">
        <f>IFERROR(__xludf.DUMMYFUNCTION("""COMPUTED_VALUE"""),0.346)</f>
        <v>0.346</v>
      </c>
      <c r="E162" s="11">
        <f>IFERROR(__xludf.DUMMYFUNCTION("SPLIT(J154, "","")"),0.347)</f>
        <v>0.347</v>
      </c>
      <c r="F162" s="9">
        <f>IFERROR(__xludf.DUMMYFUNCTION("""COMPUTED_VALUE"""),0.312)</f>
        <v>0.312</v>
      </c>
      <c r="G162" s="9">
        <f>IFERROR(__xludf.DUMMYFUNCTION("""COMPUTED_VALUE"""),0.412)</f>
        <v>0.412</v>
      </c>
      <c r="I162" s="9">
        <f>IFERROR(__xludf.DUMMYFUNCTION("SPLIT(K154, "","")"),0.345)</f>
        <v>0.345</v>
      </c>
      <c r="J162" s="9">
        <f>IFERROR(__xludf.DUMMYFUNCTION("""COMPUTED_VALUE"""),0.276)</f>
        <v>0.276</v>
      </c>
      <c r="K162" s="9">
        <f>IFERROR(__xludf.DUMMYFUNCTION("""COMPUTED_VALUE"""),0.476)</f>
        <v>0.476</v>
      </c>
      <c r="M162" s="9">
        <f>IFERROR(__xludf.DUMMYFUNCTION("SPLIT(L154, "","")"),0.365)</f>
        <v>0.365</v>
      </c>
      <c r="N162" s="9">
        <f>IFERROR(__xludf.DUMMYFUNCTION("""COMPUTED_VALUE"""),0.329)</f>
        <v>0.329</v>
      </c>
      <c r="O162" s="9">
        <f>IFERROR(__xludf.DUMMYFUNCTION("""COMPUTED_VALUE"""),0.429)</f>
        <v>0.429</v>
      </c>
      <c r="Q162" s="9">
        <f>IFERROR(__xludf.DUMMYFUNCTION("SPLIT(M154, "","")"),0.39)</f>
        <v>0.39</v>
      </c>
      <c r="R162" s="9">
        <f>IFERROR(__xludf.DUMMYFUNCTION("""COMPUTED_VALUE"""),0.312)</f>
        <v>0.312</v>
      </c>
      <c r="S162" s="9">
        <f>IFERROR(__xludf.DUMMYFUNCTION("""COMPUTED_VALUE"""),0.512)</f>
        <v>0.512</v>
      </c>
      <c r="U162" s="9">
        <f>IFERROR(__xludf.DUMMYFUNCTION("SPLIT(N154, "","")"),0.362)</f>
        <v>0.362</v>
      </c>
      <c r="V162" s="9">
        <f>IFERROR(__xludf.DUMMYFUNCTION("""COMPUTED_VALUE"""),0.326)</f>
        <v>0.326</v>
      </c>
      <c r="W162" s="9">
        <f>IFERROR(__xludf.DUMMYFUNCTION("""COMPUTED_VALUE"""),0.426)</f>
        <v>0.426</v>
      </c>
      <c r="Y162" s="9">
        <f>IFERROR(__xludf.DUMMYFUNCTION("SPLIT(O154, "","")"),0.384)</f>
        <v>0.384</v>
      </c>
      <c r="Z162" s="9">
        <f>IFERROR(__xludf.DUMMYFUNCTION("""COMPUTED_VALUE"""),0.307)</f>
        <v>0.307</v>
      </c>
      <c r="AA162" s="9">
        <f>IFERROR(__xludf.DUMMYFUNCTION("""COMPUTED_VALUE"""),0.507)</f>
        <v>0.507</v>
      </c>
    </row>
    <row r="163">
      <c r="A163" s="9">
        <f>IFERROR(__xludf.DUMMYFUNCTION("SPLIT(I155, "","")"),0.347)</f>
        <v>0.347</v>
      </c>
      <c r="B163" s="9">
        <f>IFERROR(__xludf.DUMMYFUNCTION("""COMPUTED_VALUE"""),0.347)</f>
        <v>0.347</v>
      </c>
      <c r="C163" s="9">
        <f>IFERROR(__xludf.DUMMYFUNCTION("""COMPUTED_VALUE"""),0.347)</f>
        <v>0.347</v>
      </c>
      <c r="E163" s="11">
        <f>IFERROR(__xludf.DUMMYFUNCTION("SPLIT(J155, "","")"),0.347)</f>
        <v>0.347</v>
      </c>
      <c r="F163" s="9">
        <f>IFERROR(__xludf.DUMMYFUNCTION("""COMPUTED_VALUE"""),0.312)</f>
        <v>0.312</v>
      </c>
      <c r="G163" s="9">
        <f>IFERROR(__xludf.DUMMYFUNCTION("""COMPUTED_VALUE"""),0.412)</f>
        <v>0.412</v>
      </c>
      <c r="I163" s="9">
        <f>IFERROR(__xludf.DUMMYFUNCTION("SPLIT(K155, "","")"),0.349)</f>
        <v>0.349</v>
      </c>
      <c r="J163" s="9">
        <f>IFERROR(__xludf.DUMMYFUNCTION("""COMPUTED_VALUE"""),0.279)</f>
        <v>0.279</v>
      </c>
      <c r="K163" s="9">
        <f>IFERROR(__xludf.DUMMYFUNCTION("""COMPUTED_VALUE"""),0.479)</f>
        <v>0.479</v>
      </c>
      <c r="M163" s="9">
        <f>IFERROR(__xludf.DUMMYFUNCTION("SPLIT(L155, "","")"),0.367)</f>
        <v>0.367</v>
      </c>
      <c r="N163" s="9">
        <f>IFERROR(__xludf.DUMMYFUNCTION("""COMPUTED_VALUE"""),0.33)</f>
        <v>0.33</v>
      </c>
      <c r="O163" s="9">
        <f>IFERROR(__xludf.DUMMYFUNCTION("""COMPUTED_VALUE"""),0.43)</f>
        <v>0.43</v>
      </c>
      <c r="Q163" s="9">
        <f>IFERROR(__xludf.DUMMYFUNCTION("SPLIT(M155, "","")"),0.39)</f>
        <v>0.39</v>
      </c>
      <c r="R163" s="9">
        <f>IFERROR(__xludf.DUMMYFUNCTION("""COMPUTED_VALUE"""),0.312)</f>
        <v>0.312</v>
      </c>
      <c r="S163" s="9">
        <f>IFERROR(__xludf.DUMMYFUNCTION("""COMPUTED_VALUE"""),0.512)</f>
        <v>0.512</v>
      </c>
      <c r="U163" s="9">
        <f>IFERROR(__xludf.DUMMYFUNCTION("SPLIT(N155, "","")"),0.366)</f>
        <v>0.366</v>
      </c>
      <c r="V163" s="9">
        <f>IFERROR(__xludf.DUMMYFUNCTION("""COMPUTED_VALUE"""),0.329)</f>
        <v>0.329</v>
      </c>
      <c r="W163" s="9">
        <f>IFERROR(__xludf.DUMMYFUNCTION("""COMPUTED_VALUE"""),0.429)</f>
        <v>0.429</v>
      </c>
      <c r="Y163" s="9">
        <f>IFERROR(__xludf.DUMMYFUNCTION("SPLIT(O155, "","")"),0.39)</f>
        <v>0.39</v>
      </c>
      <c r="Z163" s="9">
        <f>IFERROR(__xludf.DUMMYFUNCTION("""COMPUTED_VALUE"""),0.312)</f>
        <v>0.312</v>
      </c>
      <c r="AA163" s="9">
        <f>IFERROR(__xludf.DUMMYFUNCTION("""COMPUTED_VALUE"""),0.512)</f>
        <v>0.512</v>
      </c>
    </row>
    <row r="164">
      <c r="A164" s="9">
        <f>IFERROR(__xludf.DUMMYFUNCTION("SPLIT(I156, "","")"),0.362)</f>
        <v>0.362</v>
      </c>
      <c r="B164" s="9">
        <f>IFERROR(__xludf.DUMMYFUNCTION("""COMPUTED_VALUE"""),0.362)</f>
        <v>0.362</v>
      </c>
      <c r="C164" s="9">
        <f>IFERROR(__xludf.DUMMYFUNCTION("""COMPUTED_VALUE"""),0.362)</f>
        <v>0.362</v>
      </c>
      <c r="E164" s="11">
        <f>IFERROR(__xludf.DUMMYFUNCTION("SPLIT(J156, "","")"),0.362)</f>
        <v>0.362</v>
      </c>
      <c r="F164" s="9">
        <f>IFERROR(__xludf.DUMMYFUNCTION("""COMPUTED_VALUE"""),0.326)</f>
        <v>0.326</v>
      </c>
      <c r="G164" s="9">
        <f>IFERROR(__xludf.DUMMYFUNCTION("""COMPUTED_VALUE"""),0.426)</f>
        <v>0.426</v>
      </c>
      <c r="I164" s="9">
        <f>IFERROR(__xludf.DUMMYFUNCTION("SPLIT(K156, "","")"),0.364)</f>
        <v>0.364</v>
      </c>
      <c r="J164" s="9">
        <f>IFERROR(__xludf.DUMMYFUNCTION("""COMPUTED_VALUE"""),0.291)</f>
        <v>0.291</v>
      </c>
      <c r="K164" s="9">
        <f>IFERROR(__xludf.DUMMYFUNCTION("""COMPUTED_VALUE"""),0.491)</f>
        <v>0.491</v>
      </c>
      <c r="M164" s="9">
        <f>IFERROR(__xludf.DUMMYFUNCTION("SPLIT(L156, "","")"),0.374)</f>
        <v>0.374</v>
      </c>
      <c r="N164" s="9">
        <f>IFERROR(__xludf.DUMMYFUNCTION("""COMPUTED_VALUE"""),0.337)</f>
        <v>0.337</v>
      </c>
      <c r="O164" s="9">
        <f>IFERROR(__xludf.DUMMYFUNCTION("""COMPUTED_VALUE"""),0.437)</f>
        <v>0.437</v>
      </c>
      <c r="Q164" s="9">
        <f>IFERROR(__xludf.DUMMYFUNCTION("SPLIT(M156, "","")"),0.39)</f>
        <v>0.39</v>
      </c>
      <c r="R164" s="9">
        <f>IFERROR(__xludf.DUMMYFUNCTION("""COMPUTED_VALUE"""),0.312)</f>
        <v>0.312</v>
      </c>
      <c r="S164" s="9">
        <f>IFERROR(__xludf.DUMMYFUNCTION("""COMPUTED_VALUE"""),0.512)</f>
        <v>0.512</v>
      </c>
      <c r="U164" s="9">
        <f>IFERROR(__xludf.DUMMYFUNCTION("SPLIT(N156, "","")"),0.373)</f>
        <v>0.373</v>
      </c>
      <c r="V164" s="9">
        <f>IFERROR(__xludf.DUMMYFUNCTION("""COMPUTED_VALUE"""),0.335)</f>
        <v>0.335</v>
      </c>
      <c r="W164" s="9">
        <f>IFERROR(__xludf.DUMMYFUNCTION("""COMPUTED_VALUE"""),0.435)</f>
        <v>0.435</v>
      </c>
      <c r="Y164" s="9">
        <f>IFERROR(__xludf.DUMMYFUNCTION("SPLIT(O156, "","")"),0.386)</f>
        <v>0.386</v>
      </c>
      <c r="Z164" s="9">
        <f>IFERROR(__xludf.DUMMYFUNCTION("""COMPUTED_VALUE"""),0.309)</f>
        <v>0.309</v>
      </c>
      <c r="AA164" s="9">
        <f>IFERROR(__xludf.DUMMYFUNCTION("""COMPUTED_VALUE"""),0.509)</f>
        <v>0.509</v>
      </c>
    </row>
    <row r="165">
      <c r="A165" s="9">
        <f>IFERROR(__xludf.DUMMYFUNCTION("SPLIT(I157, "","")"),0.371)</f>
        <v>0.371</v>
      </c>
      <c r="B165" s="9">
        <f>IFERROR(__xludf.DUMMYFUNCTION("""COMPUTED_VALUE"""),0.371)</f>
        <v>0.371</v>
      </c>
      <c r="C165" s="9">
        <f>IFERROR(__xludf.DUMMYFUNCTION("""COMPUTED_VALUE"""),0.371)</f>
        <v>0.371</v>
      </c>
      <c r="E165" s="11">
        <f>IFERROR(__xludf.DUMMYFUNCTION("SPLIT(J157, "","")"),0.372)</f>
        <v>0.372</v>
      </c>
      <c r="F165" s="9">
        <f>IFERROR(__xludf.DUMMYFUNCTION("""COMPUTED_VALUE"""),0.335)</f>
        <v>0.335</v>
      </c>
      <c r="G165" s="9">
        <f>IFERROR(__xludf.DUMMYFUNCTION("""COMPUTED_VALUE"""),0.435)</f>
        <v>0.435</v>
      </c>
      <c r="I165" s="9">
        <f>IFERROR(__xludf.DUMMYFUNCTION("SPLIT(K157, "","")"),0.371)</f>
        <v>0.371</v>
      </c>
      <c r="J165" s="9">
        <f>IFERROR(__xludf.DUMMYFUNCTION("""COMPUTED_VALUE"""),0.297)</f>
        <v>0.297</v>
      </c>
      <c r="K165" s="9">
        <f>IFERROR(__xludf.DUMMYFUNCTION("""COMPUTED_VALUE"""),0.497)</f>
        <v>0.497</v>
      </c>
      <c r="M165" s="9">
        <f>IFERROR(__xludf.DUMMYFUNCTION("SPLIT(L157, "","")"),0.376)</f>
        <v>0.376</v>
      </c>
      <c r="N165" s="9">
        <f>IFERROR(__xludf.DUMMYFUNCTION("""COMPUTED_VALUE"""),0.338)</f>
        <v>0.338</v>
      </c>
      <c r="O165" s="9">
        <f>IFERROR(__xludf.DUMMYFUNCTION("""COMPUTED_VALUE"""),0.438)</f>
        <v>0.438</v>
      </c>
      <c r="Q165" s="9">
        <f>IFERROR(__xludf.DUMMYFUNCTION("SPLIT(M157, "","")"),0.383)</f>
        <v>0.383</v>
      </c>
      <c r="R165" s="9">
        <f>IFERROR(__xludf.DUMMYFUNCTION("""COMPUTED_VALUE"""),0.306)</f>
        <v>0.306</v>
      </c>
      <c r="S165" s="9">
        <f>IFERROR(__xludf.DUMMYFUNCTION("""COMPUTED_VALUE"""),0.506)</f>
        <v>0.506</v>
      </c>
      <c r="U165" s="9">
        <f>IFERROR(__xludf.DUMMYFUNCTION("SPLIT(N157, "","")"),0.376)</f>
        <v>0.376</v>
      </c>
      <c r="V165" s="9">
        <f>IFERROR(__xludf.DUMMYFUNCTION("""COMPUTED_VALUE"""),0.338)</f>
        <v>0.338</v>
      </c>
      <c r="W165" s="9">
        <f>IFERROR(__xludf.DUMMYFUNCTION("""COMPUTED_VALUE"""),0.438)</f>
        <v>0.438</v>
      </c>
      <c r="Y165" s="9">
        <f>IFERROR(__xludf.DUMMYFUNCTION("SPLIT(O157, "","")"),0.376)</f>
        <v>0.376</v>
      </c>
      <c r="Z165" s="9">
        <f>IFERROR(__xludf.DUMMYFUNCTION("""COMPUTED_VALUE"""),0.301)</f>
        <v>0.301</v>
      </c>
      <c r="AA165" s="9">
        <f>IFERROR(__xludf.DUMMYFUNCTION("""COMPUTED_VALUE"""),0.501)</f>
        <v>0.501</v>
      </c>
    </row>
    <row r="166">
      <c r="A166" s="9">
        <f>IFERROR(__xludf.DUMMYFUNCTION("SPLIT(I158, "","")"),0.35)</f>
        <v>0.35</v>
      </c>
      <c r="B166" s="9">
        <f>IFERROR(__xludf.DUMMYFUNCTION("""COMPUTED_VALUE"""),0.35)</f>
        <v>0.35</v>
      </c>
      <c r="C166" s="9">
        <f>IFERROR(__xludf.DUMMYFUNCTION("""COMPUTED_VALUE"""),0.35)</f>
        <v>0.35</v>
      </c>
      <c r="E166" s="11">
        <f>IFERROR(__xludf.DUMMYFUNCTION("SPLIT(J158, "","")"),0.35)</f>
        <v>0.35</v>
      </c>
      <c r="F166" s="9">
        <f>IFERROR(__xludf.DUMMYFUNCTION("""COMPUTED_VALUE"""),0.315)</f>
        <v>0.315</v>
      </c>
      <c r="G166" s="9">
        <f>IFERROR(__xludf.DUMMYFUNCTION("""COMPUTED_VALUE"""),0.415)</f>
        <v>0.415</v>
      </c>
      <c r="I166" s="9">
        <f>IFERROR(__xludf.DUMMYFUNCTION("SPLIT(K158, "","")"),0.348)</f>
        <v>0.348</v>
      </c>
      <c r="J166" s="9">
        <f>IFERROR(__xludf.DUMMYFUNCTION("""COMPUTED_VALUE"""),0.279)</f>
        <v>0.279</v>
      </c>
      <c r="K166" s="9">
        <f>IFERROR(__xludf.DUMMYFUNCTION("""COMPUTED_VALUE"""),0.479)</f>
        <v>0.479</v>
      </c>
      <c r="M166" s="9">
        <f>IFERROR(__xludf.DUMMYFUNCTION("SPLIT(L158, "","")"),0.362)</f>
        <v>0.362</v>
      </c>
      <c r="N166" s="9">
        <f>IFERROR(__xludf.DUMMYFUNCTION("""COMPUTED_VALUE"""),0.326)</f>
        <v>0.326</v>
      </c>
      <c r="O166" s="9">
        <f>IFERROR(__xludf.DUMMYFUNCTION("""COMPUTED_VALUE"""),0.426)</f>
        <v>0.426</v>
      </c>
      <c r="Q166" s="9">
        <f>IFERROR(__xludf.DUMMYFUNCTION("SPLIT(M158, "","")"),0.379)</f>
        <v>0.379</v>
      </c>
      <c r="R166" s="9">
        <f>IFERROR(__xludf.DUMMYFUNCTION("""COMPUTED_VALUE"""),0.303)</f>
        <v>0.303</v>
      </c>
      <c r="S166" s="9">
        <f>IFERROR(__xludf.DUMMYFUNCTION("""COMPUTED_VALUE"""),0.503)</f>
        <v>0.503</v>
      </c>
      <c r="U166" s="9">
        <f>IFERROR(__xludf.DUMMYFUNCTION("SPLIT(N158, "","")"),0.361)</f>
        <v>0.361</v>
      </c>
      <c r="V166" s="9">
        <f>IFERROR(__xludf.DUMMYFUNCTION("""COMPUTED_VALUE"""),0.325)</f>
        <v>0.325</v>
      </c>
      <c r="W166" s="9">
        <f>IFERROR(__xludf.DUMMYFUNCTION("""COMPUTED_VALUE"""),0.425)</f>
        <v>0.425</v>
      </c>
      <c r="Y166" s="9">
        <f>IFERROR(__xludf.DUMMYFUNCTION("SPLIT(O158, "","")"),0.377)</f>
        <v>0.377</v>
      </c>
      <c r="Z166" s="9">
        <f>IFERROR(__xludf.DUMMYFUNCTION("""COMPUTED_VALUE"""),0.301)</f>
        <v>0.301</v>
      </c>
      <c r="AA166" s="9">
        <f>IFERROR(__xludf.DUMMYFUNCTION("""COMPUTED_VALUE"""),0.501)</f>
        <v>0.501</v>
      </c>
    </row>
    <row r="167">
      <c r="A167" s="9">
        <f>IFERROR(__xludf.DUMMYFUNCTION("SPLIT(I159, "","")"),0.36)</f>
        <v>0.36</v>
      </c>
      <c r="B167" s="9">
        <f>IFERROR(__xludf.DUMMYFUNCTION("""COMPUTED_VALUE"""),0.36)</f>
        <v>0.36</v>
      </c>
      <c r="C167" s="9">
        <f>IFERROR(__xludf.DUMMYFUNCTION("""COMPUTED_VALUE"""),0.36)</f>
        <v>0.36</v>
      </c>
      <c r="E167" s="11">
        <f>IFERROR(__xludf.DUMMYFUNCTION("SPLIT(J159, "","")"),0.361)</f>
        <v>0.361</v>
      </c>
      <c r="F167" s="9">
        <f>IFERROR(__xludf.DUMMYFUNCTION("""COMPUTED_VALUE"""),0.325)</f>
        <v>0.325</v>
      </c>
      <c r="G167" s="9">
        <f>IFERROR(__xludf.DUMMYFUNCTION("""COMPUTED_VALUE"""),0.425)</f>
        <v>0.425</v>
      </c>
      <c r="I167" s="9">
        <f>IFERROR(__xludf.DUMMYFUNCTION("SPLIT(K159, "","")"),0.362)</f>
        <v>0.362</v>
      </c>
      <c r="J167" s="9">
        <f>IFERROR(__xludf.DUMMYFUNCTION("""COMPUTED_VALUE"""),0.29)</f>
        <v>0.29</v>
      </c>
      <c r="K167" s="9">
        <f>IFERROR(__xludf.DUMMYFUNCTION("""COMPUTED_VALUE"""),0.49)</f>
        <v>0.49</v>
      </c>
      <c r="M167" s="9">
        <f>IFERROR(__xludf.DUMMYFUNCTION("SPLIT(L159, "","")"),0.365)</f>
        <v>0.365</v>
      </c>
      <c r="N167" s="9">
        <f>IFERROR(__xludf.DUMMYFUNCTION("""COMPUTED_VALUE"""),0.329)</f>
        <v>0.329</v>
      </c>
      <c r="O167" s="9">
        <f>IFERROR(__xludf.DUMMYFUNCTION("""COMPUTED_VALUE"""),0.429)</f>
        <v>0.429</v>
      </c>
      <c r="Q167" s="9">
        <f>IFERROR(__xludf.DUMMYFUNCTION("SPLIT(M159, "","")"),0.375)</f>
        <v>0.375</v>
      </c>
      <c r="R167" s="9">
        <f>IFERROR(__xludf.DUMMYFUNCTION("""COMPUTED_VALUE"""),0.3)</f>
        <v>0.3</v>
      </c>
      <c r="S167" s="9">
        <f>IFERROR(__xludf.DUMMYFUNCTION("""COMPUTED_VALUE"""),0.5)</f>
        <v>0.5</v>
      </c>
      <c r="U167" s="9">
        <f>IFERROR(__xludf.DUMMYFUNCTION("SPLIT(N159, "","")"),0.366)</f>
        <v>0.366</v>
      </c>
      <c r="V167" s="9">
        <f>IFERROR(__xludf.DUMMYFUNCTION("""COMPUTED_VALUE"""),0.329)</f>
        <v>0.329</v>
      </c>
      <c r="W167" s="9">
        <f>IFERROR(__xludf.DUMMYFUNCTION("""COMPUTED_VALUE"""),0.429)</f>
        <v>0.429</v>
      </c>
      <c r="Y167" s="9">
        <f>IFERROR(__xludf.DUMMYFUNCTION("SPLIT(O159, "","")"),0.369)</f>
        <v>0.369</v>
      </c>
      <c r="Z167" s="9">
        <f>IFERROR(__xludf.DUMMYFUNCTION("""COMPUTED_VALUE"""),0.295)</f>
        <v>0.295</v>
      </c>
      <c r="AA167" s="9">
        <f>IFERROR(__xludf.DUMMYFUNCTION("""COMPUTED_VALUE"""),0.495)</f>
        <v>0.495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0.339</v>
      </c>
      <c r="D171" s="7">
        <f t="shared" ref="D171:D177" si="187">E161</f>
        <v>0.338</v>
      </c>
      <c r="E171" s="7">
        <f t="shared" ref="E171:E177" si="188">I161</f>
        <v>0.339</v>
      </c>
      <c r="F171" s="7">
        <f t="shared" ref="F171:G171" si="182">N161</f>
        <v>0.322</v>
      </c>
      <c r="G171" s="12">
        <f t="shared" si="182"/>
        <v>0.422</v>
      </c>
      <c r="H171" s="7">
        <f t="shared" ref="H171:I171" si="183">R161</f>
        <v>0.302</v>
      </c>
      <c r="I171" s="12">
        <f t="shared" si="183"/>
        <v>0.502</v>
      </c>
      <c r="J171" s="7">
        <f t="shared" ref="J171:K171" si="184">V161</f>
        <v>0.32</v>
      </c>
      <c r="K171" s="12">
        <f t="shared" si="184"/>
        <v>0.42</v>
      </c>
      <c r="L171" s="7">
        <f t="shared" ref="L171:M171" si="185">Z161</f>
        <v>0.3</v>
      </c>
      <c r="M171" s="7">
        <f t="shared" si="185"/>
        <v>0.5</v>
      </c>
    </row>
    <row r="172">
      <c r="B172" s="6" t="s">
        <v>5</v>
      </c>
      <c r="C172" s="7">
        <f t="shared" si="186"/>
        <v>0.346</v>
      </c>
      <c r="D172" s="7">
        <f t="shared" si="187"/>
        <v>0.347</v>
      </c>
      <c r="E172" s="7">
        <f t="shared" si="188"/>
        <v>0.345</v>
      </c>
      <c r="F172" s="7">
        <f t="shared" ref="F172:G172" si="189">N162</f>
        <v>0.329</v>
      </c>
      <c r="G172" s="12">
        <f t="shared" si="189"/>
        <v>0.429</v>
      </c>
      <c r="H172" s="7">
        <f t="shared" ref="H172:I172" si="190">R162</f>
        <v>0.312</v>
      </c>
      <c r="I172" s="12">
        <f t="shared" si="190"/>
        <v>0.512</v>
      </c>
      <c r="J172" s="7">
        <f t="shared" ref="J172:K172" si="191">V162</f>
        <v>0.326</v>
      </c>
      <c r="K172" s="12">
        <f t="shared" si="191"/>
        <v>0.426</v>
      </c>
      <c r="L172" s="7">
        <f t="shared" ref="L172:M172" si="192">Z162</f>
        <v>0.307</v>
      </c>
      <c r="M172" s="7">
        <f t="shared" si="192"/>
        <v>0.507</v>
      </c>
    </row>
    <row r="173">
      <c r="B173" s="6" t="s">
        <v>6</v>
      </c>
      <c r="C173" s="7">
        <f t="shared" si="186"/>
        <v>0.347</v>
      </c>
      <c r="D173" s="7">
        <f t="shared" si="187"/>
        <v>0.347</v>
      </c>
      <c r="E173" s="7">
        <f t="shared" si="188"/>
        <v>0.349</v>
      </c>
      <c r="F173" s="7">
        <f t="shared" ref="F173:G173" si="193">N163</f>
        <v>0.33</v>
      </c>
      <c r="G173" s="12">
        <f t="shared" si="193"/>
        <v>0.43</v>
      </c>
      <c r="H173" s="7">
        <f t="shared" ref="H173:I173" si="194">R163</f>
        <v>0.312</v>
      </c>
      <c r="I173" s="12">
        <f t="shared" si="194"/>
        <v>0.512</v>
      </c>
      <c r="J173" s="7">
        <f t="shared" ref="J173:K173" si="195">V163</f>
        <v>0.329</v>
      </c>
      <c r="K173" s="12">
        <f t="shared" si="195"/>
        <v>0.429</v>
      </c>
      <c r="L173" s="7">
        <f t="shared" ref="L173:M173" si="196">Z163</f>
        <v>0.312</v>
      </c>
      <c r="M173" s="7">
        <f t="shared" si="196"/>
        <v>0.512</v>
      </c>
    </row>
    <row r="174">
      <c r="B174" s="6" t="s">
        <v>7</v>
      </c>
      <c r="C174" s="7">
        <f t="shared" si="186"/>
        <v>0.362</v>
      </c>
      <c r="D174" s="7">
        <f t="shared" si="187"/>
        <v>0.362</v>
      </c>
      <c r="E174" s="7">
        <f t="shared" si="188"/>
        <v>0.364</v>
      </c>
      <c r="F174" s="7">
        <f t="shared" ref="F174:G174" si="197">N164</f>
        <v>0.337</v>
      </c>
      <c r="G174" s="12">
        <f t="shared" si="197"/>
        <v>0.437</v>
      </c>
      <c r="H174" s="7">
        <f t="shared" ref="H174:I174" si="198">R164</f>
        <v>0.312</v>
      </c>
      <c r="I174" s="12">
        <f t="shared" si="198"/>
        <v>0.512</v>
      </c>
      <c r="J174" s="7">
        <f t="shared" ref="J174:K174" si="199">V164</f>
        <v>0.335</v>
      </c>
      <c r="K174" s="12">
        <f t="shared" si="199"/>
        <v>0.435</v>
      </c>
      <c r="L174" s="7">
        <f t="shared" ref="L174:M174" si="200">Z164</f>
        <v>0.309</v>
      </c>
      <c r="M174" s="7">
        <f t="shared" si="200"/>
        <v>0.509</v>
      </c>
    </row>
    <row r="175">
      <c r="B175" s="6" t="s">
        <v>8</v>
      </c>
      <c r="C175" s="7">
        <f t="shared" si="186"/>
        <v>0.371</v>
      </c>
      <c r="D175" s="7">
        <f t="shared" si="187"/>
        <v>0.372</v>
      </c>
      <c r="E175" s="7">
        <f t="shared" si="188"/>
        <v>0.371</v>
      </c>
      <c r="F175" s="7">
        <f t="shared" ref="F175:G175" si="201">N165</f>
        <v>0.338</v>
      </c>
      <c r="G175" s="12">
        <f t="shared" si="201"/>
        <v>0.438</v>
      </c>
      <c r="H175" s="7">
        <f t="shared" ref="H175:I175" si="202">R165</f>
        <v>0.306</v>
      </c>
      <c r="I175" s="12">
        <f t="shared" si="202"/>
        <v>0.506</v>
      </c>
      <c r="J175" s="7">
        <f t="shared" ref="J175:K175" si="203">V165</f>
        <v>0.338</v>
      </c>
      <c r="K175" s="12">
        <f t="shared" si="203"/>
        <v>0.438</v>
      </c>
      <c r="L175" s="7">
        <f t="shared" ref="L175:M175" si="204">Z165</f>
        <v>0.301</v>
      </c>
      <c r="M175" s="7">
        <f t="shared" si="204"/>
        <v>0.501</v>
      </c>
    </row>
    <row r="176">
      <c r="B176" s="6" t="s">
        <v>9</v>
      </c>
      <c r="C176" s="7">
        <f t="shared" si="186"/>
        <v>0.35</v>
      </c>
      <c r="D176" s="7">
        <f t="shared" si="187"/>
        <v>0.35</v>
      </c>
      <c r="E176" s="7">
        <f t="shared" si="188"/>
        <v>0.348</v>
      </c>
      <c r="F176" s="7">
        <f t="shared" ref="F176:G176" si="205">N166</f>
        <v>0.326</v>
      </c>
      <c r="G176" s="12">
        <f t="shared" si="205"/>
        <v>0.426</v>
      </c>
      <c r="H176" s="7">
        <f t="shared" ref="H176:I176" si="206">R166</f>
        <v>0.303</v>
      </c>
      <c r="I176" s="12">
        <f t="shared" si="206"/>
        <v>0.503</v>
      </c>
      <c r="J176" s="7">
        <f t="shared" ref="J176:K176" si="207">V166</f>
        <v>0.325</v>
      </c>
      <c r="K176" s="12">
        <f t="shared" si="207"/>
        <v>0.425</v>
      </c>
      <c r="L176" s="7">
        <f t="shared" ref="L176:M176" si="208">Z166</f>
        <v>0.301</v>
      </c>
      <c r="M176" s="7">
        <f t="shared" si="208"/>
        <v>0.501</v>
      </c>
    </row>
    <row r="177">
      <c r="B177" s="6" t="s">
        <v>10</v>
      </c>
      <c r="C177" s="7">
        <f t="shared" si="186"/>
        <v>0.36</v>
      </c>
      <c r="D177" s="7">
        <f t="shared" si="187"/>
        <v>0.361</v>
      </c>
      <c r="E177" s="7">
        <f t="shared" si="188"/>
        <v>0.362</v>
      </c>
      <c r="F177" s="7">
        <f t="shared" ref="F177:G177" si="209">N167</f>
        <v>0.329</v>
      </c>
      <c r="G177" s="12">
        <f t="shared" si="209"/>
        <v>0.429</v>
      </c>
      <c r="H177" s="7">
        <f t="shared" ref="H177:I177" si="210">R167</f>
        <v>0.3</v>
      </c>
      <c r="I177" s="12">
        <f t="shared" si="210"/>
        <v>0.5</v>
      </c>
      <c r="J177" s="7">
        <f t="shared" ref="J177:K177" si="211">V167</f>
        <v>0.329</v>
      </c>
      <c r="K177" s="12">
        <f t="shared" si="211"/>
        <v>0.429</v>
      </c>
      <c r="L177" s="7">
        <f t="shared" ref="L177:M177" si="212">Z167</f>
        <v>0.295</v>
      </c>
      <c r="M177" s="7">
        <f t="shared" si="212"/>
        <v>0.495</v>
      </c>
    </row>
    <row r="179">
      <c r="A179" s="8" t="s">
        <v>912</v>
      </c>
      <c r="B179" s="8" t="s">
        <v>913</v>
      </c>
      <c r="C179" s="8" t="s">
        <v>440</v>
      </c>
      <c r="D179" s="8" t="s">
        <v>914</v>
      </c>
      <c r="E179" s="8" t="s">
        <v>915</v>
      </c>
      <c r="F179" s="8" t="s">
        <v>776</v>
      </c>
      <c r="G179" s="8" t="s">
        <v>916</v>
      </c>
      <c r="I179" s="9" t="str">
        <f t="shared" ref="I179:O179" si="213">substitute(SUBSTITUTE(A179, "(", ""), ")", "")</f>
        <v>0.548, 0.548, 0.548</v>
      </c>
      <c r="J179" s="9" t="str">
        <f t="shared" si="213"/>
        <v>0.548, 0.493, 0.593</v>
      </c>
      <c r="K179" s="9" t="str">
        <f t="shared" si="213"/>
        <v>0.560, 0.448, 0.648</v>
      </c>
      <c r="L179" s="9" t="str">
        <f t="shared" si="213"/>
        <v>0.560, 0.504, 0.604</v>
      </c>
      <c r="M179" s="9" t="str">
        <f t="shared" si="213"/>
        <v>0.571, 0.457, 0.657</v>
      </c>
      <c r="N179" s="9" t="str">
        <f t="shared" si="213"/>
        <v>0.557, 0.502, 0.602</v>
      </c>
      <c r="O179" s="9" t="str">
        <f t="shared" si="213"/>
        <v>0.561, 0.449, 0.649</v>
      </c>
      <c r="T179" s="6"/>
    </row>
    <row r="180">
      <c r="A180" s="8" t="s">
        <v>917</v>
      </c>
      <c r="B180" s="8" t="s">
        <v>918</v>
      </c>
      <c r="C180" s="8" t="s">
        <v>919</v>
      </c>
      <c r="D180" s="8" t="s">
        <v>920</v>
      </c>
      <c r="E180" s="8" t="s">
        <v>921</v>
      </c>
      <c r="F180" s="8" t="s">
        <v>922</v>
      </c>
      <c r="G180" s="8" t="s">
        <v>923</v>
      </c>
      <c r="I180" s="9" t="str">
        <f t="shared" ref="I180:O180" si="214">substitute(SUBSTITUTE(A180, "(", ""), ")", "")</f>
        <v>0.567, 0.567, 0.567</v>
      </c>
      <c r="J180" s="9" t="str">
        <f t="shared" si="214"/>
        <v>0.576, 0.519, 0.619</v>
      </c>
      <c r="K180" s="9" t="str">
        <f t="shared" si="214"/>
        <v>0.575, 0.460, 0.660</v>
      </c>
      <c r="L180" s="9" t="str">
        <f t="shared" si="214"/>
        <v>0.579, 0.521, 0.621</v>
      </c>
      <c r="M180" s="9" t="str">
        <f t="shared" si="214"/>
        <v>0.577, 0.462, 0.662</v>
      </c>
      <c r="N180" s="9" t="str">
        <f t="shared" si="214"/>
        <v>0.573, 0.516, 0.616</v>
      </c>
      <c r="O180" s="9" t="str">
        <f t="shared" si="214"/>
        <v>0.593, 0.474, 0.674</v>
      </c>
    </row>
    <row r="181">
      <c r="A181" s="8" t="s">
        <v>924</v>
      </c>
      <c r="B181" s="8" t="s">
        <v>925</v>
      </c>
      <c r="C181" s="8" t="s">
        <v>926</v>
      </c>
      <c r="D181" s="8" t="s">
        <v>920</v>
      </c>
      <c r="E181" s="8" t="s">
        <v>927</v>
      </c>
      <c r="F181" s="8" t="s">
        <v>928</v>
      </c>
      <c r="G181" s="8" t="s">
        <v>761</v>
      </c>
      <c r="I181" s="9" t="str">
        <f t="shared" ref="I181:O181" si="215">substitute(SUBSTITUTE(A181, "(", ""), ")", "")</f>
        <v>0.569, 0.569, 0.569</v>
      </c>
      <c r="J181" s="9" t="str">
        <f t="shared" si="215"/>
        <v>0.567, 0.510, 0.610</v>
      </c>
      <c r="K181" s="9" t="str">
        <f t="shared" si="215"/>
        <v>0.576, 0.461, 0.661</v>
      </c>
      <c r="L181" s="9" t="str">
        <f t="shared" si="215"/>
        <v>0.579, 0.521, 0.621</v>
      </c>
      <c r="M181" s="9" t="str">
        <f t="shared" si="215"/>
        <v>0.582, 0.466, 0.666</v>
      </c>
      <c r="N181" s="9" t="str">
        <f t="shared" si="215"/>
        <v>0.581, 0.523, 0.623</v>
      </c>
      <c r="O181" s="9" t="str">
        <f t="shared" si="215"/>
        <v>0.584, 0.467, 0.667</v>
      </c>
    </row>
    <row r="182">
      <c r="A182" s="8" t="s">
        <v>929</v>
      </c>
      <c r="B182" s="8" t="s">
        <v>930</v>
      </c>
      <c r="C182" s="8" t="s">
        <v>927</v>
      </c>
      <c r="D182" s="8" t="s">
        <v>922</v>
      </c>
      <c r="E182" s="8" t="s">
        <v>750</v>
      </c>
      <c r="F182" s="8" t="s">
        <v>931</v>
      </c>
      <c r="G182" s="8" t="s">
        <v>932</v>
      </c>
      <c r="I182" s="9" t="str">
        <f t="shared" ref="I182:O182" si="216">substitute(SUBSTITUTE(A182, "(", ""), ")", "")</f>
        <v>0.560, 0.560, 0.560</v>
      </c>
      <c r="J182" s="9" t="str">
        <f t="shared" si="216"/>
        <v>0.556, 0.500, 0.600</v>
      </c>
      <c r="K182" s="9" t="str">
        <f t="shared" si="216"/>
        <v>0.582, 0.466, 0.666</v>
      </c>
      <c r="L182" s="9" t="str">
        <f t="shared" si="216"/>
        <v>0.573, 0.516, 0.616</v>
      </c>
      <c r="M182" s="9" t="str">
        <f t="shared" si="216"/>
        <v>0.585, 0.468, 0.668</v>
      </c>
      <c r="N182" s="9" t="str">
        <f t="shared" si="216"/>
        <v>0.569, 0.512, 0.613</v>
      </c>
      <c r="O182" s="9" t="str">
        <f t="shared" si="216"/>
        <v>0.578, 0.463, 0.662</v>
      </c>
    </row>
    <row r="183">
      <c r="A183" s="8" t="s">
        <v>933</v>
      </c>
      <c r="B183" s="8" t="s">
        <v>934</v>
      </c>
      <c r="C183" s="8" t="s">
        <v>208</v>
      </c>
      <c r="D183" s="8" t="s">
        <v>935</v>
      </c>
      <c r="E183" s="8" t="s">
        <v>936</v>
      </c>
      <c r="F183" s="8" t="s">
        <v>925</v>
      </c>
      <c r="G183" s="8" t="s">
        <v>440</v>
      </c>
      <c r="I183" s="9" t="str">
        <f t="shared" ref="I183:O183" si="217">substitute(SUBSTITUTE(A183, "(", ""), ")", "")</f>
        <v>0.558, 0.558, 0.558</v>
      </c>
      <c r="J183" s="9" t="str">
        <f t="shared" si="217"/>
        <v>0.564, 0.508, 0.608</v>
      </c>
      <c r="K183" s="9" t="str">
        <f t="shared" si="217"/>
        <v>0.570, 0.456, 0.656</v>
      </c>
      <c r="L183" s="9" t="str">
        <f t="shared" si="217"/>
        <v>0.568, 0.511, 0.611</v>
      </c>
      <c r="M183" s="9" t="str">
        <f t="shared" si="217"/>
        <v>0.562, 0.450, 0.650</v>
      </c>
      <c r="N183" s="9" t="str">
        <f t="shared" si="217"/>
        <v>0.567, 0.510, 0.610</v>
      </c>
      <c r="O183" s="9" t="str">
        <f t="shared" si="217"/>
        <v>0.560, 0.448, 0.648</v>
      </c>
    </row>
    <row r="184">
      <c r="A184" s="8" t="s">
        <v>937</v>
      </c>
      <c r="B184" s="8" t="s">
        <v>938</v>
      </c>
      <c r="C184" s="8" t="s">
        <v>927</v>
      </c>
      <c r="D184" s="8" t="s">
        <v>928</v>
      </c>
      <c r="E184" s="8" t="s">
        <v>939</v>
      </c>
      <c r="F184" s="8" t="s">
        <v>940</v>
      </c>
      <c r="G184" s="8" t="s">
        <v>941</v>
      </c>
      <c r="I184" s="9" t="str">
        <f t="shared" ref="I184:O184" si="218">substitute(SUBSTITUTE(A184, "(", ""), ")", "")</f>
        <v>0.565, 0.565, 0.565</v>
      </c>
      <c r="J184" s="9" t="str">
        <f t="shared" si="218"/>
        <v>0.566, 0.510, 0.610</v>
      </c>
      <c r="K184" s="9" t="str">
        <f t="shared" si="218"/>
        <v>0.582, 0.466, 0.666</v>
      </c>
      <c r="L184" s="9" t="str">
        <f t="shared" si="218"/>
        <v>0.581, 0.523, 0.623</v>
      </c>
      <c r="M184" s="9" t="str">
        <f t="shared" si="218"/>
        <v>0.580, 0.464, 0.664</v>
      </c>
      <c r="N184" s="9" t="str">
        <f t="shared" si="218"/>
        <v>0.574, 0.517, 0.617</v>
      </c>
      <c r="O184" s="9" t="str">
        <f t="shared" si="218"/>
        <v>0.588, 0.471, 0.671</v>
      </c>
    </row>
    <row r="185">
      <c r="A185" s="8" t="s">
        <v>942</v>
      </c>
      <c r="B185" s="8" t="s">
        <v>943</v>
      </c>
      <c r="C185" s="8" t="s">
        <v>944</v>
      </c>
      <c r="D185" s="8" t="s">
        <v>945</v>
      </c>
      <c r="E185" s="8" t="s">
        <v>915</v>
      </c>
      <c r="F185" s="8" t="s">
        <v>946</v>
      </c>
      <c r="G185" s="8" t="s">
        <v>915</v>
      </c>
      <c r="I185" s="9" t="str">
        <f t="shared" ref="I185:O185" si="219">substitute(SUBSTITUTE(A185, "(", ""), ")", "")</f>
        <v>0.562, 0.562, 0.562</v>
      </c>
      <c r="J185" s="9" t="str">
        <f t="shared" si="219"/>
        <v>0.562, 0.506, 0.606</v>
      </c>
      <c r="K185" s="9" t="str">
        <f t="shared" si="219"/>
        <v>0.569, 0.455, 0.655</v>
      </c>
      <c r="L185" s="9" t="str">
        <f t="shared" si="219"/>
        <v>0.572, 0.515, 0.615</v>
      </c>
      <c r="M185" s="9" t="str">
        <f t="shared" si="219"/>
        <v>0.571, 0.457, 0.657</v>
      </c>
      <c r="N185" s="9" t="str">
        <f t="shared" si="219"/>
        <v>0.563, 0.507, 0.607</v>
      </c>
      <c r="O185" s="9" t="str">
        <f t="shared" si="219"/>
        <v>0.571, 0.457, 0.657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"","")"),0.548)</f>
        <v>0.548</v>
      </c>
      <c r="B187" s="9">
        <f>IFERROR(__xludf.DUMMYFUNCTION("""COMPUTED_VALUE"""),0.548)</f>
        <v>0.548</v>
      </c>
      <c r="C187" s="9">
        <f>IFERROR(__xludf.DUMMYFUNCTION("""COMPUTED_VALUE"""),0.548)</f>
        <v>0.548</v>
      </c>
      <c r="E187" s="11">
        <f>IFERROR(__xludf.DUMMYFUNCTION("SPLIT(J179, "","")"),0.548)</f>
        <v>0.548</v>
      </c>
      <c r="F187" s="9">
        <f>IFERROR(__xludf.DUMMYFUNCTION("""COMPUTED_VALUE"""),0.493)</f>
        <v>0.493</v>
      </c>
      <c r="G187" s="9">
        <f>IFERROR(__xludf.DUMMYFUNCTION("""COMPUTED_VALUE"""),0.593)</f>
        <v>0.593</v>
      </c>
      <c r="I187" s="9">
        <f>IFERROR(__xludf.DUMMYFUNCTION("SPLIT(K179, "","")"),0.56)</f>
        <v>0.56</v>
      </c>
      <c r="J187" s="9">
        <f>IFERROR(__xludf.DUMMYFUNCTION("""COMPUTED_VALUE"""),0.448)</f>
        <v>0.448</v>
      </c>
      <c r="K187" s="9">
        <f>IFERROR(__xludf.DUMMYFUNCTION("""COMPUTED_VALUE"""),0.648)</f>
        <v>0.648</v>
      </c>
      <c r="M187" s="9">
        <f>IFERROR(__xludf.DUMMYFUNCTION("SPLIT(L179, "","")"),0.56)</f>
        <v>0.56</v>
      </c>
      <c r="N187" s="9">
        <f>IFERROR(__xludf.DUMMYFUNCTION("""COMPUTED_VALUE"""),0.504)</f>
        <v>0.504</v>
      </c>
      <c r="O187" s="9">
        <f>IFERROR(__xludf.DUMMYFUNCTION("""COMPUTED_VALUE"""),0.604)</f>
        <v>0.604</v>
      </c>
      <c r="Q187" s="9">
        <f>IFERROR(__xludf.DUMMYFUNCTION("SPLIT(M179, "","")"),0.571)</f>
        <v>0.571</v>
      </c>
      <c r="R187" s="9">
        <f>IFERROR(__xludf.DUMMYFUNCTION("""COMPUTED_VALUE"""),0.457)</f>
        <v>0.457</v>
      </c>
      <c r="S187" s="9">
        <f>IFERROR(__xludf.DUMMYFUNCTION("""COMPUTED_VALUE"""),0.657)</f>
        <v>0.657</v>
      </c>
      <c r="U187" s="9">
        <f>IFERROR(__xludf.DUMMYFUNCTION("SPLIT(N179, "","")"),0.557)</f>
        <v>0.557</v>
      </c>
      <c r="V187" s="9">
        <f>IFERROR(__xludf.DUMMYFUNCTION("""COMPUTED_VALUE"""),0.502)</f>
        <v>0.502</v>
      </c>
      <c r="W187" s="9">
        <f>IFERROR(__xludf.DUMMYFUNCTION("""COMPUTED_VALUE"""),0.602)</f>
        <v>0.602</v>
      </c>
      <c r="Y187" s="9">
        <f>IFERROR(__xludf.DUMMYFUNCTION("SPLIT(O179, "","")"),0.561)</f>
        <v>0.561</v>
      </c>
      <c r="Z187" s="9">
        <f>IFERROR(__xludf.DUMMYFUNCTION("""COMPUTED_VALUE"""),0.449)</f>
        <v>0.449</v>
      </c>
      <c r="AA187" s="9">
        <f>IFERROR(__xludf.DUMMYFUNCTION("""COMPUTED_VALUE"""),0.649)</f>
        <v>0.649</v>
      </c>
    </row>
    <row r="188">
      <c r="A188" s="9">
        <f>IFERROR(__xludf.DUMMYFUNCTION("SPLIT(I180, "","")"),0.567)</f>
        <v>0.567</v>
      </c>
      <c r="B188" s="9">
        <f>IFERROR(__xludf.DUMMYFUNCTION("""COMPUTED_VALUE"""),0.567)</f>
        <v>0.567</v>
      </c>
      <c r="C188" s="9">
        <f>IFERROR(__xludf.DUMMYFUNCTION("""COMPUTED_VALUE"""),0.567)</f>
        <v>0.567</v>
      </c>
      <c r="E188" s="11">
        <f>IFERROR(__xludf.DUMMYFUNCTION("SPLIT(J180, "","")"),0.576)</f>
        <v>0.576</v>
      </c>
      <c r="F188" s="9">
        <f>IFERROR(__xludf.DUMMYFUNCTION("""COMPUTED_VALUE"""),0.519)</f>
        <v>0.519</v>
      </c>
      <c r="G188" s="9">
        <f>IFERROR(__xludf.DUMMYFUNCTION("""COMPUTED_VALUE"""),0.619)</f>
        <v>0.619</v>
      </c>
      <c r="I188" s="9">
        <f>IFERROR(__xludf.DUMMYFUNCTION("SPLIT(K180, "","")"),0.575)</f>
        <v>0.575</v>
      </c>
      <c r="J188" s="9">
        <f>IFERROR(__xludf.DUMMYFUNCTION("""COMPUTED_VALUE"""),0.46)</f>
        <v>0.46</v>
      </c>
      <c r="K188" s="9">
        <f>IFERROR(__xludf.DUMMYFUNCTION("""COMPUTED_VALUE"""),0.66)</f>
        <v>0.66</v>
      </c>
      <c r="M188" s="9">
        <f>IFERROR(__xludf.DUMMYFUNCTION("SPLIT(L180, "","")"),0.579)</f>
        <v>0.579</v>
      </c>
      <c r="N188" s="9">
        <f>IFERROR(__xludf.DUMMYFUNCTION("""COMPUTED_VALUE"""),0.521)</f>
        <v>0.521</v>
      </c>
      <c r="O188" s="9">
        <f>IFERROR(__xludf.DUMMYFUNCTION("""COMPUTED_VALUE"""),0.621)</f>
        <v>0.621</v>
      </c>
      <c r="Q188" s="9">
        <f>IFERROR(__xludf.DUMMYFUNCTION("SPLIT(M180, "","")"),0.577)</f>
        <v>0.577</v>
      </c>
      <c r="R188" s="9">
        <f>IFERROR(__xludf.DUMMYFUNCTION("""COMPUTED_VALUE"""),0.462)</f>
        <v>0.462</v>
      </c>
      <c r="S188" s="9">
        <f>IFERROR(__xludf.DUMMYFUNCTION("""COMPUTED_VALUE"""),0.662)</f>
        <v>0.662</v>
      </c>
      <c r="U188" s="9">
        <f>IFERROR(__xludf.DUMMYFUNCTION("SPLIT(N180, "","")"),0.573)</f>
        <v>0.573</v>
      </c>
      <c r="V188" s="9">
        <f>IFERROR(__xludf.DUMMYFUNCTION("""COMPUTED_VALUE"""),0.516)</f>
        <v>0.516</v>
      </c>
      <c r="W188" s="9">
        <f>IFERROR(__xludf.DUMMYFUNCTION("""COMPUTED_VALUE"""),0.616)</f>
        <v>0.616</v>
      </c>
      <c r="Y188" s="9">
        <f>IFERROR(__xludf.DUMMYFUNCTION("SPLIT(O180, "","")"),0.593)</f>
        <v>0.593</v>
      </c>
      <c r="Z188" s="9">
        <f>IFERROR(__xludf.DUMMYFUNCTION("""COMPUTED_VALUE"""),0.474)</f>
        <v>0.474</v>
      </c>
      <c r="AA188" s="9">
        <f>IFERROR(__xludf.DUMMYFUNCTION("""COMPUTED_VALUE"""),0.674)</f>
        <v>0.674</v>
      </c>
    </row>
    <row r="189">
      <c r="A189" s="9">
        <f>IFERROR(__xludf.DUMMYFUNCTION("SPLIT(I181, "","")"),0.569)</f>
        <v>0.569</v>
      </c>
      <c r="B189" s="9">
        <f>IFERROR(__xludf.DUMMYFUNCTION("""COMPUTED_VALUE"""),0.569)</f>
        <v>0.569</v>
      </c>
      <c r="C189" s="9">
        <f>IFERROR(__xludf.DUMMYFUNCTION("""COMPUTED_VALUE"""),0.569)</f>
        <v>0.569</v>
      </c>
      <c r="E189" s="11">
        <f>IFERROR(__xludf.DUMMYFUNCTION("SPLIT(J181, "","")"),0.567)</f>
        <v>0.567</v>
      </c>
      <c r="F189" s="9">
        <f>IFERROR(__xludf.DUMMYFUNCTION("""COMPUTED_VALUE"""),0.51)</f>
        <v>0.51</v>
      </c>
      <c r="G189" s="9">
        <f>IFERROR(__xludf.DUMMYFUNCTION("""COMPUTED_VALUE"""),0.61)</f>
        <v>0.61</v>
      </c>
      <c r="I189" s="9">
        <f>IFERROR(__xludf.DUMMYFUNCTION("SPLIT(K181, "","")"),0.576)</f>
        <v>0.576</v>
      </c>
      <c r="J189" s="9">
        <f>IFERROR(__xludf.DUMMYFUNCTION("""COMPUTED_VALUE"""),0.461)</f>
        <v>0.461</v>
      </c>
      <c r="K189" s="9">
        <f>IFERROR(__xludf.DUMMYFUNCTION("""COMPUTED_VALUE"""),0.661)</f>
        <v>0.661</v>
      </c>
      <c r="M189" s="9">
        <f>IFERROR(__xludf.DUMMYFUNCTION("SPLIT(L181, "","")"),0.579)</f>
        <v>0.579</v>
      </c>
      <c r="N189" s="9">
        <f>IFERROR(__xludf.DUMMYFUNCTION("""COMPUTED_VALUE"""),0.521)</f>
        <v>0.521</v>
      </c>
      <c r="O189" s="9">
        <f>IFERROR(__xludf.DUMMYFUNCTION("""COMPUTED_VALUE"""),0.621)</f>
        <v>0.621</v>
      </c>
      <c r="Q189" s="9">
        <f>IFERROR(__xludf.DUMMYFUNCTION("SPLIT(M181, "","")"),0.582)</f>
        <v>0.582</v>
      </c>
      <c r="R189" s="9">
        <f>IFERROR(__xludf.DUMMYFUNCTION("""COMPUTED_VALUE"""),0.466)</f>
        <v>0.466</v>
      </c>
      <c r="S189" s="9">
        <f>IFERROR(__xludf.DUMMYFUNCTION("""COMPUTED_VALUE"""),0.666)</f>
        <v>0.666</v>
      </c>
      <c r="U189" s="9">
        <f>IFERROR(__xludf.DUMMYFUNCTION("SPLIT(N181, "","")"),0.581)</f>
        <v>0.581</v>
      </c>
      <c r="V189" s="9">
        <f>IFERROR(__xludf.DUMMYFUNCTION("""COMPUTED_VALUE"""),0.523)</f>
        <v>0.523</v>
      </c>
      <c r="W189" s="9">
        <f>IFERROR(__xludf.DUMMYFUNCTION("""COMPUTED_VALUE"""),0.623)</f>
        <v>0.623</v>
      </c>
      <c r="Y189" s="9">
        <f>IFERROR(__xludf.DUMMYFUNCTION("SPLIT(O181, "","")"),0.584)</f>
        <v>0.584</v>
      </c>
      <c r="Z189" s="9">
        <f>IFERROR(__xludf.DUMMYFUNCTION("""COMPUTED_VALUE"""),0.467)</f>
        <v>0.467</v>
      </c>
      <c r="AA189" s="9">
        <f>IFERROR(__xludf.DUMMYFUNCTION("""COMPUTED_VALUE"""),0.667)</f>
        <v>0.667</v>
      </c>
    </row>
    <row r="190">
      <c r="A190" s="9">
        <f>IFERROR(__xludf.DUMMYFUNCTION("SPLIT(I182, "","")"),0.56)</f>
        <v>0.56</v>
      </c>
      <c r="B190" s="9">
        <f>IFERROR(__xludf.DUMMYFUNCTION("""COMPUTED_VALUE"""),0.56)</f>
        <v>0.56</v>
      </c>
      <c r="C190" s="9">
        <f>IFERROR(__xludf.DUMMYFUNCTION("""COMPUTED_VALUE"""),0.56)</f>
        <v>0.56</v>
      </c>
      <c r="E190" s="11">
        <f>IFERROR(__xludf.DUMMYFUNCTION("SPLIT(J182, "","")"),0.556)</f>
        <v>0.556</v>
      </c>
      <c r="F190" s="9">
        <f>IFERROR(__xludf.DUMMYFUNCTION("""COMPUTED_VALUE"""),0.5)</f>
        <v>0.5</v>
      </c>
      <c r="G190" s="9">
        <f>IFERROR(__xludf.DUMMYFUNCTION("""COMPUTED_VALUE"""),0.6)</f>
        <v>0.6</v>
      </c>
      <c r="I190" s="9">
        <f>IFERROR(__xludf.DUMMYFUNCTION("SPLIT(K182, "","")"),0.582)</f>
        <v>0.582</v>
      </c>
      <c r="J190" s="9">
        <f>IFERROR(__xludf.DUMMYFUNCTION("""COMPUTED_VALUE"""),0.466)</f>
        <v>0.466</v>
      </c>
      <c r="K190" s="9">
        <f>IFERROR(__xludf.DUMMYFUNCTION("""COMPUTED_VALUE"""),0.666)</f>
        <v>0.666</v>
      </c>
      <c r="M190" s="9">
        <f>IFERROR(__xludf.DUMMYFUNCTION("SPLIT(L182, "","")"),0.573)</f>
        <v>0.573</v>
      </c>
      <c r="N190" s="9">
        <f>IFERROR(__xludf.DUMMYFUNCTION("""COMPUTED_VALUE"""),0.516)</f>
        <v>0.516</v>
      </c>
      <c r="O190" s="9">
        <f>IFERROR(__xludf.DUMMYFUNCTION("""COMPUTED_VALUE"""),0.616)</f>
        <v>0.616</v>
      </c>
      <c r="Q190" s="9">
        <f>IFERROR(__xludf.DUMMYFUNCTION("SPLIT(M182, "","")"),0.585)</f>
        <v>0.585</v>
      </c>
      <c r="R190" s="9">
        <f>IFERROR(__xludf.DUMMYFUNCTION("""COMPUTED_VALUE"""),0.468)</f>
        <v>0.468</v>
      </c>
      <c r="S190" s="9">
        <f>IFERROR(__xludf.DUMMYFUNCTION("""COMPUTED_VALUE"""),0.668)</f>
        <v>0.668</v>
      </c>
      <c r="U190" s="9">
        <f>IFERROR(__xludf.DUMMYFUNCTION("SPLIT(N182, "","")"),0.569)</f>
        <v>0.569</v>
      </c>
      <c r="V190" s="9">
        <f>IFERROR(__xludf.DUMMYFUNCTION("""COMPUTED_VALUE"""),0.512)</f>
        <v>0.512</v>
      </c>
      <c r="W190" s="9">
        <f>IFERROR(__xludf.DUMMYFUNCTION("""COMPUTED_VALUE"""),0.613)</f>
        <v>0.613</v>
      </c>
      <c r="Y190" s="9">
        <f>IFERROR(__xludf.DUMMYFUNCTION("SPLIT(O182, "","")"),0.578)</f>
        <v>0.578</v>
      </c>
      <c r="Z190" s="9">
        <f>IFERROR(__xludf.DUMMYFUNCTION("""COMPUTED_VALUE"""),0.463)</f>
        <v>0.463</v>
      </c>
      <c r="AA190" s="9">
        <f>IFERROR(__xludf.DUMMYFUNCTION("""COMPUTED_VALUE"""),0.662)</f>
        <v>0.662</v>
      </c>
    </row>
    <row r="191">
      <c r="A191" s="9">
        <f>IFERROR(__xludf.DUMMYFUNCTION("SPLIT(I183, "","")"),0.558)</f>
        <v>0.558</v>
      </c>
      <c r="B191" s="9">
        <f>IFERROR(__xludf.DUMMYFUNCTION("""COMPUTED_VALUE"""),0.558)</f>
        <v>0.558</v>
      </c>
      <c r="C191" s="9">
        <f>IFERROR(__xludf.DUMMYFUNCTION("""COMPUTED_VALUE"""),0.558)</f>
        <v>0.558</v>
      </c>
      <c r="E191" s="11">
        <f>IFERROR(__xludf.DUMMYFUNCTION("SPLIT(J183, "","")"),0.564)</f>
        <v>0.564</v>
      </c>
      <c r="F191" s="9">
        <f>IFERROR(__xludf.DUMMYFUNCTION("""COMPUTED_VALUE"""),0.508)</f>
        <v>0.508</v>
      </c>
      <c r="G191" s="9">
        <f>IFERROR(__xludf.DUMMYFUNCTION("""COMPUTED_VALUE"""),0.608)</f>
        <v>0.608</v>
      </c>
      <c r="I191" s="9">
        <f>IFERROR(__xludf.DUMMYFUNCTION("SPLIT(K183, "","")"),0.57)</f>
        <v>0.57</v>
      </c>
      <c r="J191" s="9">
        <f>IFERROR(__xludf.DUMMYFUNCTION("""COMPUTED_VALUE"""),0.456)</f>
        <v>0.456</v>
      </c>
      <c r="K191" s="9">
        <f>IFERROR(__xludf.DUMMYFUNCTION("""COMPUTED_VALUE"""),0.656)</f>
        <v>0.656</v>
      </c>
      <c r="M191" s="9">
        <f>IFERROR(__xludf.DUMMYFUNCTION("SPLIT(L183, "","")"),0.568)</f>
        <v>0.568</v>
      </c>
      <c r="N191" s="9">
        <f>IFERROR(__xludf.DUMMYFUNCTION("""COMPUTED_VALUE"""),0.511)</f>
        <v>0.511</v>
      </c>
      <c r="O191" s="9">
        <f>IFERROR(__xludf.DUMMYFUNCTION("""COMPUTED_VALUE"""),0.611)</f>
        <v>0.611</v>
      </c>
      <c r="Q191" s="9">
        <f>IFERROR(__xludf.DUMMYFUNCTION("SPLIT(M183, "","")"),0.562)</f>
        <v>0.562</v>
      </c>
      <c r="R191" s="9">
        <f>IFERROR(__xludf.DUMMYFUNCTION("""COMPUTED_VALUE"""),0.45)</f>
        <v>0.45</v>
      </c>
      <c r="S191" s="9">
        <f>IFERROR(__xludf.DUMMYFUNCTION("""COMPUTED_VALUE"""),0.65)</f>
        <v>0.65</v>
      </c>
      <c r="U191" s="9">
        <f>IFERROR(__xludf.DUMMYFUNCTION("SPLIT(N183, "","")"),0.567)</f>
        <v>0.567</v>
      </c>
      <c r="V191" s="9">
        <f>IFERROR(__xludf.DUMMYFUNCTION("""COMPUTED_VALUE"""),0.51)</f>
        <v>0.51</v>
      </c>
      <c r="W191" s="9">
        <f>IFERROR(__xludf.DUMMYFUNCTION("""COMPUTED_VALUE"""),0.61)</f>
        <v>0.61</v>
      </c>
      <c r="Y191" s="9">
        <f>IFERROR(__xludf.DUMMYFUNCTION("SPLIT(O183, "","")"),0.56)</f>
        <v>0.56</v>
      </c>
      <c r="Z191" s="9">
        <f>IFERROR(__xludf.DUMMYFUNCTION("""COMPUTED_VALUE"""),0.448)</f>
        <v>0.448</v>
      </c>
      <c r="AA191" s="9">
        <f>IFERROR(__xludf.DUMMYFUNCTION("""COMPUTED_VALUE"""),0.648)</f>
        <v>0.648</v>
      </c>
    </row>
    <row r="192">
      <c r="A192" s="9">
        <f>IFERROR(__xludf.DUMMYFUNCTION("SPLIT(I184, "","")"),0.565)</f>
        <v>0.565</v>
      </c>
      <c r="B192" s="9">
        <f>IFERROR(__xludf.DUMMYFUNCTION("""COMPUTED_VALUE"""),0.565)</f>
        <v>0.565</v>
      </c>
      <c r="C192" s="9">
        <f>IFERROR(__xludf.DUMMYFUNCTION("""COMPUTED_VALUE"""),0.565)</f>
        <v>0.565</v>
      </c>
      <c r="E192" s="11">
        <f>IFERROR(__xludf.DUMMYFUNCTION("SPLIT(J184, "","")"),0.566)</f>
        <v>0.566</v>
      </c>
      <c r="F192" s="9">
        <f>IFERROR(__xludf.DUMMYFUNCTION("""COMPUTED_VALUE"""),0.51)</f>
        <v>0.51</v>
      </c>
      <c r="G192" s="9">
        <f>IFERROR(__xludf.DUMMYFUNCTION("""COMPUTED_VALUE"""),0.61)</f>
        <v>0.61</v>
      </c>
      <c r="I192" s="9">
        <f>IFERROR(__xludf.DUMMYFUNCTION("SPLIT(K184, "","")"),0.582)</f>
        <v>0.582</v>
      </c>
      <c r="J192" s="9">
        <f>IFERROR(__xludf.DUMMYFUNCTION("""COMPUTED_VALUE"""),0.466)</f>
        <v>0.466</v>
      </c>
      <c r="K192" s="9">
        <f>IFERROR(__xludf.DUMMYFUNCTION("""COMPUTED_VALUE"""),0.666)</f>
        <v>0.666</v>
      </c>
      <c r="M192" s="9">
        <f>IFERROR(__xludf.DUMMYFUNCTION("SPLIT(L184, "","")"),0.581)</f>
        <v>0.581</v>
      </c>
      <c r="N192" s="9">
        <f>IFERROR(__xludf.DUMMYFUNCTION("""COMPUTED_VALUE"""),0.523)</f>
        <v>0.523</v>
      </c>
      <c r="O192" s="9">
        <f>IFERROR(__xludf.DUMMYFUNCTION("""COMPUTED_VALUE"""),0.623)</f>
        <v>0.623</v>
      </c>
      <c r="Q192" s="9">
        <f>IFERROR(__xludf.DUMMYFUNCTION("SPLIT(M184, "","")"),0.58)</f>
        <v>0.58</v>
      </c>
      <c r="R192" s="9">
        <f>IFERROR(__xludf.DUMMYFUNCTION("""COMPUTED_VALUE"""),0.464)</f>
        <v>0.464</v>
      </c>
      <c r="S192" s="9">
        <f>IFERROR(__xludf.DUMMYFUNCTION("""COMPUTED_VALUE"""),0.664)</f>
        <v>0.664</v>
      </c>
      <c r="U192" s="9">
        <f>IFERROR(__xludf.DUMMYFUNCTION("SPLIT(N184, "","")"),0.574)</f>
        <v>0.574</v>
      </c>
      <c r="V192" s="9">
        <f>IFERROR(__xludf.DUMMYFUNCTION("""COMPUTED_VALUE"""),0.517)</f>
        <v>0.517</v>
      </c>
      <c r="W192" s="9">
        <f>IFERROR(__xludf.DUMMYFUNCTION("""COMPUTED_VALUE"""),0.617)</f>
        <v>0.617</v>
      </c>
      <c r="Y192" s="9">
        <f>IFERROR(__xludf.DUMMYFUNCTION("SPLIT(O184, "","")"),0.588)</f>
        <v>0.588</v>
      </c>
      <c r="Z192" s="9">
        <f>IFERROR(__xludf.DUMMYFUNCTION("""COMPUTED_VALUE"""),0.471)</f>
        <v>0.471</v>
      </c>
      <c r="AA192" s="9">
        <f>IFERROR(__xludf.DUMMYFUNCTION("""COMPUTED_VALUE"""),0.671)</f>
        <v>0.671</v>
      </c>
    </row>
    <row r="193">
      <c r="A193" s="9">
        <f>IFERROR(__xludf.DUMMYFUNCTION("SPLIT(I185, "","")"),0.562)</f>
        <v>0.562</v>
      </c>
      <c r="B193" s="9">
        <f>IFERROR(__xludf.DUMMYFUNCTION("""COMPUTED_VALUE"""),0.562)</f>
        <v>0.562</v>
      </c>
      <c r="C193" s="9">
        <f>IFERROR(__xludf.DUMMYFUNCTION("""COMPUTED_VALUE"""),0.562)</f>
        <v>0.562</v>
      </c>
      <c r="E193" s="11">
        <f>IFERROR(__xludf.DUMMYFUNCTION("SPLIT(J185, "","")"),0.562)</f>
        <v>0.562</v>
      </c>
      <c r="F193" s="9">
        <f>IFERROR(__xludf.DUMMYFUNCTION("""COMPUTED_VALUE"""),0.506)</f>
        <v>0.506</v>
      </c>
      <c r="G193" s="9">
        <f>IFERROR(__xludf.DUMMYFUNCTION("""COMPUTED_VALUE"""),0.606)</f>
        <v>0.606</v>
      </c>
      <c r="I193" s="9">
        <f>IFERROR(__xludf.DUMMYFUNCTION("SPLIT(K185, "","")"),0.569)</f>
        <v>0.569</v>
      </c>
      <c r="J193" s="9">
        <f>IFERROR(__xludf.DUMMYFUNCTION("""COMPUTED_VALUE"""),0.455)</f>
        <v>0.455</v>
      </c>
      <c r="K193" s="9">
        <f>IFERROR(__xludf.DUMMYFUNCTION("""COMPUTED_VALUE"""),0.655)</f>
        <v>0.655</v>
      </c>
      <c r="M193" s="9">
        <f>IFERROR(__xludf.DUMMYFUNCTION("SPLIT(L185, "","")"),0.572)</f>
        <v>0.572</v>
      </c>
      <c r="N193" s="9">
        <f>IFERROR(__xludf.DUMMYFUNCTION("""COMPUTED_VALUE"""),0.515)</f>
        <v>0.515</v>
      </c>
      <c r="O193" s="9">
        <f>IFERROR(__xludf.DUMMYFUNCTION("""COMPUTED_VALUE"""),0.615)</f>
        <v>0.615</v>
      </c>
      <c r="Q193" s="9">
        <f>IFERROR(__xludf.DUMMYFUNCTION("SPLIT(M185, "","")"),0.571)</f>
        <v>0.571</v>
      </c>
      <c r="R193" s="9">
        <f>IFERROR(__xludf.DUMMYFUNCTION("""COMPUTED_VALUE"""),0.457)</f>
        <v>0.457</v>
      </c>
      <c r="S193" s="9">
        <f>IFERROR(__xludf.DUMMYFUNCTION("""COMPUTED_VALUE"""),0.657)</f>
        <v>0.657</v>
      </c>
      <c r="U193" s="9">
        <f>IFERROR(__xludf.DUMMYFUNCTION("SPLIT(N185, "","")"),0.563)</f>
        <v>0.563</v>
      </c>
      <c r="V193" s="9">
        <f>IFERROR(__xludf.DUMMYFUNCTION("""COMPUTED_VALUE"""),0.507)</f>
        <v>0.507</v>
      </c>
      <c r="W193" s="9">
        <f>IFERROR(__xludf.DUMMYFUNCTION("""COMPUTED_VALUE"""),0.607)</f>
        <v>0.607</v>
      </c>
      <c r="Y193" s="9">
        <f>IFERROR(__xludf.DUMMYFUNCTION("SPLIT(O185, "","")"),0.571)</f>
        <v>0.571</v>
      </c>
      <c r="Z193" s="9">
        <f>IFERROR(__xludf.DUMMYFUNCTION("""COMPUTED_VALUE"""),0.457)</f>
        <v>0.457</v>
      </c>
      <c r="AA193" s="9">
        <f>IFERROR(__xludf.DUMMYFUNCTION("""COMPUTED_VALUE"""),0.657)</f>
        <v>0.657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0.548</v>
      </c>
      <c r="D197" s="7">
        <f t="shared" ref="D197:D203" si="225">E187</f>
        <v>0.548</v>
      </c>
      <c r="E197" s="7">
        <f t="shared" ref="E197:E203" si="226">I187</f>
        <v>0.56</v>
      </c>
      <c r="F197" s="7">
        <f t="shared" ref="F197:G197" si="220">N187</f>
        <v>0.504</v>
      </c>
      <c r="G197" s="12">
        <f t="shared" si="220"/>
        <v>0.604</v>
      </c>
      <c r="H197" s="7">
        <f t="shared" ref="H197:I197" si="221">R187</f>
        <v>0.457</v>
      </c>
      <c r="I197" s="12">
        <f t="shared" si="221"/>
        <v>0.657</v>
      </c>
      <c r="J197" s="7">
        <f t="shared" ref="J197:K197" si="222">V187</f>
        <v>0.502</v>
      </c>
      <c r="K197" s="12">
        <f t="shared" si="222"/>
        <v>0.602</v>
      </c>
      <c r="L197" s="7">
        <f t="shared" ref="L197:M197" si="223">Z187</f>
        <v>0.449</v>
      </c>
      <c r="M197" s="7">
        <f t="shared" si="223"/>
        <v>0.649</v>
      </c>
    </row>
    <row r="198">
      <c r="B198" s="6" t="s">
        <v>5</v>
      </c>
      <c r="C198" s="7">
        <f t="shared" si="224"/>
        <v>0.567</v>
      </c>
      <c r="D198" s="7">
        <f t="shared" si="225"/>
        <v>0.576</v>
      </c>
      <c r="E198" s="7">
        <f t="shared" si="226"/>
        <v>0.575</v>
      </c>
      <c r="F198" s="7">
        <f t="shared" ref="F198:G198" si="227">N188</f>
        <v>0.521</v>
      </c>
      <c r="G198" s="12">
        <f t="shared" si="227"/>
        <v>0.621</v>
      </c>
      <c r="H198" s="7">
        <f t="shared" ref="H198:I198" si="228">R188</f>
        <v>0.462</v>
      </c>
      <c r="I198" s="12">
        <f t="shared" si="228"/>
        <v>0.662</v>
      </c>
      <c r="J198" s="7">
        <f t="shared" ref="J198:K198" si="229">V188</f>
        <v>0.516</v>
      </c>
      <c r="K198" s="12">
        <f t="shared" si="229"/>
        <v>0.616</v>
      </c>
      <c r="L198" s="7">
        <f t="shared" ref="L198:M198" si="230">Z188</f>
        <v>0.474</v>
      </c>
      <c r="M198" s="7">
        <f t="shared" si="230"/>
        <v>0.674</v>
      </c>
    </row>
    <row r="199">
      <c r="B199" s="6" t="s">
        <v>6</v>
      </c>
      <c r="C199" s="7">
        <f t="shared" si="224"/>
        <v>0.569</v>
      </c>
      <c r="D199" s="7">
        <f t="shared" si="225"/>
        <v>0.567</v>
      </c>
      <c r="E199" s="7">
        <f t="shared" si="226"/>
        <v>0.576</v>
      </c>
      <c r="F199" s="7">
        <f t="shared" ref="F199:G199" si="231">N189</f>
        <v>0.521</v>
      </c>
      <c r="G199" s="12">
        <f t="shared" si="231"/>
        <v>0.621</v>
      </c>
      <c r="H199" s="7">
        <f t="shared" ref="H199:I199" si="232">R189</f>
        <v>0.466</v>
      </c>
      <c r="I199" s="12">
        <f t="shared" si="232"/>
        <v>0.666</v>
      </c>
      <c r="J199" s="7">
        <f t="shared" ref="J199:K199" si="233">V189</f>
        <v>0.523</v>
      </c>
      <c r="K199" s="12">
        <f t="shared" si="233"/>
        <v>0.623</v>
      </c>
      <c r="L199" s="7">
        <f t="shared" ref="L199:M199" si="234">Z189</f>
        <v>0.467</v>
      </c>
      <c r="M199" s="7">
        <f t="shared" si="234"/>
        <v>0.667</v>
      </c>
    </row>
    <row r="200">
      <c r="B200" s="6" t="s">
        <v>7</v>
      </c>
      <c r="C200" s="7">
        <f t="shared" si="224"/>
        <v>0.56</v>
      </c>
      <c r="D200" s="7">
        <f t="shared" si="225"/>
        <v>0.556</v>
      </c>
      <c r="E200" s="7">
        <f t="shared" si="226"/>
        <v>0.582</v>
      </c>
      <c r="F200" s="7">
        <f t="shared" ref="F200:G200" si="235">N190</f>
        <v>0.516</v>
      </c>
      <c r="G200" s="12">
        <f t="shared" si="235"/>
        <v>0.616</v>
      </c>
      <c r="H200" s="7">
        <f t="shared" ref="H200:I200" si="236">R190</f>
        <v>0.468</v>
      </c>
      <c r="I200" s="12">
        <f t="shared" si="236"/>
        <v>0.668</v>
      </c>
      <c r="J200" s="7">
        <f t="shared" ref="J200:K200" si="237">V190</f>
        <v>0.512</v>
      </c>
      <c r="K200" s="12">
        <f t="shared" si="237"/>
        <v>0.613</v>
      </c>
      <c r="L200" s="7">
        <f t="shared" ref="L200:M200" si="238">Z190</f>
        <v>0.463</v>
      </c>
      <c r="M200" s="7">
        <f t="shared" si="238"/>
        <v>0.662</v>
      </c>
    </row>
    <row r="201">
      <c r="B201" s="6" t="s">
        <v>8</v>
      </c>
      <c r="C201" s="7">
        <f t="shared" si="224"/>
        <v>0.558</v>
      </c>
      <c r="D201" s="7">
        <f t="shared" si="225"/>
        <v>0.564</v>
      </c>
      <c r="E201" s="7">
        <f t="shared" si="226"/>
        <v>0.57</v>
      </c>
      <c r="F201" s="7">
        <f t="shared" ref="F201:G201" si="239">N191</f>
        <v>0.511</v>
      </c>
      <c r="G201" s="12">
        <f t="shared" si="239"/>
        <v>0.611</v>
      </c>
      <c r="H201" s="7">
        <f t="shared" ref="H201:I201" si="240">R191</f>
        <v>0.45</v>
      </c>
      <c r="I201" s="12">
        <f t="shared" si="240"/>
        <v>0.65</v>
      </c>
      <c r="J201" s="7">
        <f t="shared" ref="J201:K201" si="241">V191</f>
        <v>0.51</v>
      </c>
      <c r="K201" s="12">
        <f t="shared" si="241"/>
        <v>0.61</v>
      </c>
      <c r="L201" s="7">
        <f t="shared" ref="L201:M201" si="242">Z191</f>
        <v>0.448</v>
      </c>
      <c r="M201" s="7">
        <f t="shared" si="242"/>
        <v>0.648</v>
      </c>
    </row>
    <row r="202">
      <c r="B202" s="6" t="s">
        <v>9</v>
      </c>
      <c r="C202" s="7">
        <f t="shared" si="224"/>
        <v>0.565</v>
      </c>
      <c r="D202" s="7">
        <f t="shared" si="225"/>
        <v>0.566</v>
      </c>
      <c r="E202" s="7">
        <f t="shared" si="226"/>
        <v>0.582</v>
      </c>
      <c r="F202" s="7">
        <f t="shared" ref="F202:G202" si="243">N192</f>
        <v>0.523</v>
      </c>
      <c r="G202" s="12">
        <f t="shared" si="243"/>
        <v>0.623</v>
      </c>
      <c r="H202" s="7">
        <f t="shared" ref="H202:I202" si="244">R192</f>
        <v>0.464</v>
      </c>
      <c r="I202" s="12">
        <f t="shared" si="244"/>
        <v>0.664</v>
      </c>
      <c r="J202" s="7">
        <f t="shared" ref="J202:K202" si="245">V192</f>
        <v>0.517</v>
      </c>
      <c r="K202" s="12">
        <f t="shared" si="245"/>
        <v>0.617</v>
      </c>
      <c r="L202" s="7">
        <f t="shared" ref="L202:M202" si="246">Z192</f>
        <v>0.471</v>
      </c>
      <c r="M202" s="7">
        <f t="shared" si="246"/>
        <v>0.671</v>
      </c>
    </row>
    <row r="203">
      <c r="B203" s="6" t="s">
        <v>10</v>
      </c>
      <c r="C203" s="7">
        <f t="shared" si="224"/>
        <v>0.562</v>
      </c>
      <c r="D203" s="7">
        <f t="shared" si="225"/>
        <v>0.562</v>
      </c>
      <c r="E203" s="7">
        <f t="shared" si="226"/>
        <v>0.569</v>
      </c>
      <c r="F203" s="7">
        <f t="shared" ref="F203:G203" si="247">N193</f>
        <v>0.515</v>
      </c>
      <c r="G203" s="12">
        <f t="shared" si="247"/>
        <v>0.615</v>
      </c>
      <c r="H203" s="7">
        <f t="shared" ref="H203:I203" si="248">R193</f>
        <v>0.457</v>
      </c>
      <c r="I203" s="12">
        <f t="shared" si="248"/>
        <v>0.657</v>
      </c>
      <c r="J203" s="7">
        <f t="shared" ref="J203:K203" si="249">V193</f>
        <v>0.507</v>
      </c>
      <c r="K203" s="12">
        <f t="shared" si="249"/>
        <v>0.607</v>
      </c>
      <c r="L203" s="7">
        <f t="shared" ref="L203:M203" si="250">Z193</f>
        <v>0.457</v>
      </c>
      <c r="M203" s="7">
        <f t="shared" si="250"/>
        <v>0.657</v>
      </c>
    </row>
    <row r="205">
      <c r="A205" s="8" t="s">
        <v>947</v>
      </c>
      <c r="B205" s="8" t="s">
        <v>882</v>
      </c>
      <c r="C205" s="8" t="s">
        <v>948</v>
      </c>
      <c r="D205" s="8" t="s">
        <v>468</v>
      </c>
      <c r="E205" s="8" t="s">
        <v>949</v>
      </c>
      <c r="F205" s="8" t="s">
        <v>950</v>
      </c>
      <c r="G205" s="8" t="s">
        <v>883</v>
      </c>
      <c r="I205" s="9" t="str">
        <f t="shared" ref="I205:O205" si="251">substitute(SUBSTITUTE(A205, "(", ""), ")", "")</f>
        <v>0.308, 0.308, 0.308</v>
      </c>
      <c r="J205" s="9" t="str">
        <f t="shared" si="251"/>
        <v>0.323, 0.291, 0.391</v>
      </c>
      <c r="K205" s="9" t="str">
        <f t="shared" si="251"/>
        <v>0.330, 0.264, 0.464</v>
      </c>
      <c r="L205" s="9" t="str">
        <f t="shared" si="251"/>
        <v>0.330, 0.297, 0.397</v>
      </c>
      <c r="M205" s="9" t="str">
        <f t="shared" si="251"/>
        <v>0.346, 0.277, 0.477</v>
      </c>
      <c r="N205" s="9" t="str">
        <f t="shared" si="251"/>
        <v>0.309, 0.278, 0.378</v>
      </c>
      <c r="O205" s="9" t="str">
        <f t="shared" si="251"/>
        <v>0.339, 0.271, 0.471</v>
      </c>
      <c r="T205" s="6"/>
    </row>
    <row r="206">
      <c r="A206" s="8" t="s">
        <v>951</v>
      </c>
      <c r="B206" s="8" t="s">
        <v>952</v>
      </c>
      <c r="C206" s="8" t="s">
        <v>953</v>
      </c>
      <c r="D206" s="8" t="s">
        <v>62</v>
      </c>
      <c r="E206" s="8" t="s">
        <v>954</v>
      </c>
      <c r="F206" s="8" t="s">
        <v>955</v>
      </c>
      <c r="G206" s="8" t="s">
        <v>339</v>
      </c>
      <c r="I206" s="9" t="str">
        <f t="shared" ref="I206:O206" si="252">substitute(SUBSTITUTE(A206, "(", ""), ")", "")</f>
        <v>0.191, 0.191, 0.191</v>
      </c>
      <c r="J206" s="9" t="str">
        <f t="shared" si="252"/>
        <v>0.198, 0.178, 0.278</v>
      </c>
      <c r="K206" s="9" t="str">
        <f t="shared" si="252"/>
        <v>0.206, 0.165, 0.365</v>
      </c>
      <c r="L206" s="9" t="str">
        <f t="shared" si="252"/>
        <v>0.202, 0.182, 0.282</v>
      </c>
      <c r="M206" s="9" t="str">
        <f t="shared" si="252"/>
        <v>0.198, 0.158, 0.358</v>
      </c>
      <c r="N206" s="9" t="str">
        <f t="shared" si="252"/>
        <v>0.181, 0.163, 0.263</v>
      </c>
      <c r="O206" s="9" t="str">
        <f t="shared" si="252"/>
        <v>0.195, 0.156, 0.356</v>
      </c>
    </row>
    <row r="207">
      <c r="A207" s="8" t="s">
        <v>266</v>
      </c>
      <c r="B207" s="8" t="s">
        <v>66</v>
      </c>
      <c r="C207" s="8" t="s">
        <v>956</v>
      </c>
      <c r="D207" s="8" t="s">
        <v>957</v>
      </c>
      <c r="E207" s="8" t="s">
        <v>339</v>
      </c>
      <c r="F207" s="8" t="s">
        <v>958</v>
      </c>
      <c r="G207" s="8" t="s">
        <v>54</v>
      </c>
      <c r="I207" s="9" t="str">
        <f t="shared" ref="I207:O207" si="253">substitute(SUBSTITUTE(A207, "(", ""), ")", "")</f>
        <v>0.192, 0.192, 0.192</v>
      </c>
      <c r="J207" s="9" t="str">
        <f t="shared" si="253"/>
        <v>0.199, 0.179, 0.279</v>
      </c>
      <c r="K207" s="9" t="str">
        <f t="shared" si="253"/>
        <v>0.203, 0.162, 0.362</v>
      </c>
      <c r="L207" s="9" t="str">
        <f t="shared" si="253"/>
        <v>0.201, 0.181, 0.281</v>
      </c>
      <c r="M207" s="9" t="str">
        <f t="shared" si="253"/>
        <v>0.195, 0.156, 0.356</v>
      </c>
      <c r="N207" s="9" t="str">
        <f t="shared" si="253"/>
        <v>0.177, 0.159, 0.259</v>
      </c>
      <c r="O207" s="9" t="str">
        <f t="shared" si="253"/>
        <v>0.194, 0.155, 0.355</v>
      </c>
    </row>
    <row r="208">
      <c r="A208" s="8" t="s">
        <v>959</v>
      </c>
      <c r="B208" s="8" t="s">
        <v>811</v>
      </c>
      <c r="C208" s="8" t="s">
        <v>289</v>
      </c>
      <c r="D208" s="8" t="s">
        <v>111</v>
      </c>
      <c r="E208" s="8" t="s">
        <v>960</v>
      </c>
      <c r="F208" s="8" t="s">
        <v>882</v>
      </c>
      <c r="G208" s="8" t="s">
        <v>231</v>
      </c>
      <c r="I208" s="9" t="str">
        <f t="shared" ref="I208:O208" si="254">substitute(SUBSTITUTE(A208, "(", ""), ")", "")</f>
        <v>0.324, 0.324, 0.324</v>
      </c>
      <c r="J208" s="9" t="str">
        <f t="shared" si="254"/>
        <v>0.345, 0.310, 0.410</v>
      </c>
      <c r="K208" s="9" t="str">
        <f t="shared" si="254"/>
        <v>0.350, 0.280, 0.480</v>
      </c>
      <c r="L208" s="9" t="str">
        <f t="shared" si="254"/>
        <v>0.338, 0.304, 0.404</v>
      </c>
      <c r="M208" s="9" t="str">
        <f t="shared" si="254"/>
        <v>0.332, 0.266, 0.466</v>
      </c>
      <c r="N208" s="9" t="str">
        <f t="shared" si="254"/>
        <v>0.323, 0.291, 0.391</v>
      </c>
      <c r="O208" s="9" t="str">
        <f t="shared" si="254"/>
        <v>0.334, 0.268, 0.468</v>
      </c>
    </row>
    <row r="209">
      <c r="A209" s="8" t="s">
        <v>961</v>
      </c>
      <c r="B209" s="8" t="s">
        <v>962</v>
      </c>
      <c r="C209" s="8" t="s">
        <v>963</v>
      </c>
      <c r="D209" s="8" t="s">
        <v>964</v>
      </c>
      <c r="E209" s="8" t="s">
        <v>662</v>
      </c>
      <c r="F209" s="8" t="s">
        <v>965</v>
      </c>
      <c r="G209" s="8" t="s">
        <v>656</v>
      </c>
      <c r="I209" s="9" t="str">
        <f t="shared" ref="I209:O209" si="255">substitute(SUBSTITUTE(A209, "(", ""), ")", "")</f>
        <v>0.236, 0.236, 0.236</v>
      </c>
      <c r="J209" s="9" t="str">
        <f t="shared" si="255"/>
        <v>0.247, 0.222, 0.322</v>
      </c>
      <c r="K209" s="9" t="str">
        <f t="shared" si="255"/>
        <v>0.254, 0.203, 0.403</v>
      </c>
      <c r="L209" s="9" t="str">
        <f t="shared" si="255"/>
        <v>0.212, 0.191, 0.291</v>
      </c>
      <c r="M209" s="9" t="str">
        <f t="shared" si="255"/>
        <v>0.179, 0.143, 0.343</v>
      </c>
      <c r="N209" s="9" t="str">
        <f t="shared" si="255"/>
        <v>0.210, 0.189, 0.289</v>
      </c>
      <c r="O209" s="9" t="str">
        <f t="shared" si="255"/>
        <v>0.183, 0.147, 0.347</v>
      </c>
    </row>
    <row r="210">
      <c r="A210" s="8" t="s">
        <v>657</v>
      </c>
      <c r="B210" s="8" t="s">
        <v>358</v>
      </c>
      <c r="C210" s="8" t="s">
        <v>966</v>
      </c>
      <c r="D210" s="8" t="s">
        <v>872</v>
      </c>
      <c r="E210" s="8" t="s">
        <v>967</v>
      </c>
      <c r="F210" s="8" t="s">
        <v>968</v>
      </c>
      <c r="G210" s="8" t="s">
        <v>969</v>
      </c>
      <c r="I210" s="9" t="str">
        <f t="shared" ref="I210:O210" si="256">substitute(SUBSTITUTE(A210, "(", ""), ")", "")</f>
        <v>0.251, 0.251, 0.251</v>
      </c>
      <c r="J210" s="9" t="str">
        <f t="shared" si="256"/>
        <v>0.259, 0.233, 0.333</v>
      </c>
      <c r="K210" s="9" t="str">
        <f t="shared" si="256"/>
        <v>0.268, 0.214, 0.414</v>
      </c>
      <c r="L210" s="9" t="str">
        <f t="shared" si="256"/>
        <v>0.235, 0.211, 0.311</v>
      </c>
      <c r="M210" s="9" t="str">
        <f t="shared" si="256"/>
        <v>0.218, 0.174, 0.374</v>
      </c>
      <c r="N210" s="9" t="str">
        <f t="shared" si="256"/>
        <v>0.234, 0.210, 0.310</v>
      </c>
      <c r="O210" s="9" t="str">
        <f t="shared" si="256"/>
        <v>0.214, 0.171, 0.371</v>
      </c>
    </row>
    <row r="211">
      <c r="A211" s="8" t="s">
        <v>970</v>
      </c>
      <c r="B211" s="8" t="s">
        <v>244</v>
      </c>
      <c r="C211" s="8" t="s">
        <v>835</v>
      </c>
      <c r="D211" s="8" t="s">
        <v>387</v>
      </c>
      <c r="E211" s="8" t="s">
        <v>105</v>
      </c>
      <c r="F211" s="8" t="s">
        <v>971</v>
      </c>
      <c r="G211" s="8" t="s">
        <v>462</v>
      </c>
      <c r="I211" s="9" t="str">
        <f t="shared" ref="I211:O211" si="257">substitute(SUBSTITUTE(A211, "(", ""), ")", "")</f>
        <v>0.397, 0.397, 0.397</v>
      </c>
      <c r="J211" s="9" t="str">
        <f t="shared" si="257"/>
        <v>0.418, 0.376, 0.476</v>
      </c>
      <c r="K211" s="9" t="str">
        <f t="shared" si="257"/>
        <v>0.426, 0.341, 0.541</v>
      </c>
      <c r="L211" s="9" t="str">
        <f t="shared" si="257"/>
        <v>0.398, 0.358, 0.458</v>
      </c>
      <c r="M211" s="9" t="str">
        <f t="shared" si="257"/>
        <v>0.393, 0.314, 0.514</v>
      </c>
      <c r="N211" s="9" t="str">
        <f t="shared" si="257"/>
        <v>0.392, 0.352, 0.452</v>
      </c>
      <c r="O211" s="9" t="str">
        <f t="shared" si="257"/>
        <v>0.391, 0.312, 0.512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"","")"),0.308)</f>
        <v>0.308</v>
      </c>
      <c r="B213" s="9">
        <f>IFERROR(__xludf.DUMMYFUNCTION("""COMPUTED_VALUE"""),0.308)</f>
        <v>0.308</v>
      </c>
      <c r="C213" s="9">
        <f>IFERROR(__xludf.DUMMYFUNCTION("""COMPUTED_VALUE"""),0.308)</f>
        <v>0.308</v>
      </c>
      <c r="E213" s="11">
        <f>IFERROR(__xludf.DUMMYFUNCTION("SPLIT(J205, "","")"),0.323)</f>
        <v>0.323</v>
      </c>
      <c r="F213" s="9">
        <f>IFERROR(__xludf.DUMMYFUNCTION("""COMPUTED_VALUE"""),0.291)</f>
        <v>0.291</v>
      </c>
      <c r="G213" s="9">
        <f>IFERROR(__xludf.DUMMYFUNCTION("""COMPUTED_VALUE"""),0.391)</f>
        <v>0.391</v>
      </c>
      <c r="I213" s="9">
        <f>IFERROR(__xludf.DUMMYFUNCTION("SPLIT(K205, "","")"),0.33)</f>
        <v>0.33</v>
      </c>
      <c r="J213" s="9">
        <f>IFERROR(__xludf.DUMMYFUNCTION("""COMPUTED_VALUE"""),0.264)</f>
        <v>0.264</v>
      </c>
      <c r="K213" s="9">
        <f>IFERROR(__xludf.DUMMYFUNCTION("""COMPUTED_VALUE"""),0.464)</f>
        <v>0.464</v>
      </c>
      <c r="M213" s="9">
        <f>IFERROR(__xludf.DUMMYFUNCTION("SPLIT(L205, "","")"),0.33)</f>
        <v>0.33</v>
      </c>
      <c r="N213" s="9">
        <f>IFERROR(__xludf.DUMMYFUNCTION("""COMPUTED_VALUE"""),0.297)</f>
        <v>0.297</v>
      </c>
      <c r="O213" s="9">
        <f>IFERROR(__xludf.DUMMYFUNCTION("""COMPUTED_VALUE"""),0.397)</f>
        <v>0.397</v>
      </c>
      <c r="Q213" s="9">
        <f>IFERROR(__xludf.DUMMYFUNCTION("SPLIT(M205, "","")"),0.346)</f>
        <v>0.346</v>
      </c>
      <c r="R213" s="9">
        <f>IFERROR(__xludf.DUMMYFUNCTION("""COMPUTED_VALUE"""),0.277)</f>
        <v>0.277</v>
      </c>
      <c r="S213" s="9">
        <f>IFERROR(__xludf.DUMMYFUNCTION("""COMPUTED_VALUE"""),0.477)</f>
        <v>0.477</v>
      </c>
      <c r="U213" s="9">
        <f>IFERROR(__xludf.DUMMYFUNCTION("SPLIT(N205, "","")"),0.309)</f>
        <v>0.309</v>
      </c>
      <c r="V213" s="9">
        <f>IFERROR(__xludf.DUMMYFUNCTION("""COMPUTED_VALUE"""),0.278)</f>
        <v>0.278</v>
      </c>
      <c r="W213" s="9">
        <f>IFERROR(__xludf.DUMMYFUNCTION("""COMPUTED_VALUE"""),0.378)</f>
        <v>0.378</v>
      </c>
      <c r="Y213" s="9">
        <f>IFERROR(__xludf.DUMMYFUNCTION("SPLIT(O205, "","")"),0.339)</f>
        <v>0.339</v>
      </c>
      <c r="Z213" s="9">
        <f>IFERROR(__xludf.DUMMYFUNCTION("""COMPUTED_VALUE"""),0.271)</f>
        <v>0.271</v>
      </c>
      <c r="AA213" s="9">
        <f>IFERROR(__xludf.DUMMYFUNCTION("""COMPUTED_VALUE"""),0.471)</f>
        <v>0.471</v>
      </c>
    </row>
    <row r="214">
      <c r="A214" s="9">
        <f>IFERROR(__xludf.DUMMYFUNCTION("SPLIT(I206, "","")"),0.191)</f>
        <v>0.191</v>
      </c>
      <c r="B214" s="9">
        <f>IFERROR(__xludf.DUMMYFUNCTION("""COMPUTED_VALUE"""),0.191)</f>
        <v>0.191</v>
      </c>
      <c r="C214" s="9">
        <f>IFERROR(__xludf.DUMMYFUNCTION("""COMPUTED_VALUE"""),0.191)</f>
        <v>0.191</v>
      </c>
      <c r="E214" s="11">
        <f>IFERROR(__xludf.DUMMYFUNCTION("SPLIT(J206, "","")"),0.198)</f>
        <v>0.198</v>
      </c>
      <c r="F214" s="9">
        <f>IFERROR(__xludf.DUMMYFUNCTION("""COMPUTED_VALUE"""),0.178)</f>
        <v>0.178</v>
      </c>
      <c r="G214" s="9">
        <f>IFERROR(__xludf.DUMMYFUNCTION("""COMPUTED_VALUE"""),0.278)</f>
        <v>0.278</v>
      </c>
      <c r="I214" s="9">
        <f>IFERROR(__xludf.DUMMYFUNCTION("SPLIT(K206, "","")"),0.206)</f>
        <v>0.206</v>
      </c>
      <c r="J214" s="9">
        <f>IFERROR(__xludf.DUMMYFUNCTION("""COMPUTED_VALUE"""),0.165)</f>
        <v>0.165</v>
      </c>
      <c r="K214" s="9">
        <f>IFERROR(__xludf.DUMMYFUNCTION("""COMPUTED_VALUE"""),0.365)</f>
        <v>0.365</v>
      </c>
      <c r="M214" s="9">
        <f>IFERROR(__xludf.DUMMYFUNCTION("SPLIT(L206, "","")"),0.202)</f>
        <v>0.202</v>
      </c>
      <c r="N214" s="9">
        <f>IFERROR(__xludf.DUMMYFUNCTION("""COMPUTED_VALUE"""),0.182)</f>
        <v>0.182</v>
      </c>
      <c r="O214" s="9">
        <f>IFERROR(__xludf.DUMMYFUNCTION("""COMPUTED_VALUE"""),0.282)</f>
        <v>0.282</v>
      </c>
      <c r="Q214" s="9">
        <f>IFERROR(__xludf.DUMMYFUNCTION("SPLIT(M206, "","")"),0.198)</f>
        <v>0.198</v>
      </c>
      <c r="R214" s="9">
        <f>IFERROR(__xludf.DUMMYFUNCTION("""COMPUTED_VALUE"""),0.158)</f>
        <v>0.158</v>
      </c>
      <c r="S214" s="9">
        <f>IFERROR(__xludf.DUMMYFUNCTION("""COMPUTED_VALUE"""),0.358)</f>
        <v>0.358</v>
      </c>
      <c r="U214" s="9">
        <f>IFERROR(__xludf.DUMMYFUNCTION("SPLIT(N206, "","")"),0.181)</f>
        <v>0.181</v>
      </c>
      <c r="V214" s="9">
        <f>IFERROR(__xludf.DUMMYFUNCTION("""COMPUTED_VALUE"""),0.163)</f>
        <v>0.163</v>
      </c>
      <c r="W214" s="9">
        <f>IFERROR(__xludf.DUMMYFUNCTION("""COMPUTED_VALUE"""),0.263)</f>
        <v>0.263</v>
      </c>
      <c r="Y214" s="9">
        <f>IFERROR(__xludf.DUMMYFUNCTION("SPLIT(O206, "","")"),0.195)</f>
        <v>0.195</v>
      </c>
      <c r="Z214" s="9">
        <f>IFERROR(__xludf.DUMMYFUNCTION("""COMPUTED_VALUE"""),0.156)</f>
        <v>0.156</v>
      </c>
      <c r="AA214" s="9">
        <f>IFERROR(__xludf.DUMMYFUNCTION("""COMPUTED_VALUE"""),0.356)</f>
        <v>0.356</v>
      </c>
    </row>
    <row r="215">
      <c r="A215" s="9">
        <f>IFERROR(__xludf.DUMMYFUNCTION("SPLIT(I207, "","")"),0.192)</f>
        <v>0.192</v>
      </c>
      <c r="B215" s="9">
        <f>IFERROR(__xludf.DUMMYFUNCTION("""COMPUTED_VALUE"""),0.192)</f>
        <v>0.192</v>
      </c>
      <c r="C215" s="9">
        <f>IFERROR(__xludf.DUMMYFUNCTION("""COMPUTED_VALUE"""),0.192)</f>
        <v>0.192</v>
      </c>
      <c r="E215" s="11">
        <f>IFERROR(__xludf.DUMMYFUNCTION("SPLIT(J207, "","")"),0.199)</f>
        <v>0.199</v>
      </c>
      <c r="F215" s="9">
        <f>IFERROR(__xludf.DUMMYFUNCTION("""COMPUTED_VALUE"""),0.179)</f>
        <v>0.179</v>
      </c>
      <c r="G215" s="9">
        <f>IFERROR(__xludf.DUMMYFUNCTION("""COMPUTED_VALUE"""),0.279)</f>
        <v>0.279</v>
      </c>
      <c r="I215" s="9">
        <f>IFERROR(__xludf.DUMMYFUNCTION("SPLIT(K207, "","")"),0.203)</f>
        <v>0.203</v>
      </c>
      <c r="J215" s="9">
        <f>IFERROR(__xludf.DUMMYFUNCTION("""COMPUTED_VALUE"""),0.162)</f>
        <v>0.162</v>
      </c>
      <c r="K215" s="9">
        <f>IFERROR(__xludf.DUMMYFUNCTION("""COMPUTED_VALUE"""),0.362)</f>
        <v>0.362</v>
      </c>
      <c r="M215" s="9">
        <f>IFERROR(__xludf.DUMMYFUNCTION("SPLIT(L207, "","")"),0.201)</f>
        <v>0.201</v>
      </c>
      <c r="N215" s="9">
        <f>IFERROR(__xludf.DUMMYFUNCTION("""COMPUTED_VALUE"""),0.181)</f>
        <v>0.181</v>
      </c>
      <c r="O215" s="9">
        <f>IFERROR(__xludf.DUMMYFUNCTION("""COMPUTED_VALUE"""),0.281)</f>
        <v>0.281</v>
      </c>
      <c r="Q215" s="9">
        <f>IFERROR(__xludf.DUMMYFUNCTION("SPLIT(M207, "","")"),0.195)</f>
        <v>0.195</v>
      </c>
      <c r="R215" s="9">
        <f>IFERROR(__xludf.DUMMYFUNCTION("""COMPUTED_VALUE"""),0.156)</f>
        <v>0.156</v>
      </c>
      <c r="S215" s="9">
        <f>IFERROR(__xludf.DUMMYFUNCTION("""COMPUTED_VALUE"""),0.356)</f>
        <v>0.356</v>
      </c>
      <c r="U215" s="9">
        <f>IFERROR(__xludf.DUMMYFUNCTION("SPLIT(N207, "","")"),0.177)</f>
        <v>0.177</v>
      </c>
      <c r="V215" s="9">
        <f>IFERROR(__xludf.DUMMYFUNCTION("""COMPUTED_VALUE"""),0.159)</f>
        <v>0.159</v>
      </c>
      <c r="W215" s="9">
        <f>IFERROR(__xludf.DUMMYFUNCTION("""COMPUTED_VALUE"""),0.259)</f>
        <v>0.259</v>
      </c>
      <c r="Y215" s="9">
        <f>IFERROR(__xludf.DUMMYFUNCTION("SPLIT(O207, "","")"),0.194)</f>
        <v>0.194</v>
      </c>
      <c r="Z215" s="9">
        <f>IFERROR(__xludf.DUMMYFUNCTION("""COMPUTED_VALUE"""),0.155)</f>
        <v>0.155</v>
      </c>
      <c r="AA215" s="9">
        <f>IFERROR(__xludf.DUMMYFUNCTION("""COMPUTED_VALUE"""),0.355)</f>
        <v>0.355</v>
      </c>
    </row>
    <row r="216">
      <c r="A216" s="9">
        <f>IFERROR(__xludf.DUMMYFUNCTION("SPLIT(I208, "","")"),0.324)</f>
        <v>0.324</v>
      </c>
      <c r="B216" s="9">
        <f>IFERROR(__xludf.DUMMYFUNCTION("""COMPUTED_VALUE"""),0.324)</f>
        <v>0.324</v>
      </c>
      <c r="C216" s="9">
        <f>IFERROR(__xludf.DUMMYFUNCTION("""COMPUTED_VALUE"""),0.324)</f>
        <v>0.324</v>
      </c>
      <c r="E216" s="11">
        <f>IFERROR(__xludf.DUMMYFUNCTION("SPLIT(J208, "","")"),0.345)</f>
        <v>0.345</v>
      </c>
      <c r="F216" s="9">
        <f>IFERROR(__xludf.DUMMYFUNCTION("""COMPUTED_VALUE"""),0.31)</f>
        <v>0.31</v>
      </c>
      <c r="G216" s="9">
        <f>IFERROR(__xludf.DUMMYFUNCTION("""COMPUTED_VALUE"""),0.41)</f>
        <v>0.41</v>
      </c>
      <c r="I216" s="9">
        <f>IFERROR(__xludf.DUMMYFUNCTION("SPLIT(K208, "","")"),0.35)</f>
        <v>0.35</v>
      </c>
      <c r="J216" s="9">
        <f>IFERROR(__xludf.DUMMYFUNCTION("""COMPUTED_VALUE"""),0.28)</f>
        <v>0.28</v>
      </c>
      <c r="K216" s="9">
        <f>IFERROR(__xludf.DUMMYFUNCTION("""COMPUTED_VALUE"""),0.48)</f>
        <v>0.48</v>
      </c>
      <c r="M216" s="9">
        <f>IFERROR(__xludf.DUMMYFUNCTION("SPLIT(L208, "","")"),0.338)</f>
        <v>0.338</v>
      </c>
      <c r="N216" s="9">
        <f>IFERROR(__xludf.DUMMYFUNCTION("""COMPUTED_VALUE"""),0.304)</f>
        <v>0.304</v>
      </c>
      <c r="O216" s="9">
        <f>IFERROR(__xludf.DUMMYFUNCTION("""COMPUTED_VALUE"""),0.404)</f>
        <v>0.404</v>
      </c>
      <c r="Q216" s="9">
        <f>IFERROR(__xludf.DUMMYFUNCTION("SPLIT(M208, "","")"),0.332)</f>
        <v>0.332</v>
      </c>
      <c r="R216" s="9">
        <f>IFERROR(__xludf.DUMMYFUNCTION("""COMPUTED_VALUE"""),0.266)</f>
        <v>0.266</v>
      </c>
      <c r="S216" s="9">
        <f>IFERROR(__xludf.DUMMYFUNCTION("""COMPUTED_VALUE"""),0.466)</f>
        <v>0.466</v>
      </c>
      <c r="U216" s="9">
        <f>IFERROR(__xludf.DUMMYFUNCTION("SPLIT(N208, "","")"),0.323)</f>
        <v>0.323</v>
      </c>
      <c r="V216" s="9">
        <f>IFERROR(__xludf.DUMMYFUNCTION("""COMPUTED_VALUE"""),0.291)</f>
        <v>0.291</v>
      </c>
      <c r="W216" s="9">
        <f>IFERROR(__xludf.DUMMYFUNCTION("""COMPUTED_VALUE"""),0.391)</f>
        <v>0.391</v>
      </c>
      <c r="Y216" s="9">
        <f>IFERROR(__xludf.DUMMYFUNCTION("SPLIT(O208, "","")"),0.334)</f>
        <v>0.334</v>
      </c>
      <c r="Z216" s="9">
        <f>IFERROR(__xludf.DUMMYFUNCTION("""COMPUTED_VALUE"""),0.268)</f>
        <v>0.268</v>
      </c>
      <c r="AA216" s="9">
        <f>IFERROR(__xludf.DUMMYFUNCTION("""COMPUTED_VALUE"""),0.468)</f>
        <v>0.468</v>
      </c>
    </row>
    <row r="217">
      <c r="A217" s="9">
        <f>IFERROR(__xludf.DUMMYFUNCTION("SPLIT(I209, "","")"),0.236)</f>
        <v>0.236</v>
      </c>
      <c r="B217" s="9">
        <f>IFERROR(__xludf.DUMMYFUNCTION("""COMPUTED_VALUE"""),0.236)</f>
        <v>0.236</v>
      </c>
      <c r="C217" s="9">
        <f>IFERROR(__xludf.DUMMYFUNCTION("""COMPUTED_VALUE"""),0.236)</f>
        <v>0.236</v>
      </c>
      <c r="E217" s="11">
        <f>IFERROR(__xludf.DUMMYFUNCTION("SPLIT(J209, "","")"),0.247)</f>
        <v>0.247</v>
      </c>
      <c r="F217" s="9">
        <f>IFERROR(__xludf.DUMMYFUNCTION("""COMPUTED_VALUE"""),0.222)</f>
        <v>0.222</v>
      </c>
      <c r="G217" s="9">
        <f>IFERROR(__xludf.DUMMYFUNCTION("""COMPUTED_VALUE"""),0.322)</f>
        <v>0.322</v>
      </c>
      <c r="I217" s="9">
        <f>IFERROR(__xludf.DUMMYFUNCTION("SPLIT(K209, "","")"),0.254)</f>
        <v>0.254</v>
      </c>
      <c r="J217" s="9">
        <f>IFERROR(__xludf.DUMMYFUNCTION("""COMPUTED_VALUE"""),0.203)</f>
        <v>0.203</v>
      </c>
      <c r="K217" s="9">
        <f>IFERROR(__xludf.DUMMYFUNCTION("""COMPUTED_VALUE"""),0.403)</f>
        <v>0.403</v>
      </c>
      <c r="M217" s="9">
        <f>IFERROR(__xludf.DUMMYFUNCTION("SPLIT(L209, "","")"),0.212)</f>
        <v>0.212</v>
      </c>
      <c r="N217" s="9">
        <f>IFERROR(__xludf.DUMMYFUNCTION("""COMPUTED_VALUE"""),0.191)</f>
        <v>0.191</v>
      </c>
      <c r="O217" s="9">
        <f>IFERROR(__xludf.DUMMYFUNCTION("""COMPUTED_VALUE"""),0.291)</f>
        <v>0.291</v>
      </c>
      <c r="Q217" s="9">
        <f>IFERROR(__xludf.DUMMYFUNCTION("SPLIT(M209, "","")"),0.179)</f>
        <v>0.179</v>
      </c>
      <c r="R217" s="9">
        <f>IFERROR(__xludf.DUMMYFUNCTION("""COMPUTED_VALUE"""),0.143)</f>
        <v>0.143</v>
      </c>
      <c r="S217" s="9">
        <f>IFERROR(__xludf.DUMMYFUNCTION("""COMPUTED_VALUE"""),0.343)</f>
        <v>0.343</v>
      </c>
      <c r="U217" s="9">
        <f>IFERROR(__xludf.DUMMYFUNCTION("SPLIT(N209, "","")"),0.21)</f>
        <v>0.21</v>
      </c>
      <c r="V217" s="9">
        <f>IFERROR(__xludf.DUMMYFUNCTION("""COMPUTED_VALUE"""),0.189)</f>
        <v>0.189</v>
      </c>
      <c r="W217" s="9">
        <f>IFERROR(__xludf.DUMMYFUNCTION("""COMPUTED_VALUE"""),0.289)</f>
        <v>0.289</v>
      </c>
      <c r="Y217" s="9">
        <f>IFERROR(__xludf.DUMMYFUNCTION("SPLIT(O209, "","")"),0.183)</f>
        <v>0.183</v>
      </c>
      <c r="Z217" s="9">
        <f>IFERROR(__xludf.DUMMYFUNCTION("""COMPUTED_VALUE"""),0.147)</f>
        <v>0.147</v>
      </c>
      <c r="AA217" s="9">
        <f>IFERROR(__xludf.DUMMYFUNCTION("""COMPUTED_VALUE"""),0.347)</f>
        <v>0.347</v>
      </c>
    </row>
    <row r="218">
      <c r="A218" s="9">
        <f>IFERROR(__xludf.DUMMYFUNCTION("SPLIT(I210, "","")"),0.251)</f>
        <v>0.251</v>
      </c>
      <c r="B218" s="9">
        <f>IFERROR(__xludf.DUMMYFUNCTION("""COMPUTED_VALUE"""),0.251)</f>
        <v>0.251</v>
      </c>
      <c r="C218" s="9">
        <f>IFERROR(__xludf.DUMMYFUNCTION("""COMPUTED_VALUE"""),0.251)</f>
        <v>0.251</v>
      </c>
      <c r="E218" s="11">
        <f>IFERROR(__xludf.DUMMYFUNCTION("SPLIT(J210, "","")"),0.259)</f>
        <v>0.259</v>
      </c>
      <c r="F218" s="9">
        <f>IFERROR(__xludf.DUMMYFUNCTION("""COMPUTED_VALUE"""),0.233)</f>
        <v>0.233</v>
      </c>
      <c r="G218" s="9">
        <f>IFERROR(__xludf.DUMMYFUNCTION("""COMPUTED_VALUE"""),0.333)</f>
        <v>0.333</v>
      </c>
      <c r="I218" s="9">
        <f>IFERROR(__xludf.DUMMYFUNCTION("SPLIT(K210, "","")"),0.268)</f>
        <v>0.268</v>
      </c>
      <c r="J218" s="9">
        <f>IFERROR(__xludf.DUMMYFUNCTION("""COMPUTED_VALUE"""),0.214)</f>
        <v>0.214</v>
      </c>
      <c r="K218" s="9">
        <f>IFERROR(__xludf.DUMMYFUNCTION("""COMPUTED_VALUE"""),0.414)</f>
        <v>0.414</v>
      </c>
      <c r="M218" s="9">
        <f>IFERROR(__xludf.DUMMYFUNCTION("SPLIT(L210, "","")"),0.235)</f>
        <v>0.235</v>
      </c>
      <c r="N218" s="9">
        <f>IFERROR(__xludf.DUMMYFUNCTION("""COMPUTED_VALUE"""),0.211)</f>
        <v>0.211</v>
      </c>
      <c r="O218" s="9">
        <f>IFERROR(__xludf.DUMMYFUNCTION("""COMPUTED_VALUE"""),0.311)</f>
        <v>0.311</v>
      </c>
      <c r="Q218" s="9">
        <f>IFERROR(__xludf.DUMMYFUNCTION("SPLIT(M210, "","")"),0.218)</f>
        <v>0.218</v>
      </c>
      <c r="R218" s="9">
        <f>IFERROR(__xludf.DUMMYFUNCTION("""COMPUTED_VALUE"""),0.174)</f>
        <v>0.174</v>
      </c>
      <c r="S218" s="9">
        <f>IFERROR(__xludf.DUMMYFUNCTION("""COMPUTED_VALUE"""),0.374)</f>
        <v>0.374</v>
      </c>
      <c r="U218" s="9">
        <f>IFERROR(__xludf.DUMMYFUNCTION("SPLIT(N210, "","")"),0.234)</f>
        <v>0.234</v>
      </c>
      <c r="V218" s="9">
        <f>IFERROR(__xludf.DUMMYFUNCTION("""COMPUTED_VALUE"""),0.21)</f>
        <v>0.21</v>
      </c>
      <c r="W218" s="9">
        <f>IFERROR(__xludf.DUMMYFUNCTION("""COMPUTED_VALUE"""),0.31)</f>
        <v>0.31</v>
      </c>
      <c r="Y218" s="9">
        <f>IFERROR(__xludf.DUMMYFUNCTION("SPLIT(O210, "","")"),0.214)</f>
        <v>0.214</v>
      </c>
      <c r="Z218" s="9">
        <f>IFERROR(__xludf.DUMMYFUNCTION("""COMPUTED_VALUE"""),0.171)</f>
        <v>0.171</v>
      </c>
      <c r="AA218" s="9">
        <f>IFERROR(__xludf.DUMMYFUNCTION("""COMPUTED_VALUE"""),0.371)</f>
        <v>0.371</v>
      </c>
    </row>
    <row r="219">
      <c r="A219" s="9">
        <f>IFERROR(__xludf.DUMMYFUNCTION("SPLIT(I211, "","")"),0.397)</f>
        <v>0.397</v>
      </c>
      <c r="B219" s="9">
        <f>IFERROR(__xludf.DUMMYFUNCTION("""COMPUTED_VALUE"""),0.397)</f>
        <v>0.397</v>
      </c>
      <c r="C219" s="9">
        <f>IFERROR(__xludf.DUMMYFUNCTION("""COMPUTED_VALUE"""),0.397)</f>
        <v>0.397</v>
      </c>
      <c r="E219" s="11">
        <f>IFERROR(__xludf.DUMMYFUNCTION("SPLIT(J211, "","")"),0.418)</f>
        <v>0.418</v>
      </c>
      <c r="F219" s="9">
        <f>IFERROR(__xludf.DUMMYFUNCTION("""COMPUTED_VALUE"""),0.376)</f>
        <v>0.376</v>
      </c>
      <c r="G219" s="9">
        <f>IFERROR(__xludf.DUMMYFUNCTION("""COMPUTED_VALUE"""),0.476)</f>
        <v>0.476</v>
      </c>
      <c r="I219" s="9">
        <f>IFERROR(__xludf.DUMMYFUNCTION("SPLIT(K211, "","")"),0.426)</f>
        <v>0.426</v>
      </c>
      <c r="J219" s="9">
        <f>IFERROR(__xludf.DUMMYFUNCTION("""COMPUTED_VALUE"""),0.341)</f>
        <v>0.341</v>
      </c>
      <c r="K219" s="9">
        <f>IFERROR(__xludf.DUMMYFUNCTION("""COMPUTED_VALUE"""),0.541)</f>
        <v>0.541</v>
      </c>
      <c r="M219" s="9">
        <f>IFERROR(__xludf.DUMMYFUNCTION("SPLIT(L211, "","")"),0.398)</f>
        <v>0.398</v>
      </c>
      <c r="N219" s="9">
        <f>IFERROR(__xludf.DUMMYFUNCTION("""COMPUTED_VALUE"""),0.358)</f>
        <v>0.358</v>
      </c>
      <c r="O219" s="9">
        <f>IFERROR(__xludf.DUMMYFUNCTION("""COMPUTED_VALUE"""),0.458)</f>
        <v>0.458</v>
      </c>
      <c r="Q219" s="9">
        <f>IFERROR(__xludf.DUMMYFUNCTION("SPLIT(M211, "","")"),0.393)</f>
        <v>0.393</v>
      </c>
      <c r="R219" s="9">
        <f>IFERROR(__xludf.DUMMYFUNCTION("""COMPUTED_VALUE"""),0.314)</f>
        <v>0.314</v>
      </c>
      <c r="S219" s="9">
        <f>IFERROR(__xludf.DUMMYFUNCTION("""COMPUTED_VALUE"""),0.514)</f>
        <v>0.514</v>
      </c>
      <c r="U219" s="9">
        <f>IFERROR(__xludf.DUMMYFUNCTION("SPLIT(N211, "","")"),0.392)</f>
        <v>0.392</v>
      </c>
      <c r="V219" s="9">
        <f>IFERROR(__xludf.DUMMYFUNCTION("""COMPUTED_VALUE"""),0.352)</f>
        <v>0.352</v>
      </c>
      <c r="W219" s="9">
        <f>IFERROR(__xludf.DUMMYFUNCTION("""COMPUTED_VALUE"""),0.452)</f>
        <v>0.452</v>
      </c>
      <c r="Y219" s="9">
        <f>IFERROR(__xludf.DUMMYFUNCTION("SPLIT(O211, "","")"),0.391)</f>
        <v>0.391</v>
      </c>
      <c r="Z219" s="9">
        <f>IFERROR(__xludf.DUMMYFUNCTION("""COMPUTED_VALUE"""),0.312)</f>
        <v>0.312</v>
      </c>
      <c r="AA219" s="9">
        <f>IFERROR(__xludf.DUMMYFUNCTION("""COMPUTED_VALUE"""),0.512)</f>
        <v>0.512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0.308</v>
      </c>
      <c r="D223" s="7">
        <f t="shared" ref="D223:D229" si="263">E213</f>
        <v>0.323</v>
      </c>
      <c r="E223" s="7">
        <f t="shared" ref="E223:E229" si="264">I213</f>
        <v>0.33</v>
      </c>
      <c r="F223" s="7">
        <f t="shared" ref="F223:G223" si="258">N213</f>
        <v>0.297</v>
      </c>
      <c r="G223" s="12">
        <f t="shared" si="258"/>
        <v>0.397</v>
      </c>
      <c r="H223" s="7">
        <f t="shared" ref="H223:I223" si="259">R213</f>
        <v>0.277</v>
      </c>
      <c r="I223" s="12">
        <f t="shared" si="259"/>
        <v>0.477</v>
      </c>
      <c r="J223" s="7">
        <f t="shared" ref="J223:K223" si="260">V213</f>
        <v>0.278</v>
      </c>
      <c r="K223" s="12">
        <f t="shared" si="260"/>
        <v>0.378</v>
      </c>
      <c r="L223" s="7">
        <f t="shared" ref="L223:M223" si="261">Z213</f>
        <v>0.271</v>
      </c>
      <c r="M223" s="7">
        <f t="shared" si="261"/>
        <v>0.471</v>
      </c>
    </row>
    <row r="224">
      <c r="B224" s="6" t="s">
        <v>5</v>
      </c>
      <c r="C224" s="7">
        <f t="shared" si="262"/>
        <v>0.191</v>
      </c>
      <c r="D224" s="7">
        <f t="shared" si="263"/>
        <v>0.198</v>
      </c>
      <c r="E224" s="7">
        <f t="shared" si="264"/>
        <v>0.206</v>
      </c>
      <c r="F224" s="7">
        <f t="shared" ref="F224:G224" si="265">N214</f>
        <v>0.182</v>
      </c>
      <c r="G224" s="12">
        <f t="shared" si="265"/>
        <v>0.282</v>
      </c>
      <c r="H224" s="7">
        <f t="shared" ref="H224:I224" si="266">R214</f>
        <v>0.158</v>
      </c>
      <c r="I224" s="12">
        <f t="shared" si="266"/>
        <v>0.358</v>
      </c>
      <c r="J224" s="7">
        <f t="shared" ref="J224:K224" si="267">V214</f>
        <v>0.163</v>
      </c>
      <c r="K224" s="12">
        <f t="shared" si="267"/>
        <v>0.263</v>
      </c>
      <c r="L224" s="7">
        <f t="shared" ref="L224:M224" si="268">Z214</f>
        <v>0.156</v>
      </c>
      <c r="M224" s="7">
        <f t="shared" si="268"/>
        <v>0.356</v>
      </c>
    </row>
    <row r="225">
      <c r="B225" s="6" t="s">
        <v>6</v>
      </c>
      <c r="C225" s="7">
        <f t="shared" si="262"/>
        <v>0.192</v>
      </c>
      <c r="D225" s="7">
        <f t="shared" si="263"/>
        <v>0.199</v>
      </c>
      <c r="E225" s="7">
        <f t="shared" si="264"/>
        <v>0.203</v>
      </c>
      <c r="F225" s="7">
        <f t="shared" ref="F225:G225" si="269">N215</f>
        <v>0.181</v>
      </c>
      <c r="G225" s="12">
        <f t="shared" si="269"/>
        <v>0.281</v>
      </c>
      <c r="H225" s="7">
        <f t="shared" ref="H225:I225" si="270">R215</f>
        <v>0.156</v>
      </c>
      <c r="I225" s="12">
        <f t="shared" si="270"/>
        <v>0.356</v>
      </c>
      <c r="J225" s="7">
        <f t="shared" ref="J225:K225" si="271">V215</f>
        <v>0.159</v>
      </c>
      <c r="K225" s="12">
        <f t="shared" si="271"/>
        <v>0.259</v>
      </c>
      <c r="L225" s="7">
        <f t="shared" ref="L225:M225" si="272">Z215</f>
        <v>0.155</v>
      </c>
      <c r="M225" s="7">
        <f t="shared" si="272"/>
        <v>0.355</v>
      </c>
    </row>
    <row r="226">
      <c r="B226" s="6" t="s">
        <v>7</v>
      </c>
      <c r="C226" s="7">
        <f t="shared" si="262"/>
        <v>0.324</v>
      </c>
      <c r="D226" s="7">
        <f t="shared" si="263"/>
        <v>0.345</v>
      </c>
      <c r="E226" s="7">
        <f t="shared" si="264"/>
        <v>0.35</v>
      </c>
      <c r="F226" s="7">
        <f t="shared" ref="F226:G226" si="273">N216</f>
        <v>0.304</v>
      </c>
      <c r="G226" s="12">
        <f t="shared" si="273"/>
        <v>0.404</v>
      </c>
      <c r="H226" s="7">
        <f t="shared" ref="H226:I226" si="274">R216</f>
        <v>0.266</v>
      </c>
      <c r="I226" s="12">
        <f t="shared" si="274"/>
        <v>0.466</v>
      </c>
      <c r="J226" s="7">
        <f t="shared" ref="J226:K226" si="275">V216</f>
        <v>0.291</v>
      </c>
      <c r="K226" s="12">
        <f t="shared" si="275"/>
        <v>0.391</v>
      </c>
      <c r="L226" s="7">
        <f t="shared" ref="L226:M226" si="276">Z216</f>
        <v>0.268</v>
      </c>
      <c r="M226" s="7">
        <f t="shared" si="276"/>
        <v>0.468</v>
      </c>
    </row>
    <row r="227">
      <c r="B227" s="6" t="s">
        <v>8</v>
      </c>
      <c r="C227" s="7">
        <f t="shared" si="262"/>
        <v>0.236</v>
      </c>
      <c r="D227" s="7">
        <f t="shared" si="263"/>
        <v>0.247</v>
      </c>
      <c r="E227" s="7">
        <f t="shared" si="264"/>
        <v>0.254</v>
      </c>
      <c r="F227" s="7">
        <f t="shared" ref="F227:G227" si="277">N217</f>
        <v>0.191</v>
      </c>
      <c r="G227" s="12">
        <f t="shared" si="277"/>
        <v>0.291</v>
      </c>
      <c r="H227" s="7">
        <f t="shared" ref="H227:I227" si="278">R217</f>
        <v>0.143</v>
      </c>
      <c r="I227" s="12">
        <f t="shared" si="278"/>
        <v>0.343</v>
      </c>
      <c r="J227" s="7">
        <f t="shared" ref="J227:K227" si="279">V217</f>
        <v>0.189</v>
      </c>
      <c r="K227" s="12">
        <f t="shared" si="279"/>
        <v>0.289</v>
      </c>
      <c r="L227" s="7">
        <f t="shared" ref="L227:M227" si="280">Z217</f>
        <v>0.147</v>
      </c>
      <c r="M227" s="7">
        <f t="shared" si="280"/>
        <v>0.347</v>
      </c>
    </row>
    <row r="228">
      <c r="B228" s="6" t="s">
        <v>9</v>
      </c>
      <c r="C228" s="7">
        <f t="shared" si="262"/>
        <v>0.251</v>
      </c>
      <c r="D228" s="7">
        <f t="shared" si="263"/>
        <v>0.259</v>
      </c>
      <c r="E228" s="7">
        <f t="shared" si="264"/>
        <v>0.268</v>
      </c>
      <c r="F228" s="7">
        <f t="shared" ref="F228:G228" si="281">N218</f>
        <v>0.211</v>
      </c>
      <c r="G228" s="12">
        <f t="shared" si="281"/>
        <v>0.311</v>
      </c>
      <c r="H228" s="7">
        <f t="shared" ref="H228:I228" si="282">R218</f>
        <v>0.174</v>
      </c>
      <c r="I228" s="12">
        <f t="shared" si="282"/>
        <v>0.374</v>
      </c>
      <c r="J228" s="7">
        <f t="shared" ref="J228:K228" si="283">V218</f>
        <v>0.21</v>
      </c>
      <c r="K228" s="12">
        <f t="shared" si="283"/>
        <v>0.31</v>
      </c>
      <c r="L228" s="7">
        <f t="shared" ref="L228:M228" si="284">Z218</f>
        <v>0.171</v>
      </c>
      <c r="M228" s="7">
        <f t="shared" si="284"/>
        <v>0.371</v>
      </c>
    </row>
    <row r="229">
      <c r="B229" s="6" t="s">
        <v>10</v>
      </c>
      <c r="C229" s="7">
        <f t="shared" si="262"/>
        <v>0.397</v>
      </c>
      <c r="D229" s="7">
        <f t="shared" si="263"/>
        <v>0.418</v>
      </c>
      <c r="E229" s="7">
        <f t="shared" si="264"/>
        <v>0.426</v>
      </c>
      <c r="F229" s="7">
        <f t="shared" ref="F229:G229" si="285">N219</f>
        <v>0.358</v>
      </c>
      <c r="G229" s="12">
        <f t="shared" si="285"/>
        <v>0.458</v>
      </c>
      <c r="H229" s="7">
        <f t="shared" ref="H229:I229" si="286">R219</f>
        <v>0.314</v>
      </c>
      <c r="I229" s="12">
        <f t="shared" si="286"/>
        <v>0.514</v>
      </c>
      <c r="J229" s="7">
        <f t="shared" ref="J229:K229" si="287">V219</f>
        <v>0.352</v>
      </c>
      <c r="K229" s="12">
        <f t="shared" si="287"/>
        <v>0.452</v>
      </c>
      <c r="L229" s="7">
        <f t="shared" ref="L229:M229" si="288">Z219</f>
        <v>0.312</v>
      </c>
      <c r="M229" s="7">
        <f t="shared" si="288"/>
        <v>0.512</v>
      </c>
    </row>
    <row r="231">
      <c r="A231" s="8" t="s">
        <v>972</v>
      </c>
      <c r="B231" s="8" t="s">
        <v>973</v>
      </c>
      <c r="C231" s="8" t="s">
        <v>974</v>
      </c>
      <c r="D231" s="8" t="s">
        <v>894</v>
      </c>
      <c r="E231" s="8" t="s">
        <v>975</v>
      </c>
      <c r="F231" s="8" t="s">
        <v>476</v>
      </c>
      <c r="G231" s="8" t="s">
        <v>976</v>
      </c>
      <c r="I231" s="9" t="str">
        <f t="shared" ref="I231:O231" si="289">substitute(SUBSTITUTE(A231, "(", ""), ")", "")</f>
        <v>0.291, 0.291, 0.291</v>
      </c>
      <c r="J231" s="9" t="str">
        <f t="shared" si="289"/>
        <v>0.307, 0.276, 0.376</v>
      </c>
      <c r="K231" s="9" t="str">
        <f t="shared" si="289"/>
        <v>0.323, 0.258, 0.458</v>
      </c>
      <c r="L231" s="9" t="str">
        <f t="shared" si="289"/>
        <v>0.304, 0.273, 0.373</v>
      </c>
      <c r="M231" s="9" t="str">
        <f t="shared" si="289"/>
        <v>0.318, 0.255, 0.455</v>
      </c>
      <c r="N231" s="9" t="str">
        <f t="shared" si="289"/>
        <v>0.302, 0.272, 0.372</v>
      </c>
      <c r="O231" s="9" t="str">
        <f t="shared" si="289"/>
        <v>0.316, 0.253, 0.453</v>
      </c>
      <c r="T231" s="6"/>
    </row>
    <row r="232">
      <c r="A232" s="8" t="s">
        <v>977</v>
      </c>
      <c r="B232" s="8" t="s">
        <v>978</v>
      </c>
      <c r="C232" s="8" t="s">
        <v>979</v>
      </c>
      <c r="D232" s="8" t="s">
        <v>980</v>
      </c>
      <c r="E232" s="8" t="s">
        <v>981</v>
      </c>
      <c r="F232" s="8" t="s">
        <v>980</v>
      </c>
      <c r="G232" s="8" t="s">
        <v>982</v>
      </c>
      <c r="I232" s="9" t="str">
        <f t="shared" ref="I232:O232" si="290">substitute(SUBSTITUTE(A232, "(", ""), ")", "")</f>
        <v>0.290, 0.290, 0.290</v>
      </c>
      <c r="J232" s="9" t="str">
        <f t="shared" si="290"/>
        <v>0.306, 0.275, 0.375</v>
      </c>
      <c r="K232" s="9" t="str">
        <f t="shared" si="290"/>
        <v>0.317, 0.254, 0.454</v>
      </c>
      <c r="L232" s="9" t="str">
        <f t="shared" si="290"/>
        <v>0.300, 0.270, 0.370</v>
      </c>
      <c r="M232" s="9" t="str">
        <f t="shared" si="290"/>
        <v>0.314, 0.251, 0.451</v>
      </c>
      <c r="N232" s="9" t="str">
        <f t="shared" si="290"/>
        <v>0.300, 0.270, 0.370</v>
      </c>
      <c r="O232" s="9" t="str">
        <f t="shared" si="290"/>
        <v>0.309, 0.247, 0.447</v>
      </c>
    </row>
    <row r="233">
      <c r="A233" s="8" t="s">
        <v>983</v>
      </c>
      <c r="B233" s="8" t="s">
        <v>984</v>
      </c>
      <c r="C233" s="8" t="s">
        <v>985</v>
      </c>
      <c r="D233" s="8" t="s">
        <v>980</v>
      </c>
      <c r="E233" s="8" t="s">
        <v>979</v>
      </c>
      <c r="F233" s="8" t="s">
        <v>986</v>
      </c>
      <c r="G233" s="8" t="s">
        <v>987</v>
      </c>
      <c r="I233" s="9" t="str">
        <f t="shared" ref="I233:O233" si="291">substitute(SUBSTITUTE(A233, "(", ""), ")", "")</f>
        <v>0.287, 0.287, 0.287</v>
      </c>
      <c r="J233" s="9" t="str">
        <f t="shared" si="291"/>
        <v>0.301, 0.271, 0.371</v>
      </c>
      <c r="K233" s="9" t="str">
        <f t="shared" si="291"/>
        <v>0.319, 0.255, 0.455</v>
      </c>
      <c r="L233" s="9" t="str">
        <f t="shared" si="291"/>
        <v>0.300, 0.270, 0.370</v>
      </c>
      <c r="M233" s="9" t="str">
        <f t="shared" si="291"/>
        <v>0.317, 0.254, 0.454</v>
      </c>
      <c r="N233" s="9" t="str">
        <f t="shared" si="291"/>
        <v>0.298, 0.268, 0.368</v>
      </c>
      <c r="O233" s="9" t="str">
        <f t="shared" si="291"/>
        <v>0.311, 0.249, 0.449</v>
      </c>
    </row>
    <row r="234">
      <c r="A234" s="8" t="s">
        <v>947</v>
      </c>
      <c r="B234" s="8" t="s">
        <v>988</v>
      </c>
      <c r="C234" s="8" t="s">
        <v>989</v>
      </c>
      <c r="D234" s="8" t="s">
        <v>990</v>
      </c>
      <c r="E234" s="8" t="s">
        <v>991</v>
      </c>
      <c r="F234" s="8" t="s">
        <v>950</v>
      </c>
      <c r="G234" s="8" t="s">
        <v>981</v>
      </c>
      <c r="I234" s="9" t="str">
        <f t="shared" ref="I234:O234" si="292">substitute(SUBSTITUTE(A234, "(", ""), ")", "")</f>
        <v>0.308, 0.308, 0.308</v>
      </c>
      <c r="J234" s="9" t="str">
        <f t="shared" si="292"/>
        <v>0.324, 0.292, 0.392</v>
      </c>
      <c r="K234" s="9" t="str">
        <f t="shared" si="292"/>
        <v>0.340, 0.272, 0.472</v>
      </c>
      <c r="L234" s="9" t="str">
        <f t="shared" si="292"/>
        <v>0.313, 0.282, 0.382</v>
      </c>
      <c r="M234" s="9" t="str">
        <f t="shared" si="292"/>
        <v>0.317, 0.253, 0.453</v>
      </c>
      <c r="N234" s="9" t="str">
        <f t="shared" si="292"/>
        <v>0.309, 0.278, 0.378</v>
      </c>
      <c r="O234" s="9" t="str">
        <f t="shared" si="292"/>
        <v>0.314, 0.251, 0.451</v>
      </c>
    </row>
    <row r="235">
      <c r="A235" s="8" t="s">
        <v>903</v>
      </c>
      <c r="B235" s="8" t="s">
        <v>737</v>
      </c>
      <c r="C235" s="8" t="s">
        <v>805</v>
      </c>
      <c r="D235" s="8" t="s">
        <v>116</v>
      </c>
      <c r="E235" s="8" t="s">
        <v>976</v>
      </c>
      <c r="F235" s="8" t="s">
        <v>111</v>
      </c>
      <c r="G235" s="8" t="s">
        <v>992</v>
      </c>
      <c r="I235" s="9" t="str">
        <f t="shared" ref="I235:O235" si="293">substitute(SUBSTITUTE(A235, "(", ""), ")", "")</f>
        <v>0.362, 0.362, 0.362</v>
      </c>
      <c r="J235" s="9" t="str">
        <f t="shared" si="293"/>
        <v>0.383, 0.345, 0.445</v>
      </c>
      <c r="K235" s="9" t="str">
        <f t="shared" si="293"/>
        <v>0.401, 0.321, 0.521</v>
      </c>
      <c r="L235" s="9" t="str">
        <f t="shared" si="293"/>
        <v>0.337, 0.303, 0.403</v>
      </c>
      <c r="M235" s="9" t="str">
        <f t="shared" si="293"/>
        <v>0.316, 0.253, 0.453</v>
      </c>
      <c r="N235" s="9" t="str">
        <f t="shared" si="293"/>
        <v>0.338, 0.304, 0.404</v>
      </c>
      <c r="O235" s="9" t="str">
        <f t="shared" si="293"/>
        <v>0.311, 0.248, 0.448</v>
      </c>
    </row>
    <row r="236">
      <c r="A236" s="8" t="s">
        <v>465</v>
      </c>
      <c r="B236" s="8" t="s">
        <v>896</v>
      </c>
      <c r="C236" s="8" t="s">
        <v>122</v>
      </c>
      <c r="D236" s="8" t="s">
        <v>882</v>
      </c>
      <c r="E236" s="8" t="s">
        <v>979</v>
      </c>
      <c r="F236" s="8" t="s">
        <v>993</v>
      </c>
      <c r="G236" s="8" t="s">
        <v>976</v>
      </c>
      <c r="I236" s="9" t="str">
        <f t="shared" ref="I236:O236" si="294">substitute(SUBSTITUTE(A236, "(", ""), ")", "")</f>
        <v>0.322, 0.322, 0.322</v>
      </c>
      <c r="J236" s="9" t="str">
        <f t="shared" si="294"/>
        <v>0.338, 0.305, 0.405</v>
      </c>
      <c r="K236" s="9" t="str">
        <f t="shared" si="294"/>
        <v>0.358, 0.286, 0.486</v>
      </c>
      <c r="L236" s="9" t="str">
        <f t="shared" si="294"/>
        <v>0.323, 0.291, 0.391</v>
      </c>
      <c r="M236" s="9" t="str">
        <f t="shared" si="294"/>
        <v>0.317, 0.254, 0.454</v>
      </c>
      <c r="N236" s="9" t="str">
        <f t="shared" si="294"/>
        <v>0.318, 0.287, 0.387</v>
      </c>
      <c r="O236" s="9" t="str">
        <f t="shared" si="294"/>
        <v>0.316, 0.253, 0.453</v>
      </c>
    </row>
    <row r="237">
      <c r="A237" s="8" t="s">
        <v>994</v>
      </c>
      <c r="B237" s="8" t="s">
        <v>463</v>
      </c>
      <c r="C237" s="8" t="s">
        <v>694</v>
      </c>
      <c r="D237" s="8" t="s">
        <v>116</v>
      </c>
      <c r="E237" s="8" t="s">
        <v>595</v>
      </c>
      <c r="F237" s="8" t="s">
        <v>116</v>
      </c>
      <c r="G237" s="8" t="s">
        <v>587</v>
      </c>
      <c r="I237" s="9" t="str">
        <f t="shared" ref="I237:O237" si="295">substitute(SUBSTITUTE(A237, "(", ""), ")", "")</f>
        <v>0.363, 0.363, 0.363</v>
      </c>
      <c r="J237" s="9" t="str">
        <f t="shared" si="295"/>
        <v>0.382, 0.344, 0.444</v>
      </c>
      <c r="K237" s="9" t="str">
        <f t="shared" si="295"/>
        <v>0.398, 0.318, 0.518</v>
      </c>
      <c r="L237" s="9" t="str">
        <f t="shared" si="295"/>
        <v>0.337, 0.303, 0.403</v>
      </c>
      <c r="M237" s="9" t="str">
        <f t="shared" si="295"/>
        <v>0.302, 0.242, 0.442</v>
      </c>
      <c r="N237" s="9" t="str">
        <f t="shared" si="295"/>
        <v>0.337, 0.303, 0.403</v>
      </c>
      <c r="O237" s="9" t="str">
        <f t="shared" si="295"/>
        <v>0.300, 0.240, 0.440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"","")"),0.291)</f>
        <v>0.291</v>
      </c>
      <c r="B239" s="9">
        <f>IFERROR(__xludf.DUMMYFUNCTION("""COMPUTED_VALUE"""),0.291)</f>
        <v>0.291</v>
      </c>
      <c r="C239" s="9">
        <f>IFERROR(__xludf.DUMMYFUNCTION("""COMPUTED_VALUE"""),0.291)</f>
        <v>0.291</v>
      </c>
      <c r="E239" s="11">
        <f>IFERROR(__xludf.DUMMYFUNCTION("SPLIT(J231, "","")"),0.307)</f>
        <v>0.307</v>
      </c>
      <c r="F239" s="9">
        <f>IFERROR(__xludf.DUMMYFUNCTION("""COMPUTED_VALUE"""),0.276)</f>
        <v>0.276</v>
      </c>
      <c r="G239" s="9">
        <f>IFERROR(__xludf.DUMMYFUNCTION("""COMPUTED_VALUE"""),0.376)</f>
        <v>0.376</v>
      </c>
      <c r="I239" s="9">
        <f>IFERROR(__xludf.DUMMYFUNCTION("SPLIT(K231, "","")"),0.323)</f>
        <v>0.323</v>
      </c>
      <c r="J239" s="9">
        <f>IFERROR(__xludf.DUMMYFUNCTION("""COMPUTED_VALUE"""),0.258)</f>
        <v>0.258</v>
      </c>
      <c r="K239" s="9">
        <f>IFERROR(__xludf.DUMMYFUNCTION("""COMPUTED_VALUE"""),0.458)</f>
        <v>0.458</v>
      </c>
      <c r="M239" s="9">
        <f>IFERROR(__xludf.DUMMYFUNCTION("SPLIT(L231, "","")"),0.304)</f>
        <v>0.304</v>
      </c>
      <c r="N239" s="9">
        <f>IFERROR(__xludf.DUMMYFUNCTION("""COMPUTED_VALUE"""),0.273)</f>
        <v>0.273</v>
      </c>
      <c r="O239" s="9">
        <f>IFERROR(__xludf.DUMMYFUNCTION("""COMPUTED_VALUE"""),0.373)</f>
        <v>0.373</v>
      </c>
      <c r="Q239" s="9">
        <f>IFERROR(__xludf.DUMMYFUNCTION("SPLIT(M231, "","")"),0.318)</f>
        <v>0.318</v>
      </c>
      <c r="R239" s="9">
        <f>IFERROR(__xludf.DUMMYFUNCTION("""COMPUTED_VALUE"""),0.255)</f>
        <v>0.255</v>
      </c>
      <c r="S239" s="9">
        <f>IFERROR(__xludf.DUMMYFUNCTION("""COMPUTED_VALUE"""),0.455)</f>
        <v>0.455</v>
      </c>
      <c r="U239" s="9">
        <f>IFERROR(__xludf.DUMMYFUNCTION("SPLIT(N231, "","")"),0.302)</f>
        <v>0.302</v>
      </c>
      <c r="V239" s="9">
        <f>IFERROR(__xludf.DUMMYFUNCTION("""COMPUTED_VALUE"""),0.272)</f>
        <v>0.272</v>
      </c>
      <c r="W239" s="9">
        <f>IFERROR(__xludf.DUMMYFUNCTION("""COMPUTED_VALUE"""),0.372)</f>
        <v>0.372</v>
      </c>
      <c r="Y239" s="9">
        <f>IFERROR(__xludf.DUMMYFUNCTION("SPLIT(O231, "","")"),0.316)</f>
        <v>0.316</v>
      </c>
      <c r="Z239" s="9">
        <f>IFERROR(__xludf.DUMMYFUNCTION("""COMPUTED_VALUE"""),0.253)</f>
        <v>0.253</v>
      </c>
      <c r="AA239" s="9">
        <f>IFERROR(__xludf.DUMMYFUNCTION("""COMPUTED_VALUE"""),0.453)</f>
        <v>0.453</v>
      </c>
    </row>
    <row r="240">
      <c r="A240" s="9">
        <f>IFERROR(__xludf.DUMMYFUNCTION("SPLIT(I232, "","")"),0.29)</f>
        <v>0.29</v>
      </c>
      <c r="B240" s="9">
        <f>IFERROR(__xludf.DUMMYFUNCTION("""COMPUTED_VALUE"""),0.29)</f>
        <v>0.29</v>
      </c>
      <c r="C240" s="9">
        <f>IFERROR(__xludf.DUMMYFUNCTION("""COMPUTED_VALUE"""),0.29)</f>
        <v>0.29</v>
      </c>
      <c r="E240" s="11">
        <f>IFERROR(__xludf.DUMMYFUNCTION("SPLIT(J232, "","")"),0.306)</f>
        <v>0.306</v>
      </c>
      <c r="F240" s="9">
        <f>IFERROR(__xludf.DUMMYFUNCTION("""COMPUTED_VALUE"""),0.275)</f>
        <v>0.275</v>
      </c>
      <c r="G240" s="9">
        <f>IFERROR(__xludf.DUMMYFUNCTION("""COMPUTED_VALUE"""),0.375)</f>
        <v>0.375</v>
      </c>
      <c r="I240" s="9">
        <f>IFERROR(__xludf.DUMMYFUNCTION("SPLIT(K232, "","")"),0.317)</f>
        <v>0.317</v>
      </c>
      <c r="J240" s="9">
        <f>IFERROR(__xludf.DUMMYFUNCTION("""COMPUTED_VALUE"""),0.254)</f>
        <v>0.254</v>
      </c>
      <c r="K240" s="9">
        <f>IFERROR(__xludf.DUMMYFUNCTION("""COMPUTED_VALUE"""),0.454)</f>
        <v>0.454</v>
      </c>
      <c r="M240" s="9">
        <f>IFERROR(__xludf.DUMMYFUNCTION("SPLIT(L232, "","")"),0.3)</f>
        <v>0.3</v>
      </c>
      <c r="N240" s="9">
        <f>IFERROR(__xludf.DUMMYFUNCTION("""COMPUTED_VALUE"""),0.27)</f>
        <v>0.27</v>
      </c>
      <c r="O240" s="9">
        <f>IFERROR(__xludf.DUMMYFUNCTION("""COMPUTED_VALUE"""),0.37)</f>
        <v>0.37</v>
      </c>
      <c r="Q240" s="9">
        <f>IFERROR(__xludf.DUMMYFUNCTION("SPLIT(M232, "","")"),0.314)</f>
        <v>0.314</v>
      </c>
      <c r="R240" s="9">
        <f>IFERROR(__xludf.DUMMYFUNCTION("""COMPUTED_VALUE"""),0.251)</f>
        <v>0.251</v>
      </c>
      <c r="S240" s="9">
        <f>IFERROR(__xludf.DUMMYFUNCTION("""COMPUTED_VALUE"""),0.451)</f>
        <v>0.451</v>
      </c>
      <c r="U240" s="9">
        <f>IFERROR(__xludf.DUMMYFUNCTION("SPLIT(N232, "","")"),0.3)</f>
        <v>0.3</v>
      </c>
      <c r="V240" s="9">
        <f>IFERROR(__xludf.DUMMYFUNCTION("""COMPUTED_VALUE"""),0.27)</f>
        <v>0.27</v>
      </c>
      <c r="W240" s="9">
        <f>IFERROR(__xludf.DUMMYFUNCTION("""COMPUTED_VALUE"""),0.37)</f>
        <v>0.37</v>
      </c>
      <c r="Y240" s="9">
        <f>IFERROR(__xludf.DUMMYFUNCTION("SPLIT(O232, "","")"),0.309)</f>
        <v>0.309</v>
      </c>
      <c r="Z240" s="9">
        <f>IFERROR(__xludf.DUMMYFUNCTION("""COMPUTED_VALUE"""),0.247)</f>
        <v>0.247</v>
      </c>
      <c r="AA240" s="9">
        <f>IFERROR(__xludf.DUMMYFUNCTION("""COMPUTED_VALUE"""),0.447)</f>
        <v>0.447</v>
      </c>
    </row>
    <row r="241">
      <c r="A241" s="9">
        <f>IFERROR(__xludf.DUMMYFUNCTION("SPLIT(I233, "","")"),0.287)</f>
        <v>0.287</v>
      </c>
      <c r="B241" s="9">
        <f>IFERROR(__xludf.DUMMYFUNCTION("""COMPUTED_VALUE"""),0.287)</f>
        <v>0.287</v>
      </c>
      <c r="C241" s="9">
        <f>IFERROR(__xludf.DUMMYFUNCTION("""COMPUTED_VALUE"""),0.287)</f>
        <v>0.287</v>
      </c>
      <c r="E241" s="11">
        <f>IFERROR(__xludf.DUMMYFUNCTION("SPLIT(J233, "","")"),0.301)</f>
        <v>0.301</v>
      </c>
      <c r="F241" s="9">
        <f>IFERROR(__xludf.DUMMYFUNCTION("""COMPUTED_VALUE"""),0.271)</f>
        <v>0.271</v>
      </c>
      <c r="G241" s="9">
        <f>IFERROR(__xludf.DUMMYFUNCTION("""COMPUTED_VALUE"""),0.371)</f>
        <v>0.371</v>
      </c>
      <c r="I241" s="9">
        <f>IFERROR(__xludf.DUMMYFUNCTION("SPLIT(K233, "","")"),0.319)</f>
        <v>0.319</v>
      </c>
      <c r="J241" s="9">
        <f>IFERROR(__xludf.DUMMYFUNCTION("""COMPUTED_VALUE"""),0.255)</f>
        <v>0.255</v>
      </c>
      <c r="K241" s="9">
        <f>IFERROR(__xludf.DUMMYFUNCTION("""COMPUTED_VALUE"""),0.455)</f>
        <v>0.455</v>
      </c>
      <c r="M241" s="9">
        <f>IFERROR(__xludf.DUMMYFUNCTION("SPLIT(L233, "","")"),0.3)</f>
        <v>0.3</v>
      </c>
      <c r="N241" s="9">
        <f>IFERROR(__xludf.DUMMYFUNCTION("""COMPUTED_VALUE"""),0.27)</f>
        <v>0.27</v>
      </c>
      <c r="O241" s="9">
        <f>IFERROR(__xludf.DUMMYFUNCTION("""COMPUTED_VALUE"""),0.37)</f>
        <v>0.37</v>
      </c>
      <c r="Q241" s="9">
        <f>IFERROR(__xludf.DUMMYFUNCTION("SPLIT(M233, "","")"),0.317)</f>
        <v>0.317</v>
      </c>
      <c r="R241" s="9">
        <f>IFERROR(__xludf.DUMMYFUNCTION("""COMPUTED_VALUE"""),0.254)</f>
        <v>0.254</v>
      </c>
      <c r="S241" s="9">
        <f>IFERROR(__xludf.DUMMYFUNCTION("""COMPUTED_VALUE"""),0.454)</f>
        <v>0.454</v>
      </c>
      <c r="U241" s="9">
        <f>IFERROR(__xludf.DUMMYFUNCTION("SPLIT(N233, "","")"),0.298)</f>
        <v>0.298</v>
      </c>
      <c r="V241" s="9">
        <f>IFERROR(__xludf.DUMMYFUNCTION("""COMPUTED_VALUE"""),0.268)</f>
        <v>0.268</v>
      </c>
      <c r="W241" s="9">
        <f>IFERROR(__xludf.DUMMYFUNCTION("""COMPUTED_VALUE"""),0.368)</f>
        <v>0.368</v>
      </c>
      <c r="Y241" s="9">
        <f>IFERROR(__xludf.DUMMYFUNCTION("SPLIT(O233, "","")"),0.311)</f>
        <v>0.311</v>
      </c>
      <c r="Z241" s="9">
        <f>IFERROR(__xludf.DUMMYFUNCTION("""COMPUTED_VALUE"""),0.249)</f>
        <v>0.249</v>
      </c>
      <c r="AA241" s="9">
        <f>IFERROR(__xludf.DUMMYFUNCTION("""COMPUTED_VALUE"""),0.449)</f>
        <v>0.449</v>
      </c>
    </row>
    <row r="242">
      <c r="A242" s="9">
        <f>IFERROR(__xludf.DUMMYFUNCTION("SPLIT(I234, "","")"),0.308)</f>
        <v>0.308</v>
      </c>
      <c r="B242" s="9">
        <f>IFERROR(__xludf.DUMMYFUNCTION("""COMPUTED_VALUE"""),0.308)</f>
        <v>0.308</v>
      </c>
      <c r="C242" s="9">
        <f>IFERROR(__xludf.DUMMYFUNCTION("""COMPUTED_VALUE"""),0.308)</f>
        <v>0.308</v>
      </c>
      <c r="E242" s="11">
        <f>IFERROR(__xludf.DUMMYFUNCTION("SPLIT(J234, "","")"),0.324)</f>
        <v>0.324</v>
      </c>
      <c r="F242" s="9">
        <f>IFERROR(__xludf.DUMMYFUNCTION("""COMPUTED_VALUE"""),0.292)</f>
        <v>0.292</v>
      </c>
      <c r="G242" s="9">
        <f>IFERROR(__xludf.DUMMYFUNCTION("""COMPUTED_VALUE"""),0.392)</f>
        <v>0.392</v>
      </c>
      <c r="I242" s="9">
        <f>IFERROR(__xludf.DUMMYFUNCTION("SPLIT(K234, "","")"),0.34)</f>
        <v>0.34</v>
      </c>
      <c r="J242" s="9">
        <f>IFERROR(__xludf.DUMMYFUNCTION("""COMPUTED_VALUE"""),0.272)</f>
        <v>0.272</v>
      </c>
      <c r="K242" s="9">
        <f>IFERROR(__xludf.DUMMYFUNCTION("""COMPUTED_VALUE"""),0.472)</f>
        <v>0.472</v>
      </c>
      <c r="M242" s="9">
        <f>IFERROR(__xludf.DUMMYFUNCTION("SPLIT(L234, "","")"),0.313)</f>
        <v>0.313</v>
      </c>
      <c r="N242" s="9">
        <f>IFERROR(__xludf.DUMMYFUNCTION("""COMPUTED_VALUE"""),0.282)</f>
        <v>0.282</v>
      </c>
      <c r="O242" s="9">
        <f>IFERROR(__xludf.DUMMYFUNCTION("""COMPUTED_VALUE"""),0.382)</f>
        <v>0.382</v>
      </c>
      <c r="Q242" s="9">
        <f>IFERROR(__xludf.DUMMYFUNCTION("SPLIT(M234, "","")"),0.317)</f>
        <v>0.317</v>
      </c>
      <c r="R242" s="9">
        <f>IFERROR(__xludf.DUMMYFUNCTION("""COMPUTED_VALUE"""),0.253)</f>
        <v>0.253</v>
      </c>
      <c r="S242" s="9">
        <f>IFERROR(__xludf.DUMMYFUNCTION("""COMPUTED_VALUE"""),0.453)</f>
        <v>0.453</v>
      </c>
      <c r="U242" s="9">
        <f>IFERROR(__xludf.DUMMYFUNCTION("SPLIT(N234, "","")"),0.309)</f>
        <v>0.309</v>
      </c>
      <c r="V242" s="9">
        <f>IFERROR(__xludf.DUMMYFUNCTION("""COMPUTED_VALUE"""),0.278)</f>
        <v>0.278</v>
      </c>
      <c r="W242" s="9">
        <f>IFERROR(__xludf.DUMMYFUNCTION("""COMPUTED_VALUE"""),0.378)</f>
        <v>0.378</v>
      </c>
      <c r="Y242" s="9">
        <f>IFERROR(__xludf.DUMMYFUNCTION("SPLIT(O234, "","")"),0.314)</f>
        <v>0.314</v>
      </c>
      <c r="Z242" s="9">
        <f>IFERROR(__xludf.DUMMYFUNCTION("""COMPUTED_VALUE"""),0.251)</f>
        <v>0.251</v>
      </c>
      <c r="AA242" s="9">
        <f>IFERROR(__xludf.DUMMYFUNCTION("""COMPUTED_VALUE"""),0.451)</f>
        <v>0.451</v>
      </c>
    </row>
    <row r="243">
      <c r="A243" s="9">
        <f>IFERROR(__xludf.DUMMYFUNCTION("SPLIT(I235, "","")"),0.362)</f>
        <v>0.362</v>
      </c>
      <c r="B243" s="9">
        <f>IFERROR(__xludf.DUMMYFUNCTION("""COMPUTED_VALUE"""),0.362)</f>
        <v>0.362</v>
      </c>
      <c r="C243" s="9">
        <f>IFERROR(__xludf.DUMMYFUNCTION("""COMPUTED_VALUE"""),0.362)</f>
        <v>0.362</v>
      </c>
      <c r="E243" s="11">
        <f>IFERROR(__xludf.DUMMYFUNCTION("SPLIT(J235, "","")"),0.383)</f>
        <v>0.383</v>
      </c>
      <c r="F243" s="9">
        <f>IFERROR(__xludf.DUMMYFUNCTION("""COMPUTED_VALUE"""),0.345)</f>
        <v>0.345</v>
      </c>
      <c r="G243" s="9">
        <f>IFERROR(__xludf.DUMMYFUNCTION("""COMPUTED_VALUE"""),0.445)</f>
        <v>0.445</v>
      </c>
      <c r="I243" s="9">
        <f>IFERROR(__xludf.DUMMYFUNCTION("SPLIT(K235, "","")"),0.401)</f>
        <v>0.401</v>
      </c>
      <c r="J243" s="9">
        <f>IFERROR(__xludf.DUMMYFUNCTION("""COMPUTED_VALUE"""),0.321)</f>
        <v>0.321</v>
      </c>
      <c r="K243" s="9">
        <f>IFERROR(__xludf.DUMMYFUNCTION("""COMPUTED_VALUE"""),0.521)</f>
        <v>0.521</v>
      </c>
      <c r="M243" s="9">
        <f>IFERROR(__xludf.DUMMYFUNCTION("SPLIT(L235, "","")"),0.337)</f>
        <v>0.337</v>
      </c>
      <c r="N243" s="9">
        <f>IFERROR(__xludf.DUMMYFUNCTION("""COMPUTED_VALUE"""),0.303)</f>
        <v>0.303</v>
      </c>
      <c r="O243" s="9">
        <f>IFERROR(__xludf.DUMMYFUNCTION("""COMPUTED_VALUE"""),0.403)</f>
        <v>0.403</v>
      </c>
      <c r="Q243" s="9">
        <f>IFERROR(__xludf.DUMMYFUNCTION("SPLIT(M235, "","")"),0.316)</f>
        <v>0.316</v>
      </c>
      <c r="R243" s="9">
        <f>IFERROR(__xludf.DUMMYFUNCTION("""COMPUTED_VALUE"""),0.253)</f>
        <v>0.253</v>
      </c>
      <c r="S243" s="9">
        <f>IFERROR(__xludf.DUMMYFUNCTION("""COMPUTED_VALUE"""),0.453)</f>
        <v>0.453</v>
      </c>
      <c r="U243" s="9">
        <f>IFERROR(__xludf.DUMMYFUNCTION("SPLIT(N235, "","")"),0.338)</f>
        <v>0.338</v>
      </c>
      <c r="V243" s="9">
        <f>IFERROR(__xludf.DUMMYFUNCTION("""COMPUTED_VALUE"""),0.304)</f>
        <v>0.304</v>
      </c>
      <c r="W243" s="9">
        <f>IFERROR(__xludf.DUMMYFUNCTION("""COMPUTED_VALUE"""),0.404)</f>
        <v>0.404</v>
      </c>
      <c r="Y243" s="9">
        <f>IFERROR(__xludf.DUMMYFUNCTION("SPLIT(O235, "","")"),0.311)</f>
        <v>0.311</v>
      </c>
      <c r="Z243" s="9">
        <f>IFERROR(__xludf.DUMMYFUNCTION("""COMPUTED_VALUE"""),0.248)</f>
        <v>0.248</v>
      </c>
      <c r="AA243" s="9">
        <f>IFERROR(__xludf.DUMMYFUNCTION("""COMPUTED_VALUE"""),0.448)</f>
        <v>0.448</v>
      </c>
    </row>
    <row r="244">
      <c r="A244" s="9">
        <f>IFERROR(__xludf.DUMMYFUNCTION("SPLIT(I236, "","")"),0.322)</f>
        <v>0.322</v>
      </c>
      <c r="B244" s="9">
        <f>IFERROR(__xludf.DUMMYFUNCTION("""COMPUTED_VALUE"""),0.322)</f>
        <v>0.322</v>
      </c>
      <c r="C244" s="9">
        <f>IFERROR(__xludf.DUMMYFUNCTION("""COMPUTED_VALUE"""),0.322)</f>
        <v>0.322</v>
      </c>
      <c r="E244" s="11">
        <f>IFERROR(__xludf.DUMMYFUNCTION("SPLIT(J236, "","")"),0.338)</f>
        <v>0.338</v>
      </c>
      <c r="F244" s="9">
        <f>IFERROR(__xludf.DUMMYFUNCTION("""COMPUTED_VALUE"""),0.305)</f>
        <v>0.305</v>
      </c>
      <c r="G244" s="9">
        <f>IFERROR(__xludf.DUMMYFUNCTION("""COMPUTED_VALUE"""),0.405)</f>
        <v>0.405</v>
      </c>
      <c r="I244" s="9">
        <f>IFERROR(__xludf.DUMMYFUNCTION("SPLIT(K236, "","")"),0.358)</f>
        <v>0.358</v>
      </c>
      <c r="J244" s="9">
        <f>IFERROR(__xludf.DUMMYFUNCTION("""COMPUTED_VALUE"""),0.286)</f>
        <v>0.286</v>
      </c>
      <c r="K244" s="9">
        <f>IFERROR(__xludf.DUMMYFUNCTION("""COMPUTED_VALUE"""),0.486)</f>
        <v>0.486</v>
      </c>
      <c r="M244" s="9">
        <f>IFERROR(__xludf.DUMMYFUNCTION("SPLIT(L236, "","")"),0.323)</f>
        <v>0.323</v>
      </c>
      <c r="N244" s="9">
        <f>IFERROR(__xludf.DUMMYFUNCTION("""COMPUTED_VALUE"""),0.291)</f>
        <v>0.291</v>
      </c>
      <c r="O244" s="9">
        <f>IFERROR(__xludf.DUMMYFUNCTION("""COMPUTED_VALUE"""),0.391)</f>
        <v>0.391</v>
      </c>
      <c r="Q244" s="9">
        <f>IFERROR(__xludf.DUMMYFUNCTION("SPLIT(M236, "","")"),0.317)</f>
        <v>0.317</v>
      </c>
      <c r="R244" s="9">
        <f>IFERROR(__xludf.DUMMYFUNCTION("""COMPUTED_VALUE"""),0.254)</f>
        <v>0.254</v>
      </c>
      <c r="S244" s="9">
        <f>IFERROR(__xludf.DUMMYFUNCTION("""COMPUTED_VALUE"""),0.454)</f>
        <v>0.454</v>
      </c>
      <c r="U244" s="9">
        <f>IFERROR(__xludf.DUMMYFUNCTION("SPLIT(N236, "","")"),0.318)</f>
        <v>0.318</v>
      </c>
      <c r="V244" s="9">
        <f>IFERROR(__xludf.DUMMYFUNCTION("""COMPUTED_VALUE"""),0.287)</f>
        <v>0.287</v>
      </c>
      <c r="W244" s="9">
        <f>IFERROR(__xludf.DUMMYFUNCTION("""COMPUTED_VALUE"""),0.387)</f>
        <v>0.387</v>
      </c>
      <c r="Y244" s="9">
        <f>IFERROR(__xludf.DUMMYFUNCTION("SPLIT(O236, "","")"),0.316)</f>
        <v>0.316</v>
      </c>
      <c r="Z244" s="9">
        <f>IFERROR(__xludf.DUMMYFUNCTION("""COMPUTED_VALUE"""),0.253)</f>
        <v>0.253</v>
      </c>
      <c r="AA244" s="9">
        <f>IFERROR(__xludf.DUMMYFUNCTION("""COMPUTED_VALUE"""),0.453)</f>
        <v>0.453</v>
      </c>
    </row>
    <row r="245">
      <c r="A245" s="9">
        <f>IFERROR(__xludf.DUMMYFUNCTION("SPLIT(I237, "","")"),0.363)</f>
        <v>0.363</v>
      </c>
      <c r="B245" s="9">
        <f>IFERROR(__xludf.DUMMYFUNCTION("""COMPUTED_VALUE"""),0.363)</f>
        <v>0.363</v>
      </c>
      <c r="C245" s="9">
        <f>IFERROR(__xludf.DUMMYFUNCTION("""COMPUTED_VALUE"""),0.363)</f>
        <v>0.363</v>
      </c>
      <c r="E245" s="11">
        <f>IFERROR(__xludf.DUMMYFUNCTION("SPLIT(J237, "","")"),0.382)</f>
        <v>0.382</v>
      </c>
      <c r="F245" s="9">
        <f>IFERROR(__xludf.DUMMYFUNCTION("""COMPUTED_VALUE"""),0.344)</f>
        <v>0.344</v>
      </c>
      <c r="G245" s="9">
        <f>IFERROR(__xludf.DUMMYFUNCTION("""COMPUTED_VALUE"""),0.444)</f>
        <v>0.444</v>
      </c>
      <c r="I245" s="9">
        <f>IFERROR(__xludf.DUMMYFUNCTION("SPLIT(K237, "","")"),0.398)</f>
        <v>0.398</v>
      </c>
      <c r="J245" s="9">
        <f>IFERROR(__xludf.DUMMYFUNCTION("""COMPUTED_VALUE"""),0.318)</f>
        <v>0.318</v>
      </c>
      <c r="K245" s="9">
        <f>IFERROR(__xludf.DUMMYFUNCTION("""COMPUTED_VALUE"""),0.518)</f>
        <v>0.518</v>
      </c>
      <c r="M245" s="9">
        <f>IFERROR(__xludf.DUMMYFUNCTION("SPLIT(L237, "","")"),0.337)</f>
        <v>0.337</v>
      </c>
      <c r="N245" s="9">
        <f>IFERROR(__xludf.DUMMYFUNCTION("""COMPUTED_VALUE"""),0.303)</f>
        <v>0.303</v>
      </c>
      <c r="O245" s="9">
        <f>IFERROR(__xludf.DUMMYFUNCTION("""COMPUTED_VALUE"""),0.403)</f>
        <v>0.403</v>
      </c>
      <c r="Q245" s="9">
        <f>IFERROR(__xludf.DUMMYFUNCTION("SPLIT(M237, "","")"),0.302)</f>
        <v>0.302</v>
      </c>
      <c r="R245" s="9">
        <f>IFERROR(__xludf.DUMMYFUNCTION("""COMPUTED_VALUE"""),0.242)</f>
        <v>0.242</v>
      </c>
      <c r="S245" s="9">
        <f>IFERROR(__xludf.DUMMYFUNCTION("""COMPUTED_VALUE"""),0.442)</f>
        <v>0.442</v>
      </c>
      <c r="U245" s="9">
        <f>IFERROR(__xludf.DUMMYFUNCTION("SPLIT(N237, "","")"),0.337)</f>
        <v>0.337</v>
      </c>
      <c r="V245" s="9">
        <f>IFERROR(__xludf.DUMMYFUNCTION("""COMPUTED_VALUE"""),0.303)</f>
        <v>0.303</v>
      </c>
      <c r="W245" s="9">
        <f>IFERROR(__xludf.DUMMYFUNCTION("""COMPUTED_VALUE"""),0.403)</f>
        <v>0.403</v>
      </c>
      <c r="Y245" s="9">
        <f>IFERROR(__xludf.DUMMYFUNCTION("SPLIT(O237, "","")"),0.3)</f>
        <v>0.3</v>
      </c>
      <c r="Z245" s="9">
        <f>IFERROR(__xludf.DUMMYFUNCTION("""COMPUTED_VALUE"""),0.24)</f>
        <v>0.24</v>
      </c>
      <c r="AA245" s="9">
        <f>IFERROR(__xludf.DUMMYFUNCTION("""COMPUTED_VALUE"""),0.44)</f>
        <v>0.44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0.291</v>
      </c>
      <c r="D249" s="7">
        <f t="shared" ref="D249:D255" si="302">E239</f>
        <v>0.307</v>
      </c>
      <c r="E249" s="7">
        <f t="shared" ref="E249:E255" si="303">I239</f>
        <v>0.323</v>
      </c>
      <c r="F249" s="7">
        <f t="shared" ref="F249:G249" si="296">N239</f>
        <v>0.273</v>
      </c>
      <c r="G249" s="12">
        <f t="shared" si="296"/>
        <v>0.373</v>
      </c>
      <c r="H249" s="7">
        <f t="shared" ref="H249:I249" si="297">R239</f>
        <v>0.255</v>
      </c>
      <c r="I249" s="12">
        <f t="shared" si="297"/>
        <v>0.455</v>
      </c>
      <c r="J249" s="7">
        <f t="shared" ref="J249:K249" si="298">V239</f>
        <v>0.272</v>
      </c>
      <c r="K249" s="12">
        <f t="shared" si="298"/>
        <v>0.372</v>
      </c>
      <c r="L249" s="7">
        <f t="shared" ref="L249:M249" si="299">Z239</f>
        <v>0.253</v>
      </c>
      <c r="M249" s="7">
        <f t="shared" si="299"/>
        <v>0.453</v>
      </c>
      <c r="P249" s="6" t="s">
        <v>4</v>
      </c>
      <c r="Q249" s="7">
        <f t="shared" ref="Q249:AA249" si="300">C249-$C$249</f>
        <v>0</v>
      </c>
      <c r="R249" s="7">
        <f t="shared" si="300"/>
        <v>0.016</v>
      </c>
      <c r="S249" s="7">
        <f t="shared" si="300"/>
        <v>0.032</v>
      </c>
      <c r="T249" s="7">
        <f t="shared" si="300"/>
        <v>-0.018</v>
      </c>
      <c r="U249" s="7">
        <f t="shared" si="300"/>
        <v>0.082</v>
      </c>
      <c r="V249" s="7">
        <f t="shared" si="300"/>
        <v>-0.036</v>
      </c>
      <c r="W249" s="7">
        <f t="shared" si="300"/>
        <v>0.164</v>
      </c>
      <c r="X249" s="7">
        <f t="shared" si="300"/>
        <v>-0.019</v>
      </c>
      <c r="Y249" s="7">
        <f t="shared" si="300"/>
        <v>0.081</v>
      </c>
      <c r="Z249" s="7">
        <f t="shared" si="300"/>
        <v>-0.038</v>
      </c>
      <c r="AA249" s="7">
        <f t="shared" si="300"/>
        <v>0.162</v>
      </c>
    </row>
    <row r="250">
      <c r="B250" s="6" t="s">
        <v>5</v>
      </c>
      <c r="C250" s="7">
        <f t="shared" si="301"/>
        <v>0.29</v>
      </c>
      <c r="D250" s="7">
        <f t="shared" si="302"/>
        <v>0.306</v>
      </c>
      <c r="E250" s="7">
        <f t="shared" si="303"/>
        <v>0.317</v>
      </c>
      <c r="F250" s="7">
        <f t="shared" ref="F250:G250" si="304">N240</f>
        <v>0.27</v>
      </c>
      <c r="G250" s="12">
        <f t="shared" si="304"/>
        <v>0.37</v>
      </c>
      <c r="H250" s="7">
        <f t="shared" ref="H250:I250" si="305">R240</f>
        <v>0.251</v>
      </c>
      <c r="I250" s="12">
        <f t="shared" si="305"/>
        <v>0.451</v>
      </c>
      <c r="J250" s="7">
        <f t="shared" ref="J250:K250" si="306">V240</f>
        <v>0.27</v>
      </c>
      <c r="K250" s="12">
        <f t="shared" si="306"/>
        <v>0.37</v>
      </c>
      <c r="L250" s="7">
        <f t="shared" ref="L250:M250" si="307">Z240</f>
        <v>0.247</v>
      </c>
      <c r="M250" s="7">
        <f t="shared" si="307"/>
        <v>0.447</v>
      </c>
      <c r="P250" s="6" t="s">
        <v>5</v>
      </c>
      <c r="Q250" s="7">
        <f t="shared" ref="Q250:AA250" si="308">C250-$C$249</f>
        <v>-0.001</v>
      </c>
      <c r="R250" s="7">
        <f t="shared" si="308"/>
        <v>0.015</v>
      </c>
      <c r="S250" s="7">
        <f t="shared" si="308"/>
        <v>0.026</v>
      </c>
      <c r="T250" s="7">
        <f t="shared" si="308"/>
        <v>-0.021</v>
      </c>
      <c r="U250" s="7">
        <f t="shared" si="308"/>
        <v>0.079</v>
      </c>
      <c r="V250" s="7">
        <f t="shared" si="308"/>
        <v>-0.04</v>
      </c>
      <c r="W250" s="7">
        <f t="shared" si="308"/>
        <v>0.16</v>
      </c>
      <c r="X250" s="7">
        <f t="shared" si="308"/>
        <v>-0.021</v>
      </c>
      <c r="Y250" s="7">
        <f t="shared" si="308"/>
        <v>0.079</v>
      </c>
      <c r="Z250" s="7">
        <f t="shared" si="308"/>
        <v>-0.044</v>
      </c>
      <c r="AA250" s="7">
        <f t="shared" si="308"/>
        <v>0.156</v>
      </c>
    </row>
    <row r="251">
      <c r="B251" s="6" t="s">
        <v>6</v>
      </c>
      <c r="C251" s="7">
        <f t="shared" si="301"/>
        <v>0.287</v>
      </c>
      <c r="D251" s="7">
        <f t="shared" si="302"/>
        <v>0.301</v>
      </c>
      <c r="E251" s="7">
        <f t="shared" si="303"/>
        <v>0.319</v>
      </c>
      <c r="F251" s="7">
        <f t="shared" ref="F251:G251" si="309">N241</f>
        <v>0.27</v>
      </c>
      <c r="G251" s="12">
        <f t="shared" si="309"/>
        <v>0.37</v>
      </c>
      <c r="H251" s="7">
        <f t="shared" ref="H251:I251" si="310">R241</f>
        <v>0.254</v>
      </c>
      <c r="I251" s="12">
        <f t="shared" si="310"/>
        <v>0.454</v>
      </c>
      <c r="J251" s="7">
        <f t="shared" ref="J251:K251" si="311">V241</f>
        <v>0.268</v>
      </c>
      <c r="K251" s="12">
        <f t="shared" si="311"/>
        <v>0.368</v>
      </c>
      <c r="L251" s="7">
        <f t="shared" ref="L251:M251" si="312">Z241</f>
        <v>0.249</v>
      </c>
      <c r="M251" s="7">
        <f t="shared" si="312"/>
        <v>0.449</v>
      </c>
      <c r="P251" s="6" t="s">
        <v>6</v>
      </c>
      <c r="Q251" s="7">
        <f t="shared" ref="Q251:AA251" si="313">C251-$C$249</f>
        <v>-0.004</v>
      </c>
      <c r="R251" s="7">
        <f t="shared" si="313"/>
        <v>0.01</v>
      </c>
      <c r="S251" s="7">
        <f t="shared" si="313"/>
        <v>0.028</v>
      </c>
      <c r="T251" s="7">
        <f t="shared" si="313"/>
        <v>-0.021</v>
      </c>
      <c r="U251" s="7">
        <f t="shared" si="313"/>
        <v>0.079</v>
      </c>
      <c r="V251" s="7">
        <f t="shared" si="313"/>
        <v>-0.037</v>
      </c>
      <c r="W251" s="7">
        <f t="shared" si="313"/>
        <v>0.163</v>
      </c>
      <c r="X251" s="7">
        <f t="shared" si="313"/>
        <v>-0.023</v>
      </c>
      <c r="Y251" s="7">
        <f t="shared" si="313"/>
        <v>0.077</v>
      </c>
      <c r="Z251" s="7">
        <f t="shared" si="313"/>
        <v>-0.042</v>
      </c>
      <c r="AA251" s="7">
        <f t="shared" si="313"/>
        <v>0.158</v>
      </c>
    </row>
    <row r="252">
      <c r="B252" s="6" t="s">
        <v>7</v>
      </c>
      <c r="C252" s="7">
        <f t="shared" si="301"/>
        <v>0.308</v>
      </c>
      <c r="D252" s="7">
        <f t="shared" si="302"/>
        <v>0.324</v>
      </c>
      <c r="E252" s="7">
        <f t="shared" si="303"/>
        <v>0.34</v>
      </c>
      <c r="F252" s="7">
        <f t="shared" ref="F252:G252" si="314">N242</f>
        <v>0.282</v>
      </c>
      <c r="G252" s="12">
        <f t="shared" si="314"/>
        <v>0.382</v>
      </c>
      <c r="H252" s="7">
        <f t="shared" ref="H252:I252" si="315">R242</f>
        <v>0.253</v>
      </c>
      <c r="I252" s="12">
        <f t="shared" si="315"/>
        <v>0.453</v>
      </c>
      <c r="J252" s="7">
        <f t="shared" ref="J252:K252" si="316">V242</f>
        <v>0.278</v>
      </c>
      <c r="K252" s="12">
        <f t="shared" si="316"/>
        <v>0.378</v>
      </c>
      <c r="L252" s="7">
        <f t="shared" ref="L252:M252" si="317">Z242</f>
        <v>0.251</v>
      </c>
      <c r="M252" s="7">
        <f t="shared" si="317"/>
        <v>0.451</v>
      </c>
      <c r="P252" s="6" t="s">
        <v>7</v>
      </c>
      <c r="Q252" s="7">
        <f t="shared" ref="Q252:AA252" si="318">C252-$C$249</f>
        <v>0.017</v>
      </c>
      <c r="R252" s="7">
        <f t="shared" si="318"/>
        <v>0.033</v>
      </c>
      <c r="S252" s="7">
        <f t="shared" si="318"/>
        <v>0.049</v>
      </c>
      <c r="T252" s="7">
        <f t="shared" si="318"/>
        <v>-0.009</v>
      </c>
      <c r="U252" s="7">
        <f t="shared" si="318"/>
        <v>0.091</v>
      </c>
      <c r="V252" s="7">
        <f t="shared" si="318"/>
        <v>-0.038</v>
      </c>
      <c r="W252" s="7">
        <f t="shared" si="318"/>
        <v>0.162</v>
      </c>
      <c r="X252" s="7">
        <f t="shared" si="318"/>
        <v>-0.013</v>
      </c>
      <c r="Y252" s="7">
        <f t="shared" si="318"/>
        <v>0.087</v>
      </c>
      <c r="Z252" s="7">
        <f t="shared" si="318"/>
        <v>-0.04</v>
      </c>
      <c r="AA252" s="7">
        <f t="shared" si="318"/>
        <v>0.16</v>
      </c>
    </row>
    <row r="253">
      <c r="B253" s="6" t="s">
        <v>8</v>
      </c>
      <c r="C253" s="7">
        <f t="shared" si="301"/>
        <v>0.362</v>
      </c>
      <c r="D253" s="7">
        <f t="shared" si="302"/>
        <v>0.383</v>
      </c>
      <c r="E253" s="7">
        <f t="shared" si="303"/>
        <v>0.401</v>
      </c>
      <c r="F253" s="7">
        <f t="shared" ref="F253:G253" si="319">N243</f>
        <v>0.303</v>
      </c>
      <c r="G253" s="12">
        <f t="shared" si="319"/>
        <v>0.403</v>
      </c>
      <c r="H253" s="7">
        <f t="shared" ref="H253:I253" si="320">R243</f>
        <v>0.253</v>
      </c>
      <c r="I253" s="12">
        <f t="shared" si="320"/>
        <v>0.453</v>
      </c>
      <c r="J253" s="7">
        <f t="shared" ref="J253:K253" si="321">V243</f>
        <v>0.304</v>
      </c>
      <c r="K253" s="12">
        <f t="shared" si="321"/>
        <v>0.404</v>
      </c>
      <c r="L253" s="7">
        <f t="shared" ref="L253:M253" si="322">Z243</f>
        <v>0.248</v>
      </c>
      <c r="M253" s="7">
        <f t="shared" si="322"/>
        <v>0.448</v>
      </c>
      <c r="P253" s="6" t="s">
        <v>8</v>
      </c>
      <c r="Q253" s="7">
        <f t="shared" ref="Q253:AA253" si="323">C253-$C$249</f>
        <v>0.071</v>
      </c>
      <c r="R253" s="7">
        <f t="shared" si="323"/>
        <v>0.092</v>
      </c>
      <c r="S253" s="7">
        <f t="shared" si="323"/>
        <v>0.11</v>
      </c>
      <c r="T253" s="7">
        <f t="shared" si="323"/>
        <v>0.012</v>
      </c>
      <c r="U253" s="7">
        <f t="shared" si="323"/>
        <v>0.112</v>
      </c>
      <c r="V253" s="7">
        <f t="shared" si="323"/>
        <v>-0.038</v>
      </c>
      <c r="W253" s="7">
        <f t="shared" si="323"/>
        <v>0.162</v>
      </c>
      <c r="X253" s="7">
        <f t="shared" si="323"/>
        <v>0.013</v>
      </c>
      <c r="Y253" s="7">
        <f t="shared" si="323"/>
        <v>0.113</v>
      </c>
      <c r="Z253" s="7">
        <f t="shared" si="323"/>
        <v>-0.043</v>
      </c>
      <c r="AA253" s="7">
        <f t="shared" si="323"/>
        <v>0.157</v>
      </c>
    </row>
    <row r="254">
      <c r="B254" s="6" t="s">
        <v>9</v>
      </c>
      <c r="C254" s="7">
        <f t="shared" si="301"/>
        <v>0.322</v>
      </c>
      <c r="D254" s="7">
        <f t="shared" si="302"/>
        <v>0.338</v>
      </c>
      <c r="E254" s="7">
        <f t="shared" si="303"/>
        <v>0.358</v>
      </c>
      <c r="F254" s="7">
        <f t="shared" ref="F254:G254" si="324">N244</f>
        <v>0.291</v>
      </c>
      <c r="G254" s="12">
        <f t="shared" si="324"/>
        <v>0.391</v>
      </c>
      <c r="H254" s="7">
        <f t="shared" ref="H254:I254" si="325">R244</f>
        <v>0.254</v>
      </c>
      <c r="I254" s="12">
        <f t="shared" si="325"/>
        <v>0.454</v>
      </c>
      <c r="J254" s="7">
        <f t="shared" ref="J254:K254" si="326">V244</f>
        <v>0.287</v>
      </c>
      <c r="K254" s="12">
        <f t="shared" si="326"/>
        <v>0.387</v>
      </c>
      <c r="L254" s="7">
        <f t="shared" ref="L254:M254" si="327">Z244</f>
        <v>0.253</v>
      </c>
      <c r="M254" s="7">
        <f t="shared" si="327"/>
        <v>0.453</v>
      </c>
      <c r="P254" s="6" t="s">
        <v>9</v>
      </c>
      <c r="Q254" s="7">
        <f t="shared" ref="Q254:AA254" si="328">C254-$C$249</f>
        <v>0.031</v>
      </c>
      <c r="R254" s="7">
        <f t="shared" si="328"/>
        <v>0.047</v>
      </c>
      <c r="S254" s="7">
        <f t="shared" si="328"/>
        <v>0.067</v>
      </c>
      <c r="T254" s="7">
        <f t="shared" si="328"/>
        <v>0</v>
      </c>
      <c r="U254" s="7">
        <f t="shared" si="328"/>
        <v>0.1</v>
      </c>
      <c r="V254" s="7">
        <f t="shared" si="328"/>
        <v>-0.037</v>
      </c>
      <c r="W254" s="7">
        <f t="shared" si="328"/>
        <v>0.163</v>
      </c>
      <c r="X254" s="7">
        <f t="shared" si="328"/>
        <v>-0.004</v>
      </c>
      <c r="Y254" s="7">
        <f t="shared" si="328"/>
        <v>0.096</v>
      </c>
      <c r="Z254" s="7">
        <f t="shared" si="328"/>
        <v>-0.038</v>
      </c>
      <c r="AA254" s="7">
        <f t="shared" si="328"/>
        <v>0.162</v>
      </c>
    </row>
    <row r="255">
      <c r="B255" s="6" t="s">
        <v>10</v>
      </c>
      <c r="C255" s="7">
        <f t="shared" si="301"/>
        <v>0.363</v>
      </c>
      <c r="D255" s="7">
        <f t="shared" si="302"/>
        <v>0.382</v>
      </c>
      <c r="E255" s="7">
        <f t="shared" si="303"/>
        <v>0.398</v>
      </c>
      <c r="F255" s="7">
        <f t="shared" ref="F255:G255" si="329">N245</f>
        <v>0.303</v>
      </c>
      <c r="G255" s="12">
        <f t="shared" si="329"/>
        <v>0.403</v>
      </c>
      <c r="H255" s="7">
        <f t="shared" ref="H255:I255" si="330">R245</f>
        <v>0.242</v>
      </c>
      <c r="I255" s="12">
        <f t="shared" si="330"/>
        <v>0.442</v>
      </c>
      <c r="J255" s="7">
        <f t="shared" ref="J255:K255" si="331">V245</f>
        <v>0.303</v>
      </c>
      <c r="K255" s="12">
        <f t="shared" si="331"/>
        <v>0.403</v>
      </c>
      <c r="L255" s="7">
        <f t="shared" ref="L255:M255" si="332">Z245</f>
        <v>0.24</v>
      </c>
      <c r="M255" s="7">
        <f t="shared" si="332"/>
        <v>0.44</v>
      </c>
      <c r="P255" s="6" t="s">
        <v>10</v>
      </c>
      <c r="Q255" s="7">
        <f t="shared" ref="Q255:AA255" si="333">C255-$C$249</f>
        <v>0.072</v>
      </c>
      <c r="R255" s="7">
        <f t="shared" si="333"/>
        <v>0.091</v>
      </c>
      <c r="S255" s="7">
        <f t="shared" si="333"/>
        <v>0.107</v>
      </c>
      <c r="T255" s="7">
        <f t="shared" si="333"/>
        <v>0.012</v>
      </c>
      <c r="U255" s="7">
        <f t="shared" si="333"/>
        <v>0.112</v>
      </c>
      <c r="V255" s="7">
        <f t="shared" si="333"/>
        <v>-0.049</v>
      </c>
      <c r="W255" s="7">
        <f t="shared" si="333"/>
        <v>0.151</v>
      </c>
      <c r="X255" s="7">
        <f t="shared" si="333"/>
        <v>0.012</v>
      </c>
      <c r="Y255" s="7">
        <f t="shared" si="333"/>
        <v>0.112</v>
      </c>
      <c r="Z255" s="7">
        <f t="shared" si="333"/>
        <v>-0.051</v>
      </c>
      <c r="AA255" s="7">
        <f t="shared" si="333"/>
        <v>0.149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0.136</v>
      </c>
      <c r="D259" s="7">
        <f t="shared" si="334"/>
        <v>0.136</v>
      </c>
      <c r="E259" s="7">
        <f t="shared" si="334"/>
        <v>0.147</v>
      </c>
      <c r="F259" s="7">
        <f t="shared" si="334"/>
        <v>0.1245</v>
      </c>
      <c r="G259" s="7">
        <f t="shared" si="334"/>
        <v>0.2245</v>
      </c>
      <c r="H259" s="7">
        <f t="shared" si="334"/>
        <v>0.115</v>
      </c>
      <c r="I259" s="7">
        <f t="shared" si="334"/>
        <v>0.315</v>
      </c>
      <c r="J259" s="7">
        <f t="shared" si="334"/>
        <v>0.113</v>
      </c>
      <c r="K259" s="7">
        <f t="shared" si="334"/>
        <v>0.2135</v>
      </c>
      <c r="L259" s="7">
        <f t="shared" si="334"/>
        <v>0.1</v>
      </c>
      <c r="M259" s="7">
        <f t="shared" si="334"/>
        <v>0.3005</v>
      </c>
      <c r="P259" s="6" t="s">
        <v>4</v>
      </c>
      <c r="Q259" s="7">
        <f t="shared" ref="Q259:AA259" si="335">C259-$C$259</f>
        <v>0</v>
      </c>
      <c r="R259" s="7">
        <f t="shared" si="335"/>
        <v>0</v>
      </c>
      <c r="S259" s="7">
        <f t="shared" si="335"/>
        <v>0.011</v>
      </c>
      <c r="T259" s="7">
        <f t="shared" si="335"/>
        <v>-0.0115</v>
      </c>
      <c r="U259" s="7">
        <f t="shared" si="335"/>
        <v>0.0885</v>
      </c>
      <c r="V259" s="7">
        <f t="shared" si="335"/>
        <v>-0.021</v>
      </c>
      <c r="W259" s="7">
        <f t="shared" si="335"/>
        <v>0.179</v>
      </c>
      <c r="X259" s="7">
        <f t="shared" si="335"/>
        <v>-0.023</v>
      </c>
      <c r="Y259" s="7">
        <f t="shared" si="335"/>
        <v>0.0775</v>
      </c>
      <c r="Z259" s="7">
        <f t="shared" si="335"/>
        <v>-0.036</v>
      </c>
      <c r="AA259" s="7">
        <f t="shared" si="335"/>
        <v>0.1645</v>
      </c>
    </row>
    <row r="260">
      <c r="B260" s="6" t="s">
        <v>5</v>
      </c>
      <c r="C260" s="7">
        <f t="shared" ref="C260:M260" si="336">AVERAGE(C120, C146)</f>
        <v>0.1395</v>
      </c>
      <c r="D260" s="7">
        <f t="shared" si="336"/>
        <v>0.14</v>
      </c>
      <c r="E260" s="7">
        <f t="shared" si="336"/>
        <v>0.1515</v>
      </c>
      <c r="F260" s="7">
        <f t="shared" si="336"/>
        <v>0.1275</v>
      </c>
      <c r="G260" s="7">
        <f t="shared" si="336"/>
        <v>0.228</v>
      </c>
      <c r="H260" s="7">
        <f t="shared" si="336"/>
        <v>0.117</v>
      </c>
      <c r="I260" s="7">
        <f t="shared" si="336"/>
        <v>0.317</v>
      </c>
      <c r="J260" s="7">
        <f t="shared" si="336"/>
        <v>0.116</v>
      </c>
      <c r="K260" s="7">
        <f t="shared" si="336"/>
        <v>0.2165</v>
      </c>
      <c r="L260" s="7">
        <f t="shared" si="336"/>
        <v>0.1015</v>
      </c>
      <c r="M260" s="7">
        <f t="shared" si="336"/>
        <v>0.302</v>
      </c>
      <c r="P260" s="6" t="s">
        <v>5</v>
      </c>
      <c r="Q260" s="7">
        <f t="shared" ref="Q260:AA260" si="337">C260-$C$259</f>
        <v>0.0035</v>
      </c>
      <c r="R260" s="7">
        <f t="shared" si="337"/>
        <v>0.004</v>
      </c>
      <c r="S260" s="7">
        <f t="shared" si="337"/>
        <v>0.0155</v>
      </c>
      <c r="T260" s="7">
        <f t="shared" si="337"/>
        <v>-0.0085</v>
      </c>
      <c r="U260" s="7">
        <f t="shared" si="337"/>
        <v>0.092</v>
      </c>
      <c r="V260" s="7">
        <f t="shared" si="337"/>
        <v>-0.019</v>
      </c>
      <c r="W260" s="7">
        <f t="shared" si="337"/>
        <v>0.181</v>
      </c>
      <c r="X260" s="7">
        <f t="shared" si="337"/>
        <v>-0.02</v>
      </c>
      <c r="Y260" s="7">
        <f t="shared" si="337"/>
        <v>0.0805</v>
      </c>
      <c r="Z260" s="7">
        <f t="shared" si="337"/>
        <v>-0.0345</v>
      </c>
      <c r="AA260" s="7">
        <f t="shared" si="337"/>
        <v>0.166</v>
      </c>
    </row>
    <row r="261">
      <c r="B261" s="6" t="s">
        <v>6</v>
      </c>
      <c r="C261" s="7">
        <f t="shared" ref="C261:M261" si="338">AVERAGE(C121, C147)</f>
        <v>0.144</v>
      </c>
      <c r="D261" s="7">
        <f t="shared" si="338"/>
        <v>0.1445</v>
      </c>
      <c r="E261" s="7">
        <f t="shared" si="338"/>
        <v>0.1535</v>
      </c>
      <c r="F261" s="7">
        <f t="shared" si="338"/>
        <v>0.1315</v>
      </c>
      <c r="G261" s="7">
        <f t="shared" si="338"/>
        <v>0.2315</v>
      </c>
      <c r="H261" s="7">
        <f t="shared" si="338"/>
        <v>0.1215</v>
      </c>
      <c r="I261" s="7">
        <f t="shared" si="338"/>
        <v>0.322</v>
      </c>
      <c r="J261" s="7">
        <f t="shared" si="338"/>
        <v>0.122</v>
      </c>
      <c r="K261" s="7">
        <f t="shared" si="338"/>
        <v>0.222</v>
      </c>
      <c r="L261" s="7">
        <f t="shared" si="338"/>
        <v>0.108</v>
      </c>
      <c r="M261" s="7">
        <f t="shared" si="338"/>
        <v>0.308</v>
      </c>
      <c r="P261" s="6" t="s">
        <v>6</v>
      </c>
      <c r="Q261" s="7">
        <f t="shared" ref="Q261:AA261" si="339">C261-$C$259</f>
        <v>0.008</v>
      </c>
      <c r="R261" s="7">
        <f t="shared" si="339"/>
        <v>0.0085</v>
      </c>
      <c r="S261" s="7">
        <f t="shared" si="339"/>
        <v>0.0175</v>
      </c>
      <c r="T261" s="7">
        <f t="shared" si="339"/>
        <v>-0.0045</v>
      </c>
      <c r="U261" s="7">
        <f t="shared" si="339"/>
        <v>0.0955</v>
      </c>
      <c r="V261" s="7">
        <f t="shared" si="339"/>
        <v>-0.0145</v>
      </c>
      <c r="W261" s="7">
        <f t="shared" si="339"/>
        <v>0.186</v>
      </c>
      <c r="X261" s="7">
        <f t="shared" si="339"/>
        <v>-0.014</v>
      </c>
      <c r="Y261" s="7">
        <f t="shared" si="339"/>
        <v>0.086</v>
      </c>
      <c r="Z261" s="7">
        <f t="shared" si="339"/>
        <v>-0.028</v>
      </c>
      <c r="AA261" s="7">
        <f t="shared" si="339"/>
        <v>0.172</v>
      </c>
    </row>
    <row r="262">
      <c r="B262" s="6" t="s">
        <v>7</v>
      </c>
      <c r="C262" s="7">
        <f t="shared" ref="C262:M262" si="340">AVERAGE(C122, C148)</f>
        <v>0.148</v>
      </c>
      <c r="D262" s="7">
        <f t="shared" si="340"/>
        <v>0.148</v>
      </c>
      <c r="E262" s="7">
        <f t="shared" si="340"/>
        <v>0.1595</v>
      </c>
      <c r="F262" s="7">
        <f t="shared" si="340"/>
        <v>0.135</v>
      </c>
      <c r="G262" s="7">
        <f t="shared" si="340"/>
        <v>0.2355</v>
      </c>
      <c r="H262" s="7">
        <f t="shared" si="340"/>
        <v>0.1245</v>
      </c>
      <c r="I262" s="7">
        <f t="shared" si="340"/>
        <v>0.3245</v>
      </c>
      <c r="J262" s="7">
        <f t="shared" si="340"/>
        <v>0.123</v>
      </c>
      <c r="K262" s="7">
        <f t="shared" si="340"/>
        <v>0.223</v>
      </c>
      <c r="L262" s="7">
        <f t="shared" si="340"/>
        <v>0.109</v>
      </c>
      <c r="M262" s="7">
        <f t="shared" si="340"/>
        <v>0.309</v>
      </c>
      <c r="P262" s="6" t="s">
        <v>7</v>
      </c>
      <c r="Q262" s="7">
        <f t="shared" ref="Q262:AA262" si="341">C262-$C$259</f>
        <v>0.012</v>
      </c>
      <c r="R262" s="7">
        <f t="shared" si="341"/>
        <v>0.012</v>
      </c>
      <c r="S262" s="7">
        <f t="shared" si="341"/>
        <v>0.0235</v>
      </c>
      <c r="T262" s="7">
        <f t="shared" si="341"/>
        <v>-0.001</v>
      </c>
      <c r="U262" s="7">
        <f t="shared" si="341"/>
        <v>0.0995</v>
      </c>
      <c r="V262" s="7">
        <f t="shared" si="341"/>
        <v>-0.0115</v>
      </c>
      <c r="W262" s="7">
        <f t="shared" si="341"/>
        <v>0.1885</v>
      </c>
      <c r="X262" s="7">
        <f t="shared" si="341"/>
        <v>-0.013</v>
      </c>
      <c r="Y262" s="7">
        <f t="shared" si="341"/>
        <v>0.087</v>
      </c>
      <c r="Z262" s="7">
        <f t="shared" si="341"/>
        <v>-0.027</v>
      </c>
      <c r="AA262" s="7">
        <f t="shared" si="341"/>
        <v>0.173</v>
      </c>
    </row>
    <row r="263">
      <c r="B263" s="6" t="s">
        <v>8</v>
      </c>
      <c r="C263" s="7">
        <f t="shared" ref="C263:M263" si="342">AVERAGE(C123, C149)</f>
        <v>0.1885</v>
      </c>
      <c r="D263" s="7">
        <f t="shared" si="342"/>
        <v>0.1915</v>
      </c>
      <c r="E263" s="7">
        <f t="shared" si="342"/>
        <v>0.2</v>
      </c>
      <c r="F263" s="7">
        <f t="shared" si="342"/>
        <v>0.176</v>
      </c>
      <c r="G263" s="7">
        <f t="shared" si="342"/>
        <v>0.2765</v>
      </c>
      <c r="H263" s="7">
        <f t="shared" si="342"/>
        <v>0.165</v>
      </c>
      <c r="I263" s="7">
        <f t="shared" si="342"/>
        <v>0.3655</v>
      </c>
      <c r="J263" s="7">
        <f t="shared" si="342"/>
        <v>0.163</v>
      </c>
      <c r="K263" s="7">
        <f t="shared" si="342"/>
        <v>0.263</v>
      </c>
      <c r="L263" s="7">
        <f t="shared" si="342"/>
        <v>0.1445</v>
      </c>
      <c r="M263" s="7">
        <f t="shared" si="342"/>
        <v>0.345</v>
      </c>
      <c r="P263" s="6" t="s">
        <v>8</v>
      </c>
      <c r="Q263" s="7">
        <f t="shared" ref="Q263:AA263" si="343">C263-$C$259</f>
        <v>0.0525</v>
      </c>
      <c r="R263" s="7">
        <f t="shared" si="343"/>
        <v>0.0555</v>
      </c>
      <c r="S263" s="7">
        <f t="shared" si="343"/>
        <v>0.064</v>
      </c>
      <c r="T263" s="7">
        <f t="shared" si="343"/>
        <v>0.04</v>
      </c>
      <c r="U263" s="7">
        <f t="shared" si="343"/>
        <v>0.1405</v>
      </c>
      <c r="V263" s="7">
        <f t="shared" si="343"/>
        <v>0.029</v>
      </c>
      <c r="W263" s="7">
        <f t="shared" si="343"/>
        <v>0.2295</v>
      </c>
      <c r="X263" s="7">
        <f t="shared" si="343"/>
        <v>0.027</v>
      </c>
      <c r="Y263" s="7">
        <f t="shared" si="343"/>
        <v>0.127</v>
      </c>
      <c r="Z263" s="7">
        <f t="shared" si="343"/>
        <v>0.0085</v>
      </c>
      <c r="AA263" s="7">
        <f t="shared" si="343"/>
        <v>0.209</v>
      </c>
    </row>
    <row r="264">
      <c r="B264" s="6" t="s">
        <v>9</v>
      </c>
      <c r="C264" s="7">
        <f t="shared" ref="C264:M264" si="344">AVERAGE(C124, C150)</f>
        <v>0.1445</v>
      </c>
      <c r="D264" s="7">
        <f t="shared" si="344"/>
        <v>0.1455</v>
      </c>
      <c r="E264" s="7">
        <f t="shared" si="344"/>
        <v>0.156</v>
      </c>
      <c r="F264" s="7">
        <f t="shared" si="344"/>
        <v>0.1325</v>
      </c>
      <c r="G264" s="7">
        <f t="shared" si="344"/>
        <v>0.2325</v>
      </c>
      <c r="H264" s="7">
        <f t="shared" si="344"/>
        <v>0.1215</v>
      </c>
      <c r="I264" s="7">
        <f t="shared" si="344"/>
        <v>0.3215</v>
      </c>
      <c r="J264" s="7">
        <f t="shared" si="344"/>
        <v>0.116</v>
      </c>
      <c r="K264" s="7">
        <f t="shared" si="344"/>
        <v>0.216</v>
      </c>
      <c r="L264" s="7">
        <f t="shared" si="344"/>
        <v>0.101</v>
      </c>
      <c r="M264" s="7">
        <f t="shared" si="344"/>
        <v>0.301</v>
      </c>
      <c r="P264" s="6" t="s">
        <v>9</v>
      </c>
      <c r="Q264" s="7">
        <f t="shared" ref="Q264:AA264" si="345">C264-$C$259</f>
        <v>0.0085</v>
      </c>
      <c r="R264" s="7">
        <f t="shared" si="345"/>
        <v>0.0095</v>
      </c>
      <c r="S264" s="7">
        <f t="shared" si="345"/>
        <v>0.02</v>
      </c>
      <c r="T264" s="7">
        <f t="shared" si="345"/>
        <v>-0.0035</v>
      </c>
      <c r="U264" s="7">
        <f t="shared" si="345"/>
        <v>0.0965</v>
      </c>
      <c r="V264" s="7">
        <f t="shared" si="345"/>
        <v>-0.0145</v>
      </c>
      <c r="W264" s="7">
        <f t="shared" si="345"/>
        <v>0.1855</v>
      </c>
      <c r="X264" s="7">
        <f t="shared" si="345"/>
        <v>-0.02</v>
      </c>
      <c r="Y264" s="7">
        <f t="shared" si="345"/>
        <v>0.08</v>
      </c>
      <c r="Z264" s="7">
        <f t="shared" si="345"/>
        <v>-0.035</v>
      </c>
      <c r="AA264" s="7">
        <f t="shared" si="345"/>
        <v>0.165</v>
      </c>
    </row>
    <row r="265">
      <c r="B265" s="6" t="s">
        <v>10</v>
      </c>
      <c r="C265" s="7">
        <f t="shared" ref="C265:M265" si="346">AVERAGE(C125, C151)</f>
        <v>0.183</v>
      </c>
      <c r="D265" s="7">
        <f t="shared" si="346"/>
        <v>0.1815</v>
      </c>
      <c r="E265" s="7">
        <f t="shared" si="346"/>
        <v>0.198</v>
      </c>
      <c r="F265" s="7">
        <f t="shared" si="346"/>
        <v>0.168</v>
      </c>
      <c r="G265" s="7">
        <f t="shared" si="346"/>
        <v>0.2685</v>
      </c>
      <c r="H265" s="7">
        <f t="shared" si="346"/>
        <v>0.1555</v>
      </c>
      <c r="I265" s="7">
        <f t="shared" si="346"/>
        <v>0.3555</v>
      </c>
      <c r="J265" s="7">
        <f t="shared" si="346"/>
        <v>0.15</v>
      </c>
      <c r="K265" s="7">
        <f t="shared" si="346"/>
        <v>0.2505</v>
      </c>
      <c r="L265" s="7">
        <f t="shared" si="346"/>
        <v>0.132</v>
      </c>
      <c r="M265" s="7">
        <f t="shared" si="346"/>
        <v>0.3325</v>
      </c>
      <c r="P265" s="6" t="s">
        <v>10</v>
      </c>
      <c r="Q265" s="7">
        <f t="shared" ref="Q265:AA265" si="347">C265-$C$259</f>
        <v>0.047</v>
      </c>
      <c r="R265" s="7">
        <f t="shared" si="347"/>
        <v>0.0455</v>
      </c>
      <c r="S265" s="7">
        <f t="shared" si="347"/>
        <v>0.062</v>
      </c>
      <c r="T265" s="7">
        <f t="shared" si="347"/>
        <v>0.032</v>
      </c>
      <c r="U265" s="7">
        <f t="shared" si="347"/>
        <v>0.1325</v>
      </c>
      <c r="V265" s="7">
        <f t="shared" si="347"/>
        <v>0.0195</v>
      </c>
      <c r="W265" s="7">
        <f t="shared" si="347"/>
        <v>0.2195</v>
      </c>
      <c r="X265" s="7">
        <f t="shared" si="347"/>
        <v>0.014</v>
      </c>
      <c r="Y265" s="7">
        <f t="shared" si="347"/>
        <v>0.1145</v>
      </c>
      <c r="Z265" s="7">
        <f t="shared" si="347"/>
        <v>-0.004</v>
      </c>
      <c r="AA265" s="7">
        <f t="shared" si="347"/>
        <v>0.1965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0.4435</v>
      </c>
      <c r="D269" s="7">
        <f t="shared" si="348"/>
        <v>0.443</v>
      </c>
      <c r="E269" s="7">
        <f t="shared" si="348"/>
        <v>0.4495</v>
      </c>
      <c r="F269" s="7">
        <f t="shared" si="348"/>
        <v>0.413</v>
      </c>
      <c r="G269" s="7">
        <f t="shared" si="348"/>
        <v>0.513</v>
      </c>
      <c r="H269" s="7">
        <f t="shared" si="348"/>
        <v>0.3795</v>
      </c>
      <c r="I269" s="7">
        <f t="shared" si="348"/>
        <v>0.5795</v>
      </c>
      <c r="J269" s="7">
        <f t="shared" si="348"/>
        <v>0.411</v>
      </c>
      <c r="K269" s="7">
        <f t="shared" si="348"/>
        <v>0.511</v>
      </c>
      <c r="L269" s="7">
        <f t="shared" si="348"/>
        <v>0.3745</v>
      </c>
      <c r="M269" s="7">
        <f t="shared" si="348"/>
        <v>0.5745</v>
      </c>
      <c r="P269" s="6" t="s">
        <v>4</v>
      </c>
      <c r="Q269" s="7">
        <f t="shared" ref="Q269:AA269" si="349">C269-$C$269</f>
        <v>0</v>
      </c>
      <c r="R269" s="7">
        <f t="shared" si="349"/>
        <v>-0.0005</v>
      </c>
      <c r="S269" s="7">
        <f t="shared" si="349"/>
        <v>0.006</v>
      </c>
      <c r="T269" s="7">
        <f t="shared" si="349"/>
        <v>-0.0305</v>
      </c>
      <c r="U269" s="7">
        <f t="shared" si="349"/>
        <v>0.0695</v>
      </c>
      <c r="V269" s="7">
        <f t="shared" si="349"/>
        <v>-0.064</v>
      </c>
      <c r="W269" s="7">
        <f t="shared" si="349"/>
        <v>0.136</v>
      </c>
      <c r="X269" s="7">
        <f t="shared" si="349"/>
        <v>-0.0325</v>
      </c>
      <c r="Y269" s="7">
        <f t="shared" si="349"/>
        <v>0.0675</v>
      </c>
      <c r="Z269" s="7">
        <f t="shared" si="349"/>
        <v>-0.069</v>
      </c>
      <c r="AA269" s="7">
        <f t="shared" si="349"/>
        <v>0.131</v>
      </c>
    </row>
    <row r="270">
      <c r="B270" s="6" t="s">
        <v>5</v>
      </c>
      <c r="C270" s="7">
        <f t="shared" ref="C270:M270" si="350">AVERAGE(C172, C198)</f>
        <v>0.4565</v>
      </c>
      <c r="D270" s="7">
        <f t="shared" si="350"/>
        <v>0.4615</v>
      </c>
      <c r="E270" s="7">
        <f t="shared" si="350"/>
        <v>0.46</v>
      </c>
      <c r="F270" s="7">
        <f t="shared" si="350"/>
        <v>0.425</v>
      </c>
      <c r="G270" s="7">
        <f t="shared" si="350"/>
        <v>0.525</v>
      </c>
      <c r="H270" s="7">
        <f t="shared" si="350"/>
        <v>0.387</v>
      </c>
      <c r="I270" s="7">
        <f t="shared" si="350"/>
        <v>0.587</v>
      </c>
      <c r="J270" s="7">
        <f t="shared" si="350"/>
        <v>0.421</v>
      </c>
      <c r="K270" s="7">
        <f t="shared" si="350"/>
        <v>0.521</v>
      </c>
      <c r="L270" s="7">
        <f t="shared" si="350"/>
        <v>0.3905</v>
      </c>
      <c r="M270" s="7">
        <f t="shared" si="350"/>
        <v>0.5905</v>
      </c>
      <c r="P270" s="6" t="s">
        <v>5</v>
      </c>
      <c r="Q270" s="7">
        <f t="shared" ref="Q270:AA270" si="351">C270-$C$269</f>
        <v>0.013</v>
      </c>
      <c r="R270" s="7">
        <f t="shared" si="351"/>
        <v>0.018</v>
      </c>
      <c r="S270" s="7">
        <f t="shared" si="351"/>
        <v>0.0165</v>
      </c>
      <c r="T270" s="7">
        <f t="shared" si="351"/>
        <v>-0.0185</v>
      </c>
      <c r="U270" s="7">
        <f t="shared" si="351"/>
        <v>0.0815</v>
      </c>
      <c r="V270" s="7">
        <f t="shared" si="351"/>
        <v>-0.0565</v>
      </c>
      <c r="W270" s="7">
        <f t="shared" si="351"/>
        <v>0.1435</v>
      </c>
      <c r="X270" s="7">
        <f t="shared" si="351"/>
        <v>-0.0225</v>
      </c>
      <c r="Y270" s="7">
        <f t="shared" si="351"/>
        <v>0.0775</v>
      </c>
      <c r="Z270" s="7">
        <f t="shared" si="351"/>
        <v>-0.053</v>
      </c>
      <c r="AA270" s="7">
        <f t="shared" si="351"/>
        <v>0.147</v>
      </c>
    </row>
    <row r="271">
      <c r="B271" s="6" t="s">
        <v>6</v>
      </c>
      <c r="C271" s="7">
        <f t="shared" ref="C271:M271" si="352">AVERAGE(C173, C199)</f>
        <v>0.458</v>
      </c>
      <c r="D271" s="7">
        <f t="shared" si="352"/>
        <v>0.457</v>
      </c>
      <c r="E271" s="7">
        <f t="shared" si="352"/>
        <v>0.4625</v>
      </c>
      <c r="F271" s="7">
        <f t="shared" si="352"/>
        <v>0.4255</v>
      </c>
      <c r="G271" s="7">
        <f t="shared" si="352"/>
        <v>0.5255</v>
      </c>
      <c r="H271" s="7">
        <f t="shared" si="352"/>
        <v>0.389</v>
      </c>
      <c r="I271" s="7">
        <f t="shared" si="352"/>
        <v>0.589</v>
      </c>
      <c r="J271" s="7">
        <f t="shared" si="352"/>
        <v>0.426</v>
      </c>
      <c r="K271" s="7">
        <f t="shared" si="352"/>
        <v>0.526</v>
      </c>
      <c r="L271" s="7">
        <f t="shared" si="352"/>
        <v>0.3895</v>
      </c>
      <c r="M271" s="7">
        <f t="shared" si="352"/>
        <v>0.5895</v>
      </c>
      <c r="P271" s="6" t="s">
        <v>6</v>
      </c>
      <c r="Q271" s="7">
        <f t="shared" ref="Q271:AA271" si="353">C271-$C$269</f>
        <v>0.0145</v>
      </c>
      <c r="R271" s="7">
        <f t="shared" si="353"/>
        <v>0.0135</v>
      </c>
      <c r="S271" s="7">
        <f t="shared" si="353"/>
        <v>0.019</v>
      </c>
      <c r="T271" s="7">
        <f t="shared" si="353"/>
        <v>-0.018</v>
      </c>
      <c r="U271" s="7">
        <f t="shared" si="353"/>
        <v>0.082</v>
      </c>
      <c r="V271" s="7">
        <f t="shared" si="353"/>
        <v>-0.0545</v>
      </c>
      <c r="W271" s="7">
        <f t="shared" si="353"/>
        <v>0.1455</v>
      </c>
      <c r="X271" s="7">
        <f t="shared" si="353"/>
        <v>-0.0175</v>
      </c>
      <c r="Y271" s="7">
        <f t="shared" si="353"/>
        <v>0.0825</v>
      </c>
      <c r="Z271" s="7">
        <f t="shared" si="353"/>
        <v>-0.054</v>
      </c>
      <c r="AA271" s="7">
        <f t="shared" si="353"/>
        <v>0.146</v>
      </c>
    </row>
    <row r="272">
      <c r="B272" s="6" t="s">
        <v>7</v>
      </c>
      <c r="C272" s="7">
        <f t="shared" ref="C272:M272" si="354">AVERAGE(C174, C200)</f>
        <v>0.461</v>
      </c>
      <c r="D272" s="7">
        <f t="shared" si="354"/>
        <v>0.459</v>
      </c>
      <c r="E272" s="7">
        <f t="shared" si="354"/>
        <v>0.473</v>
      </c>
      <c r="F272" s="7">
        <f t="shared" si="354"/>
        <v>0.4265</v>
      </c>
      <c r="G272" s="7">
        <f t="shared" si="354"/>
        <v>0.5265</v>
      </c>
      <c r="H272" s="7">
        <f t="shared" si="354"/>
        <v>0.39</v>
      </c>
      <c r="I272" s="7">
        <f t="shared" si="354"/>
        <v>0.59</v>
      </c>
      <c r="J272" s="7">
        <f t="shared" si="354"/>
        <v>0.4235</v>
      </c>
      <c r="K272" s="7">
        <f t="shared" si="354"/>
        <v>0.524</v>
      </c>
      <c r="L272" s="7">
        <f t="shared" si="354"/>
        <v>0.386</v>
      </c>
      <c r="M272" s="7">
        <f t="shared" si="354"/>
        <v>0.5855</v>
      </c>
      <c r="P272" s="6" t="s">
        <v>7</v>
      </c>
      <c r="Q272" s="7">
        <f t="shared" ref="Q272:AA272" si="355">C272-$C$269</f>
        <v>0.0175</v>
      </c>
      <c r="R272" s="7">
        <f t="shared" si="355"/>
        <v>0.0155</v>
      </c>
      <c r="S272" s="7">
        <f t="shared" si="355"/>
        <v>0.0295</v>
      </c>
      <c r="T272" s="7">
        <f t="shared" si="355"/>
        <v>-0.017</v>
      </c>
      <c r="U272" s="7">
        <f t="shared" si="355"/>
        <v>0.083</v>
      </c>
      <c r="V272" s="7">
        <f t="shared" si="355"/>
        <v>-0.0535</v>
      </c>
      <c r="W272" s="7">
        <f t="shared" si="355"/>
        <v>0.1465</v>
      </c>
      <c r="X272" s="7">
        <f t="shared" si="355"/>
        <v>-0.02</v>
      </c>
      <c r="Y272" s="7">
        <f t="shared" si="355"/>
        <v>0.0805</v>
      </c>
      <c r="Z272" s="7">
        <f t="shared" si="355"/>
        <v>-0.0575</v>
      </c>
      <c r="AA272" s="7">
        <f t="shared" si="355"/>
        <v>0.142</v>
      </c>
    </row>
    <row r="273">
      <c r="B273" s="6" t="s">
        <v>8</v>
      </c>
      <c r="C273" s="7">
        <f t="shared" ref="C273:M273" si="356">AVERAGE(C175, C201)</f>
        <v>0.4645</v>
      </c>
      <c r="D273" s="7">
        <f t="shared" si="356"/>
        <v>0.468</v>
      </c>
      <c r="E273" s="7">
        <f t="shared" si="356"/>
        <v>0.4705</v>
      </c>
      <c r="F273" s="7">
        <f t="shared" si="356"/>
        <v>0.4245</v>
      </c>
      <c r="G273" s="7">
        <f t="shared" si="356"/>
        <v>0.5245</v>
      </c>
      <c r="H273" s="7">
        <f t="shared" si="356"/>
        <v>0.378</v>
      </c>
      <c r="I273" s="7">
        <f t="shared" si="356"/>
        <v>0.578</v>
      </c>
      <c r="J273" s="7">
        <f t="shared" si="356"/>
        <v>0.424</v>
      </c>
      <c r="K273" s="7">
        <f t="shared" si="356"/>
        <v>0.524</v>
      </c>
      <c r="L273" s="7">
        <f t="shared" si="356"/>
        <v>0.3745</v>
      </c>
      <c r="M273" s="7">
        <f t="shared" si="356"/>
        <v>0.5745</v>
      </c>
      <c r="P273" s="6" t="s">
        <v>8</v>
      </c>
      <c r="Q273" s="7">
        <f t="shared" ref="Q273:AA273" si="357">C273-$C$269</f>
        <v>0.021</v>
      </c>
      <c r="R273" s="7">
        <f t="shared" si="357"/>
        <v>0.0245</v>
      </c>
      <c r="S273" s="7">
        <f t="shared" si="357"/>
        <v>0.027</v>
      </c>
      <c r="T273" s="7">
        <f t="shared" si="357"/>
        <v>-0.019</v>
      </c>
      <c r="U273" s="7">
        <f t="shared" si="357"/>
        <v>0.081</v>
      </c>
      <c r="V273" s="7">
        <f t="shared" si="357"/>
        <v>-0.0655</v>
      </c>
      <c r="W273" s="7">
        <f t="shared" si="357"/>
        <v>0.1345</v>
      </c>
      <c r="X273" s="7">
        <f t="shared" si="357"/>
        <v>-0.0195</v>
      </c>
      <c r="Y273" s="7">
        <f t="shared" si="357"/>
        <v>0.0805</v>
      </c>
      <c r="Z273" s="7">
        <f t="shared" si="357"/>
        <v>-0.069</v>
      </c>
      <c r="AA273" s="7">
        <f t="shared" si="357"/>
        <v>0.131</v>
      </c>
    </row>
    <row r="274">
      <c r="B274" s="6" t="s">
        <v>9</v>
      </c>
      <c r="C274" s="7">
        <f t="shared" ref="C274:M274" si="358">AVERAGE(C176, C202)</f>
        <v>0.4575</v>
      </c>
      <c r="D274" s="7">
        <f t="shared" si="358"/>
        <v>0.458</v>
      </c>
      <c r="E274" s="7">
        <f t="shared" si="358"/>
        <v>0.465</v>
      </c>
      <c r="F274" s="7">
        <f t="shared" si="358"/>
        <v>0.4245</v>
      </c>
      <c r="G274" s="7">
        <f t="shared" si="358"/>
        <v>0.5245</v>
      </c>
      <c r="H274" s="7">
        <f t="shared" si="358"/>
        <v>0.3835</v>
      </c>
      <c r="I274" s="7">
        <f t="shared" si="358"/>
        <v>0.5835</v>
      </c>
      <c r="J274" s="7">
        <f t="shared" si="358"/>
        <v>0.421</v>
      </c>
      <c r="K274" s="7">
        <f t="shared" si="358"/>
        <v>0.521</v>
      </c>
      <c r="L274" s="7">
        <f t="shared" si="358"/>
        <v>0.386</v>
      </c>
      <c r="M274" s="7">
        <f t="shared" si="358"/>
        <v>0.586</v>
      </c>
      <c r="P274" s="6" t="s">
        <v>9</v>
      </c>
      <c r="Q274" s="7">
        <f t="shared" ref="Q274:AA274" si="359">C274-$C$269</f>
        <v>0.014</v>
      </c>
      <c r="R274" s="7">
        <f t="shared" si="359"/>
        <v>0.0145</v>
      </c>
      <c r="S274" s="7">
        <f t="shared" si="359"/>
        <v>0.0215</v>
      </c>
      <c r="T274" s="7">
        <f t="shared" si="359"/>
        <v>-0.019</v>
      </c>
      <c r="U274" s="7">
        <f t="shared" si="359"/>
        <v>0.081</v>
      </c>
      <c r="V274" s="7">
        <f t="shared" si="359"/>
        <v>-0.06</v>
      </c>
      <c r="W274" s="7">
        <f t="shared" si="359"/>
        <v>0.14</v>
      </c>
      <c r="X274" s="7">
        <f t="shared" si="359"/>
        <v>-0.0225</v>
      </c>
      <c r="Y274" s="7">
        <f t="shared" si="359"/>
        <v>0.0775</v>
      </c>
      <c r="Z274" s="7">
        <f t="shared" si="359"/>
        <v>-0.0575</v>
      </c>
      <c r="AA274" s="7">
        <f t="shared" si="359"/>
        <v>0.1425</v>
      </c>
    </row>
    <row r="275">
      <c r="B275" s="6" t="s">
        <v>10</v>
      </c>
      <c r="C275" s="7">
        <f t="shared" ref="C275:M275" si="360">AVERAGE(C177, C203)</f>
        <v>0.461</v>
      </c>
      <c r="D275" s="7">
        <f t="shared" si="360"/>
        <v>0.4615</v>
      </c>
      <c r="E275" s="7">
        <f t="shared" si="360"/>
        <v>0.4655</v>
      </c>
      <c r="F275" s="7">
        <f t="shared" si="360"/>
        <v>0.422</v>
      </c>
      <c r="G275" s="7">
        <f t="shared" si="360"/>
        <v>0.522</v>
      </c>
      <c r="H275" s="7">
        <f t="shared" si="360"/>
        <v>0.3785</v>
      </c>
      <c r="I275" s="7">
        <f t="shared" si="360"/>
        <v>0.5785</v>
      </c>
      <c r="J275" s="7">
        <f t="shared" si="360"/>
        <v>0.418</v>
      </c>
      <c r="K275" s="7">
        <f t="shared" si="360"/>
        <v>0.518</v>
      </c>
      <c r="L275" s="7">
        <f t="shared" si="360"/>
        <v>0.376</v>
      </c>
      <c r="M275" s="7">
        <f t="shared" si="360"/>
        <v>0.576</v>
      </c>
      <c r="P275" s="6" t="s">
        <v>10</v>
      </c>
      <c r="Q275" s="7">
        <f t="shared" ref="Q275:AA275" si="361">C275-$C$269</f>
        <v>0.0175</v>
      </c>
      <c r="R275" s="7">
        <f t="shared" si="361"/>
        <v>0.018</v>
      </c>
      <c r="S275" s="7">
        <f t="shared" si="361"/>
        <v>0.022</v>
      </c>
      <c r="T275" s="7">
        <f t="shared" si="361"/>
        <v>-0.0215</v>
      </c>
      <c r="U275" s="7">
        <f t="shared" si="361"/>
        <v>0.0785</v>
      </c>
      <c r="V275" s="7">
        <f t="shared" si="361"/>
        <v>-0.065</v>
      </c>
      <c r="W275" s="7">
        <f t="shared" si="361"/>
        <v>0.135</v>
      </c>
      <c r="X275" s="7">
        <f t="shared" si="361"/>
        <v>-0.0255</v>
      </c>
      <c r="Y275" s="7">
        <f t="shared" si="361"/>
        <v>0.0745</v>
      </c>
      <c r="Z275" s="7">
        <f t="shared" si="361"/>
        <v>-0.0675</v>
      </c>
      <c r="AA275" s="7">
        <f t="shared" si="361"/>
        <v>0.1325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0.2995</v>
      </c>
      <c r="D279" s="7">
        <f t="shared" si="362"/>
        <v>0.315</v>
      </c>
      <c r="E279" s="7">
        <f t="shared" si="362"/>
        <v>0.3265</v>
      </c>
      <c r="F279" s="7">
        <f t="shared" si="362"/>
        <v>0.285</v>
      </c>
      <c r="G279" s="7">
        <f t="shared" si="362"/>
        <v>0.385</v>
      </c>
      <c r="H279" s="7">
        <f t="shared" si="362"/>
        <v>0.266</v>
      </c>
      <c r="I279" s="7">
        <f t="shared" si="362"/>
        <v>0.466</v>
      </c>
      <c r="J279" s="7">
        <f t="shared" si="362"/>
        <v>0.275</v>
      </c>
      <c r="K279" s="7">
        <f t="shared" si="362"/>
        <v>0.375</v>
      </c>
      <c r="L279" s="7">
        <f t="shared" si="362"/>
        <v>0.262</v>
      </c>
      <c r="M279" s="7">
        <f t="shared" si="362"/>
        <v>0.462</v>
      </c>
      <c r="P279" s="6" t="s">
        <v>4</v>
      </c>
      <c r="Q279" s="7">
        <f t="shared" ref="Q279:AA279" si="363">C279-$C$279</f>
        <v>0</v>
      </c>
      <c r="R279" s="7">
        <f t="shared" si="363"/>
        <v>0.0155</v>
      </c>
      <c r="S279" s="7">
        <f t="shared" si="363"/>
        <v>0.027</v>
      </c>
      <c r="T279" s="7">
        <f t="shared" si="363"/>
        <v>-0.0145</v>
      </c>
      <c r="U279" s="7">
        <f t="shared" si="363"/>
        <v>0.0855</v>
      </c>
      <c r="V279" s="7">
        <f t="shared" si="363"/>
        <v>-0.0335</v>
      </c>
      <c r="W279" s="7">
        <f t="shared" si="363"/>
        <v>0.1665</v>
      </c>
      <c r="X279" s="7">
        <f t="shared" si="363"/>
        <v>-0.0245</v>
      </c>
      <c r="Y279" s="7">
        <f t="shared" si="363"/>
        <v>0.0755</v>
      </c>
      <c r="Z279" s="7">
        <f t="shared" si="363"/>
        <v>-0.0375</v>
      </c>
      <c r="AA279" s="7">
        <f t="shared" si="363"/>
        <v>0.1625</v>
      </c>
    </row>
    <row r="280">
      <c r="B280" s="6" t="s">
        <v>5</v>
      </c>
      <c r="C280" s="7">
        <f t="shared" ref="C280:M280" si="364">AVERAGE(C224, C250)</f>
        <v>0.2405</v>
      </c>
      <c r="D280" s="7">
        <f t="shared" si="364"/>
        <v>0.252</v>
      </c>
      <c r="E280" s="7">
        <f t="shared" si="364"/>
        <v>0.2615</v>
      </c>
      <c r="F280" s="7">
        <f t="shared" si="364"/>
        <v>0.226</v>
      </c>
      <c r="G280" s="7">
        <f t="shared" si="364"/>
        <v>0.326</v>
      </c>
      <c r="H280" s="7">
        <f t="shared" si="364"/>
        <v>0.2045</v>
      </c>
      <c r="I280" s="7">
        <f t="shared" si="364"/>
        <v>0.4045</v>
      </c>
      <c r="J280" s="7">
        <f t="shared" si="364"/>
        <v>0.2165</v>
      </c>
      <c r="K280" s="7">
        <f t="shared" si="364"/>
        <v>0.3165</v>
      </c>
      <c r="L280" s="7">
        <f t="shared" si="364"/>
        <v>0.2015</v>
      </c>
      <c r="M280" s="7">
        <f t="shared" si="364"/>
        <v>0.4015</v>
      </c>
      <c r="P280" s="6" t="s">
        <v>5</v>
      </c>
      <c r="Q280" s="7">
        <f t="shared" ref="Q280:AA280" si="365">C280-$C$279</f>
        <v>-0.059</v>
      </c>
      <c r="R280" s="7">
        <f t="shared" si="365"/>
        <v>-0.0475</v>
      </c>
      <c r="S280" s="7">
        <f t="shared" si="365"/>
        <v>-0.038</v>
      </c>
      <c r="T280" s="7">
        <f t="shared" si="365"/>
        <v>-0.0735</v>
      </c>
      <c r="U280" s="7">
        <f t="shared" si="365"/>
        <v>0.0265</v>
      </c>
      <c r="V280" s="7">
        <f t="shared" si="365"/>
        <v>-0.095</v>
      </c>
      <c r="W280" s="7">
        <f t="shared" si="365"/>
        <v>0.105</v>
      </c>
      <c r="X280" s="7">
        <f t="shared" si="365"/>
        <v>-0.083</v>
      </c>
      <c r="Y280" s="7">
        <f t="shared" si="365"/>
        <v>0.017</v>
      </c>
      <c r="Z280" s="7">
        <f t="shared" si="365"/>
        <v>-0.098</v>
      </c>
      <c r="AA280" s="7">
        <f t="shared" si="365"/>
        <v>0.102</v>
      </c>
    </row>
    <row r="281">
      <c r="B281" s="6" t="s">
        <v>6</v>
      </c>
      <c r="C281" s="7">
        <f t="shared" ref="C281:M281" si="366">AVERAGE(C225, C251)</f>
        <v>0.2395</v>
      </c>
      <c r="D281" s="7">
        <f t="shared" si="366"/>
        <v>0.25</v>
      </c>
      <c r="E281" s="7">
        <f t="shared" si="366"/>
        <v>0.261</v>
      </c>
      <c r="F281" s="7">
        <f t="shared" si="366"/>
        <v>0.2255</v>
      </c>
      <c r="G281" s="7">
        <f t="shared" si="366"/>
        <v>0.3255</v>
      </c>
      <c r="H281" s="7">
        <f t="shared" si="366"/>
        <v>0.205</v>
      </c>
      <c r="I281" s="7">
        <f t="shared" si="366"/>
        <v>0.405</v>
      </c>
      <c r="J281" s="7">
        <f t="shared" si="366"/>
        <v>0.2135</v>
      </c>
      <c r="K281" s="7">
        <f t="shared" si="366"/>
        <v>0.3135</v>
      </c>
      <c r="L281" s="7">
        <f t="shared" si="366"/>
        <v>0.202</v>
      </c>
      <c r="M281" s="7">
        <f t="shared" si="366"/>
        <v>0.402</v>
      </c>
      <c r="P281" s="6" t="s">
        <v>6</v>
      </c>
      <c r="Q281" s="7">
        <f t="shared" ref="Q281:AA281" si="367">C281-$C$279</f>
        <v>-0.06</v>
      </c>
      <c r="R281" s="7">
        <f t="shared" si="367"/>
        <v>-0.0495</v>
      </c>
      <c r="S281" s="7">
        <f t="shared" si="367"/>
        <v>-0.0385</v>
      </c>
      <c r="T281" s="7">
        <f t="shared" si="367"/>
        <v>-0.074</v>
      </c>
      <c r="U281" s="7">
        <f t="shared" si="367"/>
        <v>0.026</v>
      </c>
      <c r="V281" s="7">
        <f t="shared" si="367"/>
        <v>-0.0945</v>
      </c>
      <c r="W281" s="7">
        <f t="shared" si="367"/>
        <v>0.1055</v>
      </c>
      <c r="X281" s="7">
        <f t="shared" si="367"/>
        <v>-0.086</v>
      </c>
      <c r="Y281" s="7">
        <f t="shared" si="367"/>
        <v>0.014</v>
      </c>
      <c r="Z281" s="7">
        <f t="shared" si="367"/>
        <v>-0.0975</v>
      </c>
      <c r="AA281" s="7">
        <f t="shared" si="367"/>
        <v>0.1025</v>
      </c>
    </row>
    <row r="282">
      <c r="B282" s="6" t="s">
        <v>7</v>
      </c>
      <c r="C282" s="7">
        <f t="shared" ref="C282:M282" si="368">AVERAGE(C226, C252)</f>
        <v>0.316</v>
      </c>
      <c r="D282" s="7">
        <f t="shared" si="368"/>
        <v>0.3345</v>
      </c>
      <c r="E282" s="7">
        <f t="shared" si="368"/>
        <v>0.345</v>
      </c>
      <c r="F282" s="7">
        <f t="shared" si="368"/>
        <v>0.293</v>
      </c>
      <c r="G282" s="7">
        <f t="shared" si="368"/>
        <v>0.393</v>
      </c>
      <c r="H282" s="7">
        <f t="shared" si="368"/>
        <v>0.2595</v>
      </c>
      <c r="I282" s="7">
        <f t="shared" si="368"/>
        <v>0.4595</v>
      </c>
      <c r="J282" s="7">
        <f t="shared" si="368"/>
        <v>0.2845</v>
      </c>
      <c r="K282" s="7">
        <f t="shared" si="368"/>
        <v>0.3845</v>
      </c>
      <c r="L282" s="7">
        <f t="shared" si="368"/>
        <v>0.2595</v>
      </c>
      <c r="M282" s="7">
        <f t="shared" si="368"/>
        <v>0.4595</v>
      </c>
      <c r="P282" s="6" t="s">
        <v>7</v>
      </c>
      <c r="Q282" s="7">
        <f t="shared" ref="Q282:AA282" si="369">C282-$C$279</f>
        <v>0.0165</v>
      </c>
      <c r="R282" s="7">
        <f t="shared" si="369"/>
        <v>0.035</v>
      </c>
      <c r="S282" s="7">
        <f t="shared" si="369"/>
        <v>0.0455</v>
      </c>
      <c r="T282" s="7">
        <f t="shared" si="369"/>
        <v>-0.0065</v>
      </c>
      <c r="U282" s="7">
        <f t="shared" si="369"/>
        <v>0.0935</v>
      </c>
      <c r="V282" s="7">
        <f t="shared" si="369"/>
        <v>-0.04</v>
      </c>
      <c r="W282" s="7">
        <f t="shared" si="369"/>
        <v>0.16</v>
      </c>
      <c r="X282" s="7">
        <f t="shared" si="369"/>
        <v>-0.015</v>
      </c>
      <c r="Y282" s="7">
        <f t="shared" si="369"/>
        <v>0.085</v>
      </c>
      <c r="Z282" s="7">
        <f t="shared" si="369"/>
        <v>-0.04</v>
      </c>
      <c r="AA282" s="7">
        <f t="shared" si="369"/>
        <v>0.16</v>
      </c>
    </row>
    <row r="283">
      <c r="B283" s="6" t="s">
        <v>8</v>
      </c>
      <c r="C283" s="7">
        <f t="shared" ref="C283:M283" si="370">AVERAGE(C227, C253)</f>
        <v>0.299</v>
      </c>
      <c r="D283" s="7">
        <f t="shared" si="370"/>
        <v>0.315</v>
      </c>
      <c r="E283" s="7">
        <f t="shared" si="370"/>
        <v>0.3275</v>
      </c>
      <c r="F283" s="7">
        <f t="shared" si="370"/>
        <v>0.247</v>
      </c>
      <c r="G283" s="7">
        <f t="shared" si="370"/>
        <v>0.347</v>
      </c>
      <c r="H283" s="7">
        <f t="shared" si="370"/>
        <v>0.198</v>
      </c>
      <c r="I283" s="7">
        <f t="shared" si="370"/>
        <v>0.398</v>
      </c>
      <c r="J283" s="7">
        <f t="shared" si="370"/>
        <v>0.2465</v>
      </c>
      <c r="K283" s="7">
        <f t="shared" si="370"/>
        <v>0.3465</v>
      </c>
      <c r="L283" s="7">
        <f t="shared" si="370"/>
        <v>0.1975</v>
      </c>
      <c r="M283" s="7">
        <f t="shared" si="370"/>
        <v>0.3975</v>
      </c>
      <c r="P283" s="6" t="s">
        <v>8</v>
      </c>
      <c r="Q283" s="7">
        <f t="shared" ref="Q283:AA283" si="371">C283-$C$279</f>
        <v>-0.0005</v>
      </c>
      <c r="R283" s="7">
        <f t="shared" si="371"/>
        <v>0.0155</v>
      </c>
      <c r="S283" s="7">
        <f t="shared" si="371"/>
        <v>0.028</v>
      </c>
      <c r="T283" s="7">
        <f t="shared" si="371"/>
        <v>-0.0525</v>
      </c>
      <c r="U283" s="7">
        <f t="shared" si="371"/>
        <v>0.0475</v>
      </c>
      <c r="V283" s="7">
        <f t="shared" si="371"/>
        <v>-0.1015</v>
      </c>
      <c r="W283" s="7">
        <f t="shared" si="371"/>
        <v>0.0985</v>
      </c>
      <c r="X283" s="7">
        <f t="shared" si="371"/>
        <v>-0.053</v>
      </c>
      <c r="Y283" s="7">
        <f t="shared" si="371"/>
        <v>0.047</v>
      </c>
      <c r="Z283" s="7">
        <f t="shared" si="371"/>
        <v>-0.102</v>
      </c>
      <c r="AA283" s="7">
        <f t="shared" si="371"/>
        <v>0.098</v>
      </c>
    </row>
    <row r="284">
      <c r="B284" s="6" t="s">
        <v>9</v>
      </c>
      <c r="C284" s="7">
        <f t="shared" ref="C284:M284" si="372">AVERAGE(C228, C254)</f>
        <v>0.2865</v>
      </c>
      <c r="D284" s="7">
        <f t="shared" si="372"/>
        <v>0.2985</v>
      </c>
      <c r="E284" s="7">
        <f t="shared" si="372"/>
        <v>0.313</v>
      </c>
      <c r="F284" s="7">
        <f t="shared" si="372"/>
        <v>0.251</v>
      </c>
      <c r="G284" s="7">
        <f t="shared" si="372"/>
        <v>0.351</v>
      </c>
      <c r="H284" s="7">
        <f t="shared" si="372"/>
        <v>0.214</v>
      </c>
      <c r="I284" s="7">
        <f t="shared" si="372"/>
        <v>0.414</v>
      </c>
      <c r="J284" s="7">
        <f t="shared" si="372"/>
        <v>0.2485</v>
      </c>
      <c r="K284" s="7">
        <f t="shared" si="372"/>
        <v>0.3485</v>
      </c>
      <c r="L284" s="7">
        <f t="shared" si="372"/>
        <v>0.212</v>
      </c>
      <c r="M284" s="7">
        <f t="shared" si="372"/>
        <v>0.412</v>
      </c>
      <c r="P284" s="6" t="s">
        <v>9</v>
      </c>
      <c r="Q284" s="7">
        <f t="shared" ref="Q284:AA284" si="373">C284-$C$279</f>
        <v>-0.013</v>
      </c>
      <c r="R284" s="7">
        <f t="shared" si="373"/>
        <v>-0.001</v>
      </c>
      <c r="S284" s="7">
        <f t="shared" si="373"/>
        <v>0.0135</v>
      </c>
      <c r="T284" s="7">
        <f t="shared" si="373"/>
        <v>-0.0485</v>
      </c>
      <c r="U284" s="7">
        <f t="shared" si="373"/>
        <v>0.0515</v>
      </c>
      <c r="V284" s="7">
        <f t="shared" si="373"/>
        <v>-0.0855</v>
      </c>
      <c r="W284" s="7">
        <f t="shared" si="373"/>
        <v>0.1145</v>
      </c>
      <c r="X284" s="7">
        <f t="shared" si="373"/>
        <v>-0.051</v>
      </c>
      <c r="Y284" s="7">
        <f t="shared" si="373"/>
        <v>0.049</v>
      </c>
      <c r="Z284" s="7">
        <f t="shared" si="373"/>
        <v>-0.0875</v>
      </c>
      <c r="AA284" s="7">
        <f t="shared" si="373"/>
        <v>0.1125</v>
      </c>
    </row>
    <row r="285">
      <c r="B285" s="6" t="s">
        <v>10</v>
      </c>
      <c r="C285" s="7">
        <f t="shared" ref="C285:M285" si="374">AVERAGE(C229, C255)</f>
        <v>0.38</v>
      </c>
      <c r="D285" s="7">
        <f t="shared" si="374"/>
        <v>0.4</v>
      </c>
      <c r="E285" s="7">
        <f t="shared" si="374"/>
        <v>0.412</v>
      </c>
      <c r="F285" s="7">
        <f t="shared" si="374"/>
        <v>0.3305</v>
      </c>
      <c r="G285" s="7">
        <f t="shared" si="374"/>
        <v>0.4305</v>
      </c>
      <c r="H285" s="7">
        <f t="shared" si="374"/>
        <v>0.278</v>
      </c>
      <c r="I285" s="7">
        <f t="shared" si="374"/>
        <v>0.478</v>
      </c>
      <c r="J285" s="7">
        <f t="shared" si="374"/>
        <v>0.3275</v>
      </c>
      <c r="K285" s="7">
        <f t="shared" si="374"/>
        <v>0.4275</v>
      </c>
      <c r="L285" s="7">
        <f t="shared" si="374"/>
        <v>0.276</v>
      </c>
      <c r="M285" s="7">
        <f t="shared" si="374"/>
        <v>0.476</v>
      </c>
      <c r="P285" s="6" t="s">
        <v>10</v>
      </c>
      <c r="Q285" s="7">
        <f t="shared" ref="Q285:AA285" si="375">C285-$C$279</f>
        <v>0.0805</v>
      </c>
      <c r="R285" s="7">
        <f t="shared" si="375"/>
        <v>0.1005</v>
      </c>
      <c r="S285" s="7">
        <f t="shared" si="375"/>
        <v>0.1125</v>
      </c>
      <c r="T285" s="7">
        <f t="shared" si="375"/>
        <v>0.031</v>
      </c>
      <c r="U285" s="7">
        <f t="shared" si="375"/>
        <v>0.131</v>
      </c>
      <c r="V285" s="7">
        <f t="shared" si="375"/>
        <v>-0.0215</v>
      </c>
      <c r="W285" s="7">
        <f t="shared" si="375"/>
        <v>0.1785</v>
      </c>
      <c r="X285" s="7">
        <f t="shared" si="375"/>
        <v>0.028</v>
      </c>
      <c r="Y285" s="7">
        <f t="shared" si="375"/>
        <v>0.128</v>
      </c>
      <c r="Z285" s="7">
        <f t="shared" si="375"/>
        <v>-0.0235</v>
      </c>
      <c r="AA285" s="7">
        <f t="shared" si="375"/>
        <v>0.1765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0.293</v>
      </c>
      <c r="D289" s="7">
        <f t="shared" si="376"/>
        <v>0.298</v>
      </c>
      <c r="E289" s="7">
        <f t="shared" si="376"/>
        <v>0.3076666667</v>
      </c>
      <c r="F289" s="7">
        <f t="shared" si="376"/>
        <v>0.2741666667</v>
      </c>
      <c r="G289" s="7">
        <f t="shared" si="376"/>
        <v>0.3741666667</v>
      </c>
      <c r="H289" s="7">
        <f t="shared" si="376"/>
        <v>0.2535</v>
      </c>
      <c r="I289" s="7">
        <f t="shared" si="376"/>
        <v>0.4535</v>
      </c>
      <c r="J289" s="7">
        <f t="shared" si="376"/>
        <v>0.2663333333</v>
      </c>
      <c r="K289" s="7">
        <f t="shared" si="376"/>
        <v>0.3665</v>
      </c>
      <c r="L289" s="7">
        <f t="shared" si="376"/>
        <v>0.2455</v>
      </c>
      <c r="M289" s="7">
        <f t="shared" si="376"/>
        <v>0.4456666667</v>
      </c>
      <c r="P289" s="6" t="s">
        <v>4</v>
      </c>
      <c r="Q289" s="7">
        <f t="shared" ref="Q289:AA289" si="377">C289-$C$289</f>
        <v>0</v>
      </c>
      <c r="R289" s="7">
        <f t="shared" si="377"/>
        <v>0.005</v>
      </c>
      <c r="S289" s="7">
        <f t="shared" si="377"/>
        <v>0.01466666667</v>
      </c>
      <c r="T289" s="7">
        <f t="shared" si="377"/>
        <v>-0.01883333333</v>
      </c>
      <c r="U289" s="7">
        <f t="shared" si="377"/>
        <v>0.08116666667</v>
      </c>
      <c r="V289" s="7">
        <f t="shared" si="377"/>
        <v>-0.0395</v>
      </c>
      <c r="W289" s="7">
        <f t="shared" si="377"/>
        <v>0.1605</v>
      </c>
      <c r="X289" s="7">
        <f t="shared" si="377"/>
        <v>-0.02666666667</v>
      </c>
      <c r="Y289" s="7">
        <f t="shared" si="377"/>
        <v>0.0735</v>
      </c>
      <c r="Z289" s="7">
        <f t="shared" si="377"/>
        <v>-0.0475</v>
      </c>
      <c r="AA289" s="7">
        <f t="shared" si="377"/>
        <v>0.1526666667</v>
      </c>
    </row>
    <row r="290">
      <c r="B290" s="6" t="s">
        <v>5</v>
      </c>
      <c r="C290" s="7">
        <f t="shared" ref="C290:M290" si="378">AVERAGE(C260, C270, C280)</f>
        <v>0.2788333333</v>
      </c>
      <c r="D290" s="7">
        <f t="shared" si="378"/>
        <v>0.2845</v>
      </c>
      <c r="E290" s="7">
        <f t="shared" si="378"/>
        <v>0.291</v>
      </c>
      <c r="F290" s="7">
        <f t="shared" si="378"/>
        <v>0.2595</v>
      </c>
      <c r="G290" s="7">
        <f t="shared" si="378"/>
        <v>0.3596666667</v>
      </c>
      <c r="H290" s="7">
        <f t="shared" si="378"/>
        <v>0.2361666667</v>
      </c>
      <c r="I290" s="7">
        <f t="shared" si="378"/>
        <v>0.4361666667</v>
      </c>
      <c r="J290" s="7">
        <f t="shared" si="378"/>
        <v>0.2511666667</v>
      </c>
      <c r="K290" s="7">
        <f t="shared" si="378"/>
        <v>0.3513333333</v>
      </c>
      <c r="L290" s="7">
        <f t="shared" si="378"/>
        <v>0.2311666667</v>
      </c>
      <c r="M290" s="7">
        <f t="shared" si="378"/>
        <v>0.4313333333</v>
      </c>
      <c r="P290" s="6" t="s">
        <v>5</v>
      </c>
      <c r="Q290" s="7">
        <f t="shared" ref="Q290:AA290" si="379">C290-$C$289</f>
        <v>-0.01416666667</v>
      </c>
      <c r="R290" s="7">
        <f t="shared" si="379"/>
        <v>-0.0085</v>
      </c>
      <c r="S290" s="7">
        <f t="shared" si="379"/>
        <v>-0.002</v>
      </c>
      <c r="T290" s="7">
        <f t="shared" si="379"/>
        <v>-0.0335</v>
      </c>
      <c r="U290" s="7">
        <f t="shared" si="379"/>
        <v>0.06666666667</v>
      </c>
      <c r="V290" s="7">
        <f t="shared" si="379"/>
        <v>-0.05683333333</v>
      </c>
      <c r="W290" s="7">
        <f t="shared" si="379"/>
        <v>0.1431666667</v>
      </c>
      <c r="X290" s="7">
        <f t="shared" si="379"/>
        <v>-0.04183333333</v>
      </c>
      <c r="Y290" s="7">
        <f t="shared" si="379"/>
        <v>0.05833333333</v>
      </c>
      <c r="Z290" s="7">
        <f t="shared" si="379"/>
        <v>-0.06183333333</v>
      </c>
      <c r="AA290" s="7">
        <f t="shared" si="379"/>
        <v>0.1383333333</v>
      </c>
    </row>
    <row r="291">
      <c r="B291" s="6" t="s">
        <v>6</v>
      </c>
      <c r="C291" s="7">
        <f t="shared" ref="C291:M291" si="380">AVERAGE(C261, C271, C281)</f>
        <v>0.2805</v>
      </c>
      <c r="D291" s="7">
        <f t="shared" si="380"/>
        <v>0.2838333333</v>
      </c>
      <c r="E291" s="7">
        <f t="shared" si="380"/>
        <v>0.2923333333</v>
      </c>
      <c r="F291" s="7">
        <f t="shared" si="380"/>
        <v>0.2608333333</v>
      </c>
      <c r="G291" s="7">
        <f t="shared" si="380"/>
        <v>0.3608333333</v>
      </c>
      <c r="H291" s="7">
        <f t="shared" si="380"/>
        <v>0.2385</v>
      </c>
      <c r="I291" s="7">
        <f t="shared" si="380"/>
        <v>0.4386666667</v>
      </c>
      <c r="J291" s="7">
        <f t="shared" si="380"/>
        <v>0.2538333333</v>
      </c>
      <c r="K291" s="7">
        <f t="shared" si="380"/>
        <v>0.3538333333</v>
      </c>
      <c r="L291" s="7">
        <f t="shared" si="380"/>
        <v>0.2331666667</v>
      </c>
      <c r="M291" s="7">
        <f t="shared" si="380"/>
        <v>0.4331666667</v>
      </c>
      <c r="P291" s="6" t="s">
        <v>6</v>
      </c>
      <c r="Q291" s="7">
        <f t="shared" ref="Q291:AA291" si="381">C291-$C$289</f>
        <v>-0.0125</v>
      </c>
      <c r="R291" s="7">
        <f t="shared" si="381"/>
        <v>-0.009166666667</v>
      </c>
      <c r="S291" s="7">
        <f t="shared" si="381"/>
        <v>-0.0006666666667</v>
      </c>
      <c r="T291" s="7">
        <f t="shared" si="381"/>
        <v>-0.03216666667</v>
      </c>
      <c r="U291" s="7">
        <f t="shared" si="381"/>
        <v>0.06783333333</v>
      </c>
      <c r="V291" s="7">
        <f t="shared" si="381"/>
        <v>-0.0545</v>
      </c>
      <c r="W291" s="7">
        <f t="shared" si="381"/>
        <v>0.1456666667</v>
      </c>
      <c r="X291" s="7">
        <f t="shared" si="381"/>
        <v>-0.03916666667</v>
      </c>
      <c r="Y291" s="7">
        <f t="shared" si="381"/>
        <v>0.06083333333</v>
      </c>
      <c r="Z291" s="7">
        <f t="shared" si="381"/>
        <v>-0.05983333333</v>
      </c>
      <c r="AA291" s="7">
        <f t="shared" si="381"/>
        <v>0.1401666667</v>
      </c>
    </row>
    <row r="292">
      <c r="B292" s="6" t="s">
        <v>7</v>
      </c>
      <c r="C292" s="7">
        <f t="shared" ref="C292:M292" si="382">AVERAGE(C262, C272, C282)</f>
        <v>0.3083333333</v>
      </c>
      <c r="D292" s="7">
        <f t="shared" si="382"/>
        <v>0.3138333333</v>
      </c>
      <c r="E292" s="7">
        <f t="shared" si="382"/>
        <v>0.3258333333</v>
      </c>
      <c r="F292" s="7">
        <f t="shared" si="382"/>
        <v>0.2848333333</v>
      </c>
      <c r="G292" s="7">
        <f t="shared" si="382"/>
        <v>0.385</v>
      </c>
      <c r="H292" s="7">
        <f t="shared" si="382"/>
        <v>0.258</v>
      </c>
      <c r="I292" s="7">
        <f t="shared" si="382"/>
        <v>0.458</v>
      </c>
      <c r="J292" s="7">
        <f t="shared" si="382"/>
        <v>0.277</v>
      </c>
      <c r="K292" s="7">
        <f t="shared" si="382"/>
        <v>0.3771666667</v>
      </c>
      <c r="L292" s="7">
        <f t="shared" si="382"/>
        <v>0.2515</v>
      </c>
      <c r="M292" s="7">
        <f t="shared" si="382"/>
        <v>0.4513333333</v>
      </c>
      <c r="P292" s="6" t="s">
        <v>7</v>
      </c>
      <c r="Q292" s="7">
        <f t="shared" ref="Q292:AA292" si="383">C292-$C$289</f>
        <v>0.01533333333</v>
      </c>
      <c r="R292" s="7">
        <f t="shared" si="383"/>
        <v>0.02083333333</v>
      </c>
      <c r="S292" s="7">
        <f t="shared" si="383"/>
        <v>0.03283333333</v>
      </c>
      <c r="T292" s="7">
        <f t="shared" si="383"/>
        <v>-0.008166666667</v>
      </c>
      <c r="U292" s="7">
        <f t="shared" si="383"/>
        <v>0.092</v>
      </c>
      <c r="V292" s="7">
        <f t="shared" si="383"/>
        <v>-0.035</v>
      </c>
      <c r="W292" s="7">
        <f t="shared" si="383"/>
        <v>0.165</v>
      </c>
      <c r="X292" s="7">
        <f t="shared" si="383"/>
        <v>-0.016</v>
      </c>
      <c r="Y292" s="7">
        <f t="shared" si="383"/>
        <v>0.08416666667</v>
      </c>
      <c r="Z292" s="7">
        <f t="shared" si="383"/>
        <v>-0.0415</v>
      </c>
      <c r="AA292" s="7">
        <f t="shared" si="383"/>
        <v>0.1583333333</v>
      </c>
    </row>
    <row r="293">
      <c r="B293" s="6" t="s">
        <v>8</v>
      </c>
      <c r="C293" s="7">
        <f t="shared" ref="C293:M293" si="384">AVERAGE(C263, C273, C283)</f>
        <v>0.3173333333</v>
      </c>
      <c r="D293" s="7">
        <f t="shared" si="384"/>
        <v>0.3248333333</v>
      </c>
      <c r="E293" s="7">
        <f t="shared" si="384"/>
        <v>0.3326666667</v>
      </c>
      <c r="F293" s="7">
        <f t="shared" si="384"/>
        <v>0.2825</v>
      </c>
      <c r="G293" s="7">
        <f t="shared" si="384"/>
        <v>0.3826666667</v>
      </c>
      <c r="H293" s="7">
        <f t="shared" si="384"/>
        <v>0.247</v>
      </c>
      <c r="I293" s="7">
        <f t="shared" si="384"/>
        <v>0.4471666667</v>
      </c>
      <c r="J293" s="7">
        <f t="shared" si="384"/>
        <v>0.2778333333</v>
      </c>
      <c r="K293" s="7">
        <f t="shared" si="384"/>
        <v>0.3778333333</v>
      </c>
      <c r="L293" s="7">
        <f t="shared" si="384"/>
        <v>0.2388333333</v>
      </c>
      <c r="M293" s="7">
        <f t="shared" si="384"/>
        <v>0.439</v>
      </c>
      <c r="P293" s="6" t="s">
        <v>8</v>
      </c>
      <c r="Q293" s="7">
        <f t="shared" ref="Q293:AA293" si="385">C293-$C$289</f>
        <v>0.02433333333</v>
      </c>
      <c r="R293" s="7">
        <f t="shared" si="385"/>
        <v>0.03183333333</v>
      </c>
      <c r="S293" s="7">
        <f t="shared" si="385"/>
        <v>0.03966666667</v>
      </c>
      <c r="T293" s="7">
        <f t="shared" si="385"/>
        <v>-0.0105</v>
      </c>
      <c r="U293" s="7">
        <f t="shared" si="385"/>
        <v>0.08966666667</v>
      </c>
      <c r="V293" s="7">
        <f t="shared" si="385"/>
        <v>-0.046</v>
      </c>
      <c r="W293" s="7">
        <f t="shared" si="385"/>
        <v>0.1541666667</v>
      </c>
      <c r="X293" s="7">
        <f t="shared" si="385"/>
        <v>-0.01516666667</v>
      </c>
      <c r="Y293" s="7">
        <f t="shared" si="385"/>
        <v>0.08483333333</v>
      </c>
      <c r="Z293" s="7">
        <f t="shared" si="385"/>
        <v>-0.05416666667</v>
      </c>
      <c r="AA293" s="7">
        <f t="shared" si="385"/>
        <v>0.146</v>
      </c>
    </row>
    <row r="294">
      <c r="B294" s="6" t="s">
        <v>9</v>
      </c>
      <c r="C294" s="7">
        <f t="shared" ref="C294:M294" si="386">AVERAGE(C264, C274, C284)</f>
        <v>0.2961666667</v>
      </c>
      <c r="D294" s="7">
        <f t="shared" si="386"/>
        <v>0.3006666667</v>
      </c>
      <c r="E294" s="7">
        <f t="shared" si="386"/>
        <v>0.3113333333</v>
      </c>
      <c r="F294" s="7">
        <f t="shared" si="386"/>
        <v>0.2693333333</v>
      </c>
      <c r="G294" s="7">
        <f t="shared" si="386"/>
        <v>0.3693333333</v>
      </c>
      <c r="H294" s="7">
        <f t="shared" si="386"/>
        <v>0.2396666667</v>
      </c>
      <c r="I294" s="7">
        <f t="shared" si="386"/>
        <v>0.4396666667</v>
      </c>
      <c r="J294" s="7">
        <f t="shared" si="386"/>
        <v>0.2618333333</v>
      </c>
      <c r="K294" s="7">
        <f t="shared" si="386"/>
        <v>0.3618333333</v>
      </c>
      <c r="L294" s="7">
        <f t="shared" si="386"/>
        <v>0.233</v>
      </c>
      <c r="M294" s="7">
        <f t="shared" si="386"/>
        <v>0.433</v>
      </c>
      <c r="P294" s="6" t="s">
        <v>9</v>
      </c>
      <c r="Q294" s="7">
        <f t="shared" ref="Q294:AA294" si="387">C294-$C$289</f>
        <v>0.003166666667</v>
      </c>
      <c r="R294" s="7">
        <f t="shared" si="387"/>
        <v>0.007666666667</v>
      </c>
      <c r="S294" s="7">
        <f t="shared" si="387"/>
        <v>0.01833333333</v>
      </c>
      <c r="T294" s="7">
        <f t="shared" si="387"/>
        <v>-0.02366666667</v>
      </c>
      <c r="U294" s="7">
        <f t="shared" si="387"/>
        <v>0.07633333333</v>
      </c>
      <c r="V294" s="7">
        <f t="shared" si="387"/>
        <v>-0.05333333333</v>
      </c>
      <c r="W294" s="7">
        <f t="shared" si="387"/>
        <v>0.1466666667</v>
      </c>
      <c r="X294" s="7">
        <f t="shared" si="387"/>
        <v>-0.03116666667</v>
      </c>
      <c r="Y294" s="7">
        <f t="shared" si="387"/>
        <v>0.06883333333</v>
      </c>
      <c r="Z294" s="7">
        <f t="shared" si="387"/>
        <v>-0.06</v>
      </c>
      <c r="AA294" s="7">
        <f t="shared" si="387"/>
        <v>0.14</v>
      </c>
    </row>
    <row r="295">
      <c r="B295" s="6" t="s">
        <v>10</v>
      </c>
      <c r="C295" s="7">
        <f t="shared" ref="C295:M295" si="388">AVERAGE(C265, C275, C285)</f>
        <v>0.3413333333</v>
      </c>
      <c r="D295" s="7">
        <f t="shared" si="388"/>
        <v>0.3476666667</v>
      </c>
      <c r="E295" s="7">
        <f t="shared" si="388"/>
        <v>0.3585</v>
      </c>
      <c r="F295" s="7">
        <f t="shared" si="388"/>
        <v>0.3068333333</v>
      </c>
      <c r="G295" s="7">
        <f t="shared" si="388"/>
        <v>0.407</v>
      </c>
      <c r="H295" s="7">
        <f t="shared" si="388"/>
        <v>0.2706666667</v>
      </c>
      <c r="I295" s="7">
        <f t="shared" si="388"/>
        <v>0.4706666667</v>
      </c>
      <c r="J295" s="7">
        <f t="shared" si="388"/>
        <v>0.2985</v>
      </c>
      <c r="K295" s="7">
        <f t="shared" si="388"/>
        <v>0.3986666667</v>
      </c>
      <c r="L295" s="7">
        <f t="shared" si="388"/>
        <v>0.2613333333</v>
      </c>
      <c r="M295" s="7">
        <f t="shared" si="388"/>
        <v>0.4615</v>
      </c>
      <c r="P295" s="6" t="s">
        <v>10</v>
      </c>
      <c r="Q295" s="7">
        <f t="shared" ref="Q295:AA295" si="389">C295-$C$289</f>
        <v>0.04833333333</v>
      </c>
      <c r="R295" s="7">
        <f t="shared" si="389"/>
        <v>0.05466666667</v>
      </c>
      <c r="S295" s="7">
        <f t="shared" si="389"/>
        <v>0.0655</v>
      </c>
      <c r="T295" s="7">
        <f t="shared" si="389"/>
        <v>0.01383333333</v>
      </c>
      <c r="U295" s="7">
        <f t="shared" si="389"/>
        <v>0.114</v>
      </c>
      <c r="V295" s="7">
        <f t="shared" si="389"/>
        <v>-0.02233333333</v>
      </c>
      <c r="W295" s="7">
        <f t="shared" si="389"/>
        <v>0.1776666667</v>
      </c>
      <c r="X295" s="7">
        <f t="shared" si="389"/>
        <v>0.0055</v>
      </c>
      <c r="Y295" s="7">
        <f t="shared" si="389"/>
        <v>0.1056666667</v>
      </c>
      <c r="Z295" s="7">
        <f t="shared" si="389"/>
        <v>-0.03166666667</v>
      </c>
      <c r="AA295" s="7">
        <f t="shared" si="389"/>
        <v>0.1685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0.94</v>
      </c>
      <c r="D299" s="20">
        <v>0.97</v>
      </c>
      <c r="E299" s="20"/>
      <c r="G299" s="19" t="s">
        <v>4</v>
      </c>
      <c r="H299" s="20">
        <v>0.97</v>
      </c>
      <c r="I299" s="20">
        <v>0.94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0.89</v>
      </c>
      <c r="D300" s="20">
        <v>0.92</v>
      </c>
      <c r="E300" s="20"/>
      <c r="G300" s="19" t="s">
        <v>5</v>
      </c>
      <c r="H300" s="20">
        <v>0.93</v>
      </c>
      <c r="I300" s="20">
        <v>0.89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0.84</v>
      </c>
      <c r="D301" s="20">
        <v>0.87</v>
      </c>
      <c r="E301" s="20"/>
      <c r="G301" s="19" t="s">
        <v>6</v>
      </c>
      <c r="H301" s="20">
        <v>0.88</v>
      </c>
      <c r="I301" s="20">
        <v>0.83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0.86</v>
      </c>
      <c r="D302" s="20">
        <v>0.96</v>
      </c>
      <c r="E302" s="20"/>
      <c r="G302" s="19" t="s">
        <v>7</v>
      </c>
      <c r="H302" s="20">
        <v>0.95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0.75</v>
      </c>
      <c r="D303" s="20">
        <v>0.94</v>
      </c>
      <c r="E303" s="20"/>
      <c r="G303" s="19" t="s">
        <v>8</v>
      </c>
      <c r="H303" s="20">
        <v>0.92</v>
      </c>
      <c r="I303" s="20">
        <v>0.8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0.89</v>
      </c>
      <c r="D304" s="20">
        <v>0.97</v>
      </c>
      <c r="E304" s="20"/>
      <c r="G304" s="19" t="s">
        <v>9</v>
      </c>
      <c r="H304" s="20">
        <v>0.97</v>
      </c>
      <c r="I304" s="20">
        <v>0.9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0.81</v>
      </c>
      <c r="D305" s="20">
        <v>0.95</v>
      </c>
      <c r="E305" s="20"/>
      <c r="G305" s="19" t="s">
        <v>10</v>
      </c>
      <c r="H305" s="20">
        <v>0.94</v>
      </c>
      <c r="I305" s="20">
        <v>0.85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0.93</v>
      </c>
      <c r="D309" s="20">
        <v>0.82</v>
      </c>
      <c r="E309" s="22">
        <v>0.71</v>
      </c>
      <c r="F309" s="22">
        <v>0.63</v>
      </c>
      <c r="G309" s="22">
        <v>0.79</v>
      </c>
      <c r="H309" s="16"/>
      <c r="J309" s="19" t="s">
        <v>4</v>
      </c>
      <c r="K309" s="20">
        <v>0.96</v>
      </c>
      <c r="L309" s="20">
        <v>0.86</v>
      </c>
      <c r="M309" s="22">
        <v>0.74</v>
      </c>
      <c r="N309" s="22">
        <v>0.62</v>
      </c>
      <c r="O309" s="22">
        <v>0.71</v>
      </c>
      <c r="P309" s="16"/>
      <c r="Q309" s="16"/>
    </row>
    <row r="310">
      <c r="B310" s="19" t="s">
        <v>5</v>
      </c>
      <c r="C310" s="20">
        <v>0.89</v>
      </c>
      <c r="D310" s="20">
        <v>0.76</v>
      </c>
      <c r="E310" s="22">
        <v>0.69</v>
      </c>
      <c r="F310" s="22">
        <v>0.61</v>
      </c>
      <c r="G310" s="22">
        <v>0.75</v>
      </c>
      <c r="H310" s="16"/>
      <c r="J310" s="19" t="s">
        <v>5</v>
      </c>
      <c r="K310" s="20">
        <v>0.91</v>
      </c>
      <c r="L310" s="20">
        <v>0.84</v>
      </c>
      <c r="M310" s="22">
        <v>0.7</v>
      </c>
      <c r="N310" s="22">
        <v>0.58</v>
      </c>
      <c r="O310" s="22">
        <v>0.69</v>
      </c>
      <c r="P310" s="16"/>
      <c r="Q310" s="16"/>
    </row>
    <row r="311">
      <c r="B311" s="19" t="s">
        <v>6</v>
      </c>
      <c r="C311" s="20">
        <v>0.84</v>
      </c>
      <c r="D311" s="20">
        <v>0.75</v>
      </c>
      <c r="E311" s="22">
        <v>0.64</v>
      </c>
      <c r="F311" s="22">
        <v>0.56</v>
      </c>
      <c r="G311" s="22">
        <v>0.71</v>
      </c>
      <c r="H311" s="16"/>
      <c r="J311" s="19" t="s">
        <v>6</v>
      </c>
      <c r="K311" s="20">
        <v>0.85</v>
      </c>
      <c r="L311" s="20">
        <v>0.8</v>
      </c>
      <c r="M311" s="22">
        <v>0.65</v>
      </c>
      <c r="N311" s="22">
        <v>0.54</v>
      </c>
      <c r="O311" s="22">
        <v>0.67</v>
      </c>
      <c r="P311" s="16"/>
      <c r="Q311" s="16"/>
    </row>
    <row r="312">
      <c r="B312" s="19" t="s">
        <v>7</v>
      </c>
      <c r="C312" s="20">
        <v>0.8</v>
      </c>
      <c r="D312" s="20">
        <v>0.83</v>
      </c>
      <c r="E312" s="22">
        <v>0.7</v>
      </c>
      <c r="F312" s="22">
        <v>0.49</v>
      </c>
      <c r="G312" s="22">
        <v>0.79</v>
      </c>
      <c r="H312" s="16"/>
      <c r="J312" s="19" t="s">
        <v>7</v>
      </c>
      <c r="K312" s="20">
        <v>0.97</v>
      </c>
      <c r="L312" s="20">
        <v>0.56</v>
      </c>
      <c r="M312" s="22">
        <v>0.75</v>
      </c>
      <c r="N312" s="22">
        <v>0.61</v>
      </c>
      <c r="O312" s="22">
        <v>0.74</v>
      </c>
      <c r="P312" s="16"/>
      <c r="Q312" s="16"/>
    </row>
    <row r="313">
      <c r="B313" s="19" t="s">
        <v>8</v>
      </c>
      <c r="C313" s="20">
        <v>0.61</v>
      </c>
      <c r="D313" s="20">
        <v>0.85</v>
      </c>
      <c r="E313" s="22">
        <v>0.7</v>
      </c>
      <c r="F313" s="22">
        <v>0.32</v>
      </c>
      <c r="G313" s="22">
        <v>0.81</v>
      </c>
      <c r="H313" s="16"/>
      <c r="J313" s="19" t="s">
        <v>8</v>
      </c>
      <c r="K313" s="20">
        <v>1.0</v>
      </c>
      <c r="L313" s="20">
        <v>0.24</v>
      </c>
      <c r="M313" s="22">
        <v>0.75</v>
      </c>
      <c r="N313" s="22">
        <v>0.61</v>
      </c>
      <c r="O313" s="22">
        <v>0.71</v>
      </c>
      <c r="P313" s="16"/>
      <c r="Q313" s="16"/>
    </row>
    <row r="314">
      <c r="B314" s="19" t="s">
        <v>9</v>
      </c>
      <c r="C314" s="20">
        <v>0.82</v>
      </c>
      <c r="D314" s="20">
        <v>0.86</v>
      </c>
      <c r="E314" s="22">
        <v>0.7</v>
      </c>
      <c r="F314" s="22">
        <v>0.51</v>
      </c>
      <c r="G314" s="22">
        <v>0.8</v>
      </c>
      <c r="H314" s="16"/>
      <c r="J314" s="19" t="s">
        <v>9</v>
      </c>
      <c r="K314" s="20">
        <v>0.98</v>
      </c>
      <c r="L314" s="20">
        <v>0.59</v>
      </c>
      <c r="M314" s="22">
        <v>0.75</v>
      </c>
      <c r="N314" s="22">
        <v>0.66</v>
      </c>
      <c r="O314" s="22">
        <v>0.73</v>
      </c>
      <c r="P314" s="16"/>
      <c r="Q314" s="16"/>
    </row>
    <row r="315">
      <c r="B315" s="19" t="s">
        <v>10</v>
      </c>
      <c r="C315" s="20">
        <v>0.64</v>
      </c>
      <c r="D315" s="20">
        <v>0.91</v>
      </c>
      <c r="E315" s="22">
        <v>0.7</v>
      </c>
      <c r="F315" s="22">
        <v>0.35</v>
      </c>
      <c r="G315" s="22">
        <v>0.79</v>
      </c>
      <c r="H315" s="16"/>
      <c r="J315" s="19" t="s">
        <v>10</v>
      </c>
      <c r="K315" s="20">
        <v>0.78</v>
      </c>
      <c r="L315" s="20">
        <v>0.47</v>
      </c>
      <c r="M315" s="22">
        <v>0.72</v>
      </c>
      <c r="N315" s="22">
        <v>0.46</v>
      </c>
      <c r="O315" s="22">
        <v>0.75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0.7</v>
      </c>
      <c r="D319" s="20">
        <v>0.57</v>
      </c>
      <c r="E319" s="20"/>
      <c r="G319" s="19" t="s">
        <v>4</v>
      </c>
      <c r="H319" s="20">
        <v>0.8</v>
      </c>
      <c r="I319" s="20">
        <v>0.43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0.67</v>
      </c>
      <c r="D320" s="20">
        <v>0.55</v>
      </c>
      <c r="E320" s="20"/>
      <c r="G320" s="19" t="s">
        <v>5</v>
      </c>
      <c r="H320" s="20">
        <v>0.79</v>
      </c>
      <c r="I320" s="20">
        <v>0.4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0.65</v>
      </c>
      <c r="D321" s="20">
        <v>0.55</v>
      </c>
      <c r="E321" s="20"/>
      <c r="G321" s="19" t="s">
        <v>6</v>
      </c>
      <c r="H321" s="20">
        <v>0.8</v>
      </c>
      <c r="I321" s="20">
        <v>0.35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0.64</v>
      </c>
      <c r="D322" s="20">
        <v>0.57</v>
      </c>
      <c r="E322" s="20"/>
      <c r="G322" s="19" t="s">
        <v>7</v>
      </c>
      <c r="H322" s="20">
        <v>0.73</v>
      </c>
      <c r="I322" s="20">
        <v>0.46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0.6</v>
      </c>
      <c r="D323" s="20">
        <v>0.59</v>
      </c>
      <c r="E323" s="20"/>
      <c r="G323" s="19" t="s">
        <v>8</v>
      </c>
      <c r="H323" s="20">
        <v>0.66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0.64</v>
      </c>
      <c r="D324" s="20">
        <v>0.59</v>
      </c>
      <c r="E324" s="20"/>
      <c r="G324" s="19" t="s">
        <v>9</v>
      </c>
      <c r="H324" s="20">
        <v>0.75</v>
      </c>
      <c r="I324" s="20">
        <v>0.45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0.61</v>
      </c>
      <c r="D325" s="20">
        <v>0.6</v>
      </c>
      <c r="E325" s="20"/>
      <c r="G325" s="19" t="s">
        <v>10</v>
      </c>
      <c r="H325" s="20">
        <v>0.69</v>
      </c>
      <c r="I325" s="20">
        <v>0.56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0.39</v>
      </c>
      <c r="D329" s="20">
        <v>0.5</v>
      </c>
      <c r="E329" s="20"/>
      <c r="G329" s="19" t="s">
        <v>4</v>
      </c>
      <c r="H329" s="20">
        <v>0.36</v>
      </c>
      <c r="I329" s="20">
        <v>0.53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0.36</v>
      </c>
      <c r="D330" s="20">
        <v>0.48</v>
      </c>
      <c r="E330" s="20"/>
      <c r="G330" s="19" t="s">
        <v>5</v>
      </c>
      <c r="H330" s="20">
        <v>0.34</v>
      </c>
      <c r="I330" s="20">
        <v>0.5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0.39</v>
      </c>
      <c r="D331" s="20">
        <v>0.47</v>
      </c>
      <c r="E331" s="20"/>
      <c r="G331" s="19" t="s">
        <v>6</v>
      </c>
      <c r="H331" s="20">
        <v>0.35</v>
      </c>
      <c r="I331" s="20">
        <v>0.52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0.42</v>
      </c>
      <c r="D332" s="20">
        <v>0.44</v>
      </c>
      <c r="E332" s="20"/>
      <c r="G332" s="19" t="s">
        <v>7</v>
      </c>
      <c r="H332" s="20">
        <v>0.35</v>
      </c>
      <c r="I332" s="20">
        <v>0.52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0.51</v>
      </c>
      <c r="D333" s="20">
        <v>0.4</v>
      </c>
      <c r="E333" s="20"/>
      <c r="G333" s="19" t="s">
        <v>8</v>
      </c>
      <c r="H333" s="20">
        <v>0.44</v>
      </c>
      <c r="I333" s="20">
        <v>0.46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0.43</v>
      </c>
      <c r="D334" s="20">
        <v>0.44</v>
      </c>
      <c r="E334" s="20"/>
      <c r="G334" s="19" t="s">
        <v>9</v>
      </c>
      <c r="H334" s="20">
        <v>0.36</v>
      </c>
      <c r="I334" s="20">
        <v>0.51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</v>
      </c>
      <c r="D335" s="20">
        <v>0.4</v>
      </c>
      <c r="E335" s="20"/>
      <c r="G335" s="19" t="s">
        <v>10</v>
      </c>
      <c r="H335" s="20">
        <v>0.42</v>
      </c>
      <c r="I335" s="20">
        <v>0.48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0.82</v>
      </c>
      <c r="D339" s="20">
        <v>0.82</v>
      </c>
      <c r="E339" s="22">
        <v>0.76</v>
      </c>
      <c r="F339" s="22">
        <v>0.82</v>
      </c>
      <c r="G339" s="22">
        <v>0.85</v>
      </c>
      <c r="H339" s="22">
        <v>0.48</v>
      </c>
      <c r="I339" s="16"/>
      <c r="K339" s="19" t="s">
        <v>4</v>
      </c>
      <c r="L339" s="20">
        <v>0.72</v>
      </c>
      <c r="M339" s="20">
        <v>0.16</v>
      </c>
      <c r="N339" s="22">
        <v>0.81</v>
      </c>
      <c r="O339" s="22">
        <v>0.76</v>
      </c>
      <c r="P339" s="22">
        <v>0.7</v>
      </c>
      <c r="Q339" s="22">
        <v>0.97</v>
      </c>
    </row>
    <row r="340">
      <c r="B340" s="19" t="s">
        <v>5</v>
      </c>
      <c r="C340" s="20">
        <v>0.66</v>
      </c>
      <c r="D340" s="20">
        <v>0.96</v>
      </c>
      <c r="E340" s="22">
        <v>0.81</v>
      </c>
      <c r="F340" s="22">
        <v>0.83</v>
      </c>
      <c r="G340" s="22">
        <v>0.77</v>
      </c>
      <c r="H340" s="22">
        <v>0.69</v>
      </c>
      <c r="I340" s="16"/>
      <c r="K340" s="19" t="s">
        <v>5</v>
      </c>
      <c r="L340" s="20">
        <v>0.67</v>
      </c>
      <c r="M340" s="20">
        <v>0.72</v>
      </c>
      <c r="N340" s="22">
        <v>0.78</v>
      </c>
      <c r="O340" s="22">
        <v>0.85</v>
      </c>
      <c r="P340" s="22">
        <v>0.7</v>
      </c>
      <c r="Q340" s="22">
        <v>0.91</v>
      </c>
    </row>
    <row r="341">
      <c r="B341" s="19" t="s">
        <v>6</v>
      </c>
      <c r="C341" s="20">
        <v>0.72</v>
      </c>
      <c r="D341" s="20">
        <v>0.85</v>
      </c>
      <c r="E341" s="22">
        <v>0.77</v>
      </c>
      <c r="F341" s="22">
        <v>0.72</v>
      </c>
      <c r="G341" s="22">
        <v>0.77</v>
      </c>
      <c r="H341" s="22">
        <v>0.66</v>
      </c>
      <c r="I341" s="16"/>
      <c r="K341" s="19" t="s">
        <v>6</v>
      </c>
      <c r="L341" s="20">
        <v>0.67</v>
      </c>
      <c r="M341" s="20">
        <v>0.78</v>
      </c>
      <c r="N341" s="22">
        <v>0.73</v>
      </c>
      <c r="O341" s="22">
        <v>0.76</v>
      </c>
      <c r="P341" s="22">
        <v>0.64</v>
      </c>
      <c r="Q341" s="22">
        <v>0.85</v>
      </c>
    </row>
    <row r="342">
      <c r="B342" s="19" t="s">
        <v>7</v>
      </c>
      <c r="C342" s="20">
        <v>0.67</v>
      </c>
      <c r="D342" s="20">
        <v>0.83</v>
      </c>
      <c r="E342" s="22">
        <v>0.82</v>
      </c>
      <c r="F342" s="22">
        <v>0.88</v>
      </c>
      <c r="G342" s="22">
        <v>0.58</v>
      </c>
      <c r="H342" s="22">
        <v>0.46</v>
      </c>
      <c r="I342" s="16"/>
      <c r="K342" s="19" t="s">
        <v>7</v>
      </c>
      <c r="L342" s="20">
        <v>0.78</v>
      </c>
      <c r="M342" s="20">
        <v>0.14</v>
      </c>
      <c r="N342" s="22">
        <v>0.62</v>
      </c>
      <c r="O342" s="22">
        <v>0.83</v>
      </c>
      <c r="P342" s="22">
        <v>0.47</v>
      </c>
      <c r="Q342" s="22">
        <v>0.96</v>
      </c>
    </row>
    <row r="343">
      <c r="B343" s="19" t="s">
        <v>8</v>
      </c>
      <c r="C343" s="20">
        <v>0.48</v>
      </c>
      <c r="D343" s="20">
        <v>0.97</v>
      </c>
      <c r="E343" s="22">
        <v>0.87</v>
      </c>
      <c r="F343" s="22">
        <v>0.89</v>
      </c>
      <c r="G343" s="22">
        <v>0.5</v>
      </c>
      <c r="H343" s="22">
        <v>0.82</v>
      </c>
      <c r="I343" s="16"/>
      <c r="K343" s="19" t="s">
        <v>8</v>
      </c>
      <c r="L343" s="20">
        <v>0.88</v>
      </c>
      <c r="M343" s="20">
        <v>0.99</v>
      </c>
      <c r="N343" s="22">
        <v>0.53</v>
      </c>
      <c r="O343" s="22">
        <v>0.88</v>
      </c>
      <c r="P343" s="22">
        <v>0.1</v>
      </c>
      <c r="Q343" s="22">
        <v>0.95</v>
      </c>
    </row>
    <row r="344">
      <c r="B344" s="19" t="s">
        <v>9</v>
      </c>
      <c r="C344" s="20">
        <v>0.52</v>
      </c>
      <c r="D344" s="20">
        <v>0.96</v>
      </c>
      <c r="E344" s="22">
        <v>0.86</v>
      </c>
      <c r="F344" s="22">
        <v>0.85</v>
      </c>
      <c r="G344" s="22">
        <v>0.65</v>
      </c>
      <c r="H344" s="22">
        <v>0.69</v>
      </c>
      <c r="I344" s="16"/>
      <c r="K344" s="19" t="s">
        <v>9</v>
      </c>
      <c r="L344" s="20">
        <v>0.8</v>
      </c>
      <c r="M344" s="20">
        <v>0.87</v>
      </c>
      <c r="N344" s="22">
        <v>0.62</v>
      </c>
      <c r="O344" s="22">
        <v>0.88</v>
      </c>
      <c r="P344" s="22">
        <v>0.22</v>
      </c>
      <c r="Q344" s="22">
        <v>0.96</v>
      </c>
    </row>
    <row r="345">
      <c r="B345" s="19" t="s">
        <v>10</v>
      </c>
      <c r="C345" s="20">
        <v>0.52</v>
      </c>
      <c r="D345" s="20">
        <v>0.67</v>
      </c>
      <c r="E345" s="22">
        <v>0.81</v>
      </c>
      <c r="F345" s="22">
        <v>0.82</v>
      </c>
      <c r="G345" s="22">
        <v>0.42</v>
      </c>
      <c r="H345" s="22">
        <v>0.45</v>
      </c>
      <c r="I345" s="16"/>
      <c r="K345" s="19" t="s">
        <v>10</v>
      </c>
      <c r="L345" s="20">
        <v>0.83</v>
      </c>
      <c r="M345" s="20">
        <v>0.08</v>
      </c>
      <c r="N345" s="22">
        <v>0.48</v>
      </c>
      <c r="O345" s="22">
        <v>0.83</v>
      </c>
      <c r="P345" s="22">
        <v>0.19</v>
      </c>
      <c r="Q345" s="22">
        <v>0.94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0.8</v>
      </c>
      <c r="D349" s="20">
        <v>0.93</v>
      </c>
      <c r="E349" s="22">
        <v>0.89</v>
      </c>
      <c r="F349" s="22">
        <v>0.45</v>
      </c>
      <c r="G349" s="22">
        <v>0.55</v>
      </c>
      <c r="H349" s="22">
        <v>0.75</v>
      </c>
      <c r="I349" s="16"/>
      <c r="K349" s="19" t="s">
        <v>4</v>
      </c>
      <c r="L349" s="20">
        <v>0.98</v>
      </c>
      <c r="M349" s="20">
        <v>0.78</v>
      </c>
      <c r="N349" s="22">
        <v>0.81</v>
      </c>
      <c r="O349" s="22">
        <v>0.49</v>
      </c>
      <c r="P349" s="22">
        <v>0.6</v>
      </c>
      <c r="Q349" s="22">
        <v>0.62</v>
      </c>
    </row>
    <row r="350">
      <c r="B350" s="19" t="s">
        <v>5</v>
      </c>
      <c r="C350" s="20">
        <v>0.74</v>
      </c>
      <c r="D350" s="20">
        <v>0.86</v>
      </c>
      <c r="E350" s="22">
        <v>0.81</v>
      </c>
      <c r="F350" s="22">
        <v>0.45</v>
      </c>
      <c r="G350" s="22">
        <v>0.55</v>
      </c>
      <c r="H350" s="22">
        <v>0.75</v>
      </c>
      <c r="I350" s="16"/>
      <c r="K350" s="19" t="s">
        <v>5</v>
      </c>
      <c r="L350" s="20">
        <v>0.92</v>
      </c>
      <c r="M350" s="20">
        <v>0.71</v>
      </c>
      <c r="N350" s="22">
        <v>0.75</v>
      </c>
      <c r="O350" s="22">
        <v>0.51</v>
      </c>
      <c r="P350" s="22">
        <v>0.62</v>
      </c>
      <c r="Q350" s="22">
        <v>0.56</v>
      </c>
    </row>
    <row r="351">
      <c r="B351" s="19" t="s">
        <v>6</v>
      </c>
      <c r="C351" s="20">
        <v>0.7</v>
      </c>
      <c r="D351" s="20">
        <v>0.85</v>
      </c>
      <c r="E351" s="22">
        <v>0.77</v>
      </c>
      <c r="F351" s="22">
        <v>0.44</v>
      </c>
      <c r="G351" s="22">
        <v>0.52</v>
      </c>
      <c r="H351" s="22">
        <v>0.68</v>
      </c>
      <c r="I351" s="16"/>
      <c r="K351" s="19" t="s">
        <v>6</v>
      </c>
      <c r="L351" s="20">
        <v>0.88</v>
      </c>
      <c r="M351" s="20">
        <v>0.67</v>
      </c>
      <c r="N351" s="22">
        <v>0.69</v>
      </c>
      <c r="O351" s="22">
        <v>0.44</v>
      </c>
      <c r="P351" s="22">
        <v>0.62</v>
      </c>
      <c r="Q351" s="22">
        <v>0.58</v>
      </c>
    </row>
    <row r="352">
      <c r="B352" s="19" t="s">
        <v>7</v>
      </c>
      <c r="C352" s="20">
        <v>0.79</v>
      </c>
      <c r="D352" s="20">
        <v>0.91</v>
      </c>
      <c r="E352" s="22">
        <v>0.82</v>
      </c>
      <c r="F352" s="22">
        <v>0.44</v>
      </c>
      <c r="G352" s="22">
        <v>0.54</v>
      </c>
      <c r="H352" s="22">
        <v>0.56</v>
      </c>
      <c r="I352" s="16"/>
      <c r="K352" s="19" t="s">
        <v>7</v>
      </c>
      <c r="L352" s="20">
        <v>0.98</v>
      </c>
      <c r="M352" s="20">
        <v>0.79</v>
      </c>
      <c r="N352" s="22">
        <v>0.59</v>
      </c>
      <c r="O352" s="22">
        <v>0.47</v>
      </c>
      <c r="P352" s="22">
        <v>0.66</v>
      </c>
      <c r="Q352" s="22">
        <v>0.51</v>
      </c>
    </row>
    <row r="353">
      <c r="B353" s="19" t="s">
        <v>8</v>
      </c>
      <c r="C353" s="20">
        <v>0.8</v>
      </c>
      <c r="D353" s="20">
        <v>0.93</v>
      </c>
      <c r="E353" s="22">
        <v>0.69</v>
      </c>
      <c r="F353" s="22">
        <v>0.44</v>
      </c>
      <c r="G353" s="22">
        <v>0.53</v>
      </c>
      <c r="H353" s="22">
        <v>0.28</v>
      </c>
      <c r="I353" s="16"/>
      <c r="K353" s="19" t="s">
        <v>8</v>
      </c>
      <c r="L353" s="20">
        <v>0.97</v>
      </c>
      <c r="M353" s="20">
        <v>0.8</v>
      </c>
      <c r="N353" s="22">
        <v>0.61</v>
      </c>
      <c r="O353" s="22">
        <v>0.47</v>
      </c>
      <c r="P353" s="22">
        <v>0.62</v>
      </c>
      <c r="Q353" s="22">
        <v>0.18</v>
      </c>
    </row>
    <row r="354">
      <c r="B354" s="19" t="s">
        <v>9</v>
      </c>
      <c r="C354" s="20">
        <v>0.8</v>
      </c>
      <c r="D354" s="20">
        <v>0.92</v>
      </c>
      <c r="E354" s="22">
        <v>0.77</v>
      </c>
      <c r="F354" s="22">
        <v>0.44</v>
      </c>
      <c r="G354" s="22">
        <v>0.56</v>
      </c>
      <c r="H354" s="22">
        <v>0.53</v>
      </c>
      <c r="I354" s="16"/>
      <c r="K354" s="19" t="s">
        <v>9</v>
      </c>
      <c r="L354" s="20">
        <v>0.97</v>
      </c>
      <c r="M354" s="20">
        <v>0.76</v>
      </c>
      <c r="N354" s="22">
        <v>0.64</v>
      </c>
      <c r="O354" s="22">
        <v>0.5</v>
      </c>
      <c r="P354" s="22">
        <v>0.63</v>
      </c>
      <c r="Q354" s="22">
        <v>0.45</v>
      </c>
    </row>
    <row r="355">
      <c r="B355" s="19" t="s">
        <v>10</v>
      </c>
      <c r="C355" s="20">
        <v>0.78</v>
      </c>
      <c r="D355" s="20">
        <v>0.91</v>
      </c>
      <c r="E355" s="22">
        <v>0.71</v>
      </c>
      <c r="F355" s="22">
        <v>0.47</v>
      </c>
      <c r="G355" s="22">
        <v>0.57</v>
      </c>
      <c r="H355" s="22">
        <v>0.35</v>
      </c>
      <c r="I355" s="16"/>
      <c r="K355" s="19" t="s">
        <v>10</v>
      </c>
      <c r="L355" s="20">
        <v>0.98</v>
      </c>
      <c r="M355" s="20">
        <v>0.77</v>
      </c>
      <c r="N355" s="22">
        <v>0.63</v>
      </c>
      <c r="O355" s="22">
        <v>0.55</v>
      </c>
      <c r="P355" s="22">
        <v>0.62</v>
      </c>
      <c r="Q355" s="22">
        <v>0.2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  <col customWidth="1" min="15" max="15" width="15.71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f>AVERAGE(CNN!C3, LSTM!C3, SVM!C3, NB!C3, RF!C3)</f>
        <v>0.1076</v>
      </c>
      <c r="D3" s="7">
        <f>AVERAGE(CNN!D3, LSTM!D3, SVM!D3, NB!D3, RF!D3)</f>
        <v>0.1444</v>
      </c>
      <c r="E3" s="7">
        <f>AVERAGE(CNN!E3, LSTM!E3, SVM!E3, NB!E3, RF!E3)</f>
        <v>0.1874</v>
      </c>
      <c r="F3" s="7">
        <f>AVERAGE(CNN!F3, LSTM!F3, SVM!F3, NB!F3, RF!F3)</f>
        <v>0.1436</v>
      </c>
      <c r="G3" s="7">
        <f>AVERAGE(CNN!G3, LSTM!G3, SVM!G3, NB!G3, RF!G3)</f>
        <v>0.1852</v>
      </c>
      <c r="H3" s="7">
        <f>AVERAGE(CNN!H3, LSTM!H3, SVM!H3, NB!H3, RF!H3)</f>
        <v>0.1238</v>
      </c>
      <c r="I3" s="7">
        <f>AVERAGE(CNN!I3, LSTM!I3, SVM!I3, NB!I3, RF!I3)</f>
        <v>0.1594</v>
      </c>
      <c r="J3" s="3"/>
      <c r="L3" s="6" t="s">
        <v>4</v>
      </c>
      <c r="M3" s="7">
        <f t="shared" ref="M3:S3" si="1">C3-$C$3</f>
        <v>0</v>
      </c>
      <c r="N3" s="7">
        <f t="shared" si="1"/>
        <v>0.0368</v>
      </c>
      <c r="O3" s="7">
        <f t="shared" si="1"/>
        <v>0.0798</v>
      </c>
      <c r="P3" s="7">
        <f t="shared" si="1"/>
        <v>0.036</v>
      </c>
      <c r="Q3" s="7">
        <f t="shared" si="1"/>
        <v>0.0776</v>
      </c>
      <c r="R3" s="7">
        <f t="shared" si="1"/>
        <v>0.0162</v>
      </c>
      <c r="S3" s="7">
        <f t="shared" si="1"/>
        <v>0.0518</v>
      </c>
    </row>
    <row r="4">
      <c r="B4" s="6" t="s">
        <v>5</v>
      </c>
      <c r="C4" s="7">
        <f>AVERAGE(CNN!C4, LSTM!C4, SVM!C4, NB!C4, RF!C4)</f>
        <v>0.1192</v>
      </c>
      <c r="D4" s="7">
        <f>AVERAGE(CNN!D4, LSTM!D4, SVM!D4, NB!D4, RF!D4)</f>
        <v>0.1544</v>
      </c>
      <c r="E4" s="7">
        <f>AVERAGE(CNN!E4, LSTM!E4, SVM!E4, NB!E4, RF!E4)</f>
        <v>0.1942</v>
      </c>
      <c r="F4" s="7">
        <f>AVERAGE(CNN!F4, LSTM!F4, SVM!F4, NB!F4, RF!F4)</f>
        <v>0.1566</v>
      </c>
      <c r="G4" s="7">
        <f>AVERAGE(CNN!G4, LSTM!G4, SVM!G4, NB!G4, RF!G4)</f>
        <v>0.2004</v>
      </c>
      <c r="H4" s="7">
        <f>AVERAGE(CNN!H4, LSTM!H4, SVM!H4, NB!H4, RF!H4)</f>
        <v>0.141</v>
      </c>
      <c r="I4" s="7">
        <f>AVERAGE(CNN!I4, LSTM!I4, SVM!I4, NB!I4, RF!I4)</f>
        <v>0.177</v>
      </c>
      <c r="J4" s="3"/>
      <c r="L4" s="6" t="s">
        <v>5</v>
      </c>
      <c r="M4" s="7">
        <f t="shared" ref="M4:S4" si="2">C4-$C$3</f>
        <v>0.0116</v>
      </c>
      <c r="N4" s="7">
        <f t="shared" si="2"/>
        <v>0.0468</v>
      </c>
      <c r="O4" s="7">
        <f t="shared" si="2"/>
        <v>0.0866</v>
      </c>
      <c r="P4" s="7">
        <f t="shared" si="2"/>
        <v>0.049</v>
      </c>
      <c r="Q4" s="7">
        <f t="shared" si="2"/>
        <v>0.0928</v>
      </c>
      <c r="R4" s="7">
        <f t="shared" si="2"/>
        <v>0.0334</v>
      </c>
      <c r="S4" s="7">
        <f t="shared" si="2"/>
        <v>0.0694</v>
      </c>
    </row>
    <row r="5">
      <c r="B5" s="6" t="s">
        <v>6</v>
      </c>
      <c r="C5" s="7">
        <f>AVERAGE(CNN!C5, LSTM!C5, SVM!C5, NB!C5, RF!C5)</f>
        <v>0.1316</v>
      </c>
      <c r="D5" s="7">
        <f>AVERAGE(CNN!D5, LSTM!D5, SVM!D5, NB!D5, RF!D5)</f>
        <v>0.1654</v>
      </c>
      <c r="E5" s="7">
        <f>AVERAGE(CNN!E5, LSTM!E5, SVM!E5, NB!E5, RF!E5)</f>
        <v>0.2042</v>
      </c>
      <c r="F5" s="7">
        <f>AVERAGE(CNN!F5, LSTM!F5, SVM!F5, NB!F5, RF!F5)</f>
        <v>0.1686</v>
      </c>
      <c r="G5" s="7">
        <f>AVERAGE(CNN!G5, LSTM!G5, SVM!G5, NB!G5, RF!G5)</f>
        <v>0.2116</v>
      </c>
      <c r="H5" s="7">
        <f>AVERAGE(CNN!H5, LSTM!H5, SVM!H5, NB!H5, RF!H5)</f>
        <v>0.1492</v>
      </c>
      <c r="I5" s="7">
        <f>AVERAGE(CNN!I5, LSTM!I5, SVM!I5, NB!I5, RF!I5)</f>
        <v>0.1838</v>
      </c>
      <c r="J5" s="3"/>
      <c r="L5" s="6" t="s">
        <v>6</v>
      </c>
      <c r="M5" s="7">
        <f t="shared" ref="M5:S5" si="3">C5-$C$3</f>
        <v>0.024</v>
      </c>
      <c r="N5" s="7">
        <f t="shared" si="3"/>
        <v>0.0578</v>
      </c>
      <c r="O5" s="7">
        <f t="shared" si="3"/>
        <v>0.0966</v>
      </c>
      <c r="P5" s="7">
        <f t="shared" si="3"/>
        <v>0.061</v>
      </c>
      <c r="Q5" s="7">
        <f t="shared" si="3"/>
        <v>0.104</v>
      </c>
      <c r="R5" s="7">
        <f t="shared" si="3"/>
        <v>0.0416</v>
      </c>
      <c r="S5" s="7">
        <f t="shared" si="3"/>
        <v>0.0762</v>
      </c>
    </row>
    <row r="6">
      <c r="B6" s="6" t="s">
        <v>7</v>
      </c>
      <c r="C6" s="7">
        <f>AVERAGE(CNN!C6, LSTM!C6, SVM!C6, NB!C6, RF!C6)</f>
        <v>0.1192</v>
      </c>
      <c r="D6" s="7">
        <f>AVERAGE(CNN!D6, LSTM!D6, SVM!D6, NB!D6, RF!D6)</f>
        <v>0.1542</v>
      </c>
      <c r="E6" s="7">
        <f>AVERAGE(CNN!E6, LSTM!E6, SVM!E6, NB!E6, RF!E6)</f>
        <v>0.195</v>
      </c>
      <c r="F6" s="7">
        <f>AVERAGE(CNN!F6, LSTM!F6, SVM!F6, NB!F6, RF!F6)</f>
        <v>0.1512</v>
      </c>
      <c r="G6" s="7">
        <f>AVERAGE(CNN!G6, LSTM!G6, SVM!G6, NB!G6, RF!G6)</f>
        <v>0.1904</v>
      </c>
      <c r="H6" s="7">
        <f>AVERAGE(CNN!H6, LSTM!H6, SVM!H6, NB!H6, RF!H6)</f>
        <v>0.1336</v>
      </c>
      <c r="I6" s="7">
        <f>AVERAGE(CNN!I6, LSTM!I6, SVM!I6, NB!I6, RF!I6)</f>
        <v>0.1656</v>
      </c>
      <c r="J6" s="3"/>
      <c r="L6" s="6" t="s">
        <v>7</v>
      </c>
      <c r="M6" s="7">
        <f t="shared" ref="M6:S6" si="4">C6-$C$3</f>
        <v>0.0116</v>
      </c>
      <c r="N6" s="7">
        <f t="shared" si="4"/>
        <v>0.0466</v>
      </c>
      <c r="O6" s="7">
        <f t="shared" si="4"/>
        <v>0.0874</v>
      </c>
      <c r="P6" s="7">
        <f t="shared" si="4"/>
        <v>0.0436</v>
      </c>
      <c r="Q6" s="7">
        <f t="shared" si="4"/>
        <v>0.0828</v>
      </c>
      <c r="R6" s="7">
        <f t="shared" si="4"/>
        <v>0.026</v>
      </c>
      <c r="S6" s="7">
        <f t="shared" si="4"/>
        <v>0.058</v>
      </c>
    </row>
    <row r="7">
      <c r="B7" s="6" t="s">
        <v>8</v>
      </c>
      <c r="C7" s="7">
        <f>AVERAGE(CNN!C7, LSTM!C7, SVM!C7, NB!C7, RF!C7)</f>
        <v>0.131</v>
      </c>
      <c r="D7" s="7">
        <f>AVERAGE(CNN!D7, LSTM!D7, SVM!D7, NB!D7, RF!D7)</f>
        <v>0.1636</v>
      </c>
      <c r="E7" s="7">
        <f>AVERAGE(CNN!E7, LSTM!E7, SVM!E7, NB!E7, RF!E7)</f>
        <v>0.2038</v>
      </c>
      <c r="F7" s="7">
        <f>AVERAGE(CNN!F7, LSTM!F7, SVM!F7, NB!F7, RF!F7)</f>
        <v>0.1614</v>
      </c>
      <c r="G7" s="7">
        <f>AVERAGE(CNN!G7, LSTM!G7, SVM!G7, NB!G7, RF!G7)</f>
        <v>0.1974</v>
      </c>
      <c r="H7" s="7">
        <f>AVERAGE(CNN!H7, LSTM!H7, SVM!H7, NB!H7, RF!H7)</f>
        <v>0.1424</v>
      </c>
      <c r="I7" s="7">
        <f>AVERAGE(CNN!I7, LSTM!I7, SVM!I7, NB!I7, RF!I7)</f>
        <v>0.1678</v>
      </c>
      <c r="J7" s="3"/>
      <c r="L7" s="6" t="s">
        <v>8</v>
      </c>
      <c r="M7" s="7">
        <f t="shared" ref="M7:S7" si="5">C7-$C$3</f>
        <v>0.0234</v>
      </c>
      <c r="N7" s="7">
        <f t="shared" si="5"/>
        <v>0.056</v>
      </c>
      <c r="O7" s="7">
        <f t="shared" si="5"/>
        <v>0.0962</v>
      </c>
      <c r="P7" s="7">
        <f t="shared" si="5"/>
        <v>0.0538</v>
      </c>
      <c r="Q7" s="7">
        <f t="shared" si="5"/>
        <v>0.0898</v>
      </c>
      <c r="R7" s="7">
        <f t="shared" si="5"/>
        <v>0.0348</v>
      </c>
      <c r="S7" s="7">
        <f t="shared" si="5"/>
        <v>0.0602</v>
      </c>
    </row>
    <row r="8">
      <c r="B8" s="6" t="s">
        <v>9</v>
      </c>
      <c r="C8" s="7">
        <f>AVERAGE(CNN!C8, LSTM!C8, SVM!C8, NB!C8, RF!C8)</f>
        <v>0.1186</v>
      </c>
      <c r="D8" s="7">
        <f>AVERAGE(CNN!D8, LSTM!D8, SVM!D8, NB!D8, RF!D8)</f>
        <v>0.1546</v>
      </c>
      <c r="E8" s="7">
        <f>AVERAGE(CNN!E8, LSTM!E8, SVM!E8, NB!E8, RF!E8)</f>
        <v>0.1942</v>
      </c>
      <c r="F8" s="7">
        <f>AVERAGE(CNN!F8, LSTM!F8, SVM!F8, NB!F8, RF!F8)</f>
        <v>0.1536</v>
      </c>
      <c r="G8" s="7">
        <f>AVERAGE(CNN!G8, LSTM!G8, SVM!G8, NB!G8, RF!G8)</f>
        <v>0.186</v>
      </c>
      <c r="H8" s="7">
        <f>AVERAGE(CNN!H8, LSTM!H8, SVM!H8, NB!H8, RF!H8)</f>
        <v>0.1274</v>
      </c>
      <c r="I8" s="7">
        <f>AVERAGE(CNN!I8, LSTM!I8, SVM!I8, NB!I8, RF!I8)</f>
        <v>0.1574</v>
      </c>
      <c r="J8" s="3"/>
      <c r="L8" s="6" t="s">
        <v>9</v>
      </c>
      <c r="M8" s="7">
        <f t="shared" ref="M8:S8" si="6">C8-$C$3</f>
        <v>0.011</v>
      </c>
      <c r="N8" s="7">
        <f t="shared" si="6"/>
        <v>0.047</v>
      </c>
      <c r="O8" s="7">
        <f t="shared" si="6"/>
        <v>0.0866</v>
      </c>
      <c r="P8" s="7">
        <f t="shared" si="6"/>
        <v>0.046</v>
      </c>
      <c r="Q8" s="7">
        <f t="shared" si="6"/>
        <v>0.0784</v>
      </c>
      <c r="R8" s="7">
        <f t="shared" si="6"/>
        <v>0.0198</v>
      </c>
      <c r="S8" s="7">
        <f t="shared" si="6"/>
        <v>0.0498</v>
      </c>
    </row>
    <row r="9">
      <c r="B9" s="6" t="s">
        <v>10</v>
      </c>
      <c r="C9" s="7">
        <f>AVERAGE(CNN!C9, LSTM!C9, SVM!C9, NB!C9, RF!C9)</f>
        <v>0.1284</v>
      </c>
      <c r="D9" s="7">
        <f>AVERAGE(CNN!D9, LSTM!D9, SVM!D9, NB!D9, RF!D9)</f>
        <v>0.16</v>
      </c>
      <c r="E9" s="7">
        <f>AVERAGE(CNN!E9, LSTM!E9, SVM!E9, NB!E9, RF!E9)</f>
        <v>0.2062</v>
      </c>
      <c r="F9" s="7">
        <f>AVERAGE(CNN!F9, LSTM!F9, SVM!F9, NB!F9, RF!F9)</f>
        <v>0.1594</v>
      </c>
      <c r="G9" s="7">
        <f>AVERAGE(CNN!G9, LSTM!G9, SVM!G9, NB!G9, RF!G9)</f>
        <v>0.1944</v>
      </c>
      <c r="H9" s="7">
        <f>AVERAGE(CNN!H9, LSTM!H9, SVM!H9, NB!H9, RF!H9)</f>
        <v>0.1344</v>
      </c>
      <c r="I9" s="7">
        <f>AVERAGE(CNN!I9, LSTM!I9, SVM!I9, NB!I9, RF!I9)</f>
        <v>0.1594</v>
      </c>
      <c r="J9" s="3"/>
      <c r="L9" s="6" t="s">
        <v>10</v>
      </c>
      <c r="M9" s="7">
        <f t="shared" ref="M9:S9" si="7">C9-$C$3</f>
        <v>0.0208</v>
      </c>
      <c r="N9" s="7">
        <f t="shared" si="7"/>
        <v>0.0524</v>
      </c>
      <c r="O9" s="7">
        <f t="shared" si="7"/>
        <v>0.0986</v>
      </c>
      <c r="P9" s="7">
        <f t="shared" si="7"/>
        <v>0.0518</v>
      </c>
      <c r="Q9" s="7">
        <f t="shared" si="7"/>
        <v>0.0868</v>
      </c>
      <c r="R9" s="7">
        <f t="shared" si="7"/>
        <v>0.0268</v>
      </c>
      <c r="S9" s="7">
        <f t="shared" si="7"/>
        <v>0.0518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f>AVERAGE(CNN!C13, LSTM!C13, SVM!C13, NB!C13, RF!C13)</f>
        <v>0.3108</v>
      </c>
      <c r="D13" s="7">
        <f>AVERAGE(CNN!D13, LSTM!D13, SVM!D13, NB!D13, RF!D13)</f>
        <v>0.338</v>
      </c>
      <c r="E13" s="7">
        <f>AVERAGE(CNN!E13, LSTM!E13, SVM!E13, NB!E13, RF!E13)</f>
        <v>0.3714</v>
      </c>
      <c r="F13" s="7">
        <f>AVERAGE(CNN!F13, LSTM!F13, SVM!F13, NB!F13, RF!F13)</f>
        <v>0.3406</v>
      </c>
      <c r="G13" s="7">
        <f>AVERAGE(CNN!G13, LSTM!G13, SVM!G13, NB!G13, RF!G13)</f>
        <v>0.3688</v>
      </c>
      <c r="H13" s="7">
        <f>AVERAGE(CNN!H13, LSTM!H13, SVM!H13, NB!H13, RF!H13)</f>
        <v>0.3378</v>
      </c>
      <c r="I13" s="7">
        <f>AVERAGE(CNN!I13, LSTM!I13, SVM!I13, NB!I13, RF!I13)</f>
        <v>0.3626</v>
      </c>
      <c r="J13" s="3"/>
      <c r="L13" s="6" t="s">
        <v>4</v>
      </c>
      <c r="M13" s="7">
        <f t="shared" ref="M13:S13" si="8">C13-$C$13</f>
        <v>0</v>
      </c>
      <c r="N13" s="7">
        <f t="shared" si="8"/>
        <v>0.0272</v>
      </c>
      <c r="O13" s="7">
        <f t="shared" si="8"/>
        <v>0.0606</v>
      </c>
      <c r="P13" s="7">
        <f t="shared" si="8"/>
        <v>0.0298</v>
      </c>
      <c r="Q13" s="7">
        <f t="shared" si="8"/>
        <v>0.058</v>
      </c>
      <c r="R13" s="7">
        <f t="shared" si="8"/>
        <v>0.027</v>
      </c>
      <c r="S13" s="7">
        <f t="shared" si="8"/>
        <v>0.0518</v>
      </c>
    </row>
    <row r="14">
      <c r="B14" s="6" t="s">
        <v>5</v>
      </c>
      <c r="C14" s="7">
        <f>AVERAGE(CNN!C14, LSTM!C14, SVM!C14, NB!C14, RF!C14)</f>
        <v>0.3276</v>
      </c>
      <c r="D14" s="7">
        <f>AVERAGE(CNN!D14, LSTM!D14, SVM!D14, NB!D14, RF!D14)</f>
        <v>0.354</v>
      </c>
      <c r="E14" s="7">
        <f>AVERAGE(CNN!E14, LSTM!E14, SVM!E14, NB!E14, RF!E14)</f>
        <v>0.3856</v>
      </c>
      <c r="F14" s="7">
        <f>AVERAGE(CNN!F14, LSTM!F14, SVM!F14, NB!F14, RF!F14)</f>
        <v>0.3528</v>
      </c>
      <c r="G14" s="7">
        <f>AVERAGE(CNN!G14, LSTM!G14, SVM!G14, NB!G14, RF!G14)</f>
        <v>0.375</v>
      </c>
      <c r="H14" s="7">
        <f>AVERAGE(CNN!H14, LSTM!H14, SVM!H14, NB!H14, RF!H14)</f>
        <v>0.3504</v>
      </c>
      <c r="I14" s="7">
        <f>AVERAGE(CNN!I14, LSTM!I14, SVM!I14, NB!I14, RF!I14)</f>
        <v>0.3712</v>
      </c>
      <c r="J14" s="3"/>
      <c r="L14" s="6" t="s">
        <v>5</v>
      </c>
      <c r="M14" s="7">
        <f t="shared" ref="M14:S14" si="9">C14-$C$13</f>
        <v>0.0168</v>
      </c>
      <c r="N14" s="7">
        <f t="shared" si="9"/>
        <v>0.0432</v>
      </c>
      <c r="O14" s="7">
        <f t="shared" si="9"/>
        <v>0.0748</v>
      </c>
      <c r="P14" s="7">
        <f t="shared" si="9"/>
        <v>0.042</v>
      </c>
      <c r="Q14" s="7">
        <f t="shared" si="9"/>
        <v>0.0642</v>
      </c>
      <c r="R14" s="7">
        <f t="shared" si="9"/>
        <v>0.0396</v>
      </c>
      <c r="S14" s="7">
        <f t="shared" si="9"/>
        <v>0.0604</v>
      </c>
    </row>
    <row r="15">
      <c r="B15" s="6" t="s">
        <v>6</v>
      </c>
      <c r="C15" s="7">
        <f>AVERAGE(CNN!C15, LSTM!C15, SVM!C15, NB!C15, RF!C15)</f>
        <v>0.3238</v>
      </c>
      <c r="D15" s="7">
        <f>AVERAGE(CNN!D15, LSTM!D15, SVM!D15, NB!D15, RF!D15)</f>
        <v>0.3496</v>
      </c>
      <c r="E15" s="7">
        <f>AVERAGE(CNN!E15, LSTM!E15, SVM!E15, NB!E15, RF!E15)</f>
        <v>0.3814</v>
      </c>
      <c r="F15" s="7">
        <f>AVERAGE(CNN!F15, LSTM!F15, SVM!F15, NB!F15, RF!F15)</f>
        <v>0.353</v>
      </c>
      <c r="G15" s="7">
        <f>AVERAGE(CNN!G15, LSTM!G15, SVM!G15, NB!G15, RF!G15)</f>
        <v>0.3796</v>
      </c>
      <c r="H15" s="7">
        <f>AVERAGE(CNN!H15, LSTM!H15, SVM!H15, NB!H15, RF!H15)</f>
        <v>0.35</v>
      </c>
      <c r="I15" s="7">
        <f>AVERAGE(CNN!I15, LSTM!I15, SVM!I15, NB!I15, RF!I15)</f>
        <v>0.374</v>
      </c>
      <c r="J15" s="3"/>
      <c r="L15" s="6" t="s">
        <v>6</v>
      </c>
      <c r="M15" s="7">
        <f t="shared" ref="M15:S15" si="10">C15-$C$13</f>
        <v>0.013</v>
      </c>
      <c r="N15" s="7">
        <f t="shared" si="10"/>
        <v>0.0388</v>
      </c>
      <c r="O15" s="7">
        <f t="shared" si="10"/>
        <v>0.0706</v>
      </c>
      <c r="P15" s="7">
        <f t="shared" si="10"/>
        <v>0.0422</v>
      </c>
      <c r="Q15" s="7">
        <f t="shared" si="10"/>
        <v>0.0688</v>
      </c>
      <c r="R15" s="7">
        <f t="shared" si="10"/>
        <v>0.0392</v>
      </c>
      <c r="S15" s="7">
        <f t="shared" si="10"/>
        <v>0.0632</v>
      </c>
    </row>
    <row r="16">
      <c r="B16" s="6" t="s">
        <v>7</v>
      </c>
      <c r="C16" s="7">
        <f>AVERAGE(CNN!C16, LSTM!C16, SVM!C16, NB!C16, RF!C16)</f>
        <v>0.3258</v>
      </c>
      <c r="D16" s="7">
        <f>AVERAGE(CNN!D16, LSTM!D16, SVM!D16, NB!D16, RF!D16)</f>
        <v>0.3518</v>
      </c>
      <c r="E16" s="7">
        <f>AVERAGE(CNN!E16, LSTM!E16, SVM!E16, NB!E16, RF!E16)</f>
        <v>0.3848</v>
      </c>
      <c r="F16" s="7">
        <f>AVERAGE(CNN!F16, LSTM!F16, SVM!F16, NB!F16, RF!F16)</f>
        <v>0.355</v>
      </c>
      <c r="G16" s="7">
        <f>AVERAGE(CNN!G16, LSTM!G16, SVM!G16, NB!G16, RF!G16)</f>
        <v>0.3826</v>
      </c>
      <c r="H16" s="7">
        <f>AVERAGE(CNN!H16, LSTM!H16, SVM!H16, NB!H16, RF!H16)</f>
        <v>0.3524</v>
      </c>
      <c r="I16" s="7">
        <f>AVERAGE(CNN!I16, LSTM!I16, SVM!I16, NB!I16, RF!I16)</f>
        <v>0.3776</v>
      </c>
      <c r="J16" s="3"/>
      <c r="L16" s="6" t="s">
        <v>7</v>
      </c>
      <c r="M16" s="7">
        <f t="shared" ref="M16:S16" si="11">C16-$C$13</f>
        <v>0.015</v>
      </c>
      <c r="N16" s="7">
        <f t="shared" si="11"/>
        <v>0.041</v>
      </c>
      <c r="O16" s="7">
        <f t="shared" si="11"/>
        <v>0.074</v>
      </c>
      <c r="P16" s="7">
        <f t="shared" si="11"/>
        <v>0.0442</v>
      </c>
      <c r="Q16" s="7">
        <f t="shared" si="11"/>
        <v>0.0718</v>
      </c>
      <c r="R16" s="7">
        <f t="shared" si="11"/>
        <v>0.0416</v>
      </c>
      <c r="S16" s="7">
        <f t="shared" si="11"/>
        <v>0.0668</v>
      </c>
    </row>
    <row r="17">
      <c r="B17" s="6" t="s">
        <v>8</v>
      </c>
      <c r="C17" s="7">
        <f>AVERAGE(CNN!C17, LSTM!C17, SVM!C17, NB!C17, RF!C17)</f>
        <v>0.3574</v>
      </c>
      <c r="D17" s="7">
        <f>AVERAGE(CNN!D17, LSTM!D17, SVM!D17, NB!D17, RF!D17)</f>
        <v>0.3816</v>
      </c>
      <c r="E17" s="7">
        <f>AVERAGE(CNN!E17, LSTM!E17, SVM!E17, NB!E17, RF!E17)</f>
        <v>0.4118</v>
      </c>
      <c r="F17" s="7">
        <f>AVERAGE(CNN!F17, LSTM!F17, SVM!F17, NB!F17, RF!F17)</f>
        <v>0.388</v>
      </c>
      <c r="G17" s="7">
        <f>AVERAGE(CNN!G17, LSTM!G17, SVM!G17, NB!G17, RF!G17)</f>
        <v>0.418</v>
      </c>
      <c r="H17" s="7">
        <f>AVERAGE(CNN!H17, LSTM!H17, SVM!H17, NB!H17, RF!H17)</f>
        <v>0.385</v>
      </c>
      <c r="I17" s="7">
        <f>AVERAGE(CNN!I17, LSTM!I17, SVM!I17, NB!I17, RF!I17)</f>
        <v>0.4116</v>
      </c>
      <c r="J17" s="3"/>
      <c r="L17" s="6" t="s">
        <v>8</v>
      </c>
      <c r="M17" s="7">
        <f t="shared" ref="M17:S17" si="12">C17-$C$13</f>
        <v>0.0466</v>
      </c>
      <c r="N17" s="7">
        <f t="shared" si="12"/>
        <v>0.0708</v>
      </c>
      <c r="O17" s="7">
        <f t="shared" si="12"/>
        <v>0.101</v>
      </c>
      <c r="P17" s="7">
        <f t="shared" si="12"/>
        <v>0.0772</v>
      </c>
      <c r="Q17" s="7">
        <f t="shared" si="12"/>
        <v>0.1072</v>
      </c>
      <c r="R17" s="7">
        <f t="shared" si="12"/>
        <v>0.0742</v>
      </c>
      <c r="S17" s="7">
        <f t="shared" si="12"/>
        <v>0.1008</v>
      </c>
    </row>
    <row r="18">
      <c r="B18" s="6" t="s">
        <v>9</v>
      </c>
      <c r="C18" s="7">
        <f>AVERAGE(CNN!C18, LSTM!C18, SVM!C18, NB!C18, RF!C18)</f>
        <v>0.3192</v>
      </c>
      <c r="D18" s="7">
        <f>AVERAGE(CNN!D18, LSTM!D18, SVM!D18, NB!D18, RF!D18)</f>
        <v>0.3448</v>
      </c>
      <c r="E18" s="7">
        <f>AVERAGE(CNN!E18, LSTM!E18, SVM!E18, NB!E18, RF!E18)</f>
        <v>0.3788</v>
      </c>
      <c r="F18" s="7">
        <f>AVERAGE(CNN!F18, LSTM!F18, SVM!F18, NB!F18, RF!F18)</f>
        <v>0.3504</v>
      </c>
      <c r="G18" s="7">
        <f>AVERAGE(CNN!G18, LSTM!G18, SVM!G18, NB!G18, RF!G18)</f>
        <v>0.3792</v>
      </c>
      <c r="H18" s="7">
        <f>AVERAGE(CNN!H18, LSTM!H18, SVM!H18, NB!H18, RF!H18)</f>
        <v>0.3474</v>
      </c>
      <c r="I18" s="7">
        <f>AVERAGE(CNN!I18, LSTM!I18, SVM!I18, NB!I18, RF!I18)</f>
        <v>0.374</v>
      </c>
      <c r="J18" s="3"/>
      <c r="L18" s="6" t="s">
        <v>9</v>
      </c>
      <c r="M18" s="7">
        <f t="shared" ref="M18:S18" si="13">C18-$C$13</f>
        <v>0.0084</v>
      </c>
      <c r="N18" s="7">
        <f t="shared" si="13"/>
        <v>0.034</v>
      </c>
      <c r="O18" s="7">
        <f t="shared" si="13"/>
        <v>0.068</v>
      </c>
      <c r="P18" s="7">
        <f t="shared" si="13"/>
        <v>0.0396</v>
      </c>
      <c r="Q18" s="7">
        <f t="shared" si="13"/>
        <v>0.0684</v>
      </c>
      <c r="R18" s="7">
        <f t="shared" si="13"/>
        <v>0.0366</v>
      </c>
      <c r="S18" s="7">
        <f t="shared" si="13"/>
        <v>0.0632</v>
      </c>
    </row>
    <row r="19">
      <c r="B19" s="6" t="s">
        <v>10</v>
      </c>
      <c r="C19" s="7">
        <f>AVERAGE(CNN!C19, LSTM!C19, SVM!C19, NB!C19, RF!C19)</f>
        <v>0.341</v>
      </c>
      <c r="D19" s="7">
        <f>AVERAGE(CNN!D19, LSTM!D19, SVM!D19, NB!D19, RF!D19)</f>
        <v>0.3654</v>
      </c>
      <c r="E19" s="7">
        <f>AVERAGE(CNN!E19, LSTM!E19, SVM!E19, NB!E19, RF!E19)</f>
        <v>0.3974</v>
      </c>
      <c r="F19" s="7">
        <f>AVERAGE(CNN!F19, LSTM!F19, SVM!F19, NB!F19, RF!F19)</f>
        <v>0.372</v>
      </c>
      <c r="G19" s="7">
        <f>AVERAGE(CNN!G19, LSTM!G19, SVM!G19, NB!G19, RF!G19)</f>
        <v>0.4004</v>
      </c>
      <c r="H19" s="7">
        <f>AVERAGE(CNN!H19, LSTM!H19, SVM!H19, NB!H19, RF!H19)</f>
        <v>0.369</v>
      </c>
      <c r="I19" s="7">
        <f>AVERAGE(CNN!I19, LSTM!I19, SVM!I19, NB!I19, RF!I19)</f>
        <v>0.3944</v>
      </c>
      <c r="J19" s="3"/>
      <c r="L19" s="6" t="s">
        <v>10</v>
      </c>
      <c r="M19" s="7">
        <f t="shared" ref="M19:S19" si="14">C19-$C$13</f>
        <v>0.0302</v>
      </c>
      <c r="N19" s="7">
        <f t="shared" si="14"/>
        <v>0.0546</v>
      </c>
      <c r="O19" s="7">
        <f t="shared" si="14"/>
        <v>0.0866</v>
      </c>
      <c r="P19" s="7">
        <f t="shared" si="14"/>
        <v>0.0612</v>
      </c>
      <c r="Q19" s="7">
        <f t="shared" si="14"/>
        <v>0.0896</v>
      </c>
      <c r="R19" s="7">
        <f t="shared" si="14"/>
        <v>0.0582</v>
      </c>
      <c r="S19" s="7">
        <f t="shared" si="14"/>
        <v>0.0836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f>AVERAGE(CNN!C23, LSTM!C23, SVM!C23, NB!C23, RF!C23)</f>
        <v>0.4602</v>
      </c>
      <c r="D23" s="7">
        <f>AVERAGE(CNN!D23, LSTM!D23, SVM!D23, NB!D23, RF!D23)</f>
        <v>0.4652</v>
      </c>
      <c r="E23" s="7">
        <f>AVERAGE(CNN!E23, LSTM!E23, SVM!E23, NB!E23, RF!E23)</f>
        <v>0.4678</v>
      </c>
      <c r="F23" s="7">
        <f>AVERAGE(CNN!F23, LSTM!F23, SVM!F23, NB!F23, RF!F23)</f>
        <v>0.4642</v>
      </c>
      <c r="G23" s="7">
        <f>AVERAGE(CNN!G23, LSTM!G23, SVM!G23, NB!G23, RF!G23)</f>
        <v>0.4682</v>
      </c>
      <c r="H23" s="7">
        <f>AVERAGE(CNN!H23, LSTM!H23, SVM!H23, NB!H23, RF!H23)</f>
        <v>0.4634</v>
      </c>
      <c r="I23" s="7">
        <f>AVERAGE(CNN!I23, LSTM!I23, SVM!I23, NB!I23, RF!I23)</f>
        <v>0.4646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0.005</v>
      </c>
      <c r="O23" s="7">
        <f t="shared" si="15"/>
        <v>0.0076</v>
      </c>
      <c r="P23" s="7">
        <f t="shared" si="15"/>
        <v>0.004</v>
      </c>
      <c r="Q23" s="7">
        <f t="shared" si="15"/>
        <v>0.008</v>
      </c>
      <c r="R23" s="7">
        <f t="shared" si="15"/>
        <v>0.0032</v>
      </c>
      <c r="S23" s="7">
        <f t="shared" si="15"/>
        <v>0.0044</v>
      </c>
    </row>
    <row r="24">
      <c r="B24" s="6" t="s">
        <v>5</v>
      </c>
      <c r="C24" s="7">
        <f>AVERAGE(CNN!C24, LSTM!C24, SVM!C24, NB!C24, RF!C24)</f>
        <v>0.4632</v>
      </c>
      <c r="D24" s="7">
        <f>AVERAGE(CNN!D24, LSTM!D24, SVM!D24, NB!D24, RF!D24)</f>
        <v>0.4678</v>
      </c>
      <c r="E24" s="7">
        <f>AVERAGE(CNN!E24, LSTM!E24, SVM!E24, NB!E24, RF!E24)</f>
        <v>0.4696</v>
      </c>
      <c r="F24" s="7">
        <f>AVERAGE(CNN!F24, LSTM!F24, SVM!F24, NB!F24, RF!F24)</f>
        <v>0.4688</v>
      </c>
      <c r="G24" s="7">
        <f>AVERAGE(CNN!G24, LSTM!G24, SVM!G24, NB!G24, RF!G24)</f>
        <v>0.4734</v>
      </c>
      <c r="H24" s="7">
        <f>AVERAGE(CNN!H24, LSTM!H24, SVM!H24, NB!H24, RF!H24)</f>
        <v>0.4668</v>
      </c>
      <c r="I24" s="7">
        <f>AVERAGE(CNN!I24, LSTM!I24, SVM!I24, NB!I24, RF!I24)</f>
        <v>0.4702</v>
      </c>
      <c r="J24" s="3"/>
      <c r="L24" s="6" t="s">
        <v>5</v>
      </c>
      <c r="M24" s="7">
        <f t="shared" ref="M24:S24" si="16">C24-$C$23</f>
        <v>0.003</v>
      </c>
      <c r="N24" s="7">
        <f t="shared" si="16"/>
        <v>0.0076</v>
      </c>
      <c r="O24" s="7">
        <f t="shared" si="16"/>
        <v>0.0094</v>
      </c>
      <c r="P24" s="7">
        <f t="shared" si="16"/>
        <v>0.0086</v>
      </c>
      <c r="Q24" s="7">
        <f t="shared" si="16"/>
        <v>0.0132</v>
      </c>
      <c r="R24" s="7">
        <f t="shared" si="16"/>
        <v>0.0066</v>
      </c>
      <c r="S24" s="7">
        <f t="shared" si="16"/>
        <v>0.01</v>
      </c>
    </row>
    <row r="25">
      <c r="B25" s="6" t="s">
        <v>6</v>
      </c>
      <c r="C25" s="7">
        <f>AVERAGE(CNN!C25, LSTM!C25, SVM!C25, NB!C25, RF!C25)</f>
        <v>0.4626</v>
      </c>
      <c r="D25" s="7">
        <f>AVERAGE(CNN!D25, LSTM!D25, SVM!D25, NB!D25, RF!D25)</f>
        <v>0.4672</v>
      </c>
      <c r="E25" s="7">
        <f>AVERAGE(CNN!E25, LSTM!E25, SVM!E25, NB!E25, RF!E25)</f>
        <v>0.4698</v>
      </c>
      <c r="F25" s="7">
        <f>AVERAGE(CNN!F25, LSTM!F25, SVM!F25, NB!F25, RF!F25)</f>
        <v>0.467</v>
      </c>
      <c r="G25" s="7">
        <f>AVERAGE(CNN!G25, LSTM!G25, SVM!G25, NB!G25, RF!G25)</f>
        <v>0.4724</v>
      </c>
      <c r="H25" s="7">
        <f>AVERAGE(CNN!H25, LSTM!H25, SVM!H25, NB!H25, RF!H25)</f>
        <v>0.4666</v>
      </c>
      <c r="I25" s="7">
        <f>AVERAGE(CNN!I25, LSTM!I25, SVM!I25, NB!I25, RF!I25)</f>
        <v>0.4704</v>
      </c>
      <c r="J25" s="3"/>
      <c r="L25" s="6" t="s">
        <v>6</v>
      </c>
      <c r="M25" s="7">
        <f t="shared" ref="M25:S25" si="17">C25-$C$23</f>
        <v>0.0024</v>
      </c>
      <c r="N25" s="7">
        <f t="shared" si="17"/>
        <v>0.007</v>
      </c>
      <c r="O25" s="7">
        <f t="shared" si="17"/>
        <v>0.0096</v>
      </c>
      <c r="P25" s="7">
        <f t="shared" si="17"/>
        <v>0.0068</v>
      </c>
      <c r="Q25" s="7">
        <f t="shared" si="17"/>
        <v>0.0122</v>
      </c>
      <c r="R25" s="7">
        <f t="shared" si="17"/>
        <v>0.0064</v>
      </c>
      <c r="S25" s="7">
        <f t="shared" si="17"/>
        <v>0.0102</v>
      </c>
    </row>
    <row r="26">
      <c r="B26" s="6" t="s">
        <v>7</v>
      </c>
      <c r="C26" s="7">
        <f>AVERAGE(CNN!C26, LSTM!C26, SVM!C26, NB!C26, RF!C26)</f>
        <v>0.472</v>
      </c>
      <c r="D26" s="7">
        <f>AVERAGE(CNN!D26, LSTM!D26, SVM!D26, NB!D26, RF!D26)</f>
        <v>0.476</v>
      </c>
      <c r="E26" s="7">
        <f>AVERAGE(CNN!E26, LSTM!E26, SVM!E26, NB!E26, RF!E26)</f>
        <v>0.4772</v>
      </c>
      <c r="F26" s="7">
        <f>AVERAGE(CNN!F26, LSTM!F26, SVM!F26, NB!F26, RF!F26)</f>
        <v>0.4694</v>
      </c>
      <c r="G26" s="7">
        <f>AVERAGE(CNN!G26, LSTM!G26, SVM!G26, NB!G26, RF!G26)</f>
        <v>0.4666</v>
      </c>
      <c r="H26" s="7">
        <f>AVERAGE(CNN!H26, LSTM!H26, SVM!H26, NB!H26, RF!H26)</f>
        <v>0.4694</v>
      </c>
      <c r="I26" s="7">
        <f>AVERAGE(CNN!I26, LSTM!I26, SVM!I26, NB!I26, RF!I26)</f>
        <v>0.4648</v>
      </c>
      <c r="J26" s="3"/>
      <c r="L26" s="6" t="s">
        <v>7</v>
      </c>
      <c r="M26" s="7">
        <f t="shared" ref="M26:S26" si="18">C26-$C$23</f>
        <v>0.0118</v>
      </c>
      <c r="N26" s="7">
        <f t="shared" si="18"/>
        <v>0.0158</v>
      </c>
      <c r="O26" s="7">
        <f t="shared" si="18"/>
        <v>0.017</v>
      </c>
      <c r="P26" s="7">
        <f t="shared" si="18"/>
        <v>0.0092</v>
      </c>
      <c r="Q26" s="7">
        <f t="shared" si="18"/>
        <v>0.0064</v>
      </c>
      <c r="R26" s="7">
        <f t="shared" si="18"/>
        <v>0.0092</v>
      </c>
      <c r="S26" s="7">
        <f t="shared" si="18"/>
        <v>0.0046</v>
      </c>
    </row>
    <row r="27">
      <c r="B27" s="6" t="s">
        <v>8</v>
      </c>
      <c r="C27" s="7">
        <f>AVERAGE(CNN!C27, LSTM!C27, SVM!C27, NB!C27, RF!C27)</f>
        <v>0.4756</v>
      </c>
      <c r="D27" s="7">
        <f>AVERAGE(CNN!D27, LSTM!D27, SVM!D27, NB!D27, RF!D27)</f>
        <v>0.4804</v>
      </c>
      <c r="E27" s="7">
        <f>AVERAGE(CNN!E27, LSTM!E27, SVM!E27, NB!E27, RF!E27)</f>
        <v>0.4792</v>
      </c>
      <c r="F27" s="7">
        <f>AVERAGE(CNN!F27, LSTM!F27, SVM!F27, NB!F27, RF!F27)</f>
        <v>0.4692</v>
      </c>
      <c r="G27" s="7">
        <f>AVERAGE(CNN!G27, LSTM!G27, SVM!G27, NB!G27, RF!G27)</f>
        <v>0.4614</v>
      </c>
      <c r="H27" s="7">
        <f>AVERAGE(CNN!H27, LSTM!H27, SVM!H27, NB!H27, RF!H27)</f>
        <v>0.4694</v>
      </c>
      <c r="I27" s="7">
        <f>AVERAGE(CNN!I27, LSTM!I27, SVM!I27, NB!I27, RF!I27)</f>
        <v>0.4606</v>
      </c>
      <c r="J27" s="3"/>
      <c r="L27" s="6" t="s">
        <v>8</v>
      </c>
      <c r="M27" s="7">
        <f t="shared" ref="M27:S27" si="19">C27-$C$23</f>
        <v>0.0154</v>
      </c>
      <c r="N27" s="7">
        <f t="shared" si="19"/>
        <v>0.0202</v>
      </c>
      <c r="O27" s="7">
        <f t="shared" si="19"/>
        <v>0.019</v>
      </c>
      <c r="P27" s="7">
        <f t="shared" si="19"/>
        <v>0.009</v>
      </c>
      <c r="Q27" s="7">
        <f t="shared" si="19"/>
        <v>0.0012</v>
      </c>
      <c r="R27" s="7">
        <f t="shared" si="19"/>
        <v>0.0092</v>
      </c>
      <c r="S27" s="7">
        <f t="shared" si="19"/>
        <v>0.0004</v>
      </c>
    </row>
    <row r="28">
      <c r="B28" s="6" t="s">
        <v>9</v>
      </c>
      <c r="C28" s="7">
        <f>AVERAGE(CNN!C28, LSTM!C28, SVM!C28, NB!C28, RF!C28)</f>
        <v>0.4662</v>
      </c>
      <c r="D28" s="7">
        <f>AVERAGE(CNN!D28, LSTM!D28, SVM!D28, NB!D28, RF!D28)</f>
        <v>0.4704</v>
      </c>
      <c r="E28" s="7">
        <f>AVERAGE(CNN!E28, LSTM!E28, SVM!E28, NB!E28, RF!E28)</f>
        <v>0.4722</v>
      </c>
      <c r="F28" s="7">
        <f>AVERAGE(CNN!F28, LSTM!F28, SVM!F28, NB!F28, RF!F28)</f>
        <v>0.4664</v>
      </c>
      <c r="G28" s="7">
        <f>AVERAGE(CNN!G28, LSTM!G28, SVM!G28, NB!G28, RF!G28)</f>
        <v>0.4646</v>
      </c>
      <c r="H28" s="7">
        <f>AVERAGE(CNN!H28, LSTM!H28, SVM!H28, NB!H28, RF!H28)</f>
        <v>0.4658</v>
      </c>
      <c r="I28" s="7">
        <f>AVERAGE(CNN!I28, LSTM!I28, SVM!I28, NB!I28, RF!I28)</f>
        <v>0.4626</v>
      </c>
      <c r="J28" s="3"/>
      <c r="L28" s="6" t="s">
        <v>9</v>
      </c>
      <c r="M28" s="7">
        <f t="shared" ref="M28:S28" si="20">C28-$C$23</f>
        <v>0.006</v>
      </c>
      <c r="N28" s="7">
        <f t="shared" si="20"/>
        <v>0.0102</v>
      </c>
      <c r="O28" s="7">
        <f t="shared" si="20"/>
        <v>0.012</v>
      </c>
      <c r="P28" s="7">
        <f t="shared" si="20"/>
        <v>0.0062</v>
      </c>
      <c r="Q28" s="7">
        <f t="shared" si="20"/>
        <v>0.0044</v>
      </c>
      <c r="R28" s="7">
        <f t="shared" si="20"/>
        <v>0.0056</v>
      </c>
      <c r="S28" s="7">
        <f t="shared" si="20"/>
        <v>0.0024</v>
      </c>
    </row>
    <row r="29">
      <c r="B29" s="6" t="s">
        <v>10</v>
      </c>
      <c r="C29" s="7">
        <f>AVERAGE(CNN!C29, LSTM!C29, SVM!C29, NB!C29, RF!C29)</f>
        <v>0.4756</v>
      </c>
      <c r="D29" s="7">
        <f>AVERAGE(CNN!D29, LSTM!D29, SVM!D29, NB!D29, RF!D29)</f>
        <v>0.4796</v>
      </c>
      <c r="E29" s="7">
        <f>AVERAGE(CNN!E29, LSTM!E29, SVM!E29, NB!E29, RF!E29)</f>
        <v>0.48</v>
      </c>
      <c r="F29" s="7">
        <f>AVERAGE(CNN!F29, LSTM!F29, SVM!F29, NB!F29, RF!F29)</f>
        <v>0.4702</v>
      </c>
      <c r="G29" s="7">
        <f>AVERAGE(CNN!G29, LSTM!G29, SVM!G29, NB!G29, RF!G29)</f>
        <v>0.4628</v>
      </c>
      <c r="H29" s="7">
        <f>AVERAGE(CNN!H29, LSTM!H29, SVM!H29, NB!H29, RF!H29)</f>
        <v>0.4708</v>
      </c>
      <c r="I29" s="7">
        <f>AVERAGE(CNN!I29, LSTM!I29, SVM!I29, NB!I29, RF!I29)</f>
        <v>0.4624</v>
      </c>
      <c r="J29" s="3"/>
      <c r="L29" s="6" t="s">
        <v>10</v>
      </c>
      <c r="M29" s="7">
        <f t="shared" ref="M29:S29" si="21">C29-$C$23</f>
        <v>0.0154</v>
      </c>
      <c r="N29" s="7">
        <f t="shared" si="21"/>
        <v>0.0194</v>
      </c>
      <c r="O29" s="7">
        <f t="shared" si="21"/>
        <v>0.0198</v>
      </c>
      <c r="P29" s="7">
        <f t="shared" si="21"/>
        <v>0.01</v>
      </c>
      <c r="Q29" s="7">
        <f t="shared" si="21"/>
        <v>0.0026</v>
      </c>
      <c r="R29" s="7">
        <f t="shared" si="21"/>
        <v>0.0106</v>
      </c>
      <c r="S29" s="7">
        <f t="shared" si="21"/>
        <v>0.0022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f>AVERAGE(CNN!C33, LSTM!C33, SVM!C33, NB!C33, RF!C33)</f>
        <v>0.4702</v>
      </c>
      <c r="D33" s="7">
        <f>AVERAGE(CNN!D33, LSTM!D33, SVM!D33, NB!D33, RF!D33)</f>
        <v>0.4684</v>
      </c>
      <c r="E33" s="7">
        <f>AVERAGE(CNN!E33, LSTM!E33, SVM!E33, NB!E33, RF!E33)</f>
        <v>0.4864</v>
      </c>
      <c r="F33" s="7">
        <f>AVERAGE(CNN!F33, LSTM!F33, SVM!F33, NB!F33, RF!F33)</f>
        <v>0.5068</v>
      </c>
      <c r="G33" s="7">
        <f>AVERAGE(CNN!G33, LSTM!G33, SVM!G33, NB!G33, RF!G33)</f>
        <v>0.5438</v>
      </c>
      <c r="H33" s="7">
        <f>AVERAGE(CNN!H33, LSTM!H33, SVM!H33, NB!H33, RF!H33)</f>
        <v>0.5066</v>
      </c>
      <c r="I33" s="7">
        <f>AVERAGE(CNN!I33, LSTM!I33, SVM!I33, NB!I33, RF!I33)</f>
        <v>0.5434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-0.0018</v>
      </c>
      <c r="O33" s="7">
        <f t="shared" si="22"/>
        <v>0.0162</v>
      </c>
      <c r="P33" s="7">
        <f t="shared" si="22"/>
        <v>0.0366</v>
      </c>
      <c r="Q33" s="7">
        <f t="shared" si="22"/>
        <v>0.0736</v>
      </c>
      <c r="R33" s="7">
        <f t="shared" si="22"/>
        <v>0.0364</v>
      </c>
      <c r="S33" s="7">
        <f t="shared" si="22"/>
        <v>0.0732</v>
      </c>
    </row>
    <row r="34">
      <c r="B34" s="6" t="s">
        <v>5</v>
      </c>
      <c r="C34" s="7">
        <f>AVERAGE(CNN!C34, LSTM!C34, SVM!C34, NB!C34, RF!C34)</f>
        <v>0.4732</v>
      </c>
      <c r="D34" s="7">
        <f>AVERAGE(CNN!D34, LSTM!D34, SVM!D34, NB!D34, RF!D34)</f>
        <v>0.4722</v>
      </c>
      <c r="E34" s="7">
        <f>AVERAGE(CNN!E34, LSTM!E34, SVM!E34, NB!E34, RF!E34)</f>
        <v>0.4874</v>
      </c>
      <c r="F34" s="7">
        <f>AVERAGE(CNN!F34, LSTM!F34, SVM!F34, NB!F34, RF!F34)</f>
        <v>0.5092</v>
      </c>
      <c r="G34" s="7">
        <f>AVERAGE(CNN!G34, LSTM!G34, SVM!G34, NB!G34, RF!G34)</f>
        <v>0.5472</v>
      </c>
      <c r="H34" s="7">
        <f>AVERAGE(CNN!H34, LSTM!H34, SVM!H34, NB!H34, RF!H34)</f>
        <v>0.5072</v>
      </c>
      <c r="I34" s="7">
        <f>AVERAGE(CNN!I34, LSTM!I34, SVM!I34, NB!I34, RF!I34)</f>
        <v>0.5484</v>
      </c>
      <c r="J34" s="3"/>
      <c r="L34" s="6" t="s">
        <v>5</v>
      </c>
      <c r="M34" s="7">
        <f t="shared" ref="M34:S34" si="23">C34-$C$33</f>
        <v>0.003</v>
      </c>
      <c r="N34" s="7">
        <f t="shared" si="23"/>
        <v>0.002</v>
      </c>
      <c r="O34" s="7">
        <f t="shared" si="23"/>
        <v>0.0172</v>
      </c>
      <c r="P34" s="7">
        <f t="shared" si="23"/>
        <v>0.039</v>
      </c>
      <c r="Q34" s="7">
        <f t="shared" si="23"/>
        <v>0.077</v>
      </c>
      <c r="R34" s="7">
        <f t="shared" si="23"/>
        <v>0.037</v>
      </c>
      <c r="S34" s="7">
        <f t="shared" si="23"/>
        <v>0.0782</v>
      </c>
    </row>
    <row r="35">
      <c r="B35" s="6" t="s">
        <v>6</v>
      </c>
      <c r="C35" s="7">
        <f>AVERAGE(CNN!C35, LSTM!C35, SVM!C35, NB!C35, RF!C35)</f>
        <v>0.4776</v>
      </c>
      <c r="D35" s="7">
        <f>AVERAGE(CNN!D35, LSTM!D35, SVM!D35, NB!D35, RF!D35)</f>
        <v>0.475</v>
      </c>
      <c r="E35" s="7">
        <f>AVERAGE(CNN!E35, LSTM!E35, SVM!E35, NB!E35, RF!E35)</f>
        <v>0.4908</v>
      </c>
      <c r="F35" s="7">
        <f>AVERAGE(CNN!F35, LSTM!F35, SVM!F35, NB!F35, RF!F35)</f>
        <v>0.51</v>
      </c>
      <c r="G35" s="7">
        <f>AVERAGE(CNN!G35, LSTM!G35, SVM!G35, NB!G35, RF!G35)</f>
        <v>0.5462</v>
      </c>
      <c r="H35" s="7">
        <f>AVERAGE(CNN!H35, LSTM!H35, SVM!H35, NB!H35, RF!H35)</f>
        <v>0.5108</v>
      </c>
      <c r="I35" s="7">
        <f>AVERAGE(CNN!I35, LSTM!I35, SVM!I35, NB!I35, RF!I35)</f>
        <v>0.5396</v>
      </c>
      <c r="J35" s="3"/>
      <c r="L35" s="6" t="s">
        <v>6</v>
      </c>
      <c r="M35" s="7">
        <f t="shared" ref="M35:S35" si="24">C35-$C$33</f>
        <v>0.0074</v>
      </c>
      <c r="N35" s="7">
        <f t="shared" si="24"/>
        <v>0.0048</v>
      </c>
      <c r="O35" s="7">
        <f t="shared" si="24"/>
        <v>0.0206</v>
      </c>
      <c r="P35" s="7">
        <f t="shared" si="24"/>
        <v>0.0398</v>
      </c>
      <c r="Q35" s="7">
        <f t="shared" si="24"/>
        <v>0.076</v>
      </c>
      <c r="R35" s="7">
        <f t="shared" si="24"/>
        <v>0.0406</v>
      </c>
      <c r="S35" s="7">
        <f t="shared" si="24"/>
        <v>0.0694</v>
      </c>
    </row>
    <row r="36">
      <c r="B36" s="6" t="s">
        <v>7</v>
      </c>
      <c r="C36" s="7">
        <f>AVERAGE(CNN!C36, LSTM!C36, SVM!C36, NB!C36, RF!C36)</f>
        <v>0.4688</v>
      </c>
      <c r="D36" s="7">
        <f>AVERAGE(CNN!D36, LSTM!D36, SVM!D36, NB!D36, RF!D36)</f>
        <v>0.4658</v>
      </c>
      <c r="E36" s="7">
        <f>AVERAGE(CNN!E36, LSTM!E36, SVM!E36, NB!E36, RF!E36)</f>
        <v>0.484</v>
      </c>
      <c r="F36" s="7">
        <f>AVERAGE(CNN!F36, LSTM!F36, SVM!F36, NB!F36, RF!F36)</f>
        <v>0.5042</v>
      </c>
      <c r="G36" s="7">
        <f>AVERAGE(CNN!G36, LSTM!G36, SVM!G36, NB!G36, RF!G36)</f>
        <v>0.5406</v>
      </c>
      <c r="H36" s="7">
        <f>AVERAGE(CNN!H36, LSTM!H36, SVM!H36, NB!H36, RF!H36)</f>
        <v>0.5022</v>
      </c>
      <c r="I36" s="7">
        <f>AVERAGE(CNN!I36, LSTM!I36, SVM!I36, NB!I36, RF!I36)</f>
        <v>0.5374</v>
      </c>
      <c r="J36" s="3"/>
      <c r="L36" s="6" t="s">
        <v>7</v>
      </c>
      <c r="M36" s="7">
        <f t="shared" ref="M36:S36" si="25">C36-$C$33</f>
        <v>-0.0014</v>
      </c>
      <c r="N36" s="7">
        <f t="shared" si="25"/>
        <v>-0.0044</v>
      </c>
      <c r="O36" s="7">
        <f t="shared" si="25"/>
        <v>0.0138</v>
      </c>
      <c r="P36" s="7">
        <f t="shared" si="25"/>
        <v>0.034</v>
      </c>
      <c r="Q36" s="7">
        <f t="shared" si="25"/>
        <v>0.0704</v>
      </c>
      <c r="R36" s="7">
        <f t="shared" si="25"/>
        <v>0.032</v>
      </c>
      <c r="S36" s="7">
        <f t="shared" si="25"/>
        <v>0.0672</v>
      </c>
    </row>
    <row r="37">
      <c r="B37" s="6" t="s">
        <v>8</v>
      </c>
      <c r="C37" s="7">
        <f>AVERAGE(CNN!C37, LSTM!C37, SVM!C37, NB!C37, RF!C37)</f>
        <v>0.4736</v>
      </c>
      <c r="D37" s="7">
        <f>AVERAGE(CNN!D37, LSTM!D37, SVM!D37, NB!D37, RF!D37)</f>
        <v>0.4716</v>
      </c>
      <c r="E37" s="7">
        <f>AVERAGE(CNN!E37, LSTM!E37, SVM!E37, NB!E37, RF!E37)</f>
        <v>0.4862</v>
      </c>
      <c r="F37" s="7">
        <f>AVERAGE(CNN!F37, LSTM!F37, SVM!F37, NB!F37, RF!F37)</f>
        <v>0.5076</v>
      </c>
      <c r="G37" s="7">
        <f>AVERAGE(CNN!G37, LSTM!G37, SVM!G37, NB!G37, RF!G37)</f>
        <v>0.5416</v>
      </c>
      <c r="H37" s="7">
        <f>AVERAGE(CNN!H37, LSTM!H37, SVM!H37, NB!H37, RF!H37)</f>
        <v>0.5064</v>
      </c>
      <c r="I37" s="7">
        <f>AVERAGE(CNN!I37, LSTM!I37, SVM!I37, NB!I37, RF!I37)</f>
        <v>0.5394</v>
      </c>
      <c r="J37" s="3"/>
      <c r="L37" s="6" t="s">
        <v>8</v>
      </c>
      <c r="M37" s="7">
        <f t="shared" ref="M37:S37" si="26">C37-$C$33</f>
        <v>0.0034</v>
      </c>
      <c r="N37" s="7">
        <f t="shared" si="26"/>
        <v>0.0014</v>
      </c>
      <c r="O37" s="7">
        <f t="shared" si="26"/>
        <v>0.016</v>
      </c>
      <c r="P37" s="7">
        <f t="shared" si="26"/>
        <v>0.0374</v>
      </c>
      <c r="Q37" s="7">
        <f t="shared" si="26"/>
        <v>0.0714</v>
      </c>
      <c r="R37" s="7">
        <f t="shared" si="26"/>
        <v>0.0362</v>
      </c>
      <c r="S37" s="7">
        <f t="shared" si="26"/>
        <v>0.0692</v>
      </c>
    </row>
    <row r="38">
      <c r="B38" s="6" t="s">
        <v>9</v>
      </c>
      <c r="C38" s="7">
        <f>AVERAGE(CNN!C38, LSTM!C38, SVM!C38, NB!C38, RF!C38)</f>
        <v>0.4808</v>
      </c>
      <c r="D38" s="7">
        <f>AVERAGE(CNN!D38, LSTM!D38, SVM!D38, NB!D38, RF!D38)</f>
        <v>0.4784</v>
      </c>
      <c r="E38" s="7">
        <f>AVERAGE(CNN!E38, LSTM!E38, SVM!E38, NB!E38, RF!E38)</f>
        <v>0.4934</v>
      </c>
      <c r="F38" s="7">
        <f>AVERAGE(CNN!F38, LSTM!F38, SVM!F38, NB!F38, RF!F38)</f>
        <v>0.5174</v>
      </c>
      <c r="G38" s="7">
        <f>AVERAGE(CNN!G38, LSTM!G38, SVM!G38, NB!G38, RF!G38)</f>
        <v>0.551</v>
      </c>
      <c r="H38" s="7">
        <f>AVERAGE(CNN!H38, LSTM!H38, SVM!H38, NB!H38, RF!H38)</f>
        <v>0.5156</v>
      </c>
      <c r="I38" s="7">
        <f>AVERAGE(CNN!I38, LSTM!I38, SVM!I38, NB!I38, RF!I38)</f>
        <v>0.5516</v>
      </c>
      <c r="J38" s="3"/>
      <c r="L38" s="6" t="s">
        <v>9</v>
      </c>
      <c r="M38" s="7">
        <f t="shared" ref="M38:S38" si="27">C38-$C$33</f>
        <v>0.0106</v>
      </c>
      <c r="N38" s="7">
        <f t="shared" si="27"/>
        <v>0.0082</v>
      </c>
      <c r="O38" s="7">
        <f t="shared" si="27"/>
        <v>0.0232</v>
      </c>
      <c r="P38" s="7">
        <f t="shared" si="27"/>
        <v>0.0472</v>
      </c>
      <c r="Q38" s="7">
        <f t="shared" si="27"/>
        <v>0.0808</v>
      </c>
      <c r="R38" s="7">
        <f t="shared" si="27"/>
        <v>0.0454</v>
      </c>
      <c r="S38" s="7">
        <f t="shared" si="27"/>
        <v>0.0814</v>
      </c>
    </row>
    <row r="39">
      <c r="B39" s="6" t="s">
        <v>10</v>
      </c>
      <c r="C39" s="7">
        <f>AVERAGE(CNN!C39, LSTM!C39, SVM!C39, NB!C39, RF!C39)</f>
        <v>0.4762</v>
      </c>
      <c r="D39" s="7">
        <f>AVERAGE(CNN!D39, LSTM!D39, SVM!D39, NB!D39, RF!D39)</f>
        <v>0.4744</v>
      </c>
      <c r="E39" s="7">
        <f>AVERAGE(CNN!E39, LSTM!E39, SVM!E39, NB!E39, RF!E39)</f>
        <v>0.4864</v>
      </c>
      <c r="F39" s="7">
        <f>AVERAGE(CNN!F39, LSTM!F39, SVM!F39, NB!F39, RF!F39)</f>
        <v>0.5066</v>
      </c>
      <c r="G39" s="7">
        <f>AVERAGE(CNN!G39, LSTM!G39, SVM!G39, NB!G39, RF!G39)</f>
        <v>0.5404</v>
      </c>
      <c r="H39" s="7">
        <f>AVERAGE(CNN!H39, LSTM!H39, SVM!H39, NB!H39, RF!H39)</f>
        <v>0.5064</v>
      </c>
      <c r="I39" s="7">
        <f>AVERAGE(CNN!I39, LSTM!I39, SVM!I39, NB!I39, RF!I39)</f>
        <v>0.5388</v>
      </c>
      <c r="J39" s="3"/>
      <c r="L39" s="6" t="s">
        <v>10</v>
      </c>
      <c r="M39" s="7">
        <f t="shared" ref="M39:S39" si="28">C39-$C$33</f>
        <v>0.006</v>
      </c>
      <c r="N39" s="7">
        <f t="shared" si="28"/>
        <v>0.0042</v>
      </c>
      <c r="O39" s="7">
        <f t="shared" si="28"/>
        <v>0.0162</v>
      </c>
      <c r="P39" s="7">
        <f t="shared" si="28"/>
        <v>0.0364</v>
      </c>
      <c r="Q39" s="7">
        <f t="shared" si="28"/>
        <v>0.0702</v>
      </c>
      <c r="R39" s="7">
        <f t="shared" si="28"/>
        <v>0.0362</v>
      </c>
      <c r="S39" s="7">
        <f t="shared" si="28"/>
        <v>0.0686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f>AVERAGE(CNN!C43, LSTM!C43, SVM!C43, NB!C43, RF!C43)</f>
        <v>0.3036</v>
      </c>
      <c r="D43" s="7">
        <f>AVERAGE(CNN!D43, LSTM!D43, SVM!D43, NB!D43, RF!D43)</f>
        <v>0.335</v>
      </c>
      <c r="E43" s="7">
        <f>AVERAGE(CNN!E43, LSTM!E43, SVM!E43, NB!E43, RF!E43)</f>
        <v>0.3608</v>
      </c>
      <c r="F43" s="7">
        <f>AVERAGE(CNN!F43, LSTM!F43, SVM!F43, NB!F43, RF!F43)</f>
        <v>0.338</v>
      </c>
      <c r="G43" s="7">
        <f>AVERAGE(CNN!G43, LSTM!G43, SVM!G43, NB!G43, RF!G43)</f>
        <v>0.3632</v>
      </c>
      <c r="H43" s="7">
        <f>AVERAGE(CNN!H43, LSTM!H43, SVM!H43, NB!H43, RF!H43)</f>
        <v>0.3242</v>
      </c>
      <c r="I43" s="7">
        <f>AVERAGE(CNN!I43, LSTM!I43, SVM!I43, NB!I43, RF!I43)</f>
        <v>0.359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0.0314</v>
      </c>
      <c r="O43" s="7">
        <f t="shared" si="29"/>
        <v>0.0572</v>
      </c>
      <c r="P43" s="7">
        <f t="shared" si="29"/>
        <v>0.0344</v>
      </c>
      <c r="Q43" s="7">
        <f t="shared" si="29"/>
        <v>0.0596</v>
      </c>
      <c r="R43" s="7">
        <f t="shared" si="29"/>
        <v>0.0206</v>
      </c>
      <c r="S43" s="7">
        <f t="shared" si="29"/>
        <v>0.0554</v>
      </c>
    </row>
    <row r="44">
      <c r="B44" s="6" t="s">
        <v>5</v>
      </c>
      <c r="C44" s="7">
        <f>AVERAGE(CNN!C44, LSTM!C44, SVM!C44, NB!C44, RF!C44)</f>
        <v>0.2606</v>
      </c>
      <c r="D44" s="7">
        <f>AVERAGE(CNN!D44, LSTM!D44, SVM!D44, NB!D44, RF!D44)</f>
        <v>0.2948</v>
      </c>
      <c r="E44" s="7">
        <f>AVERAGE(CNN!E44, LSTM!E44, SVM!E44, NB!E44, RF!E44)</f>
        <v>0.3246</v>
      </c>
      <c r="F44" s="7">
        <f>AVERAGE(CNN!F44, LSTM!F44, SVM!F44, NB!F44, RF!F44)</f>
        <v>0.2964</v>
      </c>
      <c r="G44" s="7">
        <f>AVERAGE(CNN!G44, LSTM!G44, SVM!G44, NB!G44, RF!G44)</f>
        <v>0.3222</v>
      </c>
      <c r="H44" s="7">
        <f>AVERAGE(CNN!H44, LSTM!H44, SVM!H44, NB!H44, RF!H44)</f>
        <v>0.284</v>
      </c>
      <c r="I44" s="7">
        <f>AVERAGE(CNN!I44, LSTM!I44, SVM!I44, NB!I44, RF!I44)</f>
        <v>0.3184</v>
      </c>
      <c r="J44" s="3"/>
      <c r="L44" s="6" t="s">
        <v>5</v>
      </c>
      <c r="M44" s="7">
        <f t="shared" ref="M44:S44" si="30">C44-$C$43</f>
        <v>-0.043</v>
      </c>
      <c r="N44" s="7">
        <f t="shared" si="30"/>
        <v>-0.0088</v>
      </c>
      <c r="O44" s="7">
        <f t="shared" si="30"/>
        <v>0.021</v>
      </c>
      <c r="P44" s="7">
        <f t="shared" si="30"/>
        <v>-0.0072</v>
      </c>
      <c r="Q44" s="7">
        <f t="shared" si="30"/>
        <v>0.0186</v>
      </c>
      <c r="R44" s="7">
        <f t="shared" si="30"/>
        <v>-0.0196</v>
      </c>
      <c r="S44" s="7">
        <f t="shared" si="30"/>
        <v>0.0148</v>
      </c>
    </row>
    <row r="45">
      <c r="B45" s="6" t="s">
        <v>6</v>
      </c>
      <c r="C45" s="7">
        <f>AVERAGE(CNN!C45, LSTM!C45, SVM!C45, NB!C45, RF!C45)</f>
        <v>0.236</v>
      </c>
      <c r="D45" s="7">
        <f>AVERAGE(CNN!D45, LSTM!D45, SVM!D45, NB!D45, RF!D45)</f>
        <v>0.2682</v>
      </c>
      <c r="E45" s="7">
        <f>AVERAGE(CNN!E45, LSTM!E45, SVM!E45, NB!E45, RF!E45)</f>
        <v>0.3022</v>
      </c>
      <c r="F45" s="7">
        <f>AVERAGE(CNN!F45, LSTM!F45, SVM!F45, NB!F45, RF!F45)</f>
        <v>0.272</v>
      </c>
      <c r="G45" s="7">
        <f>AVERAGE(CNN!G45, LSTM!G45, SVM!G45, NB!G45, RF!G45)</f>
        <v>0.2966</v>
      </c>
      <c r="H45" s="7">
        <f>AVERAGE(CNN!H45, LSTM!H45, SVM!H45, NB!H45, RF!H45)</f>
        <v>0.2576</v>
      </c>
      <c r="I45" s="7">
        <f>AVERAGE(CNN!I45, LSTM!I45, SVM!I45, NB!I45, RF!I45)</f>
        <v>0.2942</v>
      </c>
      <c r="J45" s="3"/>
      <c r="L45" s="6" t="s">
        <v>6</v>
      </c>
      <c r="M45" s="7">
        <f t="shared" ref="M45:S45" si="31">C45-$C$43</f>
        <v>-0.0676</v>
      </c>
      <c r="N45" s="7">
        <f t="shared" si="31"/>
        <v>-0.0354</v>
      </c>
      <c r="O45" s="7">
        <f t="shared" si="31"/>
        <v>-0.0014</v>
      </c>
      <c r="P45" s="7">
        <f t="shared" si="31"/>
        <v>-0.0316</v>
      </c>
      <c r="Q45" s="7">
        <f t="shared" si="31"/>
        <v>-0.007</v>
      </c>
      <c r="R45" s="7">
        <f t="shared" si="31"/>
        <v>-0.046</v>
      </c>
      <c r="S45" s="7">
        <f t="shared" si="31"/>
        <v>-0.0094</v>
      </c>
    </row>
    <row r="46">
      <c r="B46" s="6" t="s">
        <v>7</v>
      </c>
      <c r="C46" s="7">
        <f>AVERAGE(CNN!C46, LSTM!C46, SVM!C46, NB!C46, RF!C46)</f>
        <v>0.3144</v>
      </c>
      <c r="D46" s="7">
        <f>AVERAGE(CNN!D46, LSTM!D46, SVM!D46, NB!D46, RF!D46)</f>
        <v>0.3474</v>
      </c>
      <c r="E46" s="7">
        <f>AVERAGE(CNN!E46, LSTM!E46, SVM!E46, NB!E46, RF!E46)</f>
        <v>0.3694</v>
      </c>
      <c r="F46" s="7">
        <f>AVERAGE(CNN!F46, LSTM!F46, SVM!F46, NB!F46, RF!F46)</f>
        <v>0.3388</v>
      </c>
      <c r="G46" s="7">
        <f>AVERAGE(CNN!G46, LSTM!G46, SVM!G46, NB!G46, RF!G46)</f>
        <v>0.3568</v>
      </c>
      <c r="H46" s="7">
        <f>AVERAGE(CNN!H46, LSTM!H46, SVM!H46, NB!H46, RF!H46)</f>
        <v>0.3306</v>
      </c>
      <c r="I46" s="7">
        <f>AVERAGE(CNN!I46, LSTM!I46, SVM!I46, NB!I46, RF!I46)</f>
        <v>0.3554</v>
      </c>
      <c r="J46" s="3"/>
      <c r="L46" s="6" t="s">
        <v>7</v>
      </c>
      <c r="M46" s="7">
        <f t="shared" ref="M46:S46" si="32">C46-$C$43</f>
        <v>0.0108</v>
      </c>
      <c r="N46" s="7">
        <f t="shared" si="32"/>
        <v>0.0438</v>
      </c>
      <c r="O46" s="7">
        <f t="shared" si="32"/>
        <v>0.0658</v>
      </c>
      <c r="P46" s="7">
        <f t="shared" si="32"/>
        <v>0.0352</v>
      </c>
      <c r="Q46" s="7">
        <f t="shared" si="32"/>
        <v>0.0532</v>
      </c>
      <c r="R46" s="7">
        <f t="shared" si="32"/>
        <v>0.027</v>
      </c>
      <c r="S46" s="7">
        <f t="shared" si="32"/>
        <v>0.0518</v>
      </c>
    </row>
    <row r="47">
      <c r="B47" s="6" t="s">
        <v>8</v>
      </c>
      <c r="C47" s="7">
        <f>AVERAGE(CNN!C47, LSTM!C47, SVM!C47, NB!C47, RF!C47)</f>
        <v>0.3236</v>
      </c>
      <c r="D47" s="7">
        <f>AVERAGE(CNN!D47, LSTM!D47, SVM!D47, NB!D47, RF!D47)</f>
        <v>0.3532</v>
      </c>
      <c r="E47" s="7">
        <f>AVERAGE(CNN!E47, LSTM!E47, SVM!E47, NB!E47, RF!E47)</f>
        <v>0.375</v>
      </c>
      <c r="F47" s="7">
        <f>AVERAGE(CNN!F47, LSTM!F47, SVM!F47, NB!F47, RF!F47)</f>
        <v>0.3342</v>
      </c>
      <c r="G47" s="7">
        <f>AVERAGE(CNN!G47, LSTM!G47, SVM!G47, NB!G47, RF!G47)</f>
        <v>0.3412</v>
      </c>
      <c r="H47" s="7">
        <f>AVERAGE(CNN!H47, LSTM!H47, SVM!H47, NB!H47, RF!H47)</f>
        <v>0.33</v>
      </c>
      <c r="I47" s="7">
        <f>AVERAGE(CNN!I47, LSTM!I47, SVM!I47, NB!I47, RF!I47)</f>
        <v>0.3418</v>
      </c>
      <c r="J47" s="3"/>
      <c r="L47" s="6" t="s">
        <v>8</v>
      </c>
      <c r="M47" s="7">
        <f t="shared" ref="M47:S47" si="33">C47-$C$43</f>
        <v>0.02</v>
      </c>
      <c r="N47" s="7">
        <f t="shared" si="33"/>
        <v>0.0496</v>
      </c>
      <c r="O47" s="7">
        <f t="shared" si="33"/>
        <v>0.0714</v>
      </c>
      <c r="P47" s="7">
        <f t="shared" si="33"/>
        <v>0.0306</v>
      </c>
      <c r="Q47" s="7">
        <f t="shared" si="33"/>
        <v>0.0376</v>
      </c>
      <c r="R47" s="7">
        <f t="shared" si="33"/>
        <v>0.0264</v>
      </c>
      <c r="S47" s="7">
        <f t="shared" si="33"/>
        <v>0.0382</v>
      </c>
    </row>
    <row r="48">
      <c r="B48" s="6" t="s">
        <v>9</v>
      </c>
      <c r="C48" s="7">
        <f>AVERAGE(CNN!C48, LSTM!C48, SVM!C48, NB!C48, RF!C48)</f>
        <v>0.3152</v>
      </c>
      <c r="D48" s="7">
        <f>AVERAGE(CNN!D48, LSTM!D48, SVM!D48, NB!D48, RF!D48)</f>
        <v>0.3458</v>
      </c>
      <c r="E48" s="7">
        <f>AVERAGE(CNN!E48, LSTM!E48, SVM!E48, NB!E48, RF!E48)</f>
        <v>0.3694</v>
      </c>
      <c r="F48" s="7">
        <f>AVERAGE(CNN!F48, LSTM!F48, SVM!F48, NB!F48, RF!F48)</f>
        <v>0.3382</v>
      </c>
      <c r="G48" s="7">
        <f>AVERAGE(CNN!G48, LSTM!G48, SVM!G48, NB!G48, RF!G48)</f>
        <v>0.3588</v>
      </c>
      <c r="H48" s="7">
        <f>AVERAGE(CNN!H48, LSTM!H48, SVM!H48, NB!H48, RF!H48)</f>
        <v>0.3322</v>
      </c>
      <c r="I48" s="7">
        <f>AVERAGE(CNN!I48, LSTM!I48, SVM!I48, NB!I48, RF!I48)</f>
        <v>0.356</v>
      </c>
      <c r="J48" s="3"/>
      <c r="L48" s="6" t="s">
        <v>9</v>
      </c>
      <c r="M48" s="7">
        <f t="shared" ref="M48:S48" si="34">C48-$C$43</f>
        <v>0.0116</v>
      </c>
      <c r="N48" s="7">
        <f t="shared" si="34"/>
        <v>0.0422</v>
      </c>
      <c r="O48" s="7">
        <f t="shared" si="34"/>
        <v>0.0658</v>
      </c>
      <c r="P48" s="7">
        <f t="shared" si="34"/>
        <v>0.0346</v>
      </c>
      <c r="Q48" s="7">
        <f t="shared" si="34"/>
        <v>0.0552</v>
      </c>
      <c r="R48" s="7">
        <f t="shared" si="34"/>
        <v>0.0286</v>
      </c>
      <c r="S48" s="7">
        <f t="shared" si="34"/>
        <v>0.0524</v>
      </c>
    </row>
    <row r="49">
      <c r="B49" s="6" t="s">
        <v>10</v>
      </c>
      <c r="C49" s="7">
        <f>AVERAGE(CNN!C49, LSTM!C49, SVM!C49, NB!C49, RF!C49)</f>
        <v>0.3474</v>
      </c>
      <c r="D49" s="7">
        <f>AVERAGE(CNN!D49, LSTM!D49, SVM!D49, NB!D49, RF!D49)</f>
        <v>0.3768</v>
      </c>
      <c r="E49" s="7">
        <f>AVERAGE(CNN!E49, LSTM!E49, SVM!E49, NB!E49, RF!E49)</f>
        <v>0.3948</v>
      </c>
      <c r="F49" s="7">
        <f>AVERAGE(CNN!F49, LSTM!F49, SVM!F49, NB!F49, RF!F49)</f>
        <v>0.3594</v>
      </c>
      <c r="G49" s="7">
        <f>AVERAGE(CNN!G49, LSTM!G49, SVM!G49, NB!G49, RF!G49)</f>
        <v>0.3696</v>
      </c>
      <c r="H49" s="7">
        <f>AVERAGE(CNN!H49, LSTM!H49, SVM!H49, NB!H49, RF!H49)</f>
        <v>0.3556</v>
      </c>
      <c r="I49" s="7">
        <f>AVERAGE(CNN!I49, LSTM!I49, SVM!I49, NB!I49, RF!I49)</f>
        <v>0.369</v>
      </c>
      <c r="J49" s="3"/>
      <c r="L49" s="6" t="s">
        <v>10</v>
      </c>
      <c r="M49" s="7">
        <f t="shared" ref="M49:S49" si="35">C49-$C$43</f>
        <v>0.0438</v>
      </c>
      <c r="N49" s="7">
        <f t="shared" si="35"/>
        <v>0.0732</v>
      </c>
      <c r="O49" s="7">
        <f t="shared" si="35"/>
        <v>0.0912</v>
      </c>
      <c r="P49" s="7">
        <f t="shared" si="35"/>
        <v>0.0558</v>
      </c>
      <c r="Q49" s="7">
        <f t="shared" si="35"/>
        <v>0.066</v>
      </c>
      <c r="R49" s="7">
        <f t="shared" si="35"/>
        <v>0.052</v>
      </c>
      <c r="S49" s="7">
        <f t="shared" si="35"/>
        <v>0.0654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0.035</v>
      </c>
      <c r="O53" s="7">
        <f t="shared" si="36"/>
        <v>0.067</v>
      </c>
      <c r="P53" s="7">
        <f t="shared" si="36"/>
        <v>0.032</v>
      </c>
      <c r="Q53" s="7">
        <f t="shared" si="36"/>
        <v>0.064</v>
      </c>
      <c r="R53" s="7">
        <f t="shared" si="36"/>
        <v>0.031</v>
      </c>
      <c r="S53" s="7">
        <f t="shared" si="36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37">C54-$C$53</f>
        <v>-0.001</v>
      </c>
      <c r="N54" s="7">
        <f t="shared" si="37"/>
        <v>0.034</v>
      </c>
      <c r="O54" s="7">
        <f t="shared" si="37"/>
        <v>0.063</v>
      </c>
      <c r="P54" s="7">
        <f t="shared" si="37"/>
        <v>0.029</v>
      </c>
      <c r="Q54" s="7">
        <f t="shared" si="37"/>
        <v>0.06</v>
      </c>
      <c r="R54" s="7">
        <f t="shared" si="37"/>
        <v>0.029</v>
      </c>
      <c r="S54" s="7">
        <f t="shared" si="37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38">C55-$C$53</f>
        <v>-0.004</v>
      </c>
      <c r="N55" s="7">
        <f t="shared" si="38"/>
        <v>0.03</v>
      </c>
      <c r="O55" s="7">
        <f t="shared" si="38"/>
        <v>0.064</v>
      </c>
      <c r="P55" s="7">
        <f t="shared" si="38"/>
        <v>0.029</v>
      </c>
      <c r="Q55" s="7">
        <f t="shared" si="38"/>
        <v>0.063</v>
      </c>
      <c r="R55" s="7">
        <f t="shared" si="38"/>
        <v>0.027</v>
      </c>
      <c r="S55" s="7">
        <f t="shared" si="38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39">C56-$C$53</f>
        <v>0.017</v>
      </c>
      <c r="N56" s="7">
        <f t="shared" si="39"/>
        <v>0.051</v>
      </c>
      <c r="O56" s="7">
        <f t="shared" si="39"/>
        <v>0.081</v>
      </c>
      <c r="P56" s="7">
        <f t="shared" si="39"/>
        <v>0.041</v>
      </c>
      <c r="Q56" s="7">
        <f t="shared" si="39"/>
        <v>0.062</v>
      </c>
      <c r="R56" s="7">
        <f t="shared" si="39"/>
        <v>0.037</v>
      </c>
      <c r="S56" s="7">
        <f t="shared" si="39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40">C57-$C$53</f>
        <v>0.071</v>
      </c>
      <c r="N57" s="7">
        <f t="shared" si="40"/>
        <v>0.104</v>
      </c>
      <c r="O57" s="7">
        <f t="shared" si="40"/>
        <v>0.13</v>
      </c>
      <c r="P57" s="7">
        <f t="shared" si="40"/>
        <v>0.062</v>
      </c>
      <c r="Q57" s="7">
        <f t="shared" si="40"/>
        <v>0.062</v>
      </c>
      <c r="R57" s="7">
        <f t="shared" si="40"/>
        <v>0.063</v>
      </c>
      <c r="S57" s="7">
        <f t="shared" si="40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41">C58-$C$53</f>
        <v>0.031</v>
      </c>
      <c r="N58" s="7">
        <f t="shared" si="41"/>
        <v>0.064</v>
      </c>
      <c r="O58" s="7">
        <f t="shared" si="41"/>
        <v>0.095</v>
      </c>
      <c r="P58" s="7">
        <f t="shared" si="41"/>
        <v>0.05</v>
      </c>
      <c r="Q58" s="7">
        <f t="shared" si="41"/>
        <v>0.063</v>
      </c>
      <c r="R58" s="7">
        <f t="shared" si="41"/>
        <v>0.046</v>
      </c>
      <c r="S58" s="7">
        <f t="shared" si="41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42">C59-$C$53</f>
        <v>0.072</v>
      </c>
      <c r="N59" s="7">
        <f t="shared" si="42"/>
        <v>0.103</v>
      </c>
      <c r="O59" s="7">
        <f t="shared" si="42"/>
        <v>0.127</v>
      </c>
      <c r="P59" s="7">
        <f t="shared" si="42"/>
        <v>0.062</v>
      </c>
      <c r="Q59" s="7">
        <f t="shared" si="42"/>
        <v>0.051</v>
      </c>
      <c r="R59" s="7">
        <f t="shared" si="42"/>
        <v>0.062</v>
      </c>
      <c r="S59" s="7">
        <f t="shared" si="42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</row>
    <row r="63">
      <c r="B63" s="6" t="s">
        <v>4</v>
      </c>
      <c r="C63" s="7">
        <f t="shared" ref="C63:I63" si="43">AVERAGE(C3, C13)</f>
        <v>0.2092</v>
      </c>
      <c r="D63" s="7">
        <f t="shared" si="43"/>
        <v>0.2412</v>
      </c>
      <c r="E63" s="7">
        <f t="shared" si="43"/>
        <v>0.2794</v>
      </c>
      <c r="F63" s="7">
        <f t="shared" si="43"/>
        <v>0.2421</v>
      </c>
      <c r="G63" s="7">
        <f t="shared" si="43"/>
        <v>0.277</v>
      </c>
      <c r="H63" s="7">
        <f t="shared" si="43"/>
        <v>0.2308</v>
      </c>
      <c r="I63" s="7">
        <f t="shared" si="43"/>
        <v>0.261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0.032</v>
      </c>
      <c r="O63" s="7">
        <f t="shared" si="44"/>
        <v>0.0702</v>
      </c>
      <c r="P63" s="7">
        <f t="shared" si="44"/>
        <v>0.0329</v>
      </c>
      <c r="Q63" s="7">
        <f t="shared" si="44"/>
        <v>0.0678</v>
      </c>
      <c r="R63" s="7">
        <f t="shared" si="44"/>
        <v>0.0216</v>
      </c>
      <c r="S63" s="7">
        <f t="shared" si="44"/>
        <v>0.0518</v>
      </c>
    </row>
    <row r="64">
      <c r="B64" s="6" t="s">
        <v>5</v>
      </c>
      <c r="C64" s="7">
        <f t="shared" ref="C64:I64" si="45">AVERAGE(C4, C14)</f>
        <v>0.2234</v>
      </c>
      <c r="D64" s="7">
        <f t="shared" si="45"/>
        <v>0.2542</v>
      </c>
      <c r="E64" s="7">
        <f t="shared" si="45"/>
        <v>0.2899</v>
      </c>
      <c r="F64" s="7">
        <f t="shared" si="45"/>
        <v>0.2547</v>
      </c>
      <c r="G64" s="7">
        <f t="shared" si="45"/>
        <v>0.2877</v>
      </c>
      <c r="H64" s="7">
        <f t="shared" si="45"/>
        <v>0.2457</v>
      </c>
      <c r="I64" s="7">
        <f t="shared" si="45"/>
        <v>0.2741</v>
      </c>
      <c r="J64" s="3"/>
      <c r="L64" s="6" t="s">
        <v>5</v>
      </c>
      <c r="M64" s="7">
        <f t="shared" ref="M64:S64" si="46">C64-$C$63</f>
        <v>0.0142</v>
      </c>
      <c r="N64" s="7">
        <f t="shared" si="46"/>
        <v>0.045</v>
      </c>
      <c r="O64" s="7">
        <f t="shared" si="46"/>
        <v>0.0807</v>
      </c>
      <c r="P64" s="7">
        <f t="shared" si="46"/>
        <v>0.0455</v>
      </c>
      <c r="Q64" s="7">
        <f t="shared" si="46"/>
        <v>0.0785</v>
      </c>
      <c r="R64" s="7">
        <f t="shared" si="46"/>
        <v>0.0365</v>
      </c>
      <c r="S64" s="7">
        <f t="shared" si="46"/>
        <v>0.0649</v>
      </c>
    </row>
    <row r="65">
      <c r="B65" s="6" t="s">
        <v>6</v>
      </c>
      <c r="C65" s="7">
        <f t="shared" ref="C65:I65" si="47">AVERAGE(C5, C15)</f>
        <v>0.2277</v>
      </c>
      <c r="D65" s="7">
        <f t="shared" si="47"/>
        <v>0.2575</v>
      </c>
      <c r="E65" s="7">
        <f t="shared" si="47"/>
        <v>0.2928</v>
      </c>
      <c r="F65" s="7">
        <f t="shared" si="47"/>
        <v>0.2608</v>
      </c>
      <c r="G65" s="7">
        <f t="shared" si="47"/>
        <v>0.2956</v>
      </c>
      <c r="H65" s="7">
        <f t="shared" si="47"/>
        <v>0.2496</v>
      </c>
      <c r="I65" s="7">
        <f t="shared" si="47"/>
        <v>0.2789</v>
      </c>
      <c r="J65" s="3"/>
      <c r="L65" s="6" t="s">
        <v>6</v>
      </c>
      <c r="M65" s="7">
        <f t="shared" ref="M65:S65" si="48">C65-$C$63</f>
        <v>0.0185</v>
      </c>
      <c r="N65" s="7">
        <f t="shared" si="48"/>
        <v>0.0483</v>
      </c>
      <c r="O65" s="7">
        <f t="shared" si="48"/>
        <v>0.0836</v>
      </c>
      <c r="P65" s="7">
        <f t="shared" si="48"/>
        <v>0.0516</v>
      </c>
      <c r="Q65" s="7">
        <f t="shared" si="48"/>
        <v>0.0864</v>
      </c>
      <c r="R65" s="7">
        <f t="shared" si="48"/>
        <v>0.0404</v>
      </c>
      <c r="S65" s="7">
        <f t="shared" si="48"/>
        <v>0.0697</v>
      </c>
    </row>
    <row r="66">
      <c r="B66" s="6" t="s">
        <v>7</v>
      </c>
      <c r="C66" s="7">
        <f t="shared" ref="C66:I66" si="49">AVERAGE(C6, C16)</f>
        <v>0.2225</v>
      </c>
      <c r="D66" s="7">
        <f t="shared" si="49"/>
        <v>0.253</v>
      </c>
      <c r="E66" s="7">
        <f t="shared" si="49"/>
        <v>0.2899</v>
      </c>
      <c r="F66" s="7">
        <f t="shared" si="49"/>
        <v>0.2531</v>
      </c>
      <c r="G66" s="7">
        <f t="shared" si="49"/>
        <v>0.2865</v>
      </c>
      <c r="H66" s="7">
        <f t="shared" si="49"/>
        <v>0.243</v>
      </c>
      <c r="I66" s="7">
        <f t="shared" si="49"/>
        <v>0.2716</v>
      </c>
      <c r="J66" s="3"/>
      <c r="L66" s="6" t="s">
        <v>7</v>
      </c>
      <c r="M66" s="7">
        <f t="shared" ref="M66:S66" si="50">C66-$C$63</f>
        <v>0.0133</v>
      </c>
      <c r="N66" s="7">
        <f t="shared" si="50"/>
        <v>0.0438</v>
      </c>
      <c r="O66" s="7">
        <f t="shared" si="50"/>
        <v>0.0807</v>
      </c>
      <c r="P66" s="7">
        <f t="shared" si="50"/>
        <v>0.0439</v>
      </c>
      <c r="Q66" s="7">
        <f t="shared" si="50"/>
        <v>0.0773</v>
      </c>
      <c r="R66" s="7">
        <f t="shared" si="50"/>
        <v>0.0338</v>
      </c>
      <c r="S66" s="7">
        <f t="shared" si="50"/>
        <v>0.0624</v>
      </c>
    </row>
    <row r="67">
      <c r="B67" s="6" t="s">
        <v>8</v>
      </c>
      <c r="C67" s="7">
        <f t="shared" ref="C67:I67" si="51">AVERAGE(C7, C17)</f>
        <v>0.2442</v>
      </c>
      <c r="D67" s="7">
        <f t="shared" si="51"/>
        <v>0.2726</v>
      </c>
      <c r="E67" s="7">
        <f t="shared" si="51"/>
        <v>0.3078</v>
      </c>
      <c r="F67" s="7">
        <f t="shared" si="51"/>
        <v>0.2747</v>
      </c>
      <c r="G67" s="7">
        <f t="shared" si="51"/>
        <v>0.3077</v>
      </c>
      <c r="H67" s="7">
        <f t="shared" si="51"/>
        <v>0.2637</v>
      </c>
      <c r="I67" s="7">
        <f t="shared" si="51"/>
        <v>0.2897</v>
      </c>
      <c r="J67" s="3"/>
      <c r="L67" s="6" t="s">
        <v>8</v>
      </c>
      <c r="M67" s="7">
        <f t="shared" ref="M67:S67" si="52">C67-$C$63</f>
        <v>0.035</v>
      </c>
      <c r="N67" s="7">
        <f t="shared" si="52"/>
        <v>0.0634</v>
      </c>
      <c r="O67" s="7">
        <f t="shared" si="52"/>
        <v>0.0986</v>
      </c>
      <c r="P67" s="7">
        <f t="shared" si="52"/>
        <v>0.0655</v>
      </c>
      <c r="Q67" s="7">
        <f t="shared" si="52"/>
        <v>0.0985</v>
      </c>
      <c r="R67" s="7">
        <f t="shared" si="52"/>
        <v>0.0545</v>
      </c>
      <c r="S67" s="7">
        <f t="shared" si="52"/>
        <v>0.0805</v>
      </c>
    </row>
    <row r="68">
      <c r="B68" s="6" t="s">
        <v>9</v>
      </c>
      <c r="C68" s="7">
        <f t="shared" ref="C68:I68" si="53">AVERAGE(C8, C18)</f>
        <v>0.2189</v>
      </c>
      <c r="D68" s="7">
        <f t="shared" si="53"/>
        <v>0.2497</v>
      </c>
      <c r="E68" s="7">
        <f t="shared" si="53"/>
        <v>0.2865</v>
      </c>
      <c r="F68" s="7">
        <f t="shared" si="53"/>
        <v>0.252</v>
      </c>
      <c r="G68" s="7">
        <f t="shared" si="53"/>
        <v>0.2826</v>
      </c>
      <c r="H68" s="7">
        <f t="shared" si="53"/>
        <v>0.2374</v>
      </c>
      <c r="I68" s="7">
        <f t="shared" si="53"/>
        <v>0.2657</v>
      </c>
      <c r="J68" s="3"/>
      <c r="L68" s="6" t="s">
        <v>9</v>
      </c>
      <c r="M68" s="7">
        <f t="shared" ref="M68:S68" si="54">C68-$C$63</f>
        <v>0.0097</v>
      </c>
      <c r="N68" s="7">
        <f t="shared" si="54"/>
        <v>0.0405</v>
      </c>
      <c r="O68" s="7">
        <f t="shared" si="54"/>
        <v>0.0773</v>
      </c>
      <c r="P68" s="7">
        <f t="shared" si="54"/>
        <v>0.0428</v>
      </c>
      <c r="Q68" s="7">
        <f t="shared" si="54"/>
        <v>0.0734</v>
      </c>
      <c r="R68" s="7">
        <f t="shared" si="54"/>
        <v>0.0282</v>
      </c>
      <c r="S68" s="7">
        <f t="shared" si="54"/>
        <v>0.0565</v>
      </c>
    </row>
    <row r="69">
      <c r="B69" s="6" t="s">
        <v>10</v>
      </c>
      <c r="C69" s="7">
        <f t="shared" ref="C69:I69" si="55">AVERAGE(C9, C19)</f>
        <v>0.2347</v>
      </c>
      <c r="D69" s="7">
        <f t="shared" si="55"/>
        <v>0.2627</v>
      </c>
      <c r="E69" s="7">
        <f t="shared" si="55"/>
        <v>0.3018</v>
      </c>
      <c r="F69" s="7">
        <f t="shared" si="55"/>
        <v>0.2657</v>
      </c>
      <c r="G69" s="7">
        <f t="shared" si="55"/>
        <v>0.2974</v>
      </c>
      <c r="H69" s="7">
        <f t="shared" si="55"/>
        <v>0.2517</v>
      </c>
      <c r="I69" s="7">
        <f t="shared" si="55"/>
        <v>0.2769</v>
      </c>
      <c r="J69" s="3"/>
      <c r="L69" s="6" t="s">
        <v>10</v>
      </c>
      <c r="M69" s="7">
        <f t="shared" ref="M69:S69" si="56">C69-$C$63</f>
        <v>0.0255</v>
      </c>
      <c r="N69" s="7">
        <f t="shared" si="56"/>
        <v>0.0535</v>
      </c>
      <c r="O69" s="7">
        <f t="shared" si="56"/>
        <v>0.0926</v>
      </c>
      <c r="P69" s="7">
        <f t="shared" si="56"/>
        <v>0.0565</v>
      </c>
      <c r="Q69" s="7">
        <f t="shared" si="56"/>
        <v>0.0882</v>
      </c>
      <c r="R69" s="7">
        <f t="shared" si="56"/>
        <v>0.0425</v>
      </c>
      <c r="S69" s="7">
        <f t="shared" si="56"/>
        <v>0.0677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</row>
    <row r="73">
      <c r="B73" s="6" t="s">
        <v>4</v>
      </c>
      <c r="C73" s="7">
        <f t="shared" ref="C73:I73" si="57">AVERAGE(C23, C33)</f>
        <v>0.4652</v>
      </c>
      <c r="D73" s="7">
        <f t="shared" si="57"/>
        <v>0.4668</v>
      </c>
      <c r="E73" s="7">
        <f t="shared" si="57"/>
        <v>0.4771</v>
      </c>
      <c r="F73" s="7">
        <f t="shared" si="57"/>
        <v>0.4855</v>
      </c>
      <c r="G73" s="7">
        <f t="shared" si="57"/>
        <v>0.506</v>
      </c>
      <c r="H73" s="7">
        <f t="shared" si="57"/>
        <v>0.485</v>
      </c>
      <c r="I73" s="7">
        <f t="shared" si="57"/>
        <v>0.504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0.0016</v>
      </c>
      <c r="O73" s="7">
        <f t="shared" si="58"/>
        <v>0.0119</v>
      </c>
      <c r="P73" s="7">
        <f t="shared" si="58"/>
        <v>0.0203</v>
      </c>
      <c r="Q73" s="7">
        <f t="shared" si="58"/>
        <v>0.0408</v>
      </c>
      <c r="R73" s="7">
        <f t="shared" si="58"/>
        <v>0.0198</v>
      </c>
      <c r="S73" s="7">
        <f t="shared" si="58"/>
        <v>0.0388</v>
      </c>
    </row>
    <row r="74">
      <c r="B74" s="6" t="s">
        <v>5</v>
      </c>
      <c r="C74" s="7">
        <f t="shared" ref="C74:I74" si="59">AVERAGE(C24, C34)</f>
        <v>0.4682</v>
      </c>
      <c r="D74" s="7">
        <f t="shared" si="59"/>
        <v>0.47</v>
      </c>
      <c r="E74" s="7">
        <f t="shared" si="59"/>
        <v>0.4785</v>
      </c>
      <c r="F74" s="7">
        <f t="shared" si="59"/>
        <v>0.489</v>
      </c>
      <c r="G74" s="7">
        <f t="shared" si="59"/>
        <v>0.5103</v>
      </c>
      <c r="H74" s="7">
        <f t="shared" si="59"/>
        <v>0.487</v>
      </c>
      <c r="I74" s="7">
        <f t="shared" si="59"/>
        <v>0.5093</v>
      </c>
      <c r="J74" s="3"/>
      <c r="L74" s="6" t="s">
        <v>5</v>
      </c>
      <c r="M74" s="7">
        <f t="shared" ref="M74:S74" si="60">C74-$C$73</f>
        <v>0.003</v>
      </c>
      <c r="N74" s="7">
        <f t="shared" si="60"/>
        <v>0.0048</v>
      </c>
      <c r="O74" s="7">
        <f t="shared" si="60"/>
        <v>0.0133</v>
      </c>
      <c r="P74" s="7">
        <f t="shared" si="60"/>
        <v>0.0238</v>
      </c>
      <c r="Q74" s="7">
        <f t="shared" si="60"/>
        <v>0.0451</v>
      </c>
      <c r="R74" s="7">
        <f t="shared" si="60"/>
        <v>0.0218</v>
      </c>
      <c r="S74" s="7">
        <f t="shared" si="60"/>
        <v>0.0441</v>
      </c>
    </row>
    <row r="75">
      <c r="B75" s="6" t="s">
        <v>6</v>
      </c>
      <c r="C75" s="7">
        <f t="shared" ref="C75:I75" si="61">AVERAGE(C25, C35)</f>
        <v>0.4701</v>
      </c>
      <c r="D75" s="7">
        <f t="shared" si="61"/>
        <v>0.4711</v>
      </c>
      <c r="E75" s="7">
        <f t="shared" si="61"/>
        <v>0.4803</v>
      </c>
      <c r="F75" s="7">
        <f t="shared" si="61"/>
        <v>0.4885</v>
      </c>
      <c r="G75" s="7">
        <f t="shared" si="61"/>
        <v>0.5093</v>
      </c>
      <c r="H75" s="7">
        <f t="shared" si="61"/>
        <v>0.4887</v>
      </c>
      <c r="I75" s="7">
        <f t="shared" si="61"/>
        <v>0.505</v>
      </c>
      <c r="J75" s="3"/>
      <c r="L75" s="6" t="s">
        <v>6</v>
      </c>
      <c r="M75" s="7">
        <f t="shared" ref="M75:S75" si="62">C75-$C$73</f>
        <v>0.0049</v>
      </c>
      <c r="N75" s="7">
        <f t="shared" si="62"/>
        <v>0.0059</v>
      </c>
      <c r="O75" s="7">
        <f t="shared" si="62"/>
        <v>0.0151</v>
      </c>
      <c r="P75" s="7">
        <f t="shared" si="62"/>
        <v>0.0233</v>
      </c>
      <c r="Q75" s="7">
        <f t="shared" si="62"/>
        <v>0.0441</v>
      </c>
      <c r="R75" s="7">
        <f t="shared" si="62"/>
        <v>0.0235</v>
      </c>
      <c r="S75" s="7">
        <f t="shared" si="62"/>
        <v>0.0398</v>
      </c>
    </row>
    <row r="76">
      <c r="B76" s="6" t="s">
        <v>7</v>
      </c>
      <c r="C76" s="7">
        <f t="shared" ref="C76:I76" si="63">AVERAGE(C26, C36)</f>
        <v>0.4704</v>
      </c>
      <c r="D76" s="7">
        <f t="shared" si="63"/>
        <v>0.4709</v>
      </c>
      <c r="E76" s="7">
        <f t="shared" si="63"/>
        <v>0.4806</v>
      </c>
      <c r="F76" s="7">
        <f t="shared" si="63"/>
        <v>0.4868</v>
      </c>
      <c r="G76" s="7">
        <f t="shared" si="63"/>
        <v>0.5036</v>
      </c>
      <c r="H76" s="7">
        <f t="shared" si="63"/>
        <v>0.4858</v>
      </c>
      <c r="I76" s="7">
        <f t="shared" si="63"/>
        <v>0.5011</v>
      </c>
      <c r="J76" s="3"/>
      <c r="L76" s="6" t="s">
        <v>7</v>
      </c>
      <c r="M76" s="7">
        <f t="shared" ref="M76:S76" si="64">C76-$C$73</f>
        <v>0.0052</v>
      </c>
      <c r="N76" s="7">
        <f t="shared" si="64"/>
        <v>0.0057</v>
      </c>
      <c r="O76" s="7">
        <f t="shared" si="64"/>
        <v>0.0154</v>
      </c>
      <c r="P76" s="7">
        <f t="shared" si="64"/>
        <v>0.0216</v>
      </c>
      <c r="Q76" s="7">
        <f t="shared" si="64"/>
        <v>0.0384</v>
      </c>
      <c r="R76" s="7">
        <f t="shared" si="64"/>
        <v>0.0206</v>
      </c>
      <c r="S76" s="7">
        <f t="shared" si="64"/>
        <v>0.0359</v>
      </c>
    </row>
    <row r="77">
      <c r="B77" s="6" t="s">
        <v>8</v>
      </c>
      <c r="C77" s="7">
        <f t="shared" ref="C77:I77" si="65">AVERAGE(C27, C37)</f>
        <v>0.4746</v>
      </c>
      <c r="D77" s="7">
        <f t="shared" si="65"/>
        <v>0.476</v>
      </c>
      <c r="E77" s="7">
        <f t="shared" si="65"/>
        <v>0.4827</v>
      </c>
      <c r="F77" s="7">
        <f t="shared" si="65"/>
        <v>0.4884</v>
      </c>
      <c r="G77" s="7">
        <f t="shared" si="65"/>
        <v>0.5015</v>
      </c>
      <c r="H77" s="7">
        <f t="shared" si="65"/>
        <v>0.4879</v>
      </c>
      <c r="I77" s="7">
        <f t="shared" si="65"/>
        <v>0.5</v>
      </c>
      <c r="J77" s="3"/>
      <c r="L77" s="6" t="s">
        <v>8</v>
      </c>
      <c r="M77" s="7">
        <f t="shared" ref="M77:S77" si="66">C77-$C$73</f>
        <v>0.0094</v>
      </c>
      <c r="N77" s="7">
        <f t="shared" si="66"/>
        <v>0.0108</v>
      </c>
      <c r="O77" s="7">
        <f t="shared" si="66"/>
        <v>0.0175</v>
      </c>
      <c r="P77" s="7">
        <f t="shared" si="66"/>
        <v>0.0232</v>
      </c>
      <c r="Q77" s="7">
        <f t="shared" si="66"/>
        <v>0.0363</v>
      </c>
      <c r="R77" s="7">
        <f t="shared" si="66"/>
        <v>0.0227</v>
      </c>
      <c r="S77" s="7">
        <f t="shared" si="66"/>
        <v>0.0348</v>
      </c>
    </row>
    <row r="78">
      <c r="B78" s="6" t="s">
        <v>9</v>
      </c>
      <c r="C78" s="7">
        <f t="shared" ref="C78:I78" si="67">AVERAGE(C28, C38)</f>
        <v>0.4735</v>
      </c>
      <c r="D78" s="7">
        <f t="shared" si="67"/>
        <v>0.4744</v>
      </c>
      <c r="E78" s="7">
        <f t="shared" si="67"/>
        <v>0.4828</v>
      </c>
      <c r="F78" s="7">
        <f t="shared" si="67"/>
        <v>0.4919</v>
      </c>
      <c r="G78" s="7">
        <f t="shared" si="67"/>
        <v>0.5078</v>
      </c>
      <c r="H78" s="7">
        <f t="shared" si="67"/>
        <v>0.4907</v>
      </c>
      <c r="I78" s="7">
        <f t="shared" si="67"/>
        <v>0.5071</v>
      </c>
      <c r="J78" s="3"/>
      <c r="L78" s="6" t="s">
        <v>9</v>
      </c>
      <c r="M78" s="7">
        <f t="shared" ref="M78:S78" si="68">C78-$C$73</f>
        <v>0.0083</v>
      </c>
      <c r="N78" s="7">
        <f t="shared" si="68"/>
        <v>0.0092</v>
      </c>
      <c r="O78" s="7">
        <f t="shared" si="68"/>
        <v>0.0176</v>
      </c>
      <c r="P78" s="7">
        <f t="shared" si="68"/>
        <v>0.0267</v>
      </c>
      <c r="Q78" s="7">
        <f t="shared" si="68"/>
        <v>0.0426</v>
      </c>
      <c r="R78" s="7">
        <f t="shared" si="68"/>
        <v>0.0255</v>
      </c>
      <c r="S78" s="7">
        <f t="shared" si="68"/>
        <v>0.0419</v>
      </c>
    </row>
    <row r="79">
      <c r="B79" s="6" t="s">
        <v>10</v>
      </c>
      <c r="C79" s="7">
        <f t="shared" ref="C79:I79" si="69">AVERAGE(C29, C39)</f>
        <v>0.4759</v>
      </c>
      <c r="D79" s="7">
        <f t="shared" si="69"/>
        <v>0.477</v>
      </c>
      <c r="E79" s="7">
        <f t="shared" si="69"/>
        <v>0.4832</v>
      </c>
      <c r="F79" s="7">
        <f t="shared" si="69"/>
        <v>0.4884</v>
      </c>
      <c r="G79" s="7">
        <f t="shared" si="69"/>
        <v>0.5016</v>
      </c>
      <c r="H79" s="7">
        <f t="shared" si="69"/>
        <v>0.4886</v>
      </c>
      <c r="I79" s="7">
        <f t="shared" si="69"/>
        <v>0.5006</v>
      </c>
      <c r="J79" s="3"/>
      <c r="L79" s="6" t="s">
        <v>10</v>
      </c>
      <c r="M79" s="7">
        <f t="shared" ref="M79:S79" si="70">C79-$C$73</f>
        <v>0.0107</v>
      </c>
      <c r="N79" s="7">
        <f t="shared" si="70"/>
        <v>0.0118</v>
      </c>
      <c r="O79" s="7">
        <f t="shared" si="70"/>
        <v>0.018</v>
      </c>
      <c r="P79" s="7">
        <f t="shared" si="70"/>
        <v>0.0232</v>
      </c>
      <c r="Q79" s="7">
        <f t="shared" si="70"/>
        <v>0.0364</v>
      </c>
      <c r="R79" s="7">
        <f t="shared" si="70"/>
        <v>0.0234</v>
      </c>
      <c r="S79" s="7">
        <f t="shared" si="70"/>
        <v>0.0354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</row>
    <row r="83">
      <c r="B83" s="6" t="s">
        <v>4</v>
      </c>
      <c r="C83" s="7">
        <f t="shared" ref="C83:I83" si="71">AVERAGE(C43, C53)</f>
        <v>0.2973</v>
      </c>
      <c r="D83" s="7">
        <f t="shared" si="71"/>
        <v>0.3305</v>
      </c>
      <c r="E83" s="7">
        <f t="shared" si="71"/>
        <v>0.3594</v>
      </c>
      <c r="F83" s="7">
        <f t="shared" si="71"/>
        <v>0.3305</v>
      </c>
      <c r="G83" s="7">
        <f t="shared" si="71"/>
        <v>0.3591</v>
      </c>
      <c r="H83" s="7">
        <f t="shared" si="71"/>
        <v>0.3231</v>
      </c>
      <c r="I83" s="7">
        <f t="shared" si="71"/>
        <v>0.356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0.0332</v>
      </c>
      <c r="O83" s="7">
        <f t="shared" si="72"/>
        <v>0.0621</v>
      </c>
      <c r="P83" s="7">
        <f t="shared" si="72"/>
        <v>0.0332</v>
      </c>
      <c r="Q83" s="7">
        <f t="shared" si="72"/>
        <v>0.0618</v>
      </c>
      <c r="R83" s="7">
        <f t="shared" si="72"/>
        <v>0.0258</v>
      </c>
      <c r="S83" s="7">
        <f t="shared" si="72"/>
        <v>0.0587</v>
      </c>
    </row>
    <row r="84">
      <c r="B84" s="6" t="s">
        <v>5</v>
      </c>
      <c r="C84" s="7">
        <f t="shared" ref="C84:I84" si="73">AVERAGE(C44, C54)</f>
        <v>0.2753</v>
      </c>
      <c r="D84" s="7">
        <f t="shared" si="73"/>
        <v>0.3099</v>
      </c>
      <c r="E84" s="7">
        <f t="shared" si="73"/>
        <v>0.3393</v>
      </c>
      <c r="F84" s="7">
        <f t="shared" si="73"/>
        <v>0.3082</v>
      </c>
      <c r="G84" s="7">
        <f t="shared" si="73"/>
        <v>0.3366</v>
      </c>
      <c r="H84" s="7">
        <f t="shared" si="73"/>
        <v>0.302</v>
      </c>
      <c r="I84" s="7">
        <f t="shared" si="73"/>
        <v>0.3327</v>
      </c>
      <c r="J84" s="3"/>
      <c r="L84" s="6" t="s">
        <v>5</v>
      </c>
      <c r="M84" s="7">
        <f t="shared" ref="M84:S84" si="74">C84-$C$83</f>
        <v>-0.022</v>
      </c>
      <c r="N84" s="7">
        <f t="shared" si="74"/>
        <v>0.0126</v>
      </c>
      <c r="O84" s="7">
        <f t="shared" si="74"/>
        <v>0.042</v>
      </c>
      <c r="P84" s="7">
        <f t="shared" si="74"/>
        <v>0.0109</v>
      </c>
      <c r="Q84" s="7">
        <f t="shared" si="74"/>
        <v>0.0393</v>
      </c>
      <c r="R84" s="7">
        <f t="shared" si="74"/>
        <v>0.0047</v>
      </c>
      <c r="S84" s="7">
        <f t="shared" si="74"/>
        <v>0.0354</v>
      </c>
    </row>
    <row r="85">
      <c r="B85" s="6" t="s">
        <v>6</v>
      </c>
      <c r="C85" s="7">
        <f t="shared" ref="C85:I85" si="75">AVERAGE(C45, C55)</f>
        <v>0.2615</v>
      </c>
      <c r="D85" s="7">
        <f t="shared" si="75"/>
        <v>0.2946</v>
      </c>
      <c r="E85" s="7">
        <f t="shared" si="75"/>
        <v>0.3286</v>
      </c>
      <c r="F85" s="7">
        <f t="shared" si="75"/>
        <v>0.296</v>
      </c>
      <c r="G85" s="7">
        <f t="shared" si="75"/>
        <v>0.3253</v>
      </c>
      <c r="H85" s="7">
        <f t="shared" si="75"/>
        <v>0.2878</v>
      </c>
      <c r="I85" s="7">
        <f t="shared" si="75"/>
        <v>0.3216</v>
      </c>
      <c r="J85" s="3"/>
      <c r="L85" s="6" t="s">
        <v>6</v>
      </c>
      <c r="M85" s="7">
        <f t="shared" ref="M85:S85" si="76">C85-$C$83</f>
        <v>-0.0358</v>
      </c>
      <c r="N85" s="7">
        <f t="shared" si="76"/>
        <v>-0.0027</v>
      </c>
      <c r="O85" s="7">
        <f t="shared" si="76"/>
        <v>0.0313</v>
      </c>
      <c r="P85" s="7">
        <f t="shared" si="76"/>
        <v>-0.0013</v>
      </c>
      <c r="Q85" s="7">
        <f t="shared" si="76"/>
        <v>0.028</v>
      </c>
      <c r="R85" s="7">
        <f t="shared" si="76"/>
        <v>-0.0095</v>
      </c>
      <c r="S85" s="7">
        <f t="shared" si="76"/>
        <v>0.0243</v>
      </c>
    </row>
    <row r="86">
      <c r="B86" s="6" t="s">
        <v>7</v>
      </c>
      <c r="C86" s="7">
        <f t="shared" ref="C86:I86" si="77">AVERAGE(C46, C56)</f>
        <v>0.3112</v>
      </c>
      <c r="D86" s="7">
        <f t="shared" si="77"/>
        <v>0.3447</v>
      </c>
      <c r="E86" s="7">
        <f t="shared" si="77"/>
        <v>0.3707</v>
      </c>
      <c r="F86" s="7">
        <f t="shared" si="77"/>
        <v>0.3354</v>
      </c>
      <c r="G86" s="7">
        <f t="shared" si="77"/>
        <v>0.3549</v>
      </c>
      <c r="H86" s="7">
        <f t="shared" si="77"/>
        <v>0.3293</v>
      </c>
      <c r="I86" s="7">
        <f t="shared" si="77"/>
        <v>0.3532</v>
      </c>
      <c r="J86" s="3"/>
      <c r="L86" s="6" t="s">
        <v>7</v>
      </c>
      <c r="M86" s="7">
        <f t="shared" ref="M86:S86" si="78">C86-$C$83</f>
        <v>0.0139</v>
      </c>
      <c r="N86" s="7">
        <f t="shared" si="78"/>
        <v>0.0474</v>
      </c>
      <c r="O86" s="7">
        <f t="shared" si="78"/>
        <v>0.0734</v>
      </c>
      <c r="P86" s="7">
        <f t="shared" si="78"/>
        <v>0.0381</v>
      </c>
      <c r="Q86" s="7">
        <f t="shared" si="78"/>
        <v>0.0576</v>
      </c>
      <c r="R86" s="7">
        <f t="shared" si="78"/>
        <v>0.032</v>
      </c>
      <c r="S86" s="7">
        <f t="shared" si="78"/>
        <v>0.0559</v>
      </c>
    </row>
    <row r="87">
      <c r="B87" s="6" t="s">
        <v>8</v>
      </c>
      <c r="C87" s="7">
        <f t="shared" ref="C87:I87" si="79">AVERAGE(C47, C57)</f>
        <v>0.3428</v>
      </c>
      <c r="D87" s="7">
        <f t="shared" si="79"/>
        <v>0.3741</v>
      </c>
      <c r="E87" s="7">
        <f t="shared" si="79"/>
        <v>0.398</v>
      </c>
      <c r="F87" s="7">
        <f t="shared" si="79"/>
        <v>0.3436</v>
      </c>
      <c r="G87" s="7">
        <f t="shared" si="79"/>
        <v>0.3471</v>
      </c>
      <c r="H87" s="7">
        <f t="shared" si="79"/>
        <v>0.342</v>
      </c>
      <c r="I87" s="7">
        <f t="shared" si="79"/>
        <v>0.3449</v>
      </c>
      <c r="J87" s="3"/>
      <c r="L87" s="6" t="s">
        <v>8</v>
      </c>
      <c r="M87" s="7">
        <f t="shared" ref="M87:S87" si="80">C87-$C$83</f>
        <v>0.0455</v>
      </c>
      <c r="N87" s="7">
        <f t="shared" si="80"/>
        <v>0.0768</v>
      </c>
      <c r="O87" s="7">
        <f t="shared" si="80"/>
        <v>0.1007</v>
      </c>
      <c r="P87" s="7">
        <f t="shared" si="80"/>
        <v>0.0463</v>
      </c>
      <c r="Q87" s="7">
        <f t="shared" si="80"/>
        <v>0.0498</v>
      </c>
      <c r="R87" s="7">
        <f t="shared" si="80"/>
        <v>0.0447</v>
      </c>
      <c r="S87" s="7">
        <f t="shared" si="80"/>
        <v>0.0476</v>
      </c>
    </row>
    <row r="88">
      <c r="B88" s="6" t="s">
        <v>9</v>
      </c>
      <c r="C88" s="7">
        <f t="shared" ref="C88:I88" si="81">AVERAGE(C48, C58)</f>
        <v>0.3186</v>
      </c>
      <c r="D88" s="7">
        <f t="shared" si="81"/>
        <v>0.3504</v>
      </c>
      <c r="E88" s="7">
        <f t="shared" si="81"/>
        <v>0.3777</v>
      </c>
      <c r="F88" s="7">
        <f t="shared" si="81"/>
        <v>0.3396</v>
      </c>
      <c r="G88" s="7">
        <f t="shared" si="81"/>
        <v>0.3564</v>
      </c>
      <c r="H88" s="7">
        <f t="shared" si="81"/>
        <v>0.3346</v>
      </c>
      <c r="I88" s="7">
        <f t="shared" si="81"/>
        <v>0.3545</v>
      </c>
      <c r="J88" s="3"/>
      <c r="L88" s="6" t="s">
        <v>9</v>
      </c>
      <c r="M88" s="7">
        <f t="shared" ref="M88:S88" si="82">C88-$C$83</f>
        <v>0.0213</v>
      </c>
      <c r="N88" s="7">
        <f t="shared" si="82"/>
        <v>0.0531</v>
      </c>
      <c r="O88" s="7">
        <f t="shared" si="82"/>
        <v>0.0804</v>
      </c>
      <c r="P88" s="7">
        <f t="shared" si="82"/>
        <v>0.0423</v>
      </c>
      <c r="Q88" s="7">
        <f t="shared" si="82"/>
        <v>0.0591</v>
      </c>
      <c r="R88" s="7">
        <f t="shared" si="82"/>
        <v>0.0373</v>
      </c>
      <c r="S88" s="7">
        <f t="shared" si="82"/>
        <v>0.0572</v>
      </c>
    </row>
    <row r="89">
      <c r="B89" s="6" t="s">
        <v>10</v>
      </c>
      <c r="C89" s="7">
        <f t="shared" ref="C89:I89" si="83">AVERAGE(C49, C59)</f>
        <v>0.3552</v>
      </c>
      <c r="D89" s="7">
        <f t="shared" si="83"/>
        <v>0.3854</v>
      </c>
      <c r="E89" s="7">
        <f t="shared" si="83"/>
        <v>0.4064</v>
      </c>
      <c r="F89" s="7">
        <f t="shared" si="83"/>
        <v>0.3562</v>
      </c>
      <c r="G89" s="7">
        <f t="shared" si="83"/>
        <v>0.3558</v>
      </c>
      <c r="H89" s="7">
        <f t="shared" si="83"/>
        <v>0.3543</v>
      </c>
      <c r="I89" s="7">
        <f t="shared" si="83"/>
        <v>0.3545</v>
      </c>
      <c r="J89" s="3"/>
      <c r="L89" s="6" t="s">
        <v>10</v>
      </c>
      <c r="M89" s="7">
        <f t="shared" ref="M89:S89" si="84">C89-$C$83</f>
        <v>0.0579</v>
      </c>
      <c r="N89" s="7">
        <f t="shared" si="84"/>
        <v>0.0881</v>
      </c>
      <c r="O89" s="7">
        <f t="shared" si="84"/>
        <v>0.1091</v>
      </c>
      <c r="P89" s="7">
        <f t="shared" si="84"/>
        <v>0.0589</v>
      </c>
      <c r="Q89" s="7">
        <f t="shared" si="84"/>
        <v>0.0585</v>
      </c>
      <c r="R89" s="7">
        <f t="shared" si="84"/>
        <v>0.057</v>
      </c>
      <c r="S89" s="7">
        <f t="shared" si="84"/>
        <v>0.0572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</row>
    <row r="93">
      <c r="B93" s="6" t="s">
        <v>4</v>
      </c>
      <c r="C93" s="7">
        <f t="shared" ref="C93:I93" si="85">AVERAGE(C63, C73, C83)</f>
        <v>0.3239</v>
      </c>
      <c r="D93" s="7">
        <f t="shared" si="85"/>
        <v>0.3461666667</v>
      </c>
      <c r="E93" s="7">
        <f t="shared" si="85"/>
        <v>0.3719666667</v>
      </c>
      <c r="F93" s="7">
        <f t="shared" si="85"/>
        <v>0.3527</v>
      </c>
      <c r="G93" s="7">
        <f t="shared" si="85"/>
        <v>0.3807</v>
      </c>
      <c r="H93" s="7">
        <f t="shared" si="85"/>
        <v>0.3463</v>
      </c>
      <c r="I93" s="7">
        <f t="shared" si="85"/>
        <v>0.3736666667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0.02226666667</v>
      </c>
      <c r="O93" s="7">
        <f t="shared" si="86"/>
        <v>0.04806666667</v>
      </c>
      <c r="P93" s="7">
        <f t="shared" si="86"/>
        <v>0.0288</v>
      </c>
      <c r="Q93" s="7">
        <f t="shared" si="86"/>
        <v>0.0568</v>
      </c>
      <c r="R93" s="7">
        <f t="shared" si="86"/>
        <v>0.0224</v>
      </c>
      <c r="S93" s="7">
        <f t="shared" si="86"/>
        <v>0.04976666667</v>
      </c>
    </row>
    <row r="94">
      <c r="B94" s="6" t="s">
        <v>5</v>
      </c>
      <c r="C94" s="7">
        <f t="shared" ref="C94:I94" si="87">AVERAGE(C64, C74, C84)</f>
        <v>0.3223</v>
      </c>
      <c r="D94" s="7">
        <f t="shared" si="87"/>
        <v>0.3447</v>
      </c>
      <c r="E94" s="7">
        <f t="shared" si="87"/>
        <v>0.3692333333</v>
      </c>
      <c r="F94" s="7">
        <f t="shared" si="87"/>
        <v>0.3506333333</v>
      </c>
      <c r="G94" s="7">
        <f t="shared" si="87"/>
        <v>0.3782</v>
      </c>
      <c r="H94" s="7">
        <f t="shared" si="87"/>
        <v>0.3449</v>
      </c>
      <c r="I94" s="7">
        <f t="shared" si="87"/>
        <v>0.3720333333</v>
      </c>
      <c r="J94" s="3"/>
      <c r="L94" s="6" t="s">
        <v>5</v>
      </c>
      <c r="M94" s="7">
        <f t="shared" ref="M94:S94" si="88">C94-$C$93</f>
        <v>-0.0016</v>
      </c>
      <c r="N94" s="7">
        <f t="shared" si="88"/>
        <v>0.0208</v>
      </c>
      <c r="O94" s="7">
        <f t="shared" si="88"/>
        <v>0.04533333333</v>
      </c>
      <c r="P94" s="7">
        <f t="shared" si="88"/>
        <v>0.02673333333</v>
      </c>
      <c r="Q94" s="7">
        <f t="shared" si="88"/>
        <v>0.0543</v>
      </c>
      <c r="R94" s="7">
        <f t="shared" si="88"/>
        <v>0.021</v>
      </c>
      <c r="S94" s="7">
        <f t="shared" si="88"/>
        <v>0.04813333333</v>
      </c>
    </row>
    <row r="95">
      <c r="B95" s="6" t="s">
        <v>6</v>
      </c>
      <c r="C95" s="7">
        <f t="shared" ref="C95:I95" si="89">AVERAGE(C65, C75, C85)</f>
        <v>0.3197666667</v>
      </c>
      <c r="D95" s="7">
        <f t="shared" si="89"/>
        <v>0.3410666667</v>
      </c>
      <c r="E95" s="7">
        <f t="shared" si="89"/>
        <v>0.3672333333</v>
      </c>
      <c r="F95" s="7">
        <f t="shared" si="89"/>
        <v>0.3484333333</v>
      </c>
      <c r="G95" s="7">
        <f t="shared" si="89"/>
        <v>0.3767333333</v>
      </c>
      <c r="H95" s="7">
        <f t="shared" si="89"/>
        <v>0.3420333333</v>
      </c>
      <c r="I95" s="7">
        <f t="shared" si="89"/>
        <v>0.3685</v>
      </c>
      <c r="J95" s="3"/>
      <c r="L95" s="6" t="s">
        <v>6</v>
      </c>
      <c r="M95" s="7">
        <f t="shared" ref="M95:S95" si="90">C95-$C$93</f>
        <v>-0.004133333333</v>
      </c>
      <c r="N95" s="7">
        <f t="shared" si="90"/>
        <v>0.01716666667</v>
      </c>
      <c r="O95" s="7">
        <f t="shared" si="90"/>
        <v>0.04333333333</v>
      </c>
      <c r="P95" s="7">
        <f t="shared" si="90"/>
        <v>0.02453333333</v>
      </c>
      <c r="Q95" s="7">
        <f t="shared" si="90"/>
        <v>0.05283333333</v>
      </c>
      <c r="R95" s="7">
        <f t="shared" si="90"/>
        <v>0.01813333333</v>
      </c>
      <c r="S95" s="7">
        <f t="shared" si="90"/>
        <v>0.0446</v>
      </c>
    </row>
    <row r="96">
      <c r="B96" s="6" t="s">
        <v>7</v>
      </c>
      <c r="C96" s="7">
        <f t="shared" ref="C96:I96" si="91">AVERAGE(C66, C76, C86)</f>
        <v>0.3347</v>
      </c>
      <c r="D96" s="7">
        <f t="shared" si="91"/>
        <v>0.3562</v>
      </c>
      <c r="E96" s="7">
        <f t="shared" si="91"/>
        <v>0.3804</v>
      </c>
      <c r="F96" s="7">
        <f t="shared" si="91"/>
        <v>0.3584333333</v>
      </c>
      <c r="G96" s="7">
        <f t="shared" si="91"/>
        <v>0.3816666667</v>
      </c>
      <c r="H96" s="7">
        <f t="shared" si="91"/>
        <v>0.3527</v>
      </c>
      <c r="I96" s="7">
        <f t="shared" si="91"/>
        <v>0.3753</v>
      </c>
      <c r="J96" s="3"/>
      <c r="L96" s="6" t="s">
        <v>7</v>
      </c>
      <c r="M96" s="7">
        <f t="shared" ref="M96:S96" si="92">C96-$C$93</f>
        <v>0.0108</v>
      </c>
      <c r="N96" s="7">
        <f t="shared" si="92"/>
        <v>0.0323</v>
      </c>
      <c r="O96" s="7">
        <f t="shared" si="92"/>
        <v>0.0565</v>
      </c>
      <c r="P96" s="7">
        <f t="shared" si="92"/>
        <v>0.03453333333</v>
      </c>
      <c r="Q96" s="7">
        <f t="shared" si="92"/>
        <v>0.05776666667</v>
      </c>
      <c r="R96" s="7">
        <f t="shared" si="92"/>
        <v>0.0288</v>
      </c>
      <c r="S96" s="7">
        <f t="shared" si="92"/>
        <v>0.0514</v>
      </c>
    </row>
    <row r="97">
      <c r="B97" s="6" t="s">
        <v>8</v>
      </c>
      <c r="C97" s="7">
        <f t="shared" ref="C97:I97" si="93">AVERAGE(C67, C77, C87)</f>
        <v>0.3538666667</v>
      </c>
      <c r="D97" s="7">
        <f t="shared" si="93"/>
        <v>0.3742333333</v>
      </c>
      <c r="E97" s="7">
        <f t="shared" si="93"/>
        <v>0.3961666667</v>
      </c>
      <c r="F97" s="7">
        <f t="shared" si="93"/>
        <v>0.3689</v>
      </c>
      <c r="G97" s="7">
        <f t="shared" si="93"/>
        <v>0.3854333333</v>
      </c>
      <c r="H97" s="7">
        <f t="shared" si="93"/>
        <v>0.3645333333</v>
      </c>
      <c r="I97" s="7">
        <f t="shared" si="93"/>
        <v>0.3782</v>
      </c>
      <c r="J97" s="3"/>
      <c r="L97" s="6" t="s">
        <v>8</v>
      </c>
      <c r="M97" s="7">
        <f t="shared" ref="M97:S97" si="94">C97-$C$93</f>
        <v>0.02996666667</v>
      </c>
      <c r="N97" s="7">
        <f t="shared" si="94"/>
        <v>0.05033333333</v>
      </c>
      <c r="O97" s="7">
        <f t="shared" si="94"/>
        <v>0.07226666667</v>
      </c>
      <c r="P97" s="7">
        <f t="shared" si="94"/>
        <v>0.045</v>
      </c>
      <c r="Q97" s="7">
        <f t="shared" si="94"/>
        <v>0.06153333333</v>
      </c>
      <c r="R97" s="7">
        <f t="shared" si="94"/>
        <v>0.04063333333</v>
      </c>
      <c r="S97" s="7">
        <f t="shared" si="94"/>
        <v>0.0543</v>
      </c>
    </row>
    <row r="98">
      <c r="B98" s="6" t="s">
        <v>9</v>
      </c>
      <c r="C98" s="7">
        <f t="shared" ref="C98:I98" si="95">AVERAGE(C68, C78, C88)</f>
        <v>0.337</v>
      </c>
      <c r="D98" s="7">
        <f t="shared" si="95"/>
        <v>0.3581666667</v>
      </c>
      <c r="E98" s="7">
        <f t="shared" si="95"/>
        <v>0.3823333333</v>
      </c>
      <c r="F98" s="7">
        <f t="shared" si="95"/>
        <v>0.3611666667</v>
      </c>
      <c r="G98" s="7">
        <f t="shared" si="95"/>
        <v>0.3822666667</v>
      </c>
      <c r="H98" s="7">
        <f t="shared" si="95"/>
        <v>0.3542333333</v>
      </c>
      <c r="I98" s="7">
        <f t="shared" si="95"/>
        <v>0.3757666667</v>
      </c>
      <c r="J98" s="3"/>
      <c r="L98" s="6" t="s">
        <v>9</v>
      </c>
      <c r="M98" s="7">
        <f t="shared" ref="M98:S98" si="96">C98-$C$93</f>
        <v>0.0131</v>
      </c>
      <c r="N98" s="7">
        <f t="shared" si="96"/>
        <v>0.03426666667</v>
      </c>
      <c r="O98" s="7">
        <f t="shared" si="96"/>
        <v>0.05843333333</v>
      </c>
      <c r="P98" s="7">
        <f t="shared" si="96"/>
        <v>0.03726666667</v>
      </c>
      <c r="Q98" s="7">
        <f t="shared" si="96"/>
        <v>0.05836666667</v>
      </c>
      <c r="R98" s="7">
        <f t="shared" si="96"/>
        <v>0.03033333333</v>
      </c>
      <c r="S98" s="7">
        <f t="shared" si="96"/>
        <v>0.05186666667</v>
      </c>
    </row>
    <row r="99">
      <c r="B99" s="6" t="s">
        <v>10</v>
      </c>
      <c r="C99" s="7">
        <f t="shared" ref="C99:I99" si="97">AVERAGE(C69, C79, C89)</f>
        <v>0.3552666667</v>
      </c>
      <c r="D99" s="7">
        <f t="shared" si="97"/>
        <v>0.3750333333</v>
      </c>
      <c r="E99" s="7">
        <f t="shared" si="97"/>
        <v>0.3971333333</v>
      </c>
      <c r="F99" s="7">
        <f t="shared" si="97"/>
        <v>0.3701</v>
      </c>
      <c r="G99" s="7">
        <f t="shared" si="97"/>
        <v>0.3849333333</v>
      </c>
      <c r="H99" s="7">
        <f t="shared" si="97"/>
        <v>0.3648666667</v>
      </c>
      <c r="I99" s="7">
        <f t="shared" si="97"/>
        <v>0.3773333333</v>
      </c>
      <c r="J99" s="3"/>
      <c r="L99" s="6" t="s">
        <v>10</v>
      </c>
      <c r="M99" s="7">
        <f t="shared" ref="M99:S99" si="98">C99-$C$93</f>
        <v>0.03136666667</v>
      </c>
      <c r="N99" s="7">
        <f t="shared" si="98"/>
        <v>0.05113333333</v>
      </c>
      <c r="O99" s="7">
        <f t="shared" si="98"/>
        <v>0.07323333333</v>
      </c>
      <c r="P99" s="7">
        <f t="shared" si="98"/>
        <v>0.0462</v>
      </c>
      <c r="Q99" s="7">
        <f t="shared" si="98"/>
        <v>0.06103333333</v>
      </c>
      <c r="R99" s="7">
        <f t="shared" si="98"/>
        <v>0.04096666667</v>
      </c>
      <c r="S99" s="7">
        <f t="shared" si="98"/>
        <v>0.05343333333</v>
      </c>
    </row>
    <row r="101">
      <c r="A101" s="1" t="s">
        <v>83</v>
      </c>
      <c r="B101" s="2" t="s">
        <v>1</v>
      </c>
      <c r="O101" s="1" t="s">
        <v>995</v>
      </c>
      <c r="P101" s="2" t="s">
        <v>1</v>
      </c>
    </row>
    <row r="102">
      <c r="A102" s="4" t="s">
        <v>3</v>
      </c>
      <c r="B102" s="5"/>
      <c r="C102" s="6" t="s">
        <v>4</v>
      </c>
      <c r="D102" s="6" t="s">
        <v>5</v>
      </c>
      <c r="E102" s="6" t="s">
        <v>6</v>
      </c>
      <c r="F102" s="6" t="s">
        <v>84</v>
      </c>
      <c r="G102" s="6" t="s">
        <v>85</v>
      </c>
      <c r="H102" s="6" t="s">
        <v>86</v>
      </c>
      <c r="I102" s="6" t="s">
        <v>87</v>
      </c>
      <c r="J102" s="6" t="s">
        <v>88</v>
      </c>
      <c r="K102" s="6" t="s">
        <v>89</v>
      </c>
      <c r="L102" s="6" t="s">
        <v>90</v>
      </c>
      <c r="M102" s="6" t="s">
        <v>91</v>
      </c>
      <c r="O102" s="4" t="s">
        <v>3</v>
      </c>
      <c r="P102" s="5"/>
      <c r="Q102" s="6" t="s">
        <v>4</v>
      </c>
      <c r="R102" s="6" t="s">
        <v>5</v>
      </c>
      <c r="S102" s="6" t="s">
        <v>6</v>
      </c>
      <c r="T102" s="6" t="s">
        <v>84</v>
      </c>
      <c r="U102" s="6" t="s">
        <v>85</v>
      </c>
      <c r="V102" s="6" t="s">
        <v>86</v>
      </c>
      <c r="W102" s="6" t="s">
        <v>87</v>
      </c>
      <c r="X102" s="6" t="s">
        <v>88</v>
      </c>
      <c r="Y102" s="6" t="s">
        <v>89</v>
      </c>
      <c r="Z102" s="6" t="s">
        <v>90</v>
      </c>
      <c r="AA102" s="6" t="s">
        <v>91</v>
      </c>
    </row>
    <row r="103">
      <c r="B103" s="6" t="s">
        <v>4</v>
      </c>
      <c r="C103" s="7">
        <f>AVERAGE(CNN!C119, LSTM!C119, SVM!C119, NB!C119, RF!C119)</f>
        <v>0.1076</v>
      </c>
      <c r="D103" s="7">
        <f>AVERAGE(CNN!D119, LSTM!D119, SVM!D119, NB!D119, RF!D119)</f>
        <v>0.1046</v>
      </c>
      <c r="E103" s="7">
        <f>AVERAGE(CNN!E119, LSTM!E119, SVM!E119, NB!E119, RF!E119)</f>
        <v>0.1092</v>
      </c>
      <c r="F103" s="7">
        <f>AVERAGE(CNN!F119, LSTM!F119, SVM!F119, NB!F119, RF!F119)</f>
        <v>0.0936</v>
      </c>
      <c r="G103" s="7">
        <f>AVERAGE(CNN!G119, LSTM!G119, SVM!G119, NB!G119, RF!G119)</f>
        <v>0.1936</v>
      </c>
      <c r="H103" s="7">
        <f>AVERAGE(CNN!H119, LSTM!H119, SVM!H119, NB!H119, RF!H119)</f>
        <v>0.0852</v>
      </c>
      <c r="I103" s="7">
        <f>AVERAGE(CNN!I119, LSTM!I119, SVM!I119, NB!I119, RF!I119)</f>
        <v>0.2852</v>
      </c>
      <c r="J103" s="7">
        <f>AVERAGE(CNN!J119, LSTM!J119, SVM!J119, NB!J119, RF!J119)</f>
        <v>0.0738</v>
      </c>
      <c r="K103" s="7">
        <f>AVERAGE(CNN!K119, LSTM!K119, SVM!K119, NB!K119, RF!K119)</f>
        <v>0.174</v>
      </c>
      <c r="L103" s="7">
        <f>AVERAGE(CNN!L119, LSTM!L119, SVM!L119, NB!L119, RF!L119)</f>
        <v>0.0594</v>
      </c>
      <c r="M103" s="7">
        <f>AVERAGE(CNN!M119, LSTM!M119, SVM!M119, NB!M119, RF!M119)</f>
        <v>0.2594</v>
      </c>
      <c r="P103" s="6" t="s">
        <v>4</v>
      </c>
      <c r="Q103" s="7">
        <f t="shared" ref="Q103:AA103" si="99">C103-$C$103</f>
        <v>0</v>
      </c>
      <c r="R103" s="7">
        <f t="shared" si="99"/>
        <v>-0.003</v>
      </c>
      <c r="S103" s="7">
        <f t="shared" si="99"/>
        <v>0.0016</v>
      </c>
      <c r="T103" s="7">
        <f t="shared" si="99"/>
        <v>-0.014</v>
      </c>
      <c r="U103" s="7">
        <f t="shared" si="99"/>
        <v>0.086</v>
      </c>
      <c r="V103" s="7">
        <f t="shared" si="99"/>
        <v>-0.0224</v>
      </c>
      <c r="W103" s="7">
        <f t="shared" si="99"/>
        <v>0.1776</v>
      </c>
      <c r="X103" s="7">
        <f t="shared" si="99"/>
        <v>-0.0338</v>
      </c>
      <c r="Y103" s="7">
        <f t="shared" si="99"/>
        <v>0.0664</v>
      </c>
      <c r="Z103" s="7">
        <f t="shared" si="99"/>
        <v>-0.0482</v>
      </c>
      <c r="AA103" s="7">
        <f t="shared" si="99"/>
        <v>0.1518</v>
      </c>
    </row>
    <row r="104">
      <c r="B104" s="6" t="s">
        <v>5</v>
      </c>
      <c r="C104" s="7">
        <f>AVERAGE(CNN!C120, LSTM!C120, SVM!C120, NB!C120, RF!C120)</f>
        <v>0.1192</v>
      </c>
      <c r="D104" s="7">
        <f>AVERAGE(CNN!D120, LSTM!D120, SVM!D120, NB!D120, RF!D120)</f>
        <v>0.1158</v>
      </c>
      <c r="E104" s="7">
        <f>AVERAGE(CNN!E120, LSTM!E120, SVM!E120, NB!E120, RF!E120)</f>
        <v>0.1174</v>
      </c>
      <c r="F104" s="7">
        <f>AVERAGE(CNN!F120, LSTM!F120, SVM!F120, NB!F120, RF!F120)</f>
        <v>0.1064</v>
      </c>
      <c r="G104" s="7">
        <f>AVERAGE(CNN!G120, LSTM!G120, SVM!G120, NB!G120, RF!G120)</f>
        <v>0.2064</v>
      </c>
      <c r="H104" s="7">
        <f>AVERAGE(CNN!H120, LSTM!H120, SVM!H120, NB!H120, RF!H120)</f>
        <v>0.1004</v>
      </c>
      <c r="I104" s="7">
        <f>AVERAGE(CNN!I120, LSTM!I120, SVM!I120, NB!I120, RF!I120)</f>
        <v>0.3004</v>
      </c>
      <c r="J104" s="7">
        <f>AVERAGE(CNN!J120, LSTM!J120, SVM!J120, NB!J120, RF!J120)</f>
        <v>0.0906</v>
      </c>
      <c r="K104" s="7">
        <f>AVERAGE(CNN!K120, LSTM!K120, SVM!K120, NB!K120, RF!K120)</f>
        <v>0.1908</v>
      </c>
      <c r="L104" s="7">
        <f>AVERAGE(CNN!L120, LSTM!L120, SVM!L120, NB!L120, RF!L120)</f>
        <v>0.0768</v>
      </c>
      <c r="M104" s="7">
        <f>AVERAGE(CNN!M120, LSTM!M120, SVM!M120, NB!M120, RF!M120)</f>
        <v>0.2772</v>
      </c>
      <c r="P104" s="6" t="s">
        <v>5</v>
      </c>
      <c r="Q104" s="7">
        <f t="shared" ref="Q104:AA104" si="100">C104-$C$103</f>
        <v>0.0116</v>
      </c>
      <c r="R104" s="7">
        <f t="shared" si="100"/>
        <v>0.0082</v>
      </c>
      <c r="S104" s="7">
        <f t="shared" si="100"/>
        <v>0.0098</v>
      </c>
      <c r="T104" s="7">
        <f t="shared" si="100"/>
        <v>-0.0012</v>
      </c>
      <c r="U104" s="7">
        <f t="shared" si="100"/>
        <v>0.0988</v>
      </c>
      <c r="V104" s="7">
        <f t="shared" si="100"/>
        <v>-0.0072</v>
      </c>
      <c r="W104" s="7">
        <f t="shared" si="100"/>
        <v>0.1928</v>
      </c>
      <c r="X104" s="7">
        <f t="shared" si="100"/>
        <v>-0.017</v>
      </c>
      <c r="Y104" s="7">
        <f t="shared" si="100"/>
        <v>0.0832</v>
      </c>
      <c r="Z104" s="7">
        <f t="shared" si="100"/>
        <v>-0.0308</v>
      </c>
      <c r="AA104" s="7">
        <f t="shared" si="100"/>
        <v>0.1696</v>
      </c>
    </row>
    <row r="105">
      <c r="B105" s="6" t="s">
        <v>6</v>
      </c>
      <c r="C105" s="7">
        <f>AVERAGE(CNN!C121, LSTM!C121, SVM!C121, NB!C121, RF!C121)</f>
        <v>0.1316</v>
      </c>
      <c r="D105" s="7">
        <f>AVERAGE(CNN!D121, LSTM!D121, SVM!D121, NB!D121, RF!D121)</f>
        <v>0.1284</v>
      </c>
      <c r="E105" s="7">
        <f>AVERAGE(CNN!E121, LSTM!E121, SVM!E121, NB!E121, RF!E121)</f>
        <v>0.1302</v>
      </c>
      <c r="F105" s="7">
        <f>AVERAGE(CNN!F121, LSTM!F121, SVM!F121, NB!F121, RF!F121)</f>
        <v>0.1186</v>
      </c>
      <c r="G105" s="7">
        <f>AVERAGE(CNN!G121, LSTM!G121, SVM!G121, NB!G121, RF!G121)</f>
        <v>0.2188</v>
      </c>
      <c r="H105" s="7">
        <f>AVERAGE(CNN!H121, LSTM!H121, SVM!H121, NB!H121, RF!H121)</f>
        <v>0.1114</v>
      </c>
      <c r="I105" s="7">
        <f>AVERAGE(CNN!I121, LSTM!I121, SVM!I121, NB!I121, RF!I121)</f>
        <v>0.3116</v>
      </c>
      <c r="J105" s="7">
        <f>AVERAGE(CNN!J121, LSTM!J121, SVM!J121, NB!J121, RF!J121)</f>
        <v>0.0992</v>
      </c>
      <c r="K105" s="7">
        <f>AVERAGE(CNN!K121, LSTM!K121, SVM!K121, NB!K121, RF!K121)</f>
        <v>0.1992</v>
      </c>
      <c r="L105" s="7">
        <f>AVERAGE(CNN!L121, LSTM!L121, SVM!L121, NB!L121, RF!L121)</f>
        <v>0.0838</v>
      </c>
      <c r="M105" s="7">
        <f>AVERAGE(CNN!M121, LSTM!M121, SVM!M121, NB!M121, RF!M121)</f>
        <v>0.2838</v>
      </c>
      <c r="P105" s="6" t="s">
        <v>6</v>
      </c>
      <c r="Q105" s="7">
        <f t="shared" ref="Q105:AA105" si="101">C105-$C$103</f>
        <v>0.024</v>
      </c>
      <c r="R105" s="7">
        <f t="shared" si="101"/>
        <v>0.0208</v>
      </c>
      <c r="S105" s="7">
        <f t="shared" si="101"/>
        <v>0.0226</v>
      </c>
      <c r="T105" s="7">
        <f t="shared" si="101"/>
        <v>0.011</v>
      </c>
      <c r="U105" s="7">
        <f t="shared" si="101"/>
        <v>0.1112</v>
      </c>
      <c r="V105" s="7">
        <f t="shared" si="101"/>
        <v>0.0038</v>
      </c>
      <c r="W105" s="7">
        <f t="shared" si="101"/>
        <v>0.204</v>
      </c>
      <c r="X105" s="7">
        <f t="shared" si="101"/>
        <v>-0.0084</v>
      </c>
      <c r="Y105" s="7">
        <f t="shared" si="101"/>
        <v>0.0916</v>
      </c>
      <c r="Z105" s="7">
        <f t="shared" si="101"/>
        <v>-0.0238</v>
      </c>
      <c r="AA105" s="7">
        <f t="shared" si="101"/>
        <v>0.1762</v>
      </c>
    </row>
    <row r="106">
      <c r="B106" s="6" t="s">
        <v>7</v>
      </c>
      <c r="C106" s="7">
        <f>AVERAGE(CNN!C122, LSTM!C122, SVM!C122, NB!C122, RF!C122)</f>
        <v>0.1192</v>
      </c>
      <c r="D106" s="7">
        <f>AVERAGE(CNN!D122, LSTM!D122, SVM!D122, NB!D122, RF!D122)</f>
        <v>0.1158</v>
      </c>
      <c r="E106" s="7">
        <f>AVERAGE(CNN!E122, LSTM!E122, SVM!E122, NB!E122, RF!E122)</f>
        <v>0.1188</v>
      </c>
      <c r="F106" s="7">
        <f>AVERAGE(CNN!F122, LSTM!F122, SVM!F122, NB!F122, RF!F122)</f>
        <v>0.101</v>
      </c>
      <c r="G106" s="7">
        <f>AVERAGE(CNN!G122, LSTM!G122, SVM!G122, NB!G122, RF!G122)</f>
        <v>0.2016</v>
      </c>
      <c r="H106" s="7">
        <f>AVERAGE(CNN!H122, LSTM!H122, SVM!H122, NB!H122, RF!H122)</f>
        <v>0.0904</v>
      </c>
      <c r="I106" s="7">
        <f>AVERAGE(CNN!I122, LSTM!I122, SVM!I122, NB!I122, RF!I122)</f>
        <v>0.2904</v>
      </c>
      <c r="J106" s="7">
        <f>AVERAGE(CNN!J122, LSTM!J122, SVM!J122, NB!J122, RF!J122)</f>
        <v>0.0836</v>
      </c>
      <c r="K106" s="7">
        <f>AVERAGE(CNN!K122, LSTM!K122, SVM!K122, NB!K122, RF!K122)</f>
        <v>0.1838</v>
      </c>
      <c r="L106" s="7">
        <f>AVERAGE(CNN!L122, LSTM!L122, SVM!L122, NB!L122, RF!L122)</f>
        <v>0.0656</v>
      </c>
      <c r="M106" s="7">
        <f>AVERAGE(CNN!M122, LSTM!M122, SVM!M122, NB!M122, RF!M122)</f>
        <v>0.2658</v>
      </c>
      <c r="P106" s="6" t="s">
        <v>7</v>
      </c>
      <c r="Q106" s="7">
        <f t="shared" ref="Q106:AA106" si="102">C106-$C$103</f>
        <v>0.0116</v>
      </c>
      <c r="R106" s="7">
        <f t="shared" si="102"/>
        <v>0.0082</v>
      </c>
      <c r="S106" s="7">
        <f t="shared" si="102"/>
        <v>0.0112</v>
      </c>
      <c r="T106" s="7">
        <f t="shared" si="102"/>
        <v>-0.0066</v>
      </c>
      <c r="U106" s="7">
        <f t="shared" si="102"/>
        <v>0.094</v>
      </c>
      <c r="V106" s="7">
        <f t="shared" si="102"/>
        <v>-0.0172</v>
      </c>
      <c r="W106" s="7">
        <f t="shared" si="102"/>
        <v>0.1828</v>
      </c>
      <c r="X106" s="7">
        <f t="shared" si="102"/>
        <v>-0.024</v>
      </c>
      <c r="Y106" s="7">
        <f t="shared" si="102"/>
        <v>0.0762</v>
      </c>
      <c r="Z106" s="7">
        <f t="shared" si="102"/>
        <v>-0.042</v>
      </c>
      <c r="AA106" s="7">
        <f t="shared" si="102"/>
        <v>0.1582</v>
      </c>
    </row>
    <row r="107">
      <c r="B107" s="6" t="s">
        <v>8</v>
      </c>
      <c r="C107" s="7">
        <f>AVERAGE(CNN!C123, LSTM!C123, SVM!C123, NB!C123, RF!C123)</f>
        <v>0.131</v>
      </c>
      <c r="D107" s="7">
        <f>AVERAGE(CNN!D123, LSTM!D123, SVM!D123, NB!D123, RF!D123)</f>
        <v>0.1264</v>
      </c>
      <c r="E107" s="7">
        <f>AVERAGE(CNN!E123, LSTM!E123, SVM!E123, NB!E123, RF!E123)</f>
        <v>0.1294</v>
      </c>
      <c r="F107" s="7">
        <f>AVERAGE(CNN!F123, LSTM!F123, SVM!F123, NB!F123, RF!F123)</f>
        <v>0.1114</v>
      </c>
      <c r="G107" s="7">
        <f>AVERAGE(CNN!G123, LSTM!G123, SVM!G123, NB!G123, RF!G123)</f>
        <v>0.2116</v>
      </c>
      <c r="H107" s="7">
        <f>AVERAGE(CNN!H123, LSTM!H123, SVM!H123, NB!H123, RF!H123)</f>
        <v>0.0972</v>
      </c>
      <c r="I107" s="7">
        <f>AVERAGE(CNN!I123, LSTM!I123, SVM!I123, NB!I123, RF!I123)</f>
        <v>0.2974</v>
      </c>
      <c r="J107" s="7">
        <f>AVERAGE(CNN!J123, LSTM!J123, SVM!J123, NB!J123, RF!J123)</f>
        <v>0.0924</v>
      </c>
      <c r="K107" s="7">
        <f>AVERAGE(CNN!K123, LSTM!K123, SVM!K123, NB!K123, RF!K123)</f>
        <v>0.1924</v>
      </c>
      <c r="L107" s="7">
        <f>AVERAGE(CNN!L123, LSTM!L123, SVM!L123, NB!L123, RF!L123)</f>
        <v>0.0678</v>
      </c>
      <c r="M107" s="7">
        <f>AVERAGE(CNN!M123, LSTM!M123, SVM!M123, NB!M123, RF!M123)</f>
        <v>0.2682</v>
      </c>
      <c r="P107" s="6" t="s">
        <v>8</v>
      </c>
      <c r="Q107" s="7">
        <f t="shared" ref="Q107:AA107" si="103">C107-$C$103</f>
        <v>0.0234</v>
      </c>
      <c r="R107" s="7">
        <f t="shared" si="103"/>
        <v>0.0188</v>
      </c>
      <c r="S107" s="7">
        <f t="shared" si="103"/>
        <v>0.0218</v>
      </c>
      <c r="T107" s="7">
        <f t="shared" si="103"/>
        <v>0.0038</v>
      </c>
      <c r="U107" s="7">
        <f t="shared" si="103"/>
        <v>0.104</v>
      </c>
      <c r="V107" s="7">
        <f t="shared" si="103"/>
        <v>-0.0104</v>
      </c>
      <c r="W107" s="7">
        <f t="shared" si="103"/>
        <v>0.1898</v>
      </c>
      <c r="X107" s="7">
        <f t="shared" si="103"/>
        <v>-0.0152</v>
      </c>
      <c r="Y107" s="7">
        <f t="shared" si="103"/>
        <v>0.0848</v>
      </c>
      <c r="Z107" s="7">
        <f t="shared" si="103"/>
        <v>-0.0398</v>
      </c>
      <c r="AA107" s="7">
        <f t="shared" si="103"/>
        <v>0.1606</v>
      </c>
    </row>
    <row r="108">
      <c r="B108" s="6" t="s">
        <v>9</v>
      </c>
      <c r="C108" s="7">
        <f>AVERAGE(CNN!C124, LSTM!C124, SVM!C124, NB!C124, RF!C124)</f>
        <v>0.1186</v>
      </c>
      <c r="D108" s="7">
        <f>AVERAGE(CNN!D124, LSTM!D124, SVM!D124, NB!D124, RF!D124)</f>
        <v>0.116</v>
      </c>
      <c r="E108" s="7">
        <f>AVERAGE(CNN!E124, LSTM!E124, SVM!E124, NB!E124, RF!E124)</f>
        <v>0.118</v>
      </c>
      <c r="F108" s="7">
        <f>AVERAGE(CNN!F124, LSTM!F124, SVM!F124, NB!F124, RF!F124)</f>
        <v>0.1032</v>
      </c>
      <c r="G108" s="7">
        <f>AVERAGE(CNN!G124, LSTM!G124, SVM!G124, NB!G124, RF!G124)</f>
        <v>0.2036</v>
      </c>
      <c r="H108" s="7">
        <f>AVERAGE(CNN!H124, LSTM!H124, SVM!H124, NB!H124, RF!H124)</f>
        <v>0.086</v>
      </c>
      <c r="I108" s="7">
        <f>AVERAGE(CNN!I124, LSTM!I124, SVM!I124, NB!I124, RF!I124)</f>
        <v>0.286</v>
      </c>
      <c r="J108" s="7">
        <f>AVERAGE(CNN!J124, LSTM!J124, SVM!J124, NB!J124, RF!J124)</f>
        <v>0.0774</v>
      </c>
      <c r="K108" s="7">
        <f>AVERAGE(CNN!K124, LSTM!K124, SVM!K124, NB!K124, RF!K124)</f>
        <v>0.1774</v>
      </c>
      <c r="L108" s="7">
        <f>AVERAGE(CNN!L124, LSTM!L124, SVM!L124, NB!L124, RF!L124)</f>
        <v>0.0574</v>
      </c>
      <c r="M108" s="7">
        <f>AVERAGE(CNN!M124, LSTM!M124, SVM!M124, NB!M124, RF!M124)</f>
        <v>0.2578</v>
      </c>
      <c r="P108" s="6" t="s">
        <v>9</v>
      </c>
      <c r="Q108" s="7">
        <f t="shared" ref="Q108:AA108" si="104">C108-$C$103</f>
        <v>0.011</v>
      </c>
      <c r="R108" s="7">
        <f t="shared" si="104"/>
        <v>0.0084</v>
      </c>
      <c r="S108" s="7">
        <f t="shared" si="104"/>
        <v>0.0104</v>
      </c>
      <c r="T108" s="7">
        <f t="shared" si="104"/>
        <v>-0.0044</v>
      </c>
      <c r="U108" s="7">
        <f t="shared" si="104"/>
        <v>0.096</v>
      </c>
      <c r="V108" s="7">
        <f t="shared" si="104"/>
        <v>-0.0216</v>
      </c>
      <c r="W108" s="7">
        <f t="shared" si="104"/>
        <v>0.1784</v>
      </c>
      <c r="X108" s="7">
        <f t="shared" si="104"/>
        <v>-0.0302</v>
      </c>
      <c r="Y108" s="7">
        <f t="shared" si="104"/>
        <v>0.0698</v>
      </c>
      <c r="Z108" s="7">
        <f t="shared" si="104"/>
        <v>-0.0502</v>
      </c>
      <c r="AA108" s="7">
        <f t="shared" si="104"/>
        <v>0.1502</v>
      </c>
    </row>
    <row r="109">
      <c r="B109" s="6" t="s">
        <v>10</v>
      </c>
      <c r="C109" s="7">
        <f>AVERAGE(CNN!C125, LSTM!C125, SVM!C125, NB!C125, RF!C125)</f>
        <v>0.1284</v>
      </c>
      <c r="D109" s="7">
        <f>AVERAGE(CNN!D125, LSTM!D125, SVM!D125, NB!D125, RF!D125)</f>
        <v>0.1222</v>
      </c>
      <c r="E109" s="7">
        <f>AVERAGE(CNN!E125, LSTM!E125, SVM!E125, NB!E125, RF!E125)</f>
        <v>0.1326</v>
      </c>
      <c r="F109" s="7">
        <f>AVERAGE(CNN!F125, LSTM!F125, SVM!F125, NB!F125, RF!F125)</f>
        <v>0.1094</v>
      </c>
      <c r="G109" s="7">
        <f>AVERAGE(CNN!G125, LSTM!G125, SVM!G125, NB!G125, RF!G125)</f>
        <v>0.2096</v>
      </c>
      <c r="H109" s="7">
        <f>AVERAGE(CNN!H125, LSTM!H125, SVM!H125, NB!H125, RF!H125)</f>
        <v>0.0942</v>
      </c>
      <c r="I109" s="7">
        <f>AVERAGE(CNN!I125, LSTM!I125, SVM!I125, NB!I125, RF!I125)</f>
        <v>0.2944</v>
      </c>
      <c r="J109" s="7">
        <f>AVERAGE(CNN!J125, LSTM!J125, SVM!J125, NB!J125, RF!J125)</f>
        <v>0.0844</v>
      </c>
      <c r="K109" s="7">
        <f>AVERAGE(CNN!K125, LSTM!K125, SVM!K125, NB!K125, RF!K125)</f>
        <v>0.1846</v>
      </c>
      <c r="L109" s="7">
        <f>AVERAGE(CNN!L125, LSTM!L125, SVM!L125, NB!L125, RF!L125)</f>
        <v>0.0592</v>
      </c>
      <c r="M109" s="7">
        <f>AVERAGE(CNN!M125, LSTM!M125, SVM!M125, NB!M125, RF!M125)</f>
        <v>0.2594</v>
      </c>
      <c r="P109" s="6" t="s">
        <v>10</v>
      </c>
      <c r="Q109" s="7">
        <f t="shared" ref="Q109:AA109" si="105">C109-$C$103</f>
        <v>0.0208</v>
      </c>
      <c r="R109" s="7">
        <f t="shared" si="105"/>
        <v>0.0146</v>
      </c>
      <c r="S109" s="7">
        <f t="shared" si="105"/>
        <v>0.025</v>
      </c>
      <c r="T109" s="7">
        <f t="shared" si="105"/>
        <v>0.0018</v>
      </c>
      <c r="U109" s="7">
        <f t="shared" si="105"/>
        <v>0.102</v>
      </c>
      <c r="V109" s="7">
        <f t="shared" si="105"/>
        <v>-0.0134</v>
      </c>
      <c r="W109" s="7">
        <f t="shared" si="105"/>
        <v>0.1868</v>
      </c>
      <c r="X109" s="7">
        <f t="shared" si="105"/>
        <v>-0.0232</v>
      </c>
      <c r="Y109" s="7">
        <f t="shared" si="105"/>
        <v>0.077</v>
      </c>
      <c r="Z109" s="7">
        <f t="shared" si="105"/>
        <v>-0.0484</v>
      </c>
      <c r="AA109" s="7">
        <f t="shared" si="105"/>
        <v>0.1518</v>
      </c>
    </row>
    <row r="110">
      <c r="A110" s="23"/>
      <c r="B110" s="5"/>
      <c r="C110" s="6"/>
      <c r="D110" s="6"/>
      <c r="E110" s="6"/>
      <c r="F110" s="6"/>
      <c r="G110" s="6"/>
      <c r="H110" s="6"/>
      <c r="I110" s="6"/>
    </row>
    <row r="111">
      <c r="A111" s="1" t="s">
        <v>132</v>
      </c>
      <c r="B111" s="2" t="s">
        <v>1</v>
      </c>
      <c r="O111" s="1" t="s">
        <v>996</v>
      </c>
      <c r="P111" s="2" t="s">
        <v>1</v>
      </c>
    </row>
    <row r="112">
      <c r="A112" s="4" t="s">
        <v>3</v>
      </c>
      <c r="B112" s="5"/>
      <c r="C112" s="6" t="s">
        <v>4</v>
      </c>
      <c r="D112" s="6" t="s">
        <v>5</v>
      </c>
      <c r="E112" s="6" t="s">
        <v>6</v>
      </c>
      <c r="F112" s="6" t="s">
        <v>84</v>
      </c>
      <c r="G112" s="6" t="s">
        <v>85</v>
      </c>
      <c r="H112" s="6" t="s">
        <v>86</v>
      </c>
      <c r="I112" s="6" t="s">
        <v>87</v>
      </c>
      <c r="J112" s="6" t="s">
        <v>88</v>
      </c>
      <c r="K112" s="6" t="s">
        <v>89</v>
      </c>
      <c r="L112" s="6" t="s">
        <v>90</v>
      </c>
      <c r="M112" s="6" t="s">
        <v>91</v>
      </c>
      <c r="O112" s="4" t="s">
        <v>3</v>
      </c>
      <c r="P112" s="5"/>
      <c r="Q112" s="6" t="s">
        <v>4</v>
      </c>
      <c r="R112" s="6" t="s">
        <v>5</v>
      </c>
      <c r="S112" s="6" t="s">
        <v>6</v>
      </c>
      <c r="T112" s="6" t="s">
        <v>84</v>
      </c>
      <c r="U112" s="6" t="s">
        <v>85</v>
      </c>
      <c r="V112" s="6" t="s">
        <v>86</v>
      </c>
      <c r="W112" s="6" t="s">
        <v>87</v>
      </c>
      <c r="X112" s="6" t="s">
        <v>88</v>
      </c>
      <c r="Y112" s="6" t="s">
        <v>89</v>
      </c>
      <c r="Z112" s="6" t="s">
        <v>90</v>
      </c>
      <c r="AA112" s="6" t="s">
        <v>91</v>
      </c>
    </row>
    <row r="113">
      <c r="B113" s="6" t="s">
        <v>4</v>
      </c>
      <c r="C113" s="7">
        <f>AVERAGE(CNN!C145, LSTM!C145, SVM!C145, NB!C145, RF!C145)</f>
        <v>0.3108</v>
      </c>
      <c r="D113" s="7">
        <f>AVERAGE(CNN!D145, LSTM!D145, SVM!D145, NB!D145, RF!D145)</f>
        <v>0.3198</v>
      </c>
      <c r="E113" s="7">
        <f>AVERAGE(CNN!E145, LSTM!E145, SVM!E145, NB!E145, RF!E145)</f>
        <v>0.3394</v>
      </c>
      <c r="F113" s="7">
        <f>AVERAGE(CNN!F145, LSTM!F145, SVM!F145, NB!F145, RF!F145)</f>
        <v>0.2906</v>
      </c>
      <c r="G113" s="7">
        <f>AVERAGE(CNN!G145, LSTM!G145, SVM!G145, NB!G145, RF!G145)</f>
        <v>0.3904</v>
      </c>
      <c r="H113" s="7">
        <f>AVERAGE(CNN!H145, LSTM!H145, SVM!H145, NB!H145, RF!H145)</f>
        <v>0.2688</v>
      </c>
      <c r="I113" s="7">
        <f>AVERAGE(CNN!I145, LSTM!I145, SVM!I145, NB!I145, RF!I145)</f>
        <v>0.4688</v>
      </c>
      <c r="J113" s="7">
        <f>AVERAGE(CNN!J145, LSTM!J145, SVM!J145, NB!J145, RF!J145)</f>
        <v>0.2878</v>
      </c>
      <c r="K113" s="7">
        <f>AVERAGE(CNN!K145, LSTM!K145, SVM!K145, NB!K145, RF!K145)</f>
        <v>0.3878</v>
      </c>
      <c r="L113" s="7">
        <f>AVERAGE(CNN!L145, LSTM!L145, SVM!L145, NB!L145, RF!L145)</f>
        <v>0.2626</v>
      </c>
      <c r="M113" s="7">
        <f>AVERAGE(CNN!M145, LSTM!M145, SVM!M145, NB!M145, RF!M145)</f>
        <v>0.4626</v>
      </c>
      <c r="P113" s="6" t="s">
        <v>4</v>
      </c>
      <c r="Q113" s="7">
        <f t="shared" ref="Q113:AA113" si="106">C113-$C$113</f>
        <v>0</v>
      </c>
      <c r="R113" s="7">
        <f t="shared" si="106"/>
        <v>0.009</v>
      </c>
      <c r="S113" s="7">
        <f t="shared" si="106"/>
        <v>0.0286</v>
      </c>
      <c r="T113" s="7">
        <f t="shared" si="106"/>
        <v>-0.0202</v>
      </c>
      <c r="U113" s="7">
        <f t="shared" si="106"/>
        <v>0.0796</v>
      </c>
      <c r="V113" s="7">
        <f t="shared" si="106"/>
        <v>-0.042</v>
      </c>
      <c r="W113" s="7">
        <f t="shared" si="106"/>
        <v>0.158</v>
      </c>
      <c r="X113" s="7">
        <f t="shared" si="106"/>
        <v>-0.023</v>
      </c>
      <c r="Y113" s="7">
        <f t="shared" si="106"/>
        <v>0.077</v>
      </c>
      <c r="Z113" s="7">
        <f t="shared" si="106"/>
        <v>-0.0482</v>
      </c>
      <c r="AA113" s="7">
        <f t="shared" si="106"/>
        <v>0.1518</v>
      </c>
    </row>
    <row r="114">
      <c r="B114" s="6" t="s">
        <v>5</v>
      </c>
      <c r="C114" s="7">
        <f>AVERAGE(CNN!C146, LSTM!C146, SVM!C146, NB!C146, RF!C146)</f>
        <v>0.3276</v>
      </c>
      <c r="D114" s="7">
        <f>AVERAGE(CNN!D146, LSTM!D146, SVM!D146, NB!D146, RF!D146)</f>
        <v>0.3378</v>
      </c>
      <c r="E114" s="7">
        <f>AVERAGE(CNN!E146, LSTM!E146, SVM!E146, NB!E146, RF!E146)</f>
        <v>0.3568</v>
      </c>
      <c r="F114" s="7">
        <f>AVERAGE(CNN!F146, LSTM!F146, SVM!F146, NB!F146, RF!F146)</f>
        <v>0.3028</v>
      </c>
      <c r="G114" s="7">
        <f>AVERAGE(CNN!G146, LSTM!G146, SVM!G146, NB!G146, RF!G146)</f>
        <v>0.4028</v>
      </c>
      <c r="H114" s="7">
        <f>AVERAGE(CNN!H146, LSTM!H146, SVM!H146, NB!H146, RF!H146)</f>
        <v>0.275</v>
      </c>
      <c r="I114" s="7">
        <f>AVERAGE(CNN!I146, LSTM!I146, SVM!I146, NB!I146, RF!I146)</f>
        <v>0.475</v>
      </c>
      <c r="J114" s="7">
        <f>AVERAGE(CNN!J146, LSTM!J146, SVM!J146, NB!J146, RF!J146)</f>
        <v>0.3004</v>
      </c>
      <c r="K114" s="7">
        <f>AVERAGE(CNN!K146, LSTM!K146, SVM!K146, NB!K146, RF!K146)</f>
        <v>0.4004</v>
      </c>
      <c r="L114" s="7">
        <f>AVERAGE(CNN!L146, LSTM!L146, SVM!L146, NB!L146, RF!L146)</f>
        <v>0.2712</v>
      </c>
      <c r="M114" s="7">
        <f>AVERAGE(CNN!M146, LSTM!M146, SVM!M146, NB!M146, RF!M146)</f>
        <v>0.4712</v>
      </c>
      <c r="P114" s="6" t="s">
        <v>5</v>
      </c>
      <c r="Q114" s="7">
        <f t="shared" ref="Q114:AA114" si="107">C114-$C$113</f>
        <v>0.0168</v>
      </c>
      <c r="R114" s="7">
        <f t="shared" si="107"/>
        <v>0.027</v>
      </c>
      <c r="S114" s="7">
        <f t="shared" si="107"/>
        <v>0.046</v>
      </c>
      <c r="T114" s="7">
        <f t="shared" si="107"/>
        <v>-0.008</v>
      </c>
      <c r="U114" s="7">
        <f t="shared" si="107"/>
        <v>0.092</v>
      </c>
      <c r="V114" s="7">
        <f t="shared" si="107"/>
        <v>-0.0358</v>
      </c>
      <c r="W114" s="7">
        <f t="shared" si="107"/>
        <v>0.1642</v>
      </c>
      <c r="X114" s="7">
        <f t="shared" si="107"/>
        <v>-0.0104</v>
      </c>
      <c r="Y114" s="7">
        <f t="shared" si="107"/>
        <v>0.0896</v>
      </c>
      <c r="Z114" s="7">
        <f t="shared" si="107"/>
        <v>-0.0396</v>
      </c>
      <c r="AA114" s="7">
        <f t="shared" si="107"/>
        <v>0.1604</v>
      </c>
    </row>
    <row r="115">
      <c r="B115" s="6" t="s">
        <v>6</v>
      </c>
      <c r="C115" s="7">
        <f>AVERAGE(CNN!C147, LSTM!C147, SVM!C147, NB!C147, RF!C147)</f>
        <v>0.3238</v>
      </c>
      <c r="D115" s="7">
        <f>AVERAGE(CNN!D147, LSTM!D147, SVM!D147, NB!D147, RF!D147)</f>
        <v>0.3332</v>
      </c>
      <c r="E115" s="7">
        <f>AVERAGE(CNN!E147, LSTM!E147, SVM!E147, NB!E147, RF!E147)</f>
        <v>0.3522</v>
      </c>
      <c r="F115" s="7">
        <f>AVERAGE(CNN!F147, LSTM!F147, SVM!F147, NB!F147, RF!F147)</f>
        <v>0.303</v>
      </c>
      <c r="G115" s="7">
        <f>AVERAGE(CNN!G147, LSTM!G147, SVM!G147, NB!G147, RF!G147)</f>
        <v>0.403</v>
      </c>
      <c r="H115" s="7">
        <f>AVERAGE(CNN!H147, LSTM!H147, SVM!H147, NB!H147, RF!H147)</f>
        <v>0.2796</v>
      </c>
      <c r="I115" s="7">
        <f>AVERAGE(CNN!I147, LSTM!I147, SVM!I147, NB!I147, RF!I147)</f>
        <v>0.4796</v>
      </c>
      <c r="J115" s="7">
        <f>AVERAGE(CNN!J147, LSTM!J147, SVM!J147, NB!J147, RF!J147)</f>
        <v>0.3</v>
      </c>
      <c r="K115" s="7">
        <f>AVERAGE(CNN!K147, LSTM!K147, SVM!K147, NB!K147, RF!K147)</f>
        <v>0.4</v>
      </c>
      <c r="L115" s="7">
        <f>AVERAGE(CNN!L147, LSTM!L147, SVM!L147, NB!L147, RF!L147)</f>
        <v>0.274</v>
      </c>
      <c r="M115" s="7">
        <f>AVERAGE(CNN!M147, LSTM!M147, SVM!M147, NB!M147, RF!M147)</f>
        <v>0.4738</v>
      </c>
      <c r="P115" s="6" t="s">
        <v>6</v>
      </c>
      <c r="Q115" s="7">
        <f t="shared" ref="Q115:AA115" si="108">C115-$C$113</f>
        <v>0.013</v>
      </c>
      <c r="R115" s="7">
        <f t="shared" si="108"/>
        <v>0.0224</v>
      </c>
      <c r="S115" s="7">
        <f t="shared" si="108"/>
        <v>0.0414</v>
      </c>
      <c r="T115" s="7">
        <f t="shared" si="108"/>
        <v>-0.0078</v>
      </c>
      <c r="U115" s="7">
        <f t="shared" si="108"/>
        <v>0.0922</v>
      </c>
      <c r="V115" s="7">
        <f t="shared" si="108"/>
        <v>-0.0312</v>
      </c>
      <c r="W115" s="7">
        <f t="shared" si="108"/>
        <v>0.1688</v>
      </c>
      <c r="X115" s="7">
        <f t="shared" si="108"/>
        <v>-0.0108</v>
      </c>
      <c r="Y115" s="7">
        <f t="shared" si="108"/>
        <v>0.0892</v>
      </c>
      <c r="Z115" s="7">
        <f t="shared" si="108"/>
        <v>-0.0368</v>
      </c>
      <c r="AA115" s="7">
        <f t="shared" si="108"/>
        <v>0.163</v>
      </c>
    </row>
    <row r="116">
      <c r="B116" s="6" t="s">
        <v>7</v>
      </c>
      <c r="C116" s="7">
        <f>AVERAGE(CNN!C148, LSTM!C148, SVM!C148, NB!C148, RF!C148)</f>
        <v>0.3258</v>
      </c>
      <c r="D116" s="7">
        <f>AVERAGE(CNN!D148, LSTM!D148, SVM!D148, NB!D148, RF!D148)</f>
        <v>0.3354</v>
      </c>
      <c r="E116" s="7">
        <f>AVERAGE(CNN!E148, LSTM!E148, SVM!E148, NB!E148, RF!E148)</f>
        <v>0.3562</v>
      </c>
      <c r="F116" s="7">
        <f>AVERAGE(CNN!F148, LSTM!F148, SVM!F148, NB!F148, RF!F148)</f>
        <v>0.3052</v>
      </c>
      <c r="G116" s="7">
        <f>AVERAGE(CNN!G148, LSTM!G148, SVM!G148, NB!G148, RF!G148)</f>
        <v>0.405</v>
      </c>
      <c r="H116" s="7">
        <f>AVERAGE(CNN!H148, LSTM!H148, SVM!H148, NB!H148, RF!H148)</f>
        <v>0.2826</v>
      </c>
      <c r="I116" s="7">
        <f>AVERAGE(CNN!I148, LSTM!I148, SVM!I148, NB!I148, RF!I148)</f>
        <v>0.4826</v>
      </c>
      <c r="J116" s="7">
        <f>AVERAGE(CNN!J148, LSTM!J148, SVM!J148, NB!J148, RF!J148)</f>
        <v>0.3026</v>
      </c>
      <c r="K116" s="7">
        <f>AVERAGE(CNN!K148, LSTM!K148, SVM!K148, NB!K148, RF!K148)</f>
        <v>0.4024</v>
      </c>
      <c r="L116" s="7">
        <f>AVERAGE(CNN!L148, LSTM!L148, SVM!L148, NB!L148, RF!L148)</f>
        <v>0.2776</v>
      </c>
      <c r="M116" s="7">
        <f>AVERAGE(CNN!M148, LSTM!M148, SVM!M148, NB!M148, RF!M148)</f>
        <v>0.4774</v>
      </c>
      <c r="P116" s="6" t="s">
        <v>7</v>
      </c>
      <c r="Q116" s="7">
        <f t="shared" ref="Q116:AA116" si="109">C116-$C$113</f>
        <v>0.015</v>
      </c>
      <c r="R116" s="7">
        <f t="shared" si="109"/>
        <v>0.0246</v>
      </c>
      <c r="S116" s="7">
        <f t="shared" si="109"/>
        <v>0.0454</v>
      </c>
      <c r="T116" s="7">
        <f t="shared" si="109"/>
        <v>-0.0056</v>
      </c>
      <c r="U116" s="7">
        <f t="shared" si="109"/>
        <v>0.0942</v>
      </c>
      <c r="V116" s="7">
        <f t="shared" si="109"/>
        <v>-0.0282</v>
      </c>
      <c r="W116" s="7">
        <f t="shared" si="109"/>
        <v>0.1718</v>
      </c>
      <c r="X116" s="7">
        <f t="shared" si="109"/>
        <v>-0.0082</v>
      </c>
      <c r="Y116" s="7">
        <f t="shared" si="109"/>
        <v>0.0916</v>
      </c>
      <c r="Z116" s="7">
        <f t="shared" si="109"/>
        <v>-0.0332</v>
      </c>
      <c r="AA116" s="7">
        <f t="shared" si="109"/>
        <v>0.1666</v>
      </c>
    </row>
    <row r="117">
      <c r="B117" s="6" t="s">
        <v>8</v>
      </c>
      <c r="C117" s="7">
        <f>AVERAGE(CNN!C149, LSTM!C149, SVM!C149, NB!C149, RF!C149)</f>
        <v>0.3574</v>
      </c>
      <c r="D117" s="7">
        <f>AVERAGE(CNN!D149, LSTM!D149, SVM!D149, NB!D149, RF!D149)</f>
        <v>0.3684</v>
      </c>
      <c r="E117" s="7">
        <f>AVERAGE(CNN!E149, LSTM!E149, SVM!E149, NB!E149, RF!E149)</f>
        <v>0.3898</v>
      </c>
      <c r="F117" s="7">
        <f>AVERAGE(CNN!F149, LSTM!F149, SVM!F149, NB!F149, RF!F149)</f>
        <v>0.338</v>
      </c>
      <c r="G117" s="7">
        <f>AVERAGE(CNN!G149, LSTM!G149, SVM!G149, NB!G149, RF!G149)</f>
        <v>0.438</v>
      </c>
      <c r="H117" s="7">
        <f>AVERAGE(CNN!H149, LSTM!H149, SVM!H149, NB!H149, RF!H149)</f>
        <v>0.3176</v>
      </c>
      <c r="I117" s="7">
        <f>AVERAGE(CNN!I149, LSTM!I149, SVM!I149, NB!I149, RF!I149)</f>
        <v>0.518</v>
      </c>
      <c r="J117" s="7">
        <f>AVERAGE(CNN!J149, LSTM!J149, SVM!J149, NB!J149, RF!J149)</f>
        <v>0.335</v>
      </c>
      <c r="K117" s="7">
        <f>AVERAGE(CNN!K149, LSTM!K149, SVM!K149, NB!K149, RF!K149)</f>
        <v>0.4348</v>
      </c>
      <c r="L117" s="7">
        <f>AVERAGE(CNN!L149, LSTM!L149, SVM!L149, NB!L149, RF!L149)</f>
        <v>0.3116</v>
      </c>
      <c r="M117" s="7">
        <f>AVERAGE(CNN!M149, LSTM!M149, SVM!M149, NB!M149, RF!M149)</f>
        <v>0.5116</v>
      </c>
      <c r="P117" s="6" t="s">
        <v>8</v>
      </c>
      <c r="Q117" s="7">
        <f t="shared" ref="Q117:AA117" si="110">C117-$C$113</f>
        <v>0.0466</v>
      </c>
      <c r="R117" s="7">
        <f t="shared" si="110"/>
        <v>0.0576</v>
      </c>
      <c r="S117" s="7">
        <f t="shared" si="110"/>
        <v>0.079</v>
      </c>
      <c r="T117" s="7">
        <f t="shared" si="110"/>
        <v>0.0272</v>
      </c>
      <c r="U117" s="7">
        <f t="shared" si="110"/>
        <v>0.1272</v>
      </c>
      <c r="V117" s="7">
        <f t="shared" si="110"/>
        <v>0.0068</v>
      </c>
      <c r="W117" s="7">
        <f t="shared" si="110"/>
        <v>0.2072</v>
      </c>
      <c r="X117" s="7">
        <f t="shared" si="110"/>
        <v>0.0242</v>
      </c>
      <c r="Y117" s="7">
        <f t="shared" si="110"/>
        <v>0.124</v>
      </c>
      <c r="Z117" s="7">
        <f t="shared" si="110"/>
        <v>0.0008</v>
      </c>
      <c r="AA117" s="7">
        <f t="shared" si="110"/>
        <v>0.2008</v>
      </c>
    </row>
    <row r="118">
      <c r="B118" s="6" t="s">
        <v>9</v>
      </c>
      <c r="C118" s="7">
        <f>AVERAGE(CNN!C150, LSTM!C150, SVM!C150, NB!C150, RF!C150)</f>
        <v>0.3192</v>
      </c>
      <c r="D118" s="7">
        <f>AVERAGE(CNN!D150, LSTM!D150, SVM!D150, NB!D150, RF!D150)</f>
        <v>0.3274</v>
      </c>
      <c r="E118" s="7">
        <f>AVERAGE(CNN!E150, LSTM!E150, SVM!E150, NB!E150, RF!E150)</f>
        <v>0.3486</v>
      </c>
      <c r="F118" s="7">
        <f>AVERAGE(CNN!F150, LSTM!F150, SVM!F150, NB!F150, RF!F150)</f>
        <v>0.3004</v>
      </c>
      <c r="G118" s="7">
        <f>AVERAGE(CNN!G150, LSTM!G150, SVM!G150, NB!G150, RF!G150)</f>
        <v>0.4004</v>
      </c>
      <c r="H118" s="7">
        <f>AVERAGE(CNN!H150, LSTM!H150, SVM!H150, NB!H150, RF!H150)</f>
        <v>0.279</v>
      </c>
      <c r="I118" s="7">
        <f>AVERAGE(CNN!I150, LSTM!I150, SVM!I150, NB!I150, RF!I150)</f>
        <v>0.4792</v>
      </c>
      <c r="J118" s="7">
        <f>AVERAGE(CNN!J150, LSTM!J150, SVM!J150, NB!J150, RF!J150)</f>
        <v>0.2974</v>
      </c>
      <c r="K118" s="7">
        <f>AVERAGE(CNN!K150, LSTM!K150, SVM!K150, NB!K150, RF!K150)</f>
        <v>0.3974</v>
      </c>
      <c r="L118" s="7">
        <f>AVERAGE(CNN!L150, LSTM!L150, SVM!L150, NB!L150, RF!L150)</f>
        <v>0.274</v>
      </c>
      <c r="M118" s="7">
        <f>AVERAGE(CNN!M150, LSTM!M150, SVM!M150, NB!M150, RF!M150)</f>
        <v>0.4738</v>
      </c>
      <c r="P118" s="6" t="s">
        <v>9</v>
      </c>
      <c r="Q118" s="7">
        <f t="shared" ref="Q118:AA118" si="111">C118-$C$113</f>
        <v>0.0084</v>
      </c>
      <c r="R118" s="7">
        <f t="shared" si="111"/>
        <v>0.0166</v>
      </c>
      <c r="S118" s="7">
        <f t="shared" si="111"/>
        <v>0.0378</v>
      </c>
      <c r="T118" s="7">
        <f t="shared" si="111"/>
        <v>-0.0104</v>
      </c>
      <c r="U118" s="7">
        <f t="shared" si="111"/>
        <v>0.0896</v>
      </c>
      <c r="V118" s="7">
        <f t="shared" si="111"/>
        <v>-0.0318</v>
      </c>
      <c r="W118" s="7">
        <f t="shared" si="111"/>
        <v>0.1684</v>
      </c>
      <c r="X118" s="7">
        <f t="shared" si="111"/>
        <v>-0.0134</v>
      </c>
      <c r="Y118" s="7">
        <f t="shared" si="111"/>
        <v>0.0866</v>
      </c>
      <c r="Z118" s="7">
        <f t="shared" si="111"/>
        <v>-0.0368</v>
      </c>
      <c r="AA118" s="7">
        <f t="shared" si="111"/>
        <v>0.163</v>
      </c>
    </row>
    <row r="119">
      <c r="B119" s="6" t="s">
        <v>10</v>
      </c>
      <c r="C119" s="7">
        <f>AVERAGE(CNN!C151, LSTM!C151, SVM!C151, NB!C151, RF!C151)</f>
        <v>0.341</v>
      </c>
      <c r="D119" s="7">
        <f>AVERAGE(CNN!D151, LSTM!D151, SVM!D151, NB!D151, RF!D151)</f>
        <v>0.3504</v>
      </c>
      <c r="E119" s="7">
        <f>AVERAGE(CNN!E151, LSTM!E151, SVM!E151, NB!E151, RF!E151)</f>
        <v>0.3718</v>
      </c>
      <c r="F119" s="7">
        <f>AVERAGE(CNN!F151, LSTM!F151, SVM!F151, NB!F151, RF!F151)</f>
        <v>0.322</v>
      </c>
      <c r="G119" s="7">
        <f>AVERAGE(CNN!G151, LSTM!G151, SVM!G151, NB!G151, RF!G151)</f>
        <v>0.422</v>
      </c>
      <c r="H119" s="7">
        <f>AVERAGE(CNN!H151, LSTM!H151, SVM!H151, NB!H151, RF!H151)</f>
        <v>0.3004</v>
      </c>
      <c r="I119" s="7">
        <f>AVERAGE(CNN!I151, LSTM!I151, SVM!I151, NB!I151, RF!I151)</f>
        <v>0.5004</v>
      </c>
      <c r="J119" s="7">
        <f>AVERAGE(CNN!J151, LSTM!J151, SVM!J151, NB!J151, RF!J151)</f>
        <v>0.3192</v>
      </c>
      <c r="K119" s="7">
        <f>AVERAGE(CNN!K151, LSTM!K151, SVM!K151, NB!K151, RF!K151)</f>
        <v>0.419</v>
      </c>
      <c r="L119" s="7">
        <f>AVERAGE(CNN!L151, LSTM!L151, SVM!L151, NB!L151, RF!L151)</f>
        <v>0.2944</v>
      </c>
      <c r="M119" s="7">
        <f>AVERAGE(CNN!M151, LSTM!M151, SVM!M151, NB!M151, RF!M151)</f>
        <v>0.4942</v>
      </c>
      <c r="P119" s="6" t="s">
        <v>10</v>
      </c>
      <c r="Q119" s="7">
        <f t="shared" ref="Q119:AA119" si="112">C119-$C$113</f>
        <v>0.0302</v>
      </c>
      <c r="R119" s="7">
        <f t="shared" si="112"/>
        <v>0.0396</v>
      </c>
      <c r="S119" s="7">
        <f t="shared" si="112"/>
        <v>0.061</v>
      </c>
      <c r="T119" s="7">
        <f t="shared" si="112"/>
        <v>0.0112</v>
      </c>
      <c r="U119" s="7">
        <f t="shared" si="112"/>
        <v>0.1112</v>
      </c>
      <c r="V119" s="7">
        <f t="shared" si="112"/>
        <v>-0.0104</v>
      </c>
      <c r="W119" s="7">
        <f t="shared" si="112"/>
        <v>0.1896</v>
      </c>
      <c r="X119" s="7">
        <f t="shared" si="112"/>
        <v>0.0084</v>
      </c>
      <c r="Y119" s="7">
        <f t="shared" si="112"/>
        <v>0.1082</v>
      </c>
      <c r="Z119" s="7">
        <f t="shared" si="112"/>
        <v>-0.0164</v>
      </c>
      <c r="AA119" s="7">
        <f t="shared" si="112"/>
        <v>0.1834</v>
      </c>
    </row>
    <row r="121">
      <c r="A121" s="1" t="s">
        <v>174</v>
      </c>
      <c r="B121" s="2" t="s">
        <v>1</v>
      </c>
      <c r="O121" s="1" t="s">
        <v>997</v>
      </c>
      <c r="P121" s="2" t="s">
        <v>1</v>
      </c>
    </row>
    <row r="122">
      <c r="A122" s="4" t="s">
        <v>3</v>
      </c>
      <c r="B122" s="5"/>
      <c r="C122" s="6" t="s">
        <v>4</v>
      </c>
      <c r="D122" s="6" t="s">
        <v>5</v>
      </c>
      <c r="E122" s="6" t="s">
        <v>6</v>
      </c>
      <c r="F122" s="6" t="s">
        <v>84</v>
      </c>
      <c r="G122" s="6" t="s">
        <v>85</v>
      </c>
      <c r="H122" s="6" t="s">
        <v>86</v>
      </c>
      <c r="I122" s="6" t="s">
        <v>87</v>
      </c>
      <c r="J122" s="6" t="s">
        <v>88</v>
      </c>
      <c r="K122" s="6" t="s">
        <v>89</v>
      </c>
      <c r="L122" s="6" t="s">
        <v>90</v>
      </c>
      <c r="M122" s="6" t="s">
        <v>91</v>
      </c>
      <c r="O122" s="4" t="s">
        <v>3</v>
      </c>
      <c r="P122" s="5"/>
      <c r="Q122" s="6" t="s">
        <v>4</v>
      </c>
      <c r="R122" s="6" t="s">
        <v>5</v>
      </c>
      <c r="S122" s="6" t="s">
        <v>6</v>
      </c>
      <c r="T122" s="6" t="s">
        <v>84</v>
      </c>
      <c r="U122" s="6" t="s">
        <v>85</v>
      </c>
      <c r="V122" s="6" t="s">
        <v>86</v>
      </c>
      <c r="W122" s="6" t="s">
        <v>87</v>
      </c>
      <c r="X122" s="6" t="s">
        <v>88</v>
      </c>
      <c r="Y122" s="6" t="s">
        <v>89</v>
      </c>
      <c r="Z122" s="6" t="s">
        <v>90</v>
      </c>
      <c r="AA122" s="6" t="s">
        <v>91</v>
      </c>
    </row>
    <row r="123">
      <c r="B123" s="6" t="s">
        <v>4</v>
      </c>
      <c r="C123" s="7">
        <f>AVERAGE(CNN!C171, LSTM!C171, SVM!C171, NB!C171, RF!C171)</f>
        <v>0.4602</v>
      </c>
      <c r="D123" s="7">
        <f>AVERAGE(CNN!D171, LSTM!D171, SVM!D171, NB!D171, RF!D171)</f>
        <v>0.461</v>
      </c>
      <c r="E123" s="7">
        <f>AVERAGE(CNN!E171, LSTM!E171, SVM!E171, NB!E171, RF!E171)</f>
        <v>0.4596</v>
      </c>
      <c r="F123" s="7">
        <f>AVERAGE(CNN!F171, LSTM!F171, SVM!F171, NB!F171, RF!F171)</f>
        <v>0.4142</v>
      </c>
      <c r="G123" s="7">
        <f>AVERAGE(CNN!G171, LSTM!G171, SVM!G171, NB!G171, RF!G171)</f>
        <v>0.5142</v>
      </c>
      <c r="H123" s="7">
        <f>AVERAGE(CNN!H171, LSTM!H171, SVM!H171, NB!H171, RF!H171)</f>
        <v>0.3682</v>
      </c>
      <c r="I123" s="7">
        <f>AVERAGE(CNN!I171, LSTM!I171, SVM!I171, NB!I171, RF!I171)</f>
        <v>0.5682</v>
      </c>
      <c r="J123" s="7">
        <f>AVERAGE(CNN!J171, LSTM!J171, SVM!J171, NB!J171, RF!J171)</f>
        <v>0.4134</v>
      </c>
      <c r="K123" s="7">
        <f>AVERAGE(CNN!K171, LSTM!K171, SVM!K171, NB!K171, RF!K171)</f>
        <v>0.5134</v>
      </c>
      <c r="L123" s="7">
        <f>AVERAGE(CNN!L171, LSTM!L171, SVM!L171, NB!L171, RF!L171)</f>
        <v>0.3646</v>
      </c>
      <c r="M123" s="7">
        <f>AVERAGE(CNN!M171, LSTM!M171, SVM!M171, NB!M171, RF!M171)</f>
        <v>0.5646</v>
      </c>
      <c r="P123" s="6" t="s">
        <v>4</v>
      </c>
      <c r="Q123" s="7">
        <f t="shared" ref="Q123:AA123" si="113">C123-$C$123</f>
        <v>0</v>
      </c>
      <c r="R123" s="7">
        <f t="shared" si="113"/>
        <v>0.0008</v>
      </c>
      <c r="S123" s="7">
        <f t="shared" si="113"/>
        <v>-0.0006</v>
      </c>
      <c r="T123" s="7">
        <f t="shared" si="113"/>
        <v>-0.046</v>
      </c>
      <c r="U123" s="7">
        <f t="shared" si="113"/>
        <v>0.054</v>
      </c>
      <c r="V123" s="7">
        <f t="shared" si="113"/>
        <v>-0.092</v>
      </c>
      <c r="W123" s="7">
        <f t="shared" si="113"/>
        <v>0.108</v>
      </c>
      <c r="X123" s="7">
        <f t="shared" si="113"/>
        <v>-0.0468</v>
      </c>
      <c r="Y123" s="7">
        <f t="shared" si="113"/>
        <v>0.0532</v>
      </c>
      <c r="Z123" s="7">
        <f t="shared" si="113"/>
        <v>-0.0956</v>
      </c>
      <c r="AA123" s="7">
        <f t="shared" si="113"/>
        <v>0.1044</v>
      </c>
    </row>
    <row r="124">
      <c r="B124" s="6" t="s">
        <v>5</v>
      </c>
      <c r="C124" s="7">
        <f>AVERAGE(CNN!C172, LSTM!C172, SVM!C172, NB!C172, RF!C172)</f>
        <v>0.4632</v>
      </c>
      <c r="D124" s="7">
        <f>AVERAGE(CNN!D172, LSTM!D172, SVM!D172, NB!D172, RF!D172)</f>
        <v>0.4644</v>
      </c>
      <c r="E124" s="7">
        <f>AVERAGE(CNN!E172, LSTM!E172, SVM!E172, NB!E172, RF!E172)</f>
        <v>0.4618</v>
      </c>
      <c r="F124" s="7">
        <f>AVERAGE(CNN!F172, LSTM!F172, SVM!F172, NB!F172, RF!F172)</f>
        <v>0.4188</v>
      </c>
      <c r="G124" s="7">
        <f>AVERAGE(CNN!G172, LSTM!G172, SVM!G172, NB!G172, RF!G172)</f>
        <v>0.5188</v>
      </c>
      <c r="H124" s="7">
        <f>AVERAGE(CNN!H172, LSTM!H172, SVM!H172, NB!H172, RF!H172)</f>
        <v>0.3734</v>
      </c>
      <c r="I124" s="7">
        <f>AVERAGE(CNN!I172, LSTM!I172, SVM!I172, NB!I172, RF!I172)</f>
        <v>0.5734</v>
      </c>
      <c r="J124" s="7">
        <f>AVERAGE(CNN!J172, LSTM!J172, SVM!J172, NB!J172, RF!J172)</f>
        <v>0.4168</v>
      </c>
      <c r="K124" s="7">
        <f>AVERAGE(CNN!K172, LSTM!K172, SVM!K172, NB!K172, RF!K172)</f>
        <v>0.5168</v>
      </c>
      <c r="L124" s="7">
        <f>AVERAGE(CNN!L172, LSTM!L172, SVM!L172, NB!L172, RF!L172)</f>
        <v>0.3702</v>
      </c>
      <c r="M124" s="7">
        <f>AVERAGE(CNN!M172, LSTM!M172, SVM!M172, NB!M172, RF!M172)</f>
        <v>0.5702</v>
      </c>
      <c r="P124" s="6" t="s">
        <v>5</v>
      </c>
      <c r="Q124" s="7">
        <f t="shared" ref="Q124:AA124" si="114">C124-$C$123</f>
        <v>0.003</v>
      </c>
      <c r="R124" s="7">
        <f t="shared" si="114"/>
        <v>0.0042</v>
      </c>
      <c r="S124" s="7">
        <f t="shared" si="114"/>
        <v>0.0016</v>
      </c>
      <c r="T124" s="7">
        <f t="shared" si="114"/>
        <v>-0.0414</v>
      </c>
      <c r="U124" s="7">
        <f t="shared" si="114"/>
        <v>0.0586</v>
      </c>
      <c r="V124" s="7">
        <f t="shared" si="114"/>
        <v>-0.0868</v>
      </c>
      <c r="W124" s="7">
        <f t="shared" si="114"/>
        <v>0.1132</v>
      </c>
      <c r="X124" s="7">
        <f t="shared" si="114"/>
        <v>-0.0434</v>
      </c>
      <c r="Y124" s="7">
        <f t="shared" si="114"/>
        <v>0.0566</v>
      </c>
      <c r="Z124" s="7">
        <f t="shared" si="114"/>
        <v>-0.09</v>
      </c>
      <c r="AA124" s="7">
        <f t="shared" si="114"/>
        <v>0.11</v>
      </c>
    </row>
    <row r="125">
      <c r="B125" s="6" t="s">
        <v>6</v>
      </c>
      <c r="C125" s="7">
        <f>AVERAGE(CNN!C173, LSTM!C173, SVM!C173, NB!C173, RF!C173)</f>
        <v>0.4626</v>
      </c>
      <c r="D125" s="7">
        <f>AVERAGE(CNN!D173, LSTM!D173, SVM!D173, NB!D173, RF!D173)</f>
        <v>0.4636</v>
      </c>
      <c r="E125" s="7">
        <f>AVERAGE(CNN!E173, LSTM!E173, SVM!E173, NB!E173, RF!E173)</f>
        <v>0.4622</v>
      </c>
      <c r="F125" s="7">
        <f>AVERAGE(CNN!F173, LSTM!F173, SVM!F173, NB!F173, RF!F173)</f>
        <v>0.417</v>
      </c>
      <c r="G125" s="7">
        <f>AVERAGE(CNN!G173, LSTM!G173, SVM!G173, NB!G173, RF!G173)</f>
        <v>0.517</v>
      </c>
      <c r="H125" s="7">
        <f>AVERAGE(CNN!H173, LSTM!H173, SVM!H173, NB!H173, RF!H173)</f>
        <v>0.3724</v>
      </c>
      <c r="I125" s="7">
        <f>AVERAGE(CNN!I173, LSTM!I173, SVM!I173, NB!I173, RF!I173)</f>
        <v>0.5724</v>
      </c>
      <c r="J125" s="7">
        <f>AVERAGE(CNN!J173, LSTM!J173, SVM!J173, NB!J173, RF!J173)</f>
        <v>0.4166</v>
      </c>
      <c r="K125" s="7">
        <f>AVERAGE(CNN!K173, LSTM!K173, SVM!K173, NB!K173, RF!K173)</f>
        <v>0.5166</v>
      </c>
      <c r="L125" s="7">
        <f>AVERAGE(CNN!L173, LSTM!L173, SVM!L173, NB!L173, RF!L173)</f>
        <v>0.3704</v>
      </c>
      <c r="M125" s="7">
        <f>AVERAGE(CNN!M173, LSTM!M173, SVM!M173, NB!M173, RF!M173)</f>
        <v>0.5704</v>
      </c>
      <c r="P125" s="6" t="s">
        <v>6</v>
      </c>
      <c r="Q125" s="7">
        <f t="shared" ref="Q125:AA125" si="115">C125-$C$123</f>
        <v>0.0024</v>
      </c>
      <c r="R125" s="7">
        <f t="shared" si="115"/>
        <v>0.0034</v>
      </c>
      <c r="S125" s="7">
        <f t="shared" si="115"/>
        <v>0.002</v>
      </c>
      <c r="T125" s="7">
        <f t="shared" si="115"/>
        <v>-0.0432</v>
      </c>
      <c r="U125" s="7">
        <f t="shared" si="115"/>
        <v>0.0568</v>
      </c>
      <c r="V125" s="7">
        <f t="shared" si="115"/>
        <v>-0.0878</v>
      </c>
      <c r="W125" s="7">
        <f t="shared" si="115"/>
        <v>0.1122</v>
      </c>
      <c r="X125" s="7">
        <f t="shared" si="115"/>
        <v>-0.0436</v>
      </c>
      <c r="Y125" s="7">
        <f t="shared" si="115"/>
        <v>0.0564</v>
      </c>
      <c r="Z125" s="7">
        <f t="shared" si="115"/>
        <v>-0.0898</v>
      </c>
      <c r="AA125" s="7">
        <f t="shared" si="115"/>
        <v>0.1102</v>
      </c>
    </row>
    <row r="126">
      <c r="B126" s="6" t="s">
        <v>7</v>
      </c>
      <c r="C126" s="7">
        <f>AVERAGE(CNN!C174, LSTM!C174, SVM!C174, NB!C174, RF!C174)</f>
        <v>0.472</v>
      </c>
      <c r="D126" s="7">
        <f>AVERAGE(CNN!D174, LSTM!D174, SVM!D174, NB!D174, RF!D174)</f>
        <v>0.4734</v>
      </c>
      <c r="E126" s="7">
        <f>AVERAGE(CNN!E174, LSTM!E174, SVM!E174, NB!E174, RF!E174)</f>
        <v>0.4714</v>
      </c>
      <c r="F126" s="7">
        <f>AVERAGE(CNN!F174, LSTM!F174, SVM!F174, NB!F174, RF!F174)</f>
        <v>0.4194</v>
      </c>
      <c r="G126" s="7">
        <f>AVERAGE(CNN!G174, LSTM!G174, SVM!G174, NB!G174, RF!G174)</f>
        <v>0.5194</v>
      </c>
      <c r="H126" s="7">
        <f>AVERAGE(CNN!H174, LSTM!H174, SVM!H174, NB!H174, RF!H174)</f>
        <v>0.3666</v>
      </c>
      <c r="I126" s="7">
        <f>AVERAGE(CNN!I174, LSTM!I174, SVM!I174, NB!I174, RF!I174)</f>
        <v>0.5666</v>
      </c>
      <c r="J126" s="7">
        <f>AVERAGE(CNN!J174, LSTM!J174, SVM!J174, NB!J174, RF!J174)</f>
        <v>0.4194</v>
      </c>
      <c r="K126" s="7">
        <f>AVERAGE(CNN!K174, LSTM!K174, SVM!K174, NB!K174, RF!K174)</f>
        <v>0.5194</v>
      </c>
      <c r="L126" s="7">
        <f>AVERAGE(CNN!L174, LSTM!L174, SVM!L174, NB!L174, RF!L174)</f>
        <v>0.3648</v>
      </c>
      <c r="M126" s="7">
        <f>AVERAGE(CNN!M174, LSTM!M174, SVM!M174, NB!M174, RF!M174)</f>
        <v>0.5648</v>
      </c>
      <c r="P126" s="6" t="s">
        <v>7</v>
      </c>
      <c r="Q126" s="7">
        <f t="shared" ref="Q126:AA126" si="116">C126-$C$123</f>
        <v>0.0118</v>
      </c>
      <c r="R126" s="7">
        <f t="shared" si="116"/>
        <v>0.0132</v>
      </c>
      <c r="S126" s="7">
        <f t="shared" si="116"/>
        <v>0.0112</v>
      </c>
      <c r="T126" s="7">
        <f t="shared" si="116"/>
        <v>-0.0408</v>
      </c>
      <c r="U126" s="7">
        <f t="shared" si="116"/>
        <v>0.0592</v>
      </c>
      <c r="V126" s="7">
        <f t="shared" si="116"/>
        <v>-0.0936</v>
      </c>
      <c r="W126" s="7">
        <f t="shared" si="116"/>
        <v>0.1064</v>
      </c>
      <c r="X126" s="7">
        <f t="shared" si="116"/>
        <v>-0.0408</v>
      </c>
      <c r="Y126" s="7">
        <f t="shared" si="116"/>
        <v>0.0592</v>
      </c>
      <c r="Z126" s="7">
        <f t="shared" si="116"/>
        <v>-0.0954</v>
      </c>
      <c r="AA126" s="7">
        <f t="shared" si="116"/>
        <v>0.1046</v>
      </c>
    </row>
    <row r="127">
      <c r="B127" s="6" t="s">
        <v>8</v>
      </c>
      <c r="C127" s="7">
        <f>AVERAGE(CNN!C175, LSTM!C175, SVM!C175, NB!C175, RF!C175)</f>
        <v>0.4756</v>
      </c>
      <c r="D127" s="7">
        <f>AVERAGE(CNN!D175, LSTM!D175, SVM!D175, NB!D175, RF!D175)</f>
        <v>0.4782</v>
      </c>
      <c r="E127" s="7">
        <f>AVERAGE(CNN!E175, LSTM!E175, SVM!E175, NB!E175, RF!E175)</f>
        <v>0.474</v>
      </c>
      <c r="F127" s="7">
        <f>AVERAGE(CNN!F175, LSTM!F175, SVM!F175, NB!F175, RF!F175)</f>
        <v>0.4192</v>
      </c>
      <c r="G127" s="7">
        <f>AVERAGE(CNN!G175, LSTM!G175, SVM!G175, NB!G175, RF!G175)</f>
        <v>0.5192</v>
      </c>
      <c r="H127" s="7">
        <f>AVERAGE(CNN!H175, LSTM!H175, SVM!H175, NB!H175, RF!H175)</f>
        <v>0.3614</v>
      </c>
      <c r="I127" s="7">
        <f>AVERAGE(CNN!I175, LSTM!I175, SVM!I175, NB!I175, RF!I175)</f>
        <v>0.5614</v>
      </c>
      <c r="J127" s="7">
        <f>AVERAGE(CNN!J175, LSTM!J175, SVM!J175, NB!J175, RF!J175)</f>
        <v>0.4194</v>
      </c>
      <c r="K127" s="7">
        <f>AVERAGE(CNN!K175, LSTM!K175, SVM!K175, NB!K175, RF!K175)</f>
        <v>0.5194</v>
      </c>
      <c r="L127" s="7">
        <f>AVERAGE(CNN!L175, LSTM!L175, SVM!L175, NB!L175, RF!L175)</f>
        <v>0.3606</v>
      </c>
      <c r="M127" s="7">
        <f>AVERAGE(CNN!M175, LSTM!M175, SVM!M175, NB!M175, RF!M175)</f>
        <v>0.5606</v>
      </c>
      <c r="P127" s="6" t="s">
        <v>8</v>
      </c>
      <c r="Q127" s="7">
        <f t="shared" ref="Q127:AA127" si="117">C127-$C$123</f>
        <v>0.0154</v>
      </c>
      <c r="R127" s="7">
        <f t="shared" si="117"/>
        <v>0.018</v>
      </c>
      <c r="S127" s="7">
        <f t="shared" si="117"/>
        <v>0.0138</v>
      </c>
      <c r="T127" s="7">
        <f t="shared" si="117"/>
        <v>-0.041</v>
      </c>
      <c r="U127" s="7">
        <f t="shared" si="117"/>
        <v>0.059</v>
      </c>
      <c r="V127" s="7">
        <f t="shared" si="117"/>
        <v>-0.0988</v>
      </c>
      <c r="W127" s="7">
        <f t="shared" si="117"/>
        <v>0.1012</v>
      </c>
      <c r="X127" s="7">
        <f t="shared" si="117"/>
        <v>-0.0408</v>
      </c>
      <c r="Y127" s="7">
        <f t="shared" si="117"/>
        <v>0.0592</v>
      </c>
      <c r="Z127" s="7">
        <f t="shared" si="117"/>
        <v>-0.0996</v>
      </c>
      <c r="AA127" s="7">
        <f t="shared" si="117"/>
        <v>0.1004</v>
      </c>
    </row>
    <row r="128">
      <c r="B128" s="6" t="s">
        <v>9</v>
      </c>
      <c r="C128" s="7">
        <f>AVERAGE(CNN!C176, LSTM!C176, SVM!C176, NB!C176, RF!C176)</f>
        <v>0.4662</v>
      </c>
      <c r="D128" s="7">
        <f>AVERAGE(CNN!D176, LSTM!D176, SVM!D176, NB!D176, RF!D176)</f>
        <v>0.4672</v>
      </c>
      <c r="E128" s="7">
        <f>AVERAGE(CNN!E176, LSTM!E176, SVM!E176, NB!E176, RF!E176)</f>
        <v>0.4652</v>
      </c>
      <c r="F128" s="7">
        <f>AVERAGE(CNN!F176, LSTM!F176, SVM!F176, NB!F176, RF!F176)</f>
        <v>0.4164</v>
      </c>
      <c r="G128" s="7">
        <f>AVERAGE(CNN!G176, LSTM!G176, SVM!G176, NB!G176, RF!G176)</f>
        <v>0.5164</v>
      </c>
      <c r="H128" s="7">
        <f>AVERAGE(CNN!H176, LSTM!H176, SVM!H176, NB!H176, RF!H176)</f>
        <v>0.3646</v>
      </c>
      <c r="I128" s="7">
        <f>AVERAGE(CNN!I176, LSTM!I176, SVM!I176, NB!I176, RF!I176)</f>
        <v>0.5646</v>
      </c>
      <c r="J128" s="7">
        <f>AVERAGE(CNN!J176, LSTM!J176, SVM!J176, NB!J176, RF!J176)</f>
        <v>0.4158</v>
      </c>
      <c r="K128" s="7">
        <f>AVERAGE(CNN!K176, LSTM!K176, SVM!K176, NB!K176, RF!K176)</f>
        <v>0.5158</v>
      </c>
      <c r="L128" s="7">
        <f>AVERAGE(CNN!L176, LSTM!L176, SVM!L176, NB!L176, RF!L176)</f>
        <v>0.3626</v>
      </c>
      <c r="M128" s="7">
        <f>AVERAGE(CNN!M176, LSTM!M176, SVM!M176, NB!M176, RF!M176)</f>
        <v>0.5626</v>
      </c>
      <c r="P128" s="6" t="s">
        <v>9</v>
      </c>
      <c r="Q128" s="7">
        <f t="shared" ref="Q128:AA128" si="118">C128-$C$123</f>
        <v>0.006</v>
      </c>
      <c r="R128" s="7">
        <f t="shared" si="118"/>
        <v>0.007</v>
      </c>
      <c r="S128" s="7">
        <f t="shared" si="118"/>
        <v>0.005</v>
      </c>
      <c r="T128" s="7">
        <f t="shared" si="118"/>
        <v>-0.0438</v>
      </c>
      <c r="U128" s="7">
        <f t="shared" si="118"/>
        <v>0.0562</v>
      </c>
      <c r="V128" s="7">
        <f t="shared" si="118"/>
        <v>-0.0956</v>
      </c>
      <c r="W128" s="7">
        <f t="shared" si="118"/>
        <v>0.1044</v>
      </c>
      <c r="X128" s="7">
        <f t="shared" si="118"/>
        <v>-0.0444</v>
      </c>
      <c r="Y128" s="7">
        <f t="shared" si="118"/>
        <v>0.0556</v>
      </c>
      <c r="Z128" s="7">
        <f t="shared" si="118"/>
        <v>-0.0976</v>
      </c>
      <c r="AA128" s="7">
        <f t="shared" si="118"/>
        <v>0.1024</v>
      </c>
    </row>
    <row r="129">
      <c r="B129" s="6" t="s">
        <v>10</v>
      </c>
      <c r="C129" s="7">
        <f>AVERAGE(CNN!C177, LSTM!C177, SVM!C177, NB!C177, RF!C177)</f>
        <v>0.4756</v>
      </c>
      <c r="D129" s="7">
        <f>AVERAGE(CNN!D177, LSTM!D177, SVM!D177, NB!D177, RF!D177)</f>
        <v>0.4772</v>
      </c>
      <c r="E129" s="7">
        <f>AVERAGE(CNN!E177, LSTM!E177, SVM!E177, NB!E177, RF!E177)</f>
        <v>0.475</v>
      </c>
      <c r="F129" s="7">
        <f>AVERAGE(CNN!F177, LSTM!F177, SVM!F177, NB!F177, RF!F177)</f>
        <v>0.4202</v>
      </c>
      <c r="G129" s="7">
        <f>AVERAGE(CNN!G177, LSTM!G177, SVM!G177, NB!G177, RF!G177)</f>
        <v>0.5202</v>
      </c>
      <c r="H129" s="7">
        <f>AVERAGE(CNN!H177, LSTM!H177, SVM!H177, NB!H177, RF!H177)</f>
        <v>0.3628</v>
      </c>
      <c r="I129" s="7">
        <f>AVERAGE(CNN!I177, LSTM!I177, SVM!I177, NB!I177, RF!I177)</f>
        <v>0.5628</v>
      </c>
      <c r="J129" s="7">
        <f>AVERAGE(CNN!J177, LSTM!J177, SVM!J177, NB!J177, RF!J177)</f>
        <v>0.4208</v>
      </c>
      <c r="K129" s="7">
        <f>AVERAGE(CNN!K177, LSTM!K177, SVM!K177, NB!K177, RF!K177)</f>
        <v>0.5208</v>
      </c>
      <c r="L129" s="7">
        <f>AVERAGE(CNN!L177, LSTM!L177, SVM!L177, NB!L177, RF!L177)</f>
        <v>0.3624</v>
      </c>
      <c r="M129" s="7">
        <f>AVERAGE(CNN!M177, LSTM!M177, SVM!M177, NB!M177, RF!M177)</f>
        <v>0.5624</v>
      </c>
      <c r="P129" s="6" t="s">
        <v>10</v>
      </c>
      <c r="Q129" s="7">
        <f t="shared" ref="Q129:AA129" si="119">C129-$C$123</f>
        <v>0.0154</v>
      </c>
      <c r="R129" s="7">
        <f t="shared" si="119"/>
        <v>0.017</v>
      </c>
      <c r="S129" s="7">
        <f t="shared" si="119"/>
        <v>0.0148</v>
      </c>
      <c r="T129" s="7">
        <f t="shared" si="119"/>
        <v>-0.04</v>
      </c>
      <c r="U129" s="7">
        <f t="shared" si="119"/>
        <v>0.06</v>
      </c>
      <c r="V129" s="7">
        <f t="shared" si="119"/>
        <v>-0.0974</v>
      </c>
      <c r="W129" s="7">
        <f t="shared" si="119"/>
        <v>0.1026</v>
      </c>
      <c r="X129" s="7">
        <f t="shared" si="119"/>
        <v>-0.0394</v>
      </c>
      <c r="Y129" s="7">
        <f t="shared" si="119"/>
        <v>0.0606</v>
      </c>
      <c r="Z129" s="7">
        <f t="shared" si="119"/>
        <v>-0.0978</v>
      </c>
      <c r="AA129" s="7">
        <f t="shared" si="119"/>
        <v>0.1022</v>
      </c>
    </row>
    <row r="131">
      <c r="A131" s="1" t="s">
        <v>216</v>
      </c>
      <c r="B131" s="2" t="s">
        <v>1</v>
      </c>
      <c r="O131" s="1" t="s">
        <v>998</v>
      </c>
      <c r="P131" s="2" t="s">
        <v>1</v>
      </c>
    </row>
    <row r="132">
      <c r="A132" s="4" t="s">
        <v>3</v>
      </c>
      <c r="B132" s="5"/>
      <c r="C132" s="6" t="s">
        <v>4</v>
      </c>
      <c r="D132" s="6" t="s">
        <v>5</v>
      </c>
      <c r="E132" s="6" t="s">
        <v>6</v>
      </c>
      <c r="F132" s="6" t="s">
        <v>84</v>
      </c>
      <c r="G132" s="6" t="s">
        <v>85</v>
      </c>
      <c r="H132" s="6" t="s">
        <v>86</v>
      </c>
      <c r="I132" s="6" t="s">
        <v>87</v>
      </c>
      <c r="J132" s="6" t="s">
        <v>88</v>
      </c>
      <c r="K132" s="6" t="s">
        <v>89</v>
      </c>
      <c r="L132" s="6" t="s">
        <v>90</v>
      </c>
      <c r="M132" s="6" t="s">
        <v>91</v>
      </c>
      <c r="O132" s="4" t="s">
        <v>3</v>
      </c>
      <c r="P132" s="5"/>
      <c r="Q132" s="6" t="s">
        <v>4</v>
      </c>
      <c r="R132" s="6" t="s">
        <v>5</v>
      </c>
      <c r="S132" s="6" t="s">
        <v>6</v>
      </c>
      <c r="T132" s="6" t="s">
        <v>84</v>
      </c>
      <c r="U132" s="6" t="s">
        <v>85</v>
      </c>
      <c r="V132" s="6" t="s">
        <v>86</v>
      </c>
      <c r="W132" s="6" t="s">
        <v>87</v>
      </c>
      <c r="X132" s="6" t="s">
        <v>88</v>
      </c>
      <c r="Y132" s="6" t="s">
        <v>89</v>
      </c>
      <c r="Z132" s="6" t="s">
        <v>90</v>
      </c>
      <c r="AA132" s="6" t="s">
        <v>91</v>
      </c>
    </row>
    <row r="133">
      <c r="B133" s="6" t="s">
        <v>4</v>
      </c>
      <c r="C133" s="7">
        <f>AVERAGE(CNN!C197, LSTM!C197, SVM!C197, NB!C197, RF!C197)</f>
        <v>0.4702</v>
      </c>
      <c r="D133" s="7">
        <f>AVERAGE(CNN!D197, LSTM!D197, SVM!D197, NB!D197, RF!D197)</f>
        <v>0.4652</v>
      </c>
      <c r="E133" s="7">
        <f>AVERAGE(CNN!E197, LSTM!E197, SVM!E197, NB!E197, RF!E197)</f>
        <v>0.4834</v>
      </c>
      <c r="F133" s="7">
        <f>AVERAGE(CNN!F197, LSTM!F197, SVM!F197, NB!F197, RF!F197)</f>
        <v>0.4568</v>
      </c>
      <c r="G133" s="7">
        <f>AVERAGE(CNN!G197, LSTM!G197, SVM!G197, NB!G197, RF!G197)</f>
        <v>0.5568</v>
      </c>
      <c r="H133" s="7">
        <f>AVERAGE(CNN!H197, LSTM!H197, SVM!H197, NB!H197, RF!H197)</f>
        <v>0.4438</v>
      </c>
      <c r="I133" s="7">
        <f>AVERAGE(CNN!I197, LSTM!I197, SVM!I197, NB!I197, RF!I197)</f>
        <v>0.6438</v>
      </c>
      <c r="J133" s="7">
        <f>AVERAGE(CNN!J197, LSTM!J197, SVM!J197, NB!J197, RF!J197)</f>
        <v>0.4566</v>
      </c>
      <c r="K133" s="7">
        <f>AVERAGE(CNN!K197, LSTM!K197, SVM!K197, NB!K197, RF!K197)</f>
        <v>0.5566</v>
      </c>
      <c r="L133" s="7">
        <f>AVERAGE(CNN!L197, LSTM!L197, SVM!L197, NB!L197, RF!L197)</f>
        <v>0.4434</v>
      </c>
      <c r="M133" s="7">
        <f>AVERAGE(CNN!M197, LSTM!M197, SVM!M197, NB!M197, RF!M197)</f>
        <v>0.6434</v>
      </c>
      <c r="P133" s="6" t="s">
        <v>4</v>
      </c>
      <c r="Q133" s="7">
        <f t="shared" ref="Q133:AA133" si="120">C133-$C$133</f>
        <v>0</v>
      </c>
      <c r="R133" s="7">
        <f t="shared" si="120"/>
        <v>-0.005</v>
      </c>
      <c r="S133" s="7">
        <f t="shared" si="120"/>
        <v>0.0132</v>
      </c>
      <c r="T133" s="7">
        <f t="shared" si="120"/>
        <v>-0.0134</v>
      </c>
      <c r="U133" s="7">
        <f t="shared" si="120"/>
        <v>0.0866</v>
      </c>
      <c r="V133" s="7">
        <f t="shared" si="120"/>
        <v>-0.0264</v>
      </c>
      <c r="W133" s="7">
        <f t="shared" si="120"/>
        <v>0.1736</v>
      </c>
      <c r="X133" s="7">
        <f t="shared" si="120"/>
        <v>-0.0136</v>
      </c>
      <c r="Y133" s="7">
        <f t="shared" si="120"/>
        <v>0.0864</v>
      </c>
      <c r="Z133" s="7">
        <f t="shared" si="120"/>
        <v>-0.0268</v>
      </c>
      <c r="AA133" s="7">
        <f t="shared" si="120"/>
        <v>0.1732</v>
      </c>
    </row>
    <row r="134">
      <c r="B134" s="6" t="s">
        <v>5</v>
      </c>
      <c r="C134" s="7">
        <f>AVERAGE(CNN!C198, LSTM!C198, SVM!C198, NB!C198, RF!C198)</f>
        <v>0.4732</v>
      </c>
      <c r="D134" s="7">
        <f>AVERAGE(CNN!D198, LSTM!D198, SVM!D198, NB!D198, RF!D198)</f>
        <v>0.469</v>
      </c>
      <c r="E134" s="7">
        <f>AVERAGE(CNN!E198, LSTM!E198, SVM!E198, NB!E198, RF!E198)</f>
        <v>0.4846</v>
      </c>
      <c r="F134" s="7">
        <f>AVERAGE(CNN!F198, LSTM!F198, SVM!F198, NB!F198, RF!F198)</f>
        <v>0.4592</v>
      </c>
      <c r="G134" s="7">
        <f>AVERAGE(CNN!G198, LSTM!G198, SVM!G198, NB!G198, RF!G198)</f>
        <v>0.5592</v>
      </c>
      <c r="H134" s="7">
        <f>AVERAGE(CNN!H198, LSTM!H198, SVM!H198, NB!H198, RF!H198)</f>
        <v>0.4472</v>
      </c>
      <c r="I134" s="7">
        <f>AVERAGE(CNN!I198, LSTM!I198, SVM!I198, NB!I198, RF!I198)</f>
        <v>0.6472</v>
      </c>
      <c r="J134" s="7">
        <f>AVERAGE(CNN!J198, LSTM!J198, SVM!J198, NB!J198, RF!J198)</f>
        <v>0.4572</v>
      </c>
      <c r="K134" s="7">
        <f>AVERAGE(CNN!K198, LSTM!K198, SVM!K198, NB!K198, RF!K198)</f>
        <v>0.5572</v>
      </c>
      <c r="L134" s="7">
        <f>AVERAGE(CNN!L198, LSTM!L198, SVM!L198, NB!L198, RF!L198)</f>
        <v>0.4484</v>
      </c>
      <c r="M134" s="7">
        <f>AVERAGE(CNN!M198, LSTM!M198, SVM!M198, NB!M198, RF!M198)</f>
        <v>0.6484</v>
      </c>
      <c r="P134" s="6" t="s">
        <v>5</v>
      </c>
      <c r="Q134" s="7">
        <f t="shared" ref="Q134:AA134" si="121">C134-$C$133</f>
        <v>0.003</v>
      </c>
      <c r="R134" s="7">
        <f t="shared" si="121"/>
        <v>-0.0012</v>
      </c>
      <c r="S134" s="7">
        <f t="shared" si="121"/>
        <v>0.0144</v>
      </c>
      <c r="T134" s="7">
        <f t="shared" si="121"/>
        <v>-0.011</v>
      </c>
      <c r="U134" s="7">
        <f t="shared" si="121"/>
        <v>0.089</v>
      </c>
      <c r="V134" s="7">
        <f t="shared" si="121"/>
        <v>-0.023</v>
      </c>
      <c r="W134" s="7">
        <f t="shared" si="121"/>
        <v>0.177</v>
      </c>
      <c r="X134" s="7">
        <f t="shared" si="121"/>
        <v>-0.013</v>
      </c>
      <c r="Y134" s="7">
        <f t="shared" si="121"/>
        <v>0.087</v>
      </c>
      <c r="Z134" s="7">
        <f t="shared" si="121"/>
        <v>-0.0218</v>
      </c>
      <c r="AA134" s="7">
        <f t="shared" si="121"/>
        <v>0.1782</v>
      </c>
    </row>
    <row r="135">
      <c r="B135" s="6" t="s">
        <v>6</v>
      </c>
      <c r="C135" s="7">
        <f>AVERAGE(CNN!C199, LSTM!C199, SVM!C199, NB!C199, RF!C199)</f>
        <v>0.4776</v>
      </c>
      <c r="D135" s="7">
        <f>AVERAGE(CNN!D199, LSTM!D199, SVM!D199, NB!D199, RF!D199)</f>
        <v>0.4722</v>
      </c>
      <c r="E135" s="7">
        <f>AVERAGE(CNN!E199, LSTM!E199, SVM!E199, NB!E199, RF!E199)</f>
        <v>0.4886</v>
      </c>
      <c r="F135" s="7">
        <f>AVERAGE(CNN!F199, LSTM!F199, SVM!F199, NB!F199, RF!F199)</f>
        <v>0.46</v>
      </c>
      <c r="G135" s="7">
        <f>AVERAGE(CNN!G199, LSTM!G199, SVM!G199, NB!G199, RF!G199)</f>
        <v>0.56</v>
      </c>
      <c r="H135" s="7">
        <f>AVERAGE(CNN!H199, LSTM!H199, SVM!H199, NB!H199, RF!H199)</f>
        <v>0.4462</v>
      </c>
      <c r="I135" s="7">
        <f>AVERAGE(CNN!I199, LSTM!I199, SVM!I199, NB!I199, RF!I199)</f>
        <v>0.6462</v>
      </c>
      <c r="J135" s="7">
        <f>AVERAGE(CNN!J199, LSTM!J199, SVM!J199, NB!J199, RF!J199)</f>
        <v>0.4608</v>
      </c>
      <c r="K135" s="7">
        <f>AVERAGE(CNN!K199, LSTM!K199, SVM!K199, NB!K199, RF!K199)</f>
        <v>0.5608</v>
      </c>
      <c r="L135" s="7">
        <f>AVERAGE(CNN!L199, LSTM!L199, SVM!L199, NB!L199, RF!L199)</f>
        <v>0.4396</v>
      </c>
      <c r="M135" s="7">
        <f>AVERAGE(CNN!M199, LSTM!M199, SVM!M199, NB!M199, RF!M199)</f>
        <v>0.6396</v>
      </c>
      <c r="P135" s="6" t="s">
        <v>6</v>
      </c>
      <c r="Q135" s="7">
        <f t="shared" ref="Q135:AA135" si="122">C135-$C$133</f>
        <v>0.0074</v>
      </c>
      <c r="R135" s="7">
        <f t="shared" si="122"/>
        <v>0.002</v>
      </c>
      <c r="S135" s="7">
        <f t="shared" si="122"/>
        <v>0.0184</v>
      </c>
      <c r="T135" s="7">
        <f t="shared" si="122"/>
        <v>-0.0102</v>
      </c>
      <c r="U135" s="7">
        <f t="shared" si="122"/>
        <v>0.0898</v>
      </c>
      <c r="V135" s="7">
        <f t="shared" si="122"/>
        <v>-0.024</v>
      </c>
      <c r="W135" s="7">
        <f t="shared" si="122"/>
        <v>0.176</v>
      </c>
      <c r="X135" s="7">
        <f t="shared" si="122"/>
        <v>-0.0094</v>
      </c>
      <c r="Y135" s="7">
        <f t="shared" si="122"/>
        <v>0.0906</v>
      </c>
      <c r="Z135" s="7">
        <f t="shared" si="122"/>
        <v>-0.0306</v>
      </c>
      <c r="AA135" s="7">
        <f t="shared" si="122"/>
        <v>0.1694</v>
      </c>
    </row>
    <row r="136">
      <c r="B136" s="6" t="s">
        <v>7</v>
      </c>
      <c r="C136" s="7">
        <f>AVERAGE(CNN!C200, LSTM!C200, SVM!C200, NB!C200, RF!C200)</f>
        <v>0.4688</v>
      </c>
      <c r="D136" s="7">
        <f>AVERAGE(CNN!D200, LSTM!D200, SVM!D200, NB!D200, RF!D200)</f>
        <v>0.4622</v>
      </c>
      <c r="E136" s="7">
        <f>AVERAGE(CNN!E200, LSTM!E200, SVM!E200, NB!E200, RF!E200)</f>
        <v>0.4802</v>
      </c>
      <c r="F136" s="7">
        <f>AVERAGE(CNN!F200, LSTM!F200, SVM!F200, NB!F200, RF!F200)</f>
        <v>0.4542</v>
      </c>
      <c r="G136" s="7">
        <f>AVERAGE(CNN!G200, LSTM!G200, SVM!G200, NB!G200, RF!G200)</f>
        <v>0.5542</v>
      </c>
      <c r="H136" s="7">
        <f>AVERAGE(CNN!H200, LSTM!H200, SVM!H200, NB!H200, RF!H200)</f>
        <v>0.4406</v>
      </c>
      <c r="I136" s="7">
        <f>AVERAGE(CNN!I200, LSTM!I200, SVM!I200, NB!I200, RF!I200)</f>
        <v>0.6406</v>
      </c>
      <c r="J136" s="7">
        <f>AVERAGE(CNN!J200, LSTM!J200, SVM!J200, NB!J200, RF!J200)</f>
        <v>0.4522</v>
      </c>
      <c r="K136" s="7">
        <f>AVERAGE(CNN!K200, LSTM!K200, SVM!K200, NB!K200, RF!K200)</f>
        <v>0.5524</v>
      </c>
      <c r="L136" s="7">
        <f>AVERAGE(CNN!L200, LSTM!L200, SVM!L200, NB!L200, RF!L200)</f>
        <v>0.4376</v>
      </c>
      <c r="M136" s="7">
        <f>AVERAGE(CNN!M200, LSTM!M200, SVM!M200, NB!M200, RF!M200)</f>
        <v>0.6374</v>
      </c>
      <c r="P136" s="6" t="s">
        <v>7</v>
      </c>
      <c r="Q136" s="7">
        <f t="shared" ref="Q136:AA136" si="123">C136-$C$133</f>
        <v>-0.0014</v>
      </c>
      <c r="R136" s="7">
        <f t="shared" si="123"/>
        <v>-0.008</v>
      </c>
      <c r="S136" s="7">
        <f t="shared" si="123"/>
        <v>0.01</v>
      </c>
      <c r="T136" s="7">
        <f t="shared" si="123"/>
        <v>-0.016</v>
      </c>
      <c r="U136" s="7">
        <f t="shared" si="123"/>
        <v>0.084</v>
      </c>
      <c r="V136" s="7">
        <f t="shared" si="123"/>
        <v>-0.0296</v>
      </c>
      <c r="W136" s="7">
        <f t="shared" si="123"/>
        <v>0.1704</v>
      </c>
      <c r="X136" s="7">
        <f t="shared" si="123"/>
        <v>-0.018</v>
      </c>
      <c r="Y136" s="7">
        <f t="shared" si="123"/>
        <v>0.0822</v>
      </c>
      <c r="Z136" s="7">
        <f t="shared" si="123"/>
        <v>-0.0326</v>
      </c>
      <c r="AA136" s="7">
        <f t="shared" si="123"/>
        <v>0.1672</v>
      </c>
    </row>
    <row r="137">
      <c r="B137" s="6" t="s">
        <v>8</v>
      </c>
      <c r="C137" s="7">
        <f>AVERAGE(CNN!C201, LSTM!C201, SVM!C201, NB!C201, RF!C201)</f>
        <v>0.4736</v>
      </c>
      <c r="D137" s="7">
        <f>AVERAGE(CNN!D201, LSTM!D201, SVM!D201, NB!D201, RF!D201)</f>
        <v>0.4686</v>
      </c>
      <c r="E137" s="7">
        <f>AVERAGE(CNN!E201, LSTM!E201, SVM!E201, NB!E201, RF!E201)</f>
        <v>0.483</v>
      </c>
      <c r="F137" s="7">
        <f>AVERAGE(CNN!F201, LSTM!F201, SVM!F201, NB!F201, RF!F201)</f>
        <v>0.4576</v>
      </c>
      <c r="G137" s="7">
        <f>AVERAGE(CNN!G201, LSTM!G201, SVM!G201, NB!G201, RF!G201)</f>
        <v>0.5576</v>
      </c>
      <c r="H137" s="7">
        <f>AVERAGE(CNN!H201, LSTM!H201, SVM!H201, NB!H201, RF!H201)</f>
        <v>0.4416</v>
      </c>
      <c r="I137" s="7">
        <f>AVERAGE(CNN!I201, LSTM!I201, SVM!I201, NB!I201, RF!I201)</f>
        <v>0.6416</v>
      </c>
      <c r="J137" s="7">
        <f>AVERAGE(CNN!J201, LSTM!J201, SVM!J201, NB!J201, RF!J201)</f>
        <v>0.4564</v>
      </c>
      <c r="K137" s="7">
        <f>AVERAGE(CNN!K201, LSTM!K201, SVM!K201, NB!K201, RF!K201)</f>
        <v>0.5564</v>
      </c>
      <c r="L137" s="7">
        <f>AVERAGE(CNN!L201, LSTM!L201, SVM!L201, NB!L201, RF!L201)</f>
        <v>0.4394</v>
      </c>
      <c r="M137" s="7">
        <f>AVERAGE(CNN!M201, LSTM!M201, SVM!M201, NB!M201, RF!M201)</f>
        <v>0.6394</v>
      </c>
      <c r="P137" s="6" t="s">
        <v>8</v>
      </c>
      <c r="Q137" s="7">
        <f t="shared" ref="Q137:AA137" si="124">C137-$C$133</f>
        <v>0.0034</v>
      </c>
      <c r="R137" s="7">
        <f t="shared" si="124"/>
        <v>-0.0016</v>
      </c>
      <c r="S137" s="7">
        <f t="shared" si="124"/>
        <v>0.0128</v>
      </c>
      <c r="T137" s="7">
        <f t="shared" si="124"/>
        <v>-0.0126</v>
      </c>
      <c r="U137" s="7">
        <f t="shared" si="124"/>
        <v>0.0874</v>
      </c>
      <c r="V137" s="7">
        <f t="shared" si="124"/>
        <v>-0.0286</v>
      </c>
      <c r="W137" s="7">
        <f t="shared" si="124"/>
        <v>0.1714</v>
      </c>
      <c r="X137" s="7">
        <f t="shared" si="124"/>
        <v>-0.0138</v>
      </c>
      <c r="Y137" s="7">
        <f t="shared" si="124"/>
        <v>0.0862</v>
      </c>
      <c r="Z137" s="7">
        <f t="shared" si="124"/>
        <v>-0.0308</v>
      </c>
      <c r="AA137" s="7">
        <f t="shared" si="124"/>
        <v>0.1692</v>
      </c>
    </row>
    <row r="138">
      <c r="B138" s="6" t="s">
        <v>9</v>
      </c>
      <c r="C138" s="7">
        <f>AVERAGE(CNN!C202, LSTM!C202, SVM!C202, NB!C202, RF!C202)</f>
        <v>0.4808</v>
      </c>
      <c r="D138" s="7">
        <f>AVERAGE(CNN!D202, LSTM!D202, SVM!D202, NB!D202, RF!D202)</f>
        <v>0.476</v>
      </c>
      <c r="E138" s="7">
        <f>AVERAGE(CNN!E202, LSTM!E202, SVM!E202, NB!E202, RF!E202)</f>
        <v>0.4918</v>
      </c>
      <c r="F138" s="7">
        <f>AVERAGE(CNN!F202, LSTM!F202, SVM!F202, NB!F202, RF!F202)</f>
        <v>0.4674</v>
      </c>
      <c r="G138" s="7">
        <f>AVERAGE(CNN!G202, LSTM!G202, SVM!G202, NB!G202, RF!G202)</f>
        <v>0.5674</v>
      </c>
      <c r="H138" s="7">
        <f>AVERAGE(CNN!H202, LSTM!H202, SVM!H202, NB!H202, RF!H202)</f>
        <v>0.451</v>
      </c>
      <c r="I138" s="7">
        <f>AVERAGE(CNN!I202, LSTM!I202, SVM!I202, NB!I202, RF!I202)</f>
        <v>0.651</v>
      </c>
      <c r="J138" s="7">
        <f>AVERAGE(CNN!J202, LSTM!J202, SVM!J202, NB!J202, RF!J202)</f>
        <v>0.4656</v>
      </c>
      <c r="K138" s="7">
        <f>AVERAGE(CNN!K202, LSTM!K202, SVM!K202, NB!K202, RF!K202)</f>
        <v>0.5656</v>
      </c>
      <c r="L138" s="7">
        <f>AVERAGE(CNN!L202, LSTM!L202, SVM!L202, NB!L202, RF!L202)</f>
        <v>0.4516</v>
      </c>
      <c r="M138" s="7">
        <f>AVERAGE(CNN!M202, LSTM!M202, SVM!M202, NB!M202, RF!M202)</f>
        <v>0.6516</v>
      </c>
      <c r="P138" s="6" t="s">
        <v>9</v>
      </c>
      <c r="Q138" s="7">
        <f t="shared" ref="Q138:AA138" si="125">C138-$C$133</f>
        <v>0.0106</v>
      </c>
      <c r="R138" s="7">
        <f t="shared" si="125"/>
        <v>0.0058</v>
      </c>
      <c r="S138" s="7">
        <f t="shared" si="125"/>
        <v>0.0216</v>
      </c>
      <c r="T138" s="7">
        <f t="shared" si="125"/>
        <v>-0.0028</v>
      </c>
      <c r="U138" s="7">
        <f t="shared" si="125"/>
        <v>0.0972</v>
      </c>
      <c r="V138" s="7">
        <f t="shared" si="125"/>
        <v>-0.0192</v>
      </c>
      <c r="W138" s="7">
        <f t="shared" si="125"/>
        <v>0.1808</v>
      </c>
      <c r="X138" s="7">
        <f t="shared" si="125"/>
        <v>-0.0046</v>
      </c>
      <c r="Y138" s="7">
        <f t="shared" si="125"/>
        <v>0.0954</v>
      </c>
      <c r="Z138" s="7">
        <f t="shared" si="125"/>
        <v>-0.0186</v>
      </c>
      <c r="AA138" s="7">
        <f t="shared" si="125"/>
        <v>0.1814</v>
      </c>
    </row>
    <row r="139">
      <c r="B139" s="6" t="s">
        <v>10</v>
      </c>
      <c r="C139" s="7">
        <f>AVERAGE(CNN!C203, LSTM!C203, SVM!C203, NB!C203, RF!C203)</f>
        <v>0.4762</v>
      </c>
      <c r="D139" s="7">
        <f>AVERAGE(CNN!D203, LSTM!D203, SVM!D203, NB!D203, RF!D203)</f>
        <v>0.4716</v>
      </c>
      <c r="E139" s="7">
        <f>AVERAGE(CNN!E203, LSTM!E203, SVM!E203, NB!E203, RF!E203)</f>
        <v>0.4834</v>
      </c>
      <c r="F139" s="7">
        <f>AVERAGE(CNN!F203, LSTM!F203, SVM!F203, NB!F203, RF!F203)</f>
        <v>0.4566</v>
      </c>
      <c r="G139" s="7">
        <f>AVERAGE(CNN!G203, LSTM!G203, SVM!G203, NB!G203, RF!G203)</f>
        <v>0.5566</v>
      </c>
      <c r="H139" s="7">
        <f>AVERAGE(CNN!H203, LSTM!H203, SVM!H203, NB!H203, RF!H203)</f>
        <v>0.4404</v>
      </c>
      <c r="I139" s="7">
        <f>AVERAGE(CNN!I203, LSTM!I203, SVM!I203, NB!I203, RF!I203)</f>
        <v>0.6404</v>
      </c>
      <c r="J139" s="7">
        <f>AVERAGE(CNN!J203, LSTM!J203, SVM!J203, NB!J203, RF!J203)</f>
        <v>0.4564</v>
      </c>
      <c r="K139" s="7">
        <f>AVERAGE(CNN!K203, LSTM!K203, SVM!K203, NB!K203, RF!K203)</f>
        <v>0.5564</v>
      </c>
      <c r="L139" s="7">
        <f>AVERAGE(CNN!L203, LSTM!L203, SVM!L203, NB!L203, RF!L203)</f>
        <v>0.4388</v>
      </c>
      <c r="M139" s="7">
        <f>AVERAGE(CNN!M203, LSTM!M203, SVM!M203, NB!M203, RF!M203)</f>
        <v>0.6388</v>
      </c>
      <c r="P139" s="6" t="s">
        <v>10</v>
      </c>
      <c r="Q139" s="7">
        <f t="shared" ref="Q139:AA139" si="126">C139-$C$133</f>
        <v>0.006</v>
      </c>
      <c r="R139" s="7">
        <f t="shared" si="126"/>
        <v>0.0014</v>
      </c>
      <c r="S139" s="7">
        <f t="shared" si="126"/>
        <v>0.0132</v>
      </c>
      <c r="T139" s="7">
        <f t="shared" si="126"/>
        <v>-0.0136</v>
      </c>
      <c r="U139" s="7">
        <f t="shared" si="126"/>
        <v>0.0864</v>
      </c>
      <c r="V139" s="7">
        <f t="shared" si="126"/>
        <v>-0.0298</v>
      </c>
      <c r="W139" s="7">
        <f t="shared" si="126"/>
        <v>0.1702</v>
      </c>
      <c r="X139" s="7">
        <f t="shared" si="126"/>
        <v>-0.0138</v>
      </c>
      <c r="Y139" s="7">
        <f t="shared" si="126"/>
        <v>0.0862</v>
      </c>
      <c r="Z139" s="7">
        <f t="shared" si="126"/>
        <v>-0.0314</v>
      </c>
      <c r="AA139" s="7">
        <f t="shared" si="126"/>
        <v>0.1686</v>
      </c>
    </row>
    <row r="141">
      <c r="A141" s="1" t="s">
        <v>258</v>
      </c>
      <c r="B141" s="2" t="s">
        <v>1</v>
      </c>
      <c r="O141" s="1" t="s">
        <v>999</v>
      </c>
      <c r="P141" s="2" t="s">
        <v>1</v>
      </c>
    </row>
    <row r="142">
      <c r="A142" s="4" t="s">
        <v>3</v>
      </c>
      <c r="B142" s="5"/>
      <c r="C142" s="6" t="s">
        <v>4</v>
      </c>
      <c r="D142" s="6" t="s">
        <v>5</v>
      </c>
      <c r="E142" s="6" t="s">
        <v>6</v>
      </c>
      <c r="F142" s="6" t="s">
        <v>84</v>
      </c>
      <c r="G142" s="6" t="s">
        <v>85</v>
      </c>
      <c r="H142" s="6" t="s">
        <v>86</v>
      </c>
      <c r="I142" s="6" t="s">
        <v>87</v>
      </c>
      <c r="J142" s="6" t="s">
        <v>88</v>
      </c>
      <c r="K142" s="6" t="s">
        <v>89</v>
      </c>
      <c r="L142" s="6" t="s">
        <v>90</v>
      </c>
      <c r="M142" s="6" t="s">
        <v>91</v>
      </c>
      <c r="O142" s="4" t="s">
        <v>3</v>
      </c>
      <c r="P142" s="5"/>
      <c r="Q142" s="6" t="s">
        <v>4</v>
      </c>
      <c r="R142" s="6" t="s">
        <v>5</v>
      </c>
      <c r="S142" s="6" t="s">
        <v>6</v>
      </c>
      <c r="T142" s="6" t="s">
        <v>84</v>
      </c>
      <c r="U142" s="6" t="s">
        <v>85</v>
      </c>
      <c r="V142" s="6" t="s">
        <v>86</v>
      </c>
      <c r="W142" s="6" t="s">
        <v>87</v>
      </c>
      <c r="X142" s="6" t="s">
        <v>88</v>
      </c>
      <c r="Y142" s="6" t="s">
        <v>89</v>
      </c>
      <c r="Z142" s="6" t="s">
        <v>90</v>
      </c>
      <c r="AA142" s="6" t="s">
        <v>91</v>
      </c>
    </row>
    <row r="143">
      <c r="B143" s="6" t="s">
        <v>4</v>
      </c>
      <c r="C143" s="7">
        <f>AVERAGE(CNN!C223, LSTM!C223, SVM!C223, NB!C223, RF!C223)</f>
        <v>0.3036</v>
      </c>
      <c r="D143" s="7">
        <f>AVERAGE(CNN!D223, LSTM!D223, SVM!D223, NB!D223, RF!D223)</f>
        <v>0.3166</v>
      </c>
      <c r="E143" s="7">
        <f>AVERAGE(CNN!E223, LSTM!E223, SVM!E223, NB!E223, RF!E223)</f>
        <v>0.3264</v>
      </c>
      <c r="F143" s="7">
        <f>AVERAGE(CNN!F223, LSTM!F223, SVM!F223, NB!F223, RF!F223)</f>
        <v>0.288</v>
      </c>
      <c r="G143" s="7">
        <f>AVERAGE(CNN!G223, LSTM!G223, SVM!G223, NB!G223, RF!G223)</f>
        <v>0.388</v>
      </c>
      <c r="H143" s="7">
        <f>AVERAGE(CNN!H223, LSTM!H223, SVM!H223, NB!H223, RF!H223)</f>
        <v>0.2632</v>
      </c>
      <c r="I143" s="7">
        <f>AVERAGE(CNN!I223, LSTM!I223, SVM!I223, NB!I223, RF!I223)</f>
        <v>0.4632</v>
      </c>
      <c r="J143" s="7">
        <f>AVERAGE(CNN!J223, LSTM!J223, SVM!J223, NB!J223, RF!J223)</f>
        <v>0.2742</v>
      </c>
      <c r="K143" s="7">
        <f>AVERAGE(CNN!K223, LSTM!K223, SVM!K223, NB!K223, RF!K223)</f>
        <v>0.3742</v>
      </c>
      <c r="L143" s="7">
        <f>AVERAGE(CNN!L223, LSTM!L223, SVM!L223, NB!L223, RF!L223)</f>
        <v>0.259</v>
      </c>
      <c r="M143" s="7">
        <f>AVERAGE(CNN!M223, LSTM!M223, SVM!M223, NB!M223, RF!M223)</f>
        <v>0.459</v>
      </c>
      <c r="P143" s="6" t="s">
        <v>4</v>
      </c>
      <c r="Q143" s="7">
        <f t="shared" ref="Q143:AA143" si="127">C143-$C$143</f>
        <v>0</v>
      </c>
      <c r="R143" s="7">
        <f t="shared" si="127"/>
        <v>0.013</v>
      </c>
      <c r="S143" s="7">
        <f t="shared" si="127"/>
        <v>0.0228</v>
      </c>
      <c r="T143" s="7">
        <f t="shared" si="127"/>
        <v>-0.0156</v>
      </c>
      <c r="U143" s="7">
        <f t="shared" si="127"/>
        <v>0.0844</v>
      </c>
      <c r="V143" s="7">
        <f t="shared" si="127"/>
        <v>-0.0404</v>
      </c>
      <c r="W143" s="7">
        <f t="shared" si="127"/>
        <v>0.1596</v>
      </c>
      <c r="X143" s="7">
        <f t="shared" si="127"/>
        <v>-0.0294</v>
      </c>
      <c r="Y143" s="7">
        <f t="shared" si="127"/>
        <v>0.0706</v>
      </c>
      <c r="Z143" s="7">
        <f t="shared" si="127"/>
        <v>-0.0446</v>
      </c>
      <c r="AA143" s="7">
        <f t="shared" si="127"/>
        <v>0.1554</v>
      </c>
    </row>
    <row r="144">
      <c r="B144" s="6" t="s">
        <v>5</v>
      </c>
      <c r="C144" s="7">
        <f>AVERAGE(CNN!C224, LSTM!C224, SVM!C224, NB!C224, RF!C224)</f>
        <v>0.2606</v>
      </c>
      <c r="D144" s="7">
        <f>AVERAGE(CNN!D224, LSTM!D224, SVM!D224, NB!D224, RF!D224)</f>
        <v>0.2722</v>
      </c>
      <c r="E144" s="7">
        <f>AVERAGE(CNN!E224, LSTM!E224, SVM!E224, NB!E224, RF!E224)</f>
        <v>0.2804</v>
      </c>
      <c r="F144" s="7">
        <f>AVERAGE(CNN!F224, LSTM!F224, SVM!F224, NB!F224, RF!F224)</f>
        <v>0.2464</v>
      </c>
      <c r="G144" s="7">
        <f>AVERAGE(CNN!G224, LSTM!G224, SVM!G224, NB!G224, RF!G224)</f>
        <v>0.3464</v>
      </c>
      <c r="H144" s="7">
        <f>AVERAGE(CNN!H224, LSTM!H224, SVM!H224, NB!H224, RF!H224)</f>
        <v>0.2222</v>
      </c>
      <c r="I144" s="7">
        <f>AVERAGE(CNN!I224, LSTM!I224, SVM!I224, NB!I224, RF!I224)</f>
        <v>0.4222</v>
      </c>
      <c r="J144" s="7">
        <f>AVERAGE(CNN!J224, LSTM!J224, SVM!J224, NB!J224, RF!J224)</f>
        <v>0.234</v>
      </c>
      <c r="K144" s="7">
        <f>AVERAGE(CNN!K224, LSTM!K224, SVM!K224, NB!K224, RF!K224)</f>
        <v>0.334</v>
      </c>
      <c r="L144" s="7">
        <f>AVERAGE(CNN!L224, LSTM!L224, SVM!L224, NB!L224, RF!L224)</f>
        <v>0.2184</v>
      </c>
      <c r="M144" s="7">
        <f>AVERAGE(CNN!M224, LSTM!M224, SVM!M224, NB!M224, RF!M224)</f>
        <v>0.4184</v>
      </c>
      <c r="P144" s="6" t="s">
        <v>5</v>
      </c>
      <c r="Q144" s="7">
        <f t="shared" ref="Q144:AA144" si="128">C144-$C$143</f>
        <v>-0.043</v>
      </c>
      <c r="R144" s="7">
        <f t="shared" si="128"/>
        <v>-0.0314</v>
      </c>
      <c r="S144" s="7">
        <f t="shared" si="128"/>
        <v>-0.0232</v>
      </c>
      <c r="T144" s="7">
        <f t="shared" si="128"/>
        <v>-0.0572</v>
      </c>
      <c r="U144" s="7">
        <f t="shared" si="128"/>
        <v>0.0428</v>
      </c>
      <c r="V144" s="7">
        <f t="shared" si="128"/>
        <v>-0.0814</v>
      </c>
      <c r="W144" s="7">
        <f t="shared" si="128"/>
        <v>0.1186</v>
      </c>
      <c r="X144" s="7">
        <f t="shared" si="128"/>
        <v>-0.0696</v>
      </c>
      <c r="Y144" s="7">
        <f t="shared" si="128"/>
        <v>0.0304</v>
      </c>
      <c r="Z144" s="7">
        <f t="shared" si="128"/>
        <v>-0.0852</v>
      </c>
      <c r="AA144" s="7">
        <f t="shared" si="128"/>
        <v>0.1148</v>
      </c>
    </row>
    <row r="145">
      <c r="B145" s="6" t="s">
        <v>6</v>
      </c>
      <c r="C145" s="7">
        <f>AVERAGE(CNN!C225, LSTM!C225, SVM!C225, NB!C225, RF!C225)</f>
        <v>0.236</v>
      </c>
      <c r="D145" s="7">
        <f>AVERAGE(CNN!D225, LSTM!D225, SVM!D225, NB!D225, RF!D225)</f>
        <v>0.2422</v>
      </c>
      <c r="E145" s="7">
        <f>AVERAGE(CNN!E225, LSTM!E225, SVM!E225, NB!E225, RF!E225)</f>
        <v>0.2526</v>
      </c>
      <c r="F145" s="7">
        <f>AVERAGE(CNN!F225, LSTM!F225, SVM!F225, NB!F225, RF!F225)</f>
        <v>0.222</v>
      </c>
      <c r="G145" s="7">
        <f>AVERAGE(CNN!G225, LSTM!G225, SVM!G225, NB!G225, RF!G225)</f>
        <v>0.322</v>
      </c>
      <c r="H145" s="7">
        <f>AVERAGE(CNN!H225, LSTM!H225, SVM!H225, NB!H225, RF!H225)</f>
        <v>0.1966</v>
      </c>
      <c r="I145" s="7">
        <f>AVERAGE(CNN!I225, LSTM!I225, SVM!I225, NB!I225, RF!I225)</f>
        <v>0.3966</v>
      </c>
      <c r="J145" s="7">
        <f>AVERAGE(CNN!J225, LSTM!J225, SVM!J225, NB!J225, RF!J225)</f>
        <v>0.2076</v>
      </c>
      <c r="K145" s="7">
        <f>AVERAGE(CNN!K225, LSTM!K225, SVM!K225, NB!K225, RF!K225)</f>
        <v>0.3076</v>
      </c>
      <c r="L145" s="7">
        <f>AVERAGE(CNN!L225, LSTM!L225, SVM!L225, NB!L225, RF!L225)</f>
        <v>0.1942</v>
      </c>
      <c r="M145" s="7">
        <f>AVERAGE(CNN!M225, LSTM!M225, SVM!M225, NB!M225, RF!M225)</f>
        <v>0.3942</v>
      </c>
      <c r="P145" s="6" t="s">
        <v>6</v>
      </c>
      <c r="Q145" s="7">
        <f t="shared" ref="Q145:AA145" si="129">C145-$C$143</f>
        <v>-0.0676</v>
      </c>
      <c r="R145" s="7">
        <f t="shared" si="129"/>
        <v>-0.0614</v>
      </c>
      <c r="S145" s="7">
        <f t="shared" si="129"/>
        <v>-0.051</v>
      </c>
      <c r="T145" s="7">
        <f t="shared" si="129"/>
        <v>-0.0816</v>
      </c>
      <c r="U145" s="7">
        <f t="shared" si="129"/>
        <v>0.0184</v>
      </c>
      <c r="V145" s="7">
        <f t="shared" si="129"/>
        <v>-0.107</v>
      </c>
      <c r="W145" s="7">
        <f t="shared" si="129"/>
        <v>0.093</v>
      </c>
      <c r="X145" s="7">
        <f t="shared" si="129"/>
        <v>-0.096</v>
      </c>
      <c r="Y145" s="7">
        <f t="shared" si="129"/>
        <v>0.004</v>
      </c>
      <c r="Z145" s="7">
        <f t="shared" si="129"/>
        <v>-0.1094</v>
      </c>
      <c r="AA145" s="7">
        <f t="shared" si="129"/>
        <v>0.0906</v>
      </c>
    </row>
    <row r="146">
      <c r="B146" s="6" t="s">
        <v>7</v>
      </c>
      <c r="C146" s="7">
        <f>AVERAGE(CNN!C226, LSTM!C226, SVM!C226, NB!C226, RF!C226)</f>
        <v>0.3144</v>
      </c>
      <c r="D146" s="7">
        <f>AVERAGE(CNN!D226, LSTM!D226, SVM!D226, NB!D226, RF!D226)</f>
        <v>0.3306</v>
      </c>
      <c r="E146" s="7">
        <f>AVERAGE(CNN!E226, LSTM!E226, SVM!E226, NB!E226, RF!E226)</f>
        <v>0.3368</v>
      </c>
      <c r="F146" s="7">
        <f>AVERAGE(CNN!F226, LSTM!F226, SVM!F226, NB!F226, RF!F226)</f>
        <v>0.2888</v>
      </c>
      <c r="G146" s="7">
        <f>AVERAGE(CNN!G226, LSTM!G226, SVM!G226, NB!G226, RF!G226)</f>
        <v>0.3888</v>
      </c>
      <c r="H146" s="7">
        <f>AVERAGE(CNN!H226, LSTM!H226, SVM!H226, NB!H226, RF!H226)</f>
        <v>0.2568</v>
      </c>
      <c r="I146" s="7">
        <f>AVERAGE(CNN!I226, LSTM!I226, SVM!I226, NB!I226, RF!I226)</f>
        <v>0.4568</v>
      </c>
      <c r="J146" s="7">
        <f>AVERAGE(CNN!J226, LSTM!J226, SVM!J226, NB!J226, RF!J226)</f>
        <v>0.2806</v>
      </c>
      <c r="K146" s="7">
        <f>AVERAGE(CNN!K226, LSTM!K226, SVM!K226, NB!K226, RF!K226)</f>
        <v>0.3806</v>
      </c>
      <c r="L146" s="7">
        <f>AVERAGE(CNN!L226, LSTM!L226, SVM!L226, NB!L226, RF!L226)</f>
        <v>0.2554</v>
      </c>
      <c r="M146" s="7">
        <f>AVERAGE(CNN!M226, LSTM!M226, SVM!M226, NB!M226, RF!M226)</f>
        <v>0.4554</v>
      </c>
      <c r="P146" s="6" t="s">
        <v>7</v>
      </c>
      <c r="Q146" s="7">
        <f t="shared" ref="Q146:AA146" si="130">C146-$C$143</f>
        <v>0.0108</v>
      </c>
      <c r="R146" s="7">
        <f t="shared" si="130"/>
        <v>0.027</v>
      </c>
      <c r="S146" s="7">
        <f t="shared" si="130"/>
        <v>0.0332</v>
      </c>
      <c r="T146" s="7">
        <f t="shared" si="130"/>
        <v>-0.0148</v>
      </c>
      <c r="U146" s="7">
        <f t="shared" si="130"/>
        <v>0.0852</v>
      </c>
      <c r="V146" s="7">
        <f t="shared" si="130"/>
        <v>-0.0468</v>
      </c>
      <c r="W146" s="7">
        <f t="shared" si="130"/>
        <v>0.1532</v>
      </c>
      <c r="X146" s="7">
        <f t="shared" si="130"/>
        <v>-0.023</v>
      </c>
      <c r="Y146" s="7">
        <f t="shared" si="130"/>
        <v>0.077</v>
      </c>
      <c r="Z146" s="7">
        <f t="shared" si="130"/>
        <v>-0.0482</v>
      </c>
      <c r="AA146" s="7">
        <f t="shared" si="130"/>
        <v>0.1518</v>
      </c>
    </row>
    <row r="147">
      <c r="B147" s="6" t="s">
        <v>8</v>
      </c>
      <c r="C147" s="7">
        <f>AVERAGE(CNN!C227, LSTM!C227, SVM!C227, NB!C227, RF!C227)</f>
        <v>0.3236</v>
      </c>
      <c r="D147" s="7">
        <f>AVERAGE(CNN!D227, LSTM!D227, SVM!D227, NB!D227, RF!D227)</f>
        <v>0.337</v>
      </c>
      <c r="E147" s="7">
        <f>AVERAGE(CNN!E227, LSTM!E227, SVM!E227, NB!E227, RF!E227)</f>
        <v>0.344</v>
      </c>
      <c r="F147" s="7">
        <f>AVERAGE(CNN!F227, LSTM!F227, SVM!F227, NB!F227, RF!F227)</f>
        <v>0.2842</v>
      </c>
      <c r="G147" s="7">
        <f>AVERAGE(CNN!G227, LSTM!G227, SVM!G227, NB!G227, RF!G227)</f>
        <v>0.3842</v>
      </c>
      <c r="H147" s="7">
        <f>AVERAGE(CNN!H227, LSTM!H227, SVM!H227, NB!H227, RF!H227)</f>
        <v>0.2412</v>
      </c>
      <c r="I147" s="7">
        <f>AVERAGE(CNN!I227, LSTM!I227, SVM!I227, NB!I227, RF!I227)</f>
        <v>0.4412</v>
      </c>
      <c r="J147" s="7">
        <f>AVERAGE(CNN!J227, LSTM!J227, SVM!J227, NB!J227, RF!J227)</f>
        <v>0.28</v>
      </c>
      <c r="K147" s="7">
        <f>AVERAGE(CNN!K227, LSTM!K227, SVM!K227, NB!K227, RF!K227)</f>
        <v>0.38</v>
      </c>
      <c r="L147" s="7">
        <f>AVERAGE(CNN!L227, LSTM!L227, SVM!L227, NB!L227, RF!L227)</f>
        <v>0.2418</v>
      </c>
      <c r="M147" s="7">
        <f>AVERAGE(CNN!M227, LSTM!M227, SVM!M227, NB!M227, RF!M227)</f>
        <v>0.4418</v>
      </c>
      <c r="P147" s="6" t="s">
        <v>8</v>
      </c>
      <c r="Q147" s="7">
        <f t="shared" ref="Q147:AA147" si="131">C147-$C$143</f>
        <v>0.02</v>
      </c>
      <c r="R147" s="7">
        <f t="shared" si="131"/>
        <v>0.0334</v>
      </c>
      <c r="S147" s="7">
        <f t="shared" si="131"/>
        <v>0.0404</v>
      </c>
      <c r="T147" s="7">
        <f t="shared" si="131"/>
        <v>-0.0194</v>
      </c>
      <c r="U147" s="7">
        <f t="shared" si="131"/>
        <v>0.0806</v>
      </c>
      <c r="V147" s="7">
        <f t="shared" si="131"/>
        <v>-0.0624</v>
      </c>
      <c r="W147" s="7">
        <f t="shared" si="131"/>
        <v>0.1376</v>
      </c>
      <c r="X147" s="7">
        <f t="shared" si="131"/>
        <v>-0.0236</v>
      </c>
      <c r="Y147" s="7">
        <f t="shared" si="131"/>
        <v>0.0764</v>
      </c>
      <c r="Z147" s="7">
        <f t="shared" si="131"/>
        <v>-0.0618</v>
      </c>
      <c r="AA147" s="7">
        <f t="shared" si="131"/>
        <v>0.1382</v>
      </c>
    </row>
    <row r="148">
      <c r="B148" s="6" t="s">
        <v>9</v>
      </c>
      <c r="C148" s="7">
        <f>AVERAGE(CNN!C228, LSTM!C228, SVM!C228, NB!C228, RF!C228)</f>
        <v>0.3152</v>
      </c>
      <c r="D148" s="7">
        <f>AVERAGE(CNN!D228, LSTM!D228, SVM!D228, NB!D228, RF!D228)</f>
        <v>0.329</v>
      </c>
      <c r="E148" s="7">
        <f>AVERAGE(CNN!E228, LSTM!E228, SVM!E228, NB!E228, RF!E228)</f>
        <v>0.3366</v>
      </c>
      <c r="F148" s="7">
        <f>AVERAGE(CNN!F228, LSTM!F228, SVM!F228, NB!F228, RF!F228)</f>
        <v>0.2882</v>
      </c>
      <c r="G148" s="7">
        <f>AVERAGE(CNN!G228, LSTM!G228, SVM!G228, NB!G228, RF!G228)</f>
        <v>0.3882</v>
      </c>
      <c r="H148" s="7">
        <f>AVERAGE(CNN!H228, LSTM!H228, SVM!H228, NB!H228, RF!H228)</f>
        <v>0.2588</v>
      </c>
      <c r="I148" s="7">
        <f>AVERAGE(CNN!I228, LSTM!I228, SVM!I228, NB!I228, RF!I228)</f>
        <v>0.4588</v>
      </c>
      <c r="J148" s="7">
        <f>AVERAGE(CNN!J228, LSTM!J228, SVM!J228, NB!J228, RF!J228)</f>
        <v>0.2822</v>
      </c>
      <c r="K148" s="7">
        <f>AVERAGE(CNN!K228, LSTM!K228, SVM!K228, NB!K228, RF!K228)</f>
        <v>0.3822</v>
      </c>
      <c r="L148" s="7">
        <f>AVERAGE(CNN!L228, LSTM!L228, SVM!L228, NB!L228, RF!L228)</f>
        <v>0.256</v>
      </c>
      <c r="M148" s="7">
        <f>AVERAGE(CNN!M228, LSTM!M228, SVM!M228, NB!M228, RF!M228)</f>
        <v>0.456</v>
      </c>
      <c r="P148" s="6" t="s">
        <v>9</v>
      </c>
      <c r="Q148" s="7">
        <f t="shared" ref="Q148:AA148" si="132">C148-$C$143</f>
        <v>0.0116</v>
      </c>
      <c r="R148" s="7">
        <f t="shared" si="132"/>
        <v>0.0254</v>
      </c>
      <c r="S148" s="7">
        <f t="shared" si="132"/>
        <v>0.033</v>
      </c>
      <c r="T148" s="7">
        <f t="shared" si="132"/>
        <v>-0.0154</v>
      </c>
      <c r="U148" s="7">
        <f t="shared" si="132"/>
        <v>0.0846</v>
      </c>
      <c r="V148" s="7">
        <f t="shared" si="132"/>
        <v>-0.0448</v>
      </c>
      <c r="W148" s="7">
        <f t="shared" si="132"/>
        <v>0.1552</v>
      </c>
      <c r="X148" s="7">
        <f t="shared" si="132"/>
        <v>-0.0214</v>
      </c>
      <c r="Y148" s="7">
        <f t="shared" si="132"/>
        <v>0.0786</v>
      </c>
      <c r="Z148" s="7">
        <f t="shared" si="132"/>
        <v>-0.0476</v>
      </c>
      <c r="AA148" s="7">
        <f t="shared" si="132"/>
        <v>0.1524</v>
      </c>
    </row>
    <row r="149">
      <c r="B149" s="6" t="s">
        <v>10</v>
      </c>
      <c r="C149" s="7">
        <f>AVERAGE(CNN!C229, LSTM!C229, SVM!C229, NB!C229, RF!C229)</f>
        <v>0.3474</v>
      </c>
      <c r="D149" s="7">
        <f>AVERAGE(CNN!D229, LSTM!D229, SVM!D229, NB!D229, RF!D229)</f>
        <v>0.3632</v>
      </c>
      <c r="E149" s="7">
        <f>AVERAGE(CNN!E229, LSTM!E229, SVM!E229, NB!E229, RF!E229)</f>
        <v>0.3686</v>
      </c>
      <c r="F149" s="7">
        <f>AVERAGE(CNN!F229, LSTM!F229, SVM!F229, NB!F229, RF!F229)</f>
        <v>0.3094</v>
      </c>
      <c r="G149" s="7">
        <f>AVERAGE(CNN!G229, LSTM!G229, SVM!G229, NB!G229, RF!G229)</f>
        <v>0.4094</v>
      </c>
      <c r="H149" s="7">
        <f>AVERAGE(CNN!H229, LSTM!H229, SVM!H229, NB!H229, RF!H229)</f>
        <v>0.2696</v>
      </c>
      <c r="I149" s="7">
        <f>AVERAGE(CNN!I229, LSTM!I229, SVM!I229, NB!I229, RF!I229)</f>
        <v>0.4696</v>
      </c>
      <c r="J149" s="7">
        <f>AVERAGE(CNN!J229, LSTM!J229, SVM!J229, NB!J229, RF!J229)</f>
        <v>0.3056</v>
      </c>
      <c r="K149" s="7">
        <f>AVERAGE(CNN!K229, LSTM!K229, SVM!K229, NB!K229, RF!K229)</f>
        <v>0.4056</v>
      </c>
      <c r="L149" s="7">
        <f>AVERAGE(CNN!L229, LSTM!L229, SVM!L229, NB!L229, RF!L229)</f>
        <v>0.269</v>
      </c>
      <c r="M149" s="7">
        <f>AVERAGE(CNN!M229, LSTM!M229, SVM!M229, NB!M229, RF!M229)</f>
        <v>0.469</v>
      </c>
      <c r="P149" s="6" t="s">
        <v>10</v>
      </c>
      <c r="Q149" s="7">
        <f t="shared" ref="Q149:AA149" si="133">C149-$C$143</f>
        <v>0.0438</v>
      </c>
      <c r="R149" s="7">
        <f t="shared" si="133"/>
        <v>0.0596</v>
      </c>
      <c r="S149" s="7">
        <f t="shared" si="133"/>
        <v>0.065</v>
      </c>
      <c r="T149" s="7">
        <f t="shared" si="133"/>
        <v>0.0058</v>
      </c>
      <c r="U149" s="7">
        <f t="shared" si="133"/>
        <v>0.1058</v>
      </c>
      <c r="V149" s="7">
        <f t="shared" si="133"/>
        <v>-0.034</v>
      </c>
      <c r="W149" s="7">
        <f t="shared" si="133"/>
        <v>0.166</v>
      </c>
      <c r="X149" s="7">
        <f t="shared" si="133"/>
        <v>0.002</v>
      </c>
      <c r="Y149" s="7">
        <f t="shared" si="133"/>
        <v>0.102</v>
      </c>
      <c r="Z149" s="7">
        <f t="shared" si="133"/>
        <v>-0.0346</v>
      </c>
      <c r="AA149" s="7">
        <f t="shared" si="133"/>
        <v>0.1654</v>
      </c>
    </row>
    <row r="151">
      <c r="A151" s="1" t="s">
        <v>307</v>
      </c>
      <c r="B151" s="2" t="s">
        <v>1</v>
      </c>
      <c r="O151" s="1" t="s">
        <v>308</v>
      </c>
      <c r="P151" s="2" t="s">
        <v>1</v>
      </c>
    </row>
    <row r="152">
      <c r="A152" s="4" t="s">
        <v>3</v>
      </c>
      <c r="B152" s="5"/>
      <c r="C152" s="6" t="s">
        <v>4</v>
      </c>
      <c r="D152" s="6" t="s">
        <v>5</v>
      </c>
      <c r="E152" s="6" t="s">
        <v>6</v>
      </c>
      <c r="F152" s="6" t="s">
        <v>84</v>
      </c>
      <c r="G152" s="6" t="s">
        <v>85</v>
      </c>
      <c r="H152" s="6" t="s">
        <v>86</v>
      </c>
      <c r="I152" s="6" t="s">
        <v>87</v>
      </c>
      <c r="J152" s="6" t="s">
        <v>88</v>
      </c>
      <c r="K152" s="6" t="s">
        <v>89</v>
      </c>
      <c r="L152" s="6" t="s">
        <v>90</v>
      </c>
      <c r="M152" s="6" t="s">
        <v>91</v>
      </c>
      <c r="O152" s="4" t="s">
        <v>3</v>
      </c>
      <c r="P152" s="5"/>
      <c r="Q152" s="6" t="s">
        <v>4</v>
      </c>
      <c r="R152" s="6" t="s">
        <v>5</v>
      </c>
      <c r="S152" s="6" t="s">
        <v>6</v>
      </c>
      <c r="T152" s="6" t="s">
        <v>84</v>
      </c>
      <c r="U152" s="6" t="s">
        <v>85</v>
      </c>
      <c r="V152" s="6" t="s">
        <v>86</v>
      </c>
      <c r="W152" s="6" t="s">
        <v>87</v>
      </c>
      <c r="X152" s="6" t="s">
        <v>88</v>
      </c>
      <c r="Y152" s="6" t="s">
        <v>89</v>
      </c>
      <c r="Z152" s="6" t="s">
        <v>90</v>
      </c>
      <c r="AA152" s="6" t="s">
        <v>91</v>
      </c>
    </row>
    <row r="153">
      <c r="B153" s="6" t="s">
        <v>4</v>
      </c>
      <c r="C153" s="7">
        <f>AVERAGE(CNN!C249, LSTM!C249, SVM!C249, NB!C249, RF!C249)</f>
        <v>0.269</v>
      </c>
      <c r="D153" s="7">
        <f>AVERAGE(CNN!D249, LSTM!D249, SVM!D249, NB!D249, RF!D249)</f>
        <v>0.2846</v>
      </c>
      <c r="E153" s="7">
        <f>AVERAGE(CNN!E249, LSTM!E249, SVM!E249, NB!E249, RF!E249)</f>
        <v>0.2952</v>
      </c>
      <c r="F153" s="7">
        <f>AVERAGE(CNN!F249, LSTM!F249, SVM!F249, NB!F249, RF!F249)</f>
        <v>0.2538</v>
      </c>
      <c r="G153" s="7">
        <f>AVERAGE(CNN!G249, LSTM!G249, SVM!G249, NB!G249, RF!G249)</f>
        <v>0.3538</v>
      </c>
      <c r="H153" s="7">
        <f>AVERAGE(CNN!H249, LSTM!H249, SVM!H249, NB!H249, RF!H249)</f>
        <v>0.2376</v>
      </c>
      <c r="I153" s="7">
        <f>AVERAGE(CNN!I249, LSTM!I249, SVM!I249, NB!I249, RF!I249)</f>
        <v>0.4376</v>
      </c>
      <c r="J153" s="7">
        <f>AVERAGE(CNN!J249, LSTM!J249, SVM!J249, NB!J249, RF!J249)</f>
        <v>0.2528</v>
      </c>
      <c r="K153" s="7">
        <f>AVERAGE(CNN!K249, LSTM!K249, SVM!K249, NB!K249, RF!K249)</f>
        <v>0.3528</v>
      </c>
      <c r="L153" s="7">
        <f>AVERAGE(CNN!L249, LSTM!L249, SVM!L249, NB!L249, RF!L249)</f>
        <v>0.236</v>
      </c>
      <c r="M153" s="7">
        <f>AVERAGE(CNN!M249, LSTM!M249, SVM!M249, NB!M249, RF!M249)</f>
        <v>0.436</v>
      </c>
      <c r="P153" s="6" t="s">
        <v>4</v>
      </c>
      <c r="Q153" s="7">
        <f t="shared" ref="Q153:AA153" si="134">C153-$C$153</f>
        <v>0</v>
      </c>
      <c r="R153" s="7">
        <f t="shared" si="134"/>
        <v>0.0156</v>
      </c>
      <c r="S153" s="7">
        <f t="shared" si="134"/>
        <v>0.0262</v>
      </c>
      <c r="T153" s="7">
        <f t="shared" si="134"/>
        <v>-0.0152</v>
      </c>
      <c r="U153" s="7">
        <f t="shared" si="134"/>
        <v>0.0848</v>
      </c>
      <c r="V153" s="7">
        <f t="shared" si="134"/>
        <v>-0.0314</v>
      </c>
      <c r="W153" s="7">
        <f t="shared" si="134"/>
        <v>0.1686</v>
      </c>
      <c r="X153" s="7">
        <f t="shared" si="134"/>
        <v>-0.0162</v>
      </c>
      <c r="Y153" s="7">
        <f t="shared" si="134"/>
        <v>0.0838</v>
      </c>
      <c r="Z153" s="7">
        <f t="shared" si="134"/>
        <v>-0.033</v>
      </c>
      <c r="AA153" s="7">
        <f t="shared" si="134"/>
        <v>0.167</v>
      </c>
    </row>
    <row r="154">
      <c r="B154" s="6" t="s">
        <v>5</v>
      </c>
      <c r="C154" s="7">
        <f>AVERAGE(CNN!C250, LSTM!C250, SVM!C250, NB!C250, RF!C250)</f>
        <v>0.2752</v>
      </c>
      <c r="D154" s="7">
        <f>AVERAGE(CNN!D250, LSTM!D250, SVM!D250, NB!D250, RF!D250)</f>
        <v>0.2908</v>
      </c>
      <c r="E154" s="7">
        <f>AVERAGE(CNN!E250, LSTM!E250, SVM!E250, NB!E250, RF!E250)</f>
        <v>0.3006</v>
      </c>
      <c r="F154" s="7">
        <f>AVERAGE(CNN!F250, LSTM!F250, SVM!F250, NB!F250, RF!F250)</f>
        <v>0.2622</v>
      </c>
      <c r="G154" s="7">
        <f>AVERAGE(CNN!G250, LSTM!G250, SVM!G250, NB!G250, RF!G250)</f>
        <v>0.3622</v>
      </c>
      <c r="H154" s="7">
        <f>AVERAGE(CNN!H250, LSTM!H250, SVM!H250, NB!H250, RF!H250)</f>
        <v>0.248</v>
      </c>
      <c r="I154" s="7">
        <f>AVERAGE(CNN!I250, LSTM!I250, SVM!I250, NB!I250, RF!I250)</f>
        <v>0.448</v>
      </c>
      <c r="J154" s="7">
        <f>AVERAGE(CNN!J250, LSTM!J250, SVM!J250, NB!J250, RF!J250)</f>
        <v>0.2606</v>
      </c>
      <c r="K154" s="7">
        <f>AVERAGE(CNN!K250, LSTM!K250, SVM!K250, NB!K250, RF!K250)</f>
        <v>0.3606</v>
      </c>
      <c r="L154" s="7">
        <f>AVERAGE(CNN!L250, LSTM!L250, SVM!L250, NB!L250, RF!L250)</f>
        <v>0.245</v>
      </c>
      <c r="M154" s="7">
        <f>AVERAGE(CNN!M250, LSTM!M250, SVM!M250, NB!M250, RF!M250)</f>
        <v>0.445</v>
      </c>
      <c r="P154" s="6" t="s">
        <v>5</v>
      </c>
      <c r="Q154" s="7">
        <f t="shared" ref="Q154:AA154" si="135">C154-$C$153</f>
        <v>0.0062</v>
      </c>
      <c r="R154" s="7">
        <f t="shared" si="135"/>
        <v>0.0218</v>
      </c>
      <c r="S154" s="7">
        <f t="shared" si="135"/>
        <v>0.0316</v>
      </c>
      <c r="T154" s="7">
        <f t="shared" si="135"/>
        <v>-0.0068</v>
      </c>
      <c r="U154" s="7">
        <f t="shared" si="135"/>
        <v>0.0932</v>
      </c>
      <c r="V154" s="7">
        <f t="shared" si="135"/>
        <v>-0.021</v>
      </c>
      <c r="W154" s="7">
        <f t="shared" si="135"/>
        <v>0.179</v>
      </c>
      <c r="X154" s="7">
        <f t="shared" si="135"/>
        <v>-0.0084</v>
      </c>
      <c r="Y154" s="7">
        <f t="shared" si="135"/>
        <v>0.0916</v>
      </c>
      <c r="Z154" s="7">
        <f t="shared" si="135"/>
        <v>-0.024</v>
      </c>
      <c r="AA154" s="7">
        <f t="shared" si="135"/>
        <v>0.176</v>
      </c>
    </row>
    <row r="155">
      <c r="B155" s="6" t="s">
        <v>6</v>
      </c>
      <c r="C155" s="7">
        <f>AVERAGE(CNN!C251, LSTM!C251, SVM!C251, NB!C251, RF!C251)</f>
        <v>0.284</v>
      </c>
      <c r="D155" s="7">
        <f>AVERAGE(CNN!D251, LSTM!D251, SVM!D251, NB!D251, RF!D251)</f>
        <v>0.2988</v>
      </c>
      <c r="E155" s="7">
        <f>AVERAGE(CNN!E251, LSTM!E251, SVM!E251, NB!E251, RF!E251)</f>
        <v>0.311</v>
      </c>
      <c r="F155" s="7">
        <f>AVERAGE(CNN!F251, LSTM!F251, SVM!F251, NB!F251, RF!F251)</f>
        <v>0.2722</v>
      </c>
      <c r="G155" s="7">
        <f>AVERAGE(CNN!G251, LSTM!G251, SVM!G251, NB!G251, RF!G251)</f>
        <v>0.3722</v>
      </c>
      <c r="H155" s="7">
        <f>AVERAGE(CNN!H251, LSTM!H251, SVM!H251, NB!H251, RF!H251)</f>
        <v>0.2586</v>
      </c>
      <c r="I155" s="7">
        <f>AVERAGE(CNN!I251, LSTM!I251, SVM!I251, NB!I251, RF!I251)</f>
        <v>0.4586</v>
      </c>
      <c r="J155" s="7">
        <f>AVERAGE(CNN!J251, LSTM!J251, SVM!J251, NB!J251, RF!J251)</f>
        <v>0.27</v>
      </c>
      <c r="K155" s="7">
        <f>AVERAGE(CNN!K251, LSTM!K251, SVM!K251, NB!K251, RF!K251)</f>
        <v>0.37</v>
      </c>
      <c r="L155" s="7">
        <f>AVERAGE(CNN!L251, LSTM!L251, SVM!L251, NB!L251, RF!L251)</f>
        <v>0.2558</v>
      </c>
      <c r="M155" s="7">
        <f>AVERAGE(CNN!M251, LSTM!M251, SVM!M251, NB!M251, RF!M251)</f>
        <v>0.4558</v>
      </c>
      <c r="P155" s="6" t="s">
        <v>6</v>
      </c>
      <c r="Q155" s="7">
        <f t="shared" ref="Q155:AA155" si="136">C155-$C$153</f>
        <v>0.015</v>
      </c>
      <c r="R155" s="7">
        <f t="shared" si="136"/>
        <v>0.0298</v>
      </c>
      <c r="S155" s="7">
        <f t="shared" si="136"/>
        <v>0.042</v>
      </c>
      <c r="T155" s="7">
        <f t="shared" si="136"/>
        <v>0.0032</v>
      </c>
      <c r="U155" s="7">
        <f t="shared" si="136"/>
        <v>0.1032</v>
      </c>
      <c r="V155" s="7">
        <f t="shared" si="136"/>
        <v>-0.0104</v>
      </c>
      <c r="W155" s="7">
        <f t="shared" si="136"/>
        <v>0.1896</v>
      </c>
      <c r="X155" s="7">
        <f t="shared" si="136"/>
        <v>0.001</v>
      </c>
      <c r="Y155" s="7">
        <f t="shared" si="136"/>
        <v>0.101</v>
      </c>
      <c r="Z155" s="7">
        <f t="shared" si="136"/>
        <v>-0.0132</v>
      </c>
      <c r="AA155" s="7">
        <f t="shared" si="136"/>
        <v>0.1868</v>
      </c>
    </row>
    <row r="156">
      <c r="B156" s="6" t="s">
        <v>7</v>
      </c>
      <c r="C156" s="7">
        <f>AVERAGE(CNN!C252, LSTM!C252, SVM!C252, NB!C252, RF!C252)</f>
        <v>0.2856</v>
      </c>
      <c r="D156" s="7">
        <f>AVERAGE(CNN!D252, LSTM!D252, SVM!D252, NB!D252, RF!D252)</f>
        <v>0.302</v>
      </c>
      <c r="E156" s="7">
        <f>AVERAGE(CNN!E252, LSTM!E252, SVM!E252, NB!E252, RF!E252)</f>
        <v>0.3122</v>
      </c>
      <c r="F156" s="7">
        <f>AVERAGE(CNN!F252, LSTM!F252, SVM!F252, NB!F252, RF!F252)</f>
        <v>0.2668</v>
      </c>
      <c r="G156" s="7">
        <f>AVERAGE(CNN!G252, LSTM!G252, SVM!G252, NB!G252, RF!G252)</f>
        <v>0.3668</v>
      </c>
      <c r="H156" s="7">
        <f>AVERAGE(CNN!H252, LSTM!H252, SVM!H252, NB!H252, RF!H252)</f>
        <v>0.2466</v>
      </c>
      <c r="I156" s="7">
        <f>AVERAGE(CNN!I252, LSTM!I252, SVM!I252, NB!I252, RF!I252)</f>
        <v>0.4466</v>
      </c>
      <c r="J156" s="7">
        <f>AVERAGE(CNN!J252, LSTM!J252, SVM!J252, NB!J252, RF!J252)</f>
        <v>0.2648</v>
      </c>
      <c r="K156" s="7">
        <f>AVERAGE(CNN!K252, LSTM!K252, SVM!K252, NB!K252, RF!K252)</f>
        <v>0.3648</v>
      </c>
      <c r="L156" s="7">
        <f>AVERAGE(CNN!L252, LSTM!L252, SVM!L252, NB!L252, RF!L252)</f>
        <v>0.2442</v>
      </c>
      <c r="M156" s="7">
        <f>AVERAGE(CNN!M252, LSTM!M252, SVM!M252, NB!M252, RF!M252)</f>
        <v>0.4442</v>
      </c>
      <c r="P156" s="6" t="s">
        <v>7</v>
      </c>
      <c r="Q156" s="7">
        <f t="shared" ref="Q156:AA156" si="137">C156-$C$153</f>
        <v>0.0166</v>
      </c>
      <c r="R156" s="7">
        <f t="shared" si="137"/>
        <v>0.033</v>
      </c>
      <c r="S156" s="7">
        <f t="shared" si="137"/>
        <v>0.0432</v>
      </c>
      <c r="T156" s="7">
        <f t="shared" si="137"/>
        <v>-0.0022</v>
      </c>
      <c r="U156" s="7">
        <f t="shared" si="137"/>
        <v>0.0978</v>
      </c>
      <c r="V156" s="7">
        <f t="shared" si="137"/>
        <v>-0.0224</v>
      </c>
      <c r="W156" s="7">
        <f t="shared" si="137"/>
        <v>0.1776</v>
      </c>
      <c r="X156" s="7">
        <f t="shared" si="137"/>
        <v>-0.0042</v>
      </c>
      <c r="Y156" s="7">
        <f t="shared" si="137"/>
        <v>0.0958</v>
      </c>
      <c r="Z156" s="7">
        <f t="shared" si="137"/>
        <v>-0.0248</v>
      </c>
      <c r="AA156" s="7">
        <f t="shared" si="137"/>
        <v>0.1752</v>
      </c>
    </row>
    <row r="157">
      <c r="B157" s="6" t="s">
        <v>8</v>
      </c>
      <c r="C157" s="7">
        <f>AVERAGE(CNN!C253, LSTM!C253, SVM!C253, NB!C253, RF!C253)</f>
        <v>0.3782</v>
      </c>
      <c r="D157" s="7">
        <f>AVERAGE(CNN!D253, LSTM!D253, SVM!D253, NB!D253, RF!D253)</f>
        <v>0.4002</v>
      </c>
      <c r="E157" s="7">
        <f>AVERAGE(CNN!E253, LSTM!E253, SVM!E253, NB!E253, RF!E253)</f>
        <v>0.4162</v>
      </c>
      <c r="F157" s="7">
        <f>AVERAGE(CNN!F253, LSTM!F253, SVM!F253, NB!F253, RF!F253)</f>
        <v>0.3082</v>
      </c>
      <c r="G157" s="7">
        <f>AVERAGE(CNN!G253, LSTM!G253, SVM!G253, NB!G253, RF!G253)</f>
        <v>0.4082</v>
      </c>
      <c r="H157" s="7">
        <f>AVERAGE(CNN!H253, LSTM!H253, SVM!H253, NB!H253, RF!H253)</f>
        <v>0.243</v>
      </c>
      <c r="I157" s="7">
        <f>AVERAGE(CNN!I253, LSTM!I253, SVM!I253, NB!I253, RF!I253)</f>
        <v>0.443</v>
      </c>
      <c r="J157" s="7">
        <f>AVERAGE(CNN!J253, LSTM!J253, SVM!J253, NB!J253, RF!J253)</f>
        <v>0.3104</v>
      </c>
      <c r="K157" s="7">
        <f>AVERAGE(CNN!K253, LSTM!K253, SVM!K253, NB!K253, RF!K253)</f>
        <v>0.4104</v>
      </c>
      <c r="L157" s="7">
        <f>AVERAGE(CNN!L253, LSTM!L253, SVM!L253, NB!L253, RF!L253)</f>
        <v>0.2446</v>
      </c>
      <c r="M157" s="7">
        <f>AVERAGE(CNN!M253, LSTM!M253, SVM!M253, NB!M253, RF!M253)</f>
        <v>0.4446</v>
      </c>
      <c r="P157" s="6" t="s">
        <v>8</v>
      </c>
      <c r="Q157" s="7">
        <f t="shared" ref="Q157:AA157" si="138">C157-$C$153</f>
        <v>0.1092</v>
      </c>
      <c r="R157" s="7">
        <f t="shared" si="138"/>
        <v>0.1312</v>
      </c>
      <c r="S157" s="7">
        <f t="shared" si="138"/>
        <v>0.1472</v>
      </c>
      <c r="T157" s="7">
        <f t="shared" si="138"/>
        <v>0.0392</v>
      </c>
      <c r="U157" s="7">
        <f t="shared" si="138"/>
        <v>0.1392</v>
      </c>
      <c r="V157" s="7">
        <f t="shared" si="138"/>
        <v>-0.026</v>
      </c>
      <c r="W157" s="7">
        <f t="shared" si="138"/>
        <v>0.174</v>
      </c>
      <c r="X157" s="7">
        <f t="shared" si="138"/>
        <v>0.0414</v>
      </c>
      <c r="Y157" s="7">
        <f t="shared" si="138"/>
        <v>0.1414</v>
      </c>
      <c r="Z157" s="7">
        <f t="shared" si="138"/>
        <v>-0.0244</v>
      </c>
      <c r="AA157" s="7">
        <f t="shared" si="138"/>
        <v>0.1756</v>
      </c>
    </row>
    <row r="158">
      <c r="B158" s="6" t="s">
        <v>9</v>
      </c>
      <c r="C158" s="7">
        <f>AVERAGE(CNN!C254, LSTM!C254, SVM!C254, NB!C254, RF!C254)</f>
        <v>0.2972</v>
      </c>
      <c r="D158" s="7">
        <f>AVERAGE(CNN!D254, LSTM!D254, SVM!D254, NB!D254, RF!D254)</f>
        <v>0.315</v>
      </c>
      <c r="E158" s="7">
        <f>AVERAGE(CNN!E254, LSTM!E254, SVM!E254, NB!E254, RF!E254)</f>
        <v>0.3266</v>
      </c>
      <c r="F158" s="7">
        <f>AVERAGE(CNN!F254, LSTM!F254, SVM!F254, NB!F254, RF!F254)</f>
        <v>0.2752</v>
      </c>
      <c r="G158" s="7">
        <f>AVERAGE(CNN!G254, LSTM!G254, SVM!G254, NB!G254, RF!G254)</f>
        <v>0.3752</v>
      </c>
      <c r="H158" s="7">
        <f>AVERAGE(CNN!H254, LSTM!H254, SVM!H254, NB!H254, RF!H254)</f>
        <v>0.2504</v>
      </c>
      <c r="I158" s="7">
        <f>AVERAGE(CNN!I254, LSTM!I254, SVM!I254, NB!I254, RF!I254)</f>
        <v>0.4504</v>
      </c>
      <c r="J158" s="7">
        <f>AVERAGE(CNN!J254, LSTM!J254, SVM!J254, NB!J254, RF!J254)</f>
        <v>0.2726</v>
      </c>
      <c r="K158" s="7">
        <f>AVERAGE(CNN!K254, LSTM!K254, SVM!K254, NB!K254, RF!K254)</f>
        <v>0.3726</v>
      </c>
      <c r="L158" s="7">
        <f>AVERAGE(CNN!L254, LSTM!L254, SVM!L254, NB!L254, RF!L254)</f>
        <v>0.2484</v>
      </c>
      <c r="M158" s="7">
        <f>AVERAGE(CNN!M254, LSTM!M254, SVM!M254, NB!M254, RF!M254)</f>
        <v>0.4484</v>
      </c>
      <c r="P158" s="6" t="s">
        <v>9</v>
      </c>
      <c r="Q158" s="7">
        <f t="shared" ref="Q158:AA158" si="139">C158-$C$153</f>
        <v>0.0282</v>
      </c>
      <c r="R158" s="7">
        <f t="shared" si="139"/>
        <v>0.046</v>
      </c>
      <c r="S158" s="7">
        <f t="shared" si="139"/>
        <v>0.0576</v>
      </c>
      <c r="T158" s="7">
        <f t="shared" si="139"/>
        <v>0.0062</v>
      </c>
      <c r="U158" s="7">
        <f t="shared" si="139"/>
        <v>0.1062</v>
      </c>
      <c r="V158" s="7">
        <f t="shared" si="139"/>
        <v>-0.0186</v>
      </c>
      <c r="W158" s="7">
        <f t="shared" si="139"/>
        <v>0.1814</v>
      </c>
      <c r="X158" s="7">
        <f t="shared" si="139"/>
        <v>0.0036</v>
      </c>
      <c r="Y158" s="7">
        <f t="shared" si="139"/>
        <v>0.1036</v>
      </c>
      <c r="Z158" s="7">
        <f t="shared" si="139"/>
        <v>-0.0206</v>
      </c>
      <c r="AA158" s="7">
        <f t="shared" si="139"/>
        <v>0.1794</v>
      </c>
    </row>
    <row r="159">
      <c r="B159" s="6" t="s">
        <v>10</v>
      </c>
      <c r="C159" s="7">
        <f>AVERAGE(CNN!C255, LSTM!C255, SVM!C255, NB!C255, RF!C255)</f>
        <v>0.3366</v>
      </c>
      <c r="D159" s="7">
        <f>AVERAGE(CNN!D255, LSTM!D255, SVM!D255, NB!D255, RF!D255)</f>
        <v>0.3548</v>
      </c>
      <c r="E159" s="7">
        <f>AVERAGE(CNN!E255, LSTM!E255, SVM!E255, NB!E255, RF!E255)</f>
        <v>0.3694</v>
      </c>
      <c r="F159" s="7">
        <f>AVERAGE(CNN!F255, LSTM!F255, SVM!F255, NB!F255, RF!F255)</f>
        <v>0.2896</v>
      </c>
      <c r="G159" s="7">
        <f>AVERAGE(CNN!G255, LSTM!G255, SVM!G255, NB!G255, RF!G255)</f>
        <v>0.3896</v>
      </c>
      <c r="H159" s="7">
        <f>AVERAGE(CNN!H255, LSTM!H255, SVM!H255, NB!H255, RF!H255)</f>
        <v>0.2468</v>
      </c>
      <c r="I159" s="7">
        <f>AVERAGE(CNN!I255, LSTM!I255, SVM!I255, NB!I255, RF!I255)</f>
        <v>0.4468</v>
      </c>
      <c r="J159" s="7">
        <f>AVERAGE(CNN!J255, LSTM!J255, SVM!J255, NB!J255, RF!J255)</f>
        <v>0.29</v>
      </c>
      <c r="K159" s="7">
        <f>AVERAGE(CNN!K255, LSTM!K255, SVM!K255, NB!K255, RF!K255)</f>
        <v>0.39</v>
      </c>
      <c r="L159" s="7">
        <f>AVERAGE(CNN!L255, LSTM!L255, SVM!L255, NB!L255, RF!L255)</f>
        <v>0.2456</v>
      </c>
      <c r="M159" s="7">
        <f>AVERAGE(CNN!M255, LSTM!M255, SVM!M255, NB!M255, RF!M255)</f>
        <v>0.4456</v>
      </c>
      <c r="P159" s="6" t="s">
        <v>10</v>
      </c>
      <c r="Q159" s="7">
        <f t="shared" ref="Q159:AA159" si="140">C159-$C$153</f>
        <v>0.0676</v>
      </c>
      <c r="R159" s="7">
        <f t="shared" si="140"/>
        <v>0.0858</v>
      </c>
      <c r="S159" s="7">
        <f t="shared" si="140"/>
        <v>0.1004</v>
      </c>
      <c r="T159" s="7">
        <f t="shared" si="140"/>
        <v>0.0206</v>
      </c>
      <c r="U159" s="7">
        <f t="shared" si="140"/>
        <v>0.1206</v>
      </c>
      <c r="V159" s="7">
        <f t="shared" si="140"/>
        <v>-0.0222</v>
      </c>
      <c r="W159" s="7">
        <f t="shared" si="140"/>
        <v>0.1778</v>
      </c>
      <c r="X159" s="7">
        <f t="shared" si="140"/>
        <v>0.021</v>
      </c>
      <c r="Y159" s="7">
        <f t="shared" si="140"/>
        <v>0.121</v>
      </c>
      <c r="Z159" s="7">
        <f t="shared" si="140"/>
        <v>-0.0234</v>
      </c>
      <c r="AA159" s="7">
        <f t="shared" si="140"/>
        <v>0.1766</v>
      </c>
    </row>
    <row r="161">
      <c r="A161" s="1" t="s">
        <v>309</v>
      </c>
      <c r="B161" s="2" t="s">
        <v>1</v>
      </c>
      <c r="O161" s="1" t="s">
        <v>310</v>
      </c>
      <c r="P161" s="2" t="s">
        <v>1</v>
      </c>
    </row>
    <row r="162">
      <c r="A162" s="4" t="s">
        <v>3</v>
      </c>
      <c r="B162" s="5"/>
      <c r="C162" s="6" t="s">
        <v>4</v>
      </c>
      <c r="D162" s="6" t="s">
        <v>5</v>
      </c>
      <c r="E162" s="6" t="s">
        <v>6</v>
      </c>
      <c r="F162" s="6" t="s">
        <v>84</v>
      </c>
      <c r="G162" s="6" t="s">
        <v>85</v>
      </c>
      <c r="H162" s="6" t="s">
        <v>86</v>
      </c>
      <c r="I162" s="6" t="s">
        <v>87</v>
      </c>
      <c r="J162" s="6" t="s">
        <v>88</v>
      </c>
      <c r="K162" s="6" t="s">
        <v>89</v>
      </c>
      <c r="L162" s="6" t="s">
        <v>90</v>
      </c>
      <c r="M162" s="6" t="s">
        <v>91</v>
      </c>
      <c r="O162" s="4" t="s">
        <v>3</v>
      </c>
      <c r="P162" s="5"/>
      <c r="Q162" s="6" t="s">
        <v>4</v>
      </c>
      <c r="R162" s="6" t="s">
        <v>5</v>
      </c>
      <c r="S162" s="6" t="s">
        <v>6</v>
      </c>
      <c r="T162" s="6" t="s">
        <v>84</v>
      </c>
      <c r="U162" s="6" t="s">
        <v>85</v>
      </c>
      <c r="V162" s="6" t="s">
        <v>86</v>
      </c>
      <c r="W162" s="6" t="s">
        <v>87</v>
      </c>
      <c r="X162" s="6" t="s">
        <v>88</v>
      </c>
      <c r="Y162" s="6" t="s">
        <v>89</v>
      </c>
      <c r="Z162" s="6" t="s">
        <v>90</v>
      </c>
      <c r="AA162" s="6" t="s">
        <v>91</v>
      </c>
    </row>
    <row r="163">
      <c r="B163" s="6" t="s">
        <v>4</v>
      </c>
      <c r="C163" s="7">
        <f t="shared" ref="C163:M163" si="141">AVERAGE(C103, C113)</f>
        <v>0.2092</v>
      </c>
      <c r="D163" s="7">
        <f t="shared" si="141"/>
        <v>0.2122</v>
      </c>
      <c r="E163" s="7">
        <f t="shared" si="141"/>
        <v>0.2243</v>
      </c>
      <c r="F163" s="7">
        <f t="shared" si="141"/>
        <v>0.1921</v>
      </c>
      <c r="G163" s="7">
        <f t="shared" si="141"/>
        <v>0.292</v>
      </c>
      <c r="H163" s="7">
        <f t="shared" si="141"/>
        <v>0.177</v>
      </c>
      <c r="I163" s="7">
        <f t="shared" si="141"/>
        <v>0.377</v>
      </c>
      <c r="J163" s="7">
        <f t="shared" si="141"/>
        <v>0.1808</v>
      </c>
      <c r="K163" s="7">
        <f t="shared" si="141"/>
        <v>0.2809</v>
      </c>
      <c r="L163" s="7">
        <f t="shared" si="141"/>
        <v>0.161</v>
      </c>
      <c r="M163" s="7">
        <f t="shared" si="141"/>
        <v>0.361</v>
      </c>
      <c r="P163" s="6" t="s">
        <v>4</v>
      </c>
      <c r="Q163" s="7">
        <f t="shared" ref="Q163:AA163" si="142">C163-$C$163</f>
        <v>0</v>
      </c>
      <c r="R163" s="7">
        <f t="shared" si="142"/>
        <v>0.003</v>
      </c>
      <c r="S163" s="7">
        <f t="shared" si="142"/>
        <v>0.0151</v>
      </c>
      <c r="T163" s="7">
        <f t="shared" si="142"/>
        <v>-0.0171</v>
      </c>
      <c r="U163" s="7">
        <f t="shared" si="142"/>
        <v>0.0828</v>
      </c>
      <c r="V163" s="7">
        <f t="shared" si="142"/>
        <v>-0.0322</v>
      </c>
      <c r="W163" s="7">
        <f t="shared" si="142"/>
        <v>0.1678</v>
      </c>
      <c r="X163" s="7">
        <f t="shared" si="142"/>
        <v>-0.0284</v>
      </c>
      <c r="Y163" s="7">
        <f t="shared" si="142"/>
        <v>0.0717</v>
      </c>
      <c r="Z163" s="7">
        <f t="shared" si="142"/>
        <v>-0.0482</v>
      </c>
      <c r="AA163" s="7">
        <f t="shared" si="142"/>
        <v>0.1518</v>
      </c>
    </row>
    <row r="164">
      <c r="B164" s="6" t="s">
        <v>5</v>
      </c>
      <c r="C164" s="7">
        <f t="shared" ref="C164:M164" si="143">AVERAGE(C104, C114)</f>
        <v>0.2234</v>
      </c>
      <c r="D164" s="7">
        <f t="shared" si="143"/>
        <v>0.2268</v>
      </c>
      <c r="E164" s="7">
        <f t="shared" si="143"/>
        <v>0.2371</v>
      </c>
      <c r="F164" s="7">
        <f t="shared" si="143"/>
        <v>0.2046</v>
      </c>
      <c r="G164" s="7">
        <f t="shared" si="143"/>
        <v>0.3046</v>
      </c>
      <c r="H164" s="7">
        <f t="shared" si="143"/>
        <v>0.1877</v>
      </c>
      <c r="I164" s="7">
        <f t="shared" si="143"/>
        <v>0.3877</v>
      </c>
      <c r="J164" s="7">
        <f t="shared" si="143"/>
        <v>0.1955</v>
      </c>
      <c r="K164" s="7">
        <f t="shared" si="143"/>
        <v>0.2956</v>
      </c>
      <c r="L164" s="7">
        <f t="shared" si="143"/>
        <v>0.174</v>
      </c>
      <c r="M164" s="7">
        <f t="shared" si="143"/>
        <v>0.3742</v>
      </c>
      <c r="P164" s="6" t="s">
        <v>5</v>
      </c>
      <c r="Q164" s="7">
        <f t="shared" ref="Q164:AA164" si="144">C164-$C$163</f>
        <v>0.0142</v>
      </c>
      <c r="R164" s="7">
        <f t="shared" si="144"/>
        <v>0.0176</v>
      </c>
      <c r="S164" s="7">
        <f t="shared" si="144"/>
        <v>0.0279</v>
      </c>
      <c r="T164" s="7">
        <f t="shared" si="144"/>
        <v>-0.0046</v>
      </c>
      <c r="U164" s="7">
        <f t="shared" si="144"/>
        <v>0.0954</v>
      </c>
      <c r="V164" s="7">
        <f t="shared" si="144"/>
        <v>-0.0215</v>
      </c>
      <c r="W164" s="7">
        <f t="shared" si="144"/>
        <v>0.1785</v>
      </c>
      <c r="X164" s="7">
        <f t="shared" si="144"/>
        <v>-0.0137</v>
      </c>
      <c r="Y164" s="7">
        <f t="shared" si="144"/>
        <v>0.0864</v>
      </c>
      <c r="Z164" s="7">
        <f t="shared" si="144"/>
        <v>-0.0352</v>
      </c>
      <c r="AA164" s="7">
        <f t="shared" si="144"/>
        <v>0.165</v>
      </c>
    </row>
    <row r="165">
      <c r="B165" s="6" t="s">
        <v>6</v>
      </c>
      <c r="C165" s="7">
        <f t="shared" ref="C165:M165" si="145">AVERAGE(C105, C115)</f>
        <v>0.2277</v>
      </c>
      <c r="D165" s="7">
        <f t="shared" si="145"/>
        <v>0.2308</v>
      </c>
      <c r="E165" s="7">
        <f t="shared" si="145"/>
        <v>0.2412</v>
      </c>
      <c r="F165" s="7">
        <f t="shared" si="145"/>
        <v>0.2108</v>
      </c>
      <c r="G165" s="7">
        <f t="shared" si="145"/>
        <v>0.3109</v>
      </c>
      <c r="H165" s="7">
        <f t="shared" si="145"/>
        <v>0.1955</v>
      </c>
      <c r="I165" s="7">
        <f t="shared" si="145"/>
        <v>0.3956</v>
      </c>
      <c r="J165" s="7">
        <f t="shared" si="145"/>
        <v>0.1996</v>
      </c>
      <c r="K165" s="7">
        <f t="shared" si="145"/>
        <v>0.2996</v>
      </c>
      <c r="L165" s="7">
        <f t="shared" si="145"/>
        <v>0.1789</v>
      </c>
      <c r="M165" s="7">
        <f t="shared" si="145"/>
        <v>0.3788</v>
      </c>
      <c r="P165" s="6" t="s">
        <v>6</v>
      </c>
      <c r="Q165" s="7">
        <f t="shared" ref="Q165:AA165" si="146">C165-$C$163</f>
        <v>0.0185</v>
      </c>
      <c r="R165" s="7">
        <f t="shared" si="146"/>
        <v>0.0216</v>
      </c>
      <c r="S165" s="7">
        <f t="shared" si="146"/>
        <v>0.032</v>
      </c>
      <c r="T165" s="7">
        <f t="shared" si="146"/>
        <v>0.0016</v>
      </c>
      <c r="U165" s="7">
        <f t="shared" si="146"/>
        <v>0.1017</v>
      </c>
      <c r="V165" s="7">
        <f t="shared" si="146"/>
        <v>-0.0137</v>
      </c>
      <c r="W165" s="7">
        <f t="shared" si="146"/>
        <v>0.1864</v>
      </c>
      <c r="X165" s="7">
        <f t="shared" si="146"/>
        <v>-0.0096</v>
      </c>
      <c r="Y165" s="7">
        <f t="shared" si="146"/>
        <v>0.0904</v>
      </c>
      <c r="Z165" s="7">
        <f t="shared" si="146"/>
        <v>-0.0303</v>
      </c>
      <c r="AA165" s="7">
        <f t="shared" si="146"/>
        <v>0.1696</v>
      </c>
    </row>
    <row r="166">
      <c r="B166" s="6" t="s">
        <v>7</v>
      </c>
      <c r="C166" s="7">
        <f t="shared" ref="C166:M166" si="147">AVERAGE(C106, C116)</f>
        <v>0.2225</v>
      </c>
      <c r="D166" s="7">
        <f t="shared" si="147"/>
        <v>0.2256</v>
      </c>
      <c r="E166" s="7">
        <f t="shared" si="147"/>
        <v>0.2375</v>
      </c>
      <c r="F166" s="7">
        <f t="shared" si="147"/>
        <v>0.2031</v>
      </c>
      <c r="G166" s="7">
        <f t="shared" si="147"/>
        <v>0.3033</v>
      </c>
      <c r="H166" s="7">
        <f t="shared" si="147"/>
        <v>0.1865</v>
      </c>
      <c r="I166" s="7">
        <f t="shared" si="147"/>
        <v>0.3865</v>
      </c>
      <c r="J166" s="7">
        <f t="shared" si="147"/>
        <v>0.1931</v>
      </c>
      <c r="K166" s="7">
        <f t="shared" si="147"/>
        <v>0.2931</v>
      </c>
      <c r="L166" s="7">
        <f t="shared" si="147"/>
        <v>0.1716</v>
      </c>
      <c r="M166" s="7">
        <f t="shared" si="147"/>
        <v>0.3716</v>
      </c>
      <c r="P166" s="6" t="s">
        <v>7</v>
      </c>
      <c r="Q166" s="7">
        <f t="shared" ref="Q166:AA166" si="148">C166-$C$163</f>
        <v>0.0133</v>
      </c>
      <c r="R166" s="7">
        <f t="shared" si="148"/>
        <v>0.0164</v>
      </c>
      <c r="S166" s="7">
        <f t="shared" si="148"/>
        <v>0.0283</v>
      </c>
      <c r="T166" s="7">
        <f t="shared" si="148"/>
        <v>-0.0061</v>
      </c>
      <c r="U166" s="7">
        <f t="shared" si="148"/>
        <v>0.0941</v>
      </c>
      <c r="V166" s="7">
        <f t="shared" si="148"/>
        <v>-0.0227</v>
      </c>
      <c r="W166" s="7">
        <f t="shared" si="148"/>
        <v>0.1773</v>
      </c>
      <c r="X166" s="7">
        <f t="shared" si="148"/>
        <v>-0.0161</v>
      </c>
      <c r="Y166" s="7">
        <f t="shared" si="148"/>
        <v>0.0839</v>
      </c>
      <c r="Z166" s="7">
        <f t="shared" si="148"/>
        <v>-0.0376</v>
      </c>
      <c r="AA166" s="7">
        <f t="shared" si="148"/>
        <v>0.1624</v>
      </c>
    </row>
    <row r="167">
      <c r="B167" s="6" t="s">
        <v>8</v>
      </c>
      <c r="C167" s="7">
        <f t="shared" ref="C167:M167" si="149">AVERAGE(C107, C117)</f>
        <v>0.2442</v>
      </c>
      <c r="D167" s="7">
        <f t="shared" si="149"/>
        <v>0.2474</v>
      </c>
      <c r="E167" s="7">
        <f t="shared" si="149"/>
        <v>0.2596</v>
      </c>
      <c r="F167" s="7">
        <f t="shared" si="149"/>
        <v>0.2247</v>
      </c>
      <c r="G167" s="7">
        <f t="shared" si="149"/>
        <v>0.3248</v>
      </c>
      <c r="H167" s="7">
        <f t="shared" si="149"/>
        <v>0.2074</v>
      </c>
      <c r="I167" s="7">
        <f t="shared" si="149"/>
        <v>0.4077</v>
      </c>
      <c r="J167" s="7">
        <f t="shared" si="149"/>
        <v>0.2137</v>
      </c>
      <c r="K167" s="7">
        <f t="shared" si="149"/>
        <v>0.3136</v>
      </c>
      <c r="L167" s="7">
        <f t="shared" si="149"/>
        <v>0.1897</v>
      </c>
      <c r="M167" s="7">
        <f t="shared" si="149"/>
        <v>0.3899</v>
      </c>
      <c r="P167" s="6" t="s">
        <v>8</v>
      </c>
      <c r="Q167" s="7">
        <f t="shared" ref="Q167:AA167" si="150">C167-$C$163</f>
        <v>0.035</v>
      </c>
      <c r="R167" s="7">
        <f t="shared" si="150"/>
        <v>0.0382</v>
      </c>
      <c r="S167" s="7">
        <f t="shared" si="150"/>
        <v>0.0504</v>
      </c>
      <c r="T167" s="7">
        <f t="shared" si="150"/>
        <v>0.0155</v>
      </c>
      <c r="U167" s="7">
        <f t="shared" si="150"/>
        <v>0.1156</v>
      </c>
      <c r="V167" s="7">
        <f t="shared" si="150"/>
        <v>-0.0018</v>
      </c>
      <c r="W167" s="7">
        <f t="shared" si="150"/>
        <v>0.1985</v>
      </c>
      <c r="X167" s="7">
        <f t="shared" si="150"/>
        <v>0.0045</v>
      </c>
      <c r="Y167" s="7">
        <f t="shared" si="150"/>
        <v>0.1044</v>
      </c>
      <c r="Z167" s="7">
        <f t="shared" si="150"/>
        <v>-0.0195</v>
      </c>
      <c r="AA167" s="7">
        <f t="shared" si="150"/>
        <v>0.1807</v>
      </c>
    </row>
    <row r="168">
      <c r="B168" s="6" t="s">
        <v>9</v>
      </c>
      <c r="C168" s="7">
        <f t="shared" ref="C168:M168" si="151">AVERAGE(C108, C118)</f>
        <v>0.2189</v>
      </c>
      <c r="D168" s="7">
        <f t="shared" si="151"/>
        <v>0.2217</v>
      </c>
      <c r="E168" s="7">
        <f t="shared" si="151"/>
        <v>0.2333</v>
      </c>
      <c r="F168" s="7">
        <f t="shared" si="151"/>
        <v>0.2018</v>
      </c>
      <c r="G168" s="7">
        <f t="shared" si="151"/>
        <v>0.302</v>
      </c>
      <c r="H168" s="7">
        <f t="shared" si="151"/>
        <v>0.1825</v>
      </c>
      <c r="I168" s="7">
        <f t="shared" si="151"/>
        <v>0.3826</v>
      </c>
      <c r="J168" s="7">
        <f t="shared" si="151"/>
        <v>0.1874</v>
      </c>
      <c r="K168" s="7">
        <f t="shared" si="151"/>
        <v>0.2874</v>
      </c>
      <c r="L168" s="7">
        <f t="shared" si="151"/>
        <v>0.1657</v>
      </c>
      <c r="M168" s="7">
        <f t="shared" si="151"/>
        <v>0.3658</v>
      </c>
      <c r="P168" s="6" t="s">
        <v>9</v>
      </c>
      <c r="Q168" s="7">
        <f t="shared" ref="Q168:AA168" si="152">C168-$C$163</f>
        <v>0.0097</v>
      </c>
      <c r="R168" s="7">
        <f t="shared" si="152"/>
        <v>0.0125</v>
      </c>
      <c r="S168" s="7">
        <f t="shared" si="152"/>
        <v>0.0241</v>
      </c>
      <c r="T168" s="7">
        <f t="shared" si="152"/>
        <v>-0.0074</v>
      </c>
      <c r="U168" s="7">
        <f t="shared" si="152"/>
        <v>0.0928</v>
      </c>
      <c r="V168" s="7">
        <f t="shared" si="152"/>
        <v>-0.0267</v>
      </c>
      <c r="W168" s="7">
        <f t="shared" si="152"/>
        <v>0.1734</v>
      </c>
      <c r="X168" s="7">
        <f t="shared" si="152"/>
        <v>-0.0218</v>
      </c>
      <c r="Y168" s="7">
        <f t="shared" si="152"/>
        <v>0.0782</v>
      </c>
      <c r="Z168" s="7">
        <f t="shared" si="152"/>
        <v>-0.0435</v>
      </c>
      <c r="AA168" s="7">
        <f t="shared" si="152"/>
        <v>0.1566</v>
      </c>
    </row>
    <row r="169">
      <c r="B169" s="6" t="s">
        <v>10</v>
      </c>
      <c r="C169" s="7">
        <f t="shared" ref="C169:M169" si="153">AVERAGE(C109, C119)</f>
        <v>0.2347</v>
      </c>
      <c r="D169" s="7">
        <f t="shared" si="153"/>
        <v>0.2363</v>
      </c>
      <c r="E169" s="7">
        <f t="shared" si="153"/>
        <v>0.2522</v>
      </c>
      <c r="F169" s="7">
        <f t="shared" si="153"/>
        <v>0.2157</v>
      </c>
      <c r="G169" s="7">
        <f t="shared" si="153"/>
        <v>0.3158</v>
      </c>
      <c r="H169" s="7">
        <f t="shared" si="153"/>
        <v>0.1973</v>
      </c>
      <c r="I169" s="7">
        <f t="shared" si="153"/>
        <v>0.3974</v>
      </c>
      <c r="J169" s="7">
        <f t="shared" si="153"/>
        <v>0.2018</v>
      </c>
      <c r="K169" s="7">
        <f t="shared" si="153"/>
        <v>0.3018</v>
      </c>
      <c r="L169" s="7">
        <f t="shared" si="153"/>
        <v>0.1768</v>
      </c>
      <c r="M169" s="7">
        <f t="shared" si="153"/>
        <v>0.3768</v>
      </c>
      <c r="P169" s="6" t="s">
        <v>10</v>
      </c>
      <c r="Q169" s="7">
        <f t="shared" ref="Q169:AA169" si="154">C169-$C$163</f>
        <v>0.0255</v>
      </c>
      <c r="R169" s="7">
        <f t="shared" si="154"/>
        <v>0.0271</v>
      </c>
      <c r="S169" s="7">
        <f t="shared" si="154"/>
        <v>0.043</v>
      </c>
      <c r="T169" s="7">
        <f t="shared" si="154"/>
        <v>0.0065</v>
      </c>
      <c r="U169" s="7">
        <f t="shared" si="154"/>
        <v>0.1066</v>
      </c>
      <c r="V169" s="7">
        <f t="shared" si="154"/>
        <v>-0.0119</v>
      </c>
      <c r="W169" s="7">
        <f t="shared" si="154"/>
        <v>0.1882</v>
      </c>
      <c r="X169" s="7">
        <f t="shared" si="154"/>
        <v>-0.0074</v>
      </c>
      <c r="Y169" s="7">
        <f t="shared" si="154"/>
        <v>0.0926</v>
      </c>
      <c r="Z169" s="7">
        <f t="shared" si="154"/>
        <v>-0.0324</v>
      </c>
      <c r="AA169" s="7">
        <f t="shared" si="154"/>
        <v>0.1676</v>
      </c>
    </row>
    <row r="171">
      <c r="A171" s="1" t="s">
        <v>311</v>
      </c>
      <c r="B171" s="2" t="s">
        <v>1</v>
      </c>
      <c r="O171" s="1" t="s">
        <v>312</v>
      </c>
      <c r="P171" s="2" t="s">
        <v>1</v>
      </c>
    </row>
    <row r="172">
      <c r="A172" s="4" t="s">
        <v>3</v>
      </c>
      <c r="B172" s="5"/>
      <c r="C172" s="6" t="s">
        <v>4</v>
      </c>
      <c r="D172" s="6" t="s">
        <v>5</v>
      </c>
      <c r="E172" s="6" t="s">
        <v>6</v>
      </c>
      <c r="F172" s="6" t="s">
        <v>84</v>
      </c>
      <c r="G172" s="6" t="s">
        <v>85</v>
      </c>
      <c r="H172" s="6" t="s">
        <v>86</v>
      </c>
      <c r="I172" s="6" t="s">
        <v>87</v>
      </c>
      <c r="J172" s="6" t="s">
        <v>88</v>
      </c>
      <c r="K172" s="6" t="s">
        <v>89</v>
      </c>
      <c r="L172" s="6" t="s">
        <v>90</v>
      </c>
      <c r="M172" s="6" t="s">
        <v>91</v>
      </c>
      <c r="O172" s="4" t="s">
        <v>3</v>
      </c>
      <c r="P172" s="5"/>
      <c r="Q172" s="6" t="s">
        <v>4</v>
      </c>
      <c r="R172" s="6" t="s">
        <v>5</v>
      </c>
      <c r="S172" s="6" t="s">
        <v>6</v>
      </c>
      <c r="T172" s="6" t="s">
        <v>84</v>
      </c>
      <c r="U172" s="6" t="s">
        <v>85</v>
      </c>
      <c r="V172" s="6" t="s">
        <v>86</v>
      </c>
      <c r="W172" s="6" t="s">
        <v>87</v>
      </c>
      <c r="X172" s="6" t="s">
        <v>88</v>
      </c>
      <c r="Y172" s="6" t="s">
        <v>89</v>
      </c>
      <c r="Z172" s="6" t="s">
        <v>90</v>
      </c>
      <c r="AA172" s="6" t="s">
        <v>91</v>
      </c>
    </row>
    <row r="173">
      <c r="B173" s="6" t="s">
        <v>4</v>
      </c>
      <c r="C173" s="7">
        <f t="shared" ref="C173:M173" si="155">AVERAGE(C123, C133)</f>
        <v>0.4652</v>
      </c>
      <c r="D173" s="7">
        <f t="shared" si="155"/>
        <v>0.4631</v>
      </c>
      <c r="E173" s="7">
        <f t="shared" si="155"/>
        <v>0.4715</v>
      </c>
      <c r="F173" s="7">
        <f t="shared" si="155"/>
        <v>0.4355</v>
      </c>
      <c r="G173" s="7">
        <f t="shared" si="155"/>
        <v>0.5355</v>
      </c>
      <c r="H173" s="7">
        <f t="shared" si="155"/>
        <v>0.406</v>
      </c>
      <c r="I173" s="7">
        <f t="shared" si="155"/>
        <v>0.606</v>
      </c>
      <c r="J173" s="7">
        <f t="shared" si="155"/>
        <v>0.435</v>
      </c>
      <c r="K173" s="7">
        <f t="shared" si="155"/>
        <v>0.535</v>
      </c>
      <c r="L173" s="7">
        <f t="shared" si="155"/>
        <v>0.404</v>
      </c>
      <c r="M173" s="7">
        <f t="shared" si="155"/>
        <v>0.604</v>
      </c>
      <c r="P173" s="6" t="s">
        <v>4</v>
      </c>
      <c r="Q173" s="7">
        <f t="shared" ref="Q173:AA173" si="156">C173-$C$173</f>
        <v>0</v>
      </c>
      <c r="R173" s="7">
        <f t="shared" si="156"/>
        <v>-0.0021</v>
      </c>
      <c r="S173" s="7">
        <f t="shared" si="156"/>
        <v>0.0063</v>
      </c>
      <c r="T173" s="7">
        <f t="shared" si="156"/>
        <v>-0.0297</v>
      </c>
      <c r="U173" s="7">
        <f t="shared" si="156"/>
        <v>0.0703</v>
      </c>
      <c r="V173" s="7">
        <f t="shared" si="156"/>
        <v>-0.0592</v>
      </c>
      <c r="W173" s="7">
        <f t="shared" si="156"/>
        <v>0.1408</v>
      </c>
      <c r="X173" s="7">
        <f t="shared" si="156"/>
        <v>-0.0302</v>
      </c>
      <c r="Y173" s="7">
        <f t="shared" si="156"/>
        <v>0.0698</v>
      </c>
      <c r="Z173" s="7">
        <f t="shared" si="156"/>
        <v>-0.0612</v>
      </c>
      <c r="AA173" s="7">
        <f t="shared" si="156"/>
        <v>0.1388</v>
      </c>
    </row>
    <row r="174">
      <c r="B174" s="6" t="s">
        <v>5</v>
      </c>
      <c r="C174" s="7">
        <f t="shared" ref="C174:M174" si="157">AVERAGE(C124, C134)</f>
        <v>0.4682</v>
      </c>
      <c r="D174" s="7">
        <f t="shared" si="157"/>
        <v>0.4667</v>
      </c>
      <c r="E174" s="7">
        <f t="shared" si="157"/>
        <v>0.4732</v>
      </c>
      <c r="F174" s="7">
        <f t="shared" si="157"/>
        <v>0.439</v>
      </c>
      <c r="G174" s="7">
        <f t="shared" si="157"/>
        <v>0.539</v>
      </c>
      <c r="H174" s="7">
        <f t="shared" si="157"/>
        <v>0.4103</v>
      </c>
      <c r="I174" s="7">
        <f t="shared" si="157"/>
        <v>0.6103</v>
      </c>
      <c r="J174" s="7">
        <f t="shared" si="157"/>
        <v>0.437</v>
      </c>
      <c r="K174" s="7">
        <f t="shared" si="157"/>
        <v>0.537</v>
      </c>
      <c r="L174" s="7">
        <f t="shared" si="157"/>
        <v>0.4093</v>
      </c>
      <c r="M174" s="7">
        <f t="shared" si="157"/>
        <v>0.6093</v>
      </c>
      <c r="P174" s="6" t="s">
        <v>5</v>
      </c>
      <c r="Q174" s="7">
        <f t="shared" ref="Q174:AA174" si="158">C174-$C$173</f>
        <v>0.003</v>
      </c>
      <c r="R174" s="7">
        <f t="shared" si="158"/>
        <v>0.0015</v>
      </c>
      <c r="S174" s="7">
        <f t="shared" si="158"/>
        <v>0.008</v>
      </c>
      <c r="T174" s="7">
        <f t="shared" si="158"/>
        <v>-0.0262</v>
      </c>
      <c r="U174" s="7">
        <f t="shared" si="158"/>
        <v>0.0738</v>
      </c>
      <c r="V174" s="7">
        <f t="shared" si="158"/>
        <v>-0.0549</v>
      </c>
      <c r="W174" s="7">
        <f t="shared" si="158"/>
        <v>0.1451</v>
      </c>
      <c r="X174" s="7">
        <f t="shared" si="158"/>
        <v>-0.0282</v>
      </c>
      <c r="Y174" s="7">
        <f t="shared" si="158"/>
        <v>0.0718</v>
      </c>
      <c r="Z174" s="7">
        <f t="shared" si="158"/>
        <v>-0.0559</v>
      </c>
      <c r="AA174" s="7">
        <f t="shared" si="158"/>
        <v>0.1441</v>
      </c>
    </row>
    <row r="175">
      <c r="B175" s="6" t="s">
        <v>6</v>
      </c>
      <c r="C175" s="7">
        <f t="shared" ref="C175:M175" si="159">AVERAGE(C125, C135)</f>
        <v>0.4701</v>
      </c>
      <c r="D175" s="7">
        <f t="shared" si="159"/>
        <v>0.4679</v>
      </c>
      <c r="E175" s="7">
        <f t="shared" si="159"/>
        <v>0.4754</v>
      </c>
      <c r="F175" s="7">
        <f t="shared" si="159"/>
        <v>0.4385</v>
      </c>
      <c r="G175" s="7">
        <f t="shared" si="159"/>
        <v>0.5385</v>
      </c>
      <c r="H175" s="7">
        <f t="shared" si="159"/>
        <v>0.4093</v>
      </c>
      <c r="I175" s="7">
        <f t="shared" si="159"/>
        <v>0.6093</v>
      </c>
      <c r="J175" s="7">
        <f t="shared" si="159"/>
        <v>0.4387</v>
      </c>
      <c r="K175" s="7">
        <f t="shared" si="159"/>
        <v>0.5387</v>
      </c>
      <c r="L175" s="7">
        <f t="shared" si="159"/>
        <v>0.405</v>
      </c>
      <c r="M175" s="7">
        <f t="shared" si="159"/>
        <v>0.605</v>
      </c>
      <c r="P175" s="6" t="s">
        <v>6</v>
      </c>
      <c r="Q175" s="7">
        <f t="shared" ref="Q175:AA175" si="160">C175-$C$173</f>
        <v>0.0049</v>
      </c>
      <c r="R175" s="7">
        <f t="shared" si="160"/>
        <v>0.0027</v>
      </c>
      <c r="S175" s="7">
        <f t="shared" si="160"/>
        <v>0.0102</v>
      </c>
      <c r="T175" s="7">
        <f t="shared" si="160"/>
        <v>-0.0267</v>
      </c>
      <c r="U175" s="7">
        <f t="shared" si="160"/>
        <v>0.0733</v>
      </c>
      <c r="V175" s="7">
        <f t="shared" si="160"/>
        <v>-0.0559</v>
      </c>
      <c r="W175" s="7">
        <f t="shared" si="160"/>
        <v>0.1441</v>
      </c>
      <c r="X175" s="7">
        <f t="shared" si="160"/>
        <v>-0.0265</v>
      </c>
      <c r="Y175" s="7">
        <f t="shared" si="160"/>
        <v>0.0735</v>
      </c>
      <c r="Z175" s="7">
        <f t="shared" si="160"/>
        <v>-0.0602</v>
      </c>
      <c r="AA175" s="7">
        <f t="shared" si="160"/>
        <v>0.1398</v>
      </c>
    </row>
    <row r="176">
      <c r="B176" s="6" t="s">
        <v>7</v>
      </c>
      <c r="C176" s="7">
        <f t="shared" ref="C176:M176" si="161">AVERAGE(C126, C136)</f>
        <v>0.4704</v>
      </c>
      <c r="D176" s="7">
        <f t="shared" si="161"/>
        <v>0.4678</v>
      </c>
      <c r="E176" s="7">
        <f t="shared" si="161"/>
        <v>0.4758</v>
      </c>
      <c r="F176" s="7">
        <f t="shared" si="161"/>
        <v>0.4368</v>
      </c>
      <c r="G176" s="7">
        <f t="shared" si="161"/>
        <v>0.5368</v>
      </c>
      <c r="H176" s="7">
        <f t="shared" si="161"/>
        <v>0.4036</v>
      </c>
      <c r="I176" s="7">
        <f t="shared" si="161"/>
        <v>0.6036</v>
      </c>
      <c r="J176" s="7">
        <f t="shared" si="161"/>
        <v>0.4358</v>
      </c>
      <c r="K176" s="7">
        <f t="shared" si="161"/>
        <v>0.5359</v>
      </c>
      <c r="L176" s="7">
        <f t="shared" si="161"/>
        <v>0.4012</v>
      </c>
      <c r="M176" s="7">
        <f t="shared" si="161"/>
        <v>0.6011</v>
      </c>
      <c r="P176" s="6" t="s">
        <v>7</v>
      </c>
      <c r="Q176" s="7">
        <f t="shared" ref="Q176:AA176" si="162">C176-$C$173</f>
        <v>0.0052</v>
      </c>
      <c r="R176" s="7">
        <f t="shared" si="162"/>
        <v>0.0026</v>
      </c>
      <c r="S176" s="7">
        <f t="shared" si="162"/>
        <v>0.0106</v>
      </c>
      <c r="T176" s="7">
        <f t="shared" si="162"/>
        <v>-0.0284</v>
      </c>
      <c r="U176" s="7">
        <f t="shared" si="162"/>
        <v>0.0716</v>
      </c>
      <c r="V176" s="7">
        <f t="shared" si="162"/>
        <v>-0.0616</v>
      </c>
      <c r="W176" s="7">
        <f t="shared" si="162"/>
        <v>0.1384</v>
      </c>
      <c r="X176" s="7">
        <f t="shared" si="162"/>
        <v>-0.0294</v>
      </c>
      <c r="Y176" s="7">
        <f t="shared" si="162"/>
        <v>0.0707</v>
      </c>
      <c r="Z176" s="7">
        <f t="shared" si="162"/>
        <v>-0.064</v>
      </c>
      <c r="AA176" s="7">
        <f t="shared" si="162"/>
        <v>0.1359</v>
      </c>
    </row>
    <row r="177">
      <c r="B177" s="6" t="s">
        <v>8</v>
      </c>
      <c r="C177" s="7">
        <f t="shared" ref="C177:M177" si="163">AVERAGE(C127, C137)</f>
        <v>0.4746</v>
      </c>
      <c r="D177" s="7">
        <f t="shared" si="163"/>
        <v>0.4734</v>
      </c>
      <c r="E177" s="7">
        <f t="shared" si="163"/>
        <v>0.4785</v>
      </c>
      <c r="F177" s="7">
        <f t="shared" si="163"/>
        <v>0.4384</v>
      </c>
      <c r="G177" s="7">
        <f t="shared" si="163"/>
        <v>0.5384</v>
      </c>
      <c r="H177" s="7">
        <f t="shared" si="163"/>
        <v>0.4015</v>
      </c>
      <c r="I177" s="7">
        <f t="shared" si="163"/>
        <v>0.6015</v>
      </c>
      <c r="J177" s="7">
        <f t="shared" si="163"/>
        <v>0.4379</v>
      </c>
      <c r="K177" s="7">
        <f t="shared" si="163"/>
        <v>0.5379</v>
      </c>
      <c r="L177" s="7">
        <f t="shared" si="163"/>
        <v>0.4</v>
      </c>
      <c r="M177" s="7">
        <f t="shared" si="163"/>
        <v>0.6</v>
      </c>
      <c r="P177" s="6" t="s">
        <v>8</v>
      </c>
      <c r="Q177" s="7">
        <f t="shared" ref="Q177:AA177" si="164">C177-$C$173</f>
        <v>0.0094</v>
      </c>
      <c r="R177" s="7">
        <f t="shared" si="164"/>
        <v>0.0082</v>
      </c>
      <c r="S177" s="7">
        <f t="shared" si="164"/>
        <v>0.0133</v>
      </c>
      <c r="T177" s="7">
        <f t="shared" si="164"/>
        <v>-0.0268</v>
      </c>
      <c r="U177" s="7">
        <f t="shared" si="164"/>
        <v>0.0732</v>
      </c>
      <c r="V177" s="7">
        <f t="shared" si="164"/>
        <v>-0.0637</v>
      </c>
      <c r="W177" s="7">
        <f t="shared" si="164"/>
        <v>0.1363</v>
      </c>
      <c r="X177" s="7">
        <f t="shared" si="164"/>
        <v>-0.0273</v>
      </c>
      <c r="Y177" s="7">
        <f t="shared" si="164"/>
        <v>0.0727</v>
      </c>
      <c r="Z177" s="7">
        <f t="shared" si="164"/>
        <v>-0.0652</v>
      </c>
      <c r="AA177" s="7">
        <f t="shared" si="164"/>
        <v>0.1348</v>
      </c>
    </row>
    <row r="178">
      <c r="B178" s="6" t="s">
        <v>9</v>
      </c>
      <c r="C178" s="7">
        <f t="shared" ref="C178:M178" si="165">AVERAGE(C128, C138)</f>
        <v>0.4735</v>
      </c>
      <c r="D178" s="7">
        <f t="shared" si="165"/>
        <v>0.4716</v>
      </c>
      <c r="E178" s="7">
        <f t="shared" si="165"/>
        <v>0.4785</v>
      </c>
      <c r="F178" s="7">
        <f t="shared" si="165"/>
        <v>0.4419</v>
      </c>
      <c r="G178" s="7">
        <f t="shared" si="165"/>
        <v>0.5419</v>
      </c>
      <c r="H178" s="7">
        <f t="shared" si="165"/>
        <v>0.4078</v>
      </c>
      <c r="I178" s="7">
        <f t="shared" si="165"/>
        <v>0.6078</v>
      </c>
      <c r="J178" s="7">
        <f t="shared" si="165"/>
        <v>0.4407</v>
      </c>
      <c r="K178" s="7">
        <f t="shared" si="165"/>
        <v>0.5407</v>
      </c>
      <c r="L178" s="7">
        <f t="shared" si="165"/>
        <v>0.4071</v>
      </c>
      <c r="M178" s="7">
        <f t="shared" si="165"/>
        <v>0.6071</v>
      </c>
      <c r="P178" s="6" t="s">
        <v>9</v>
      </c>
      <c r="Q178" s="7">
        <f t="shared" ref="Q178:AA178" si="166">C178-$C$173</f>
        <v>0.0083</v>
      </c>
      <c r="R178" s="7">
        <f t="shared" si="166"/>
        <v>0.0064</v>
      </c>
      <c r="S178" s="7">
        <f t="shared" si="166"/>
        <v>0.0133</v>
      </c>
      <c r="T178" s="7">
        <f t="shared" si="166"/>
        <v>-0.0233</v>
      </c>
      <c r="U178" s="7">
        <f t="shared" si="166"/>
        <v>0.0767</v>
      </c>
      <c r="V178" s="7">
        <f t="shared" si="166"/>
        <v>-0.0574</v>
      </c>
      <c r="W178" s="7">
        <f t="shared" si="166"/>
        <v>0.1426</v>
      </c>
      <c r="X178" s="7">
        <f t="shared" si="166"/>
        <v>-0.0245</v>
      </c>
      <c r="Y178" s="7">
        <f t="shared" si="166"/>
        <v>0.0755</v>
      </c>
      <c r="Z178" s="7">
        <f t="shared" si="166"/>
        <v>-0.0581</v>
      </c>
      <c r="AA178" s="7">
        <f t="shared" si="166"/>
        <v>0.1419</v>
      </c>
    </row>
    <row r="179">
      <c r="B179" s="6" t="s">
        <v>10</v>
      </c>
      <c r="C179" s="7">
        <f t="shared" ref="C179:M179" si="167">AVERAGE(C129, C139)</f>
        <v>0.4759</v>
      </c>
      <c r="D179" s="7">
        <f t="shared" si="167"/>
        <v>0.4744</v>
      </c>
      <c r="E179" s="7">
        <f t="shared" si="167"/>
        <v>0.4792</v>
      </c>
      <c r="F179" s="7">
        <f t="shared" si="167"/>
        <v>0.4384</v>
      </c>
      <c r="G179" s="7">
        <f t="shared" si="167"/>
        <v>0.5384</v>
      </c>
      <c r="H179" s="7">
        <f t="shared" si="167"/>
        <v>0.4016</v>
      </c>
      <c r="I179" s="7">
        <f t="shared" si="167"/>
        <v>0.6016</v>
      </c>
      <c r="J179" s="7">
        <f t="shared" si="167"/>
        <v>0.4386</v>
      </c>
      <c r="K179" s="7">
        <f t="shared" si="167"/>
        <v>0.5386</v>
      </c>
      <c r="L179" s="7">
        <f t="shared" si="167"/>
        <v>0.4006</v>
      </c>
      <c r="M179" s="7">
        <f t="shared" si="167"/>
        <v>0.6006</v>
      </c>
      <c r="P179" s="6" t="s">
        <v>10</v>
      </c>
      <c r="Q179" s="7">
        <f t="shared" ref="Q179:AA179" si="168">C179-$C$173</f>
        <v>0.0107</v>
      </c>
      <c r="R179" s="7">
        <f t="shared" si="168"/>
        <v>0.0092</v>
      </c>
      <c r="S179" s="7">
        <f t="shared" si="168"/>
        <v>0.014</v>
      </c>
      <c r="T179" s="7">
        <f t="shared" si="168"/>
        <v>-0.0268</v>
      </c>
      <c r="U179" s="7">
        <f t="shared" si="168"/>
        <v>0.0732</v>
      </c>
      <c r="V179" s="7">
        <f t="shared" si="168"/>
        <v>-0.0636</v>
      </c>
      <c r="W179" s="7">
        <f t="shared" si="168"/>
        <v>0.1364</v>
      </c>
      <c r="X179" s="7">
        <f t="shared" si="168"/>
        <v>-0.0266</v>
      </c>
      <c r="Y179" s="7">
        <f t="shared" si="168"/>
        <v>0.0734</v>
      </c>
      <c r="Z179" s="7">
        <f t="shared" si="168"/>
        <v>-0.0646</v>
      </c>
      <c r="AA179" s="7">
        <f t="shared" si="168"/>
        <v>0.1354</v>
      </c>
    </row>
    <row r="181">
      <c r="A181" s="1" t="s">
        <v>313</v>
      </c>
      <c r="B181" s="2" t="s">
        <v>1</v>
      </c>
      <c r="O181" s="1" t="s">
        <v>314</v>
      </c>
      <c r="P181" s="2" t="s">
        <v>1</v>
      </c>
    </row>
    <row r="182">
      <c r="A182" s="4" t="s">
        <v>3</v>
      </c>
      <c r="B182" s="5"/>
      <c r="C182" s="6" t="s">
        <v>4</v>
      </c>
      <c r="D182" s="6" t="s">
        <v>5</v>
      </c>
      <c r="E182" s="6" t="s">
        <v>6</v>
      </c>
      <c r="F182" s="6" t="s">
        <v>84</v>
      </c>
      <c r="G182" s="6" t="s">
        <v>85</v>
      </c>
      <c r="H182" s="6" t="s">
        <v>86</v>
      </c>
      <c r="I182" s="6" t="s">
        <v>87</v>
      </c>
      <c r="J182" s="6" t="s">
        <v>88</v>
      </c>
      <c r="K182" s="6" t="s">
        <v>89</v>
      </c>
      <c r="L182" s="6" t="s">
        <v>90</v>
      </c>
      <c r="M182" s="6" t="s">
        <v>91</v>
      </c>
      <c r="O182" s="4" t="s">
        <v>3</v>
      </c>
      <c r="P182" s="5"/>
      <c r="Q182" s="6" t="s">
        <v>4</v>
      </c>
      <c r="R182" s="6" t="s">
        <v>5</v>
      </c>
      <c r="S182" s="6" t="s">
        <v>6</v>
      </c>
      <c r="T182" s="6" t="s">
        <v>84</v>
      </c>
      <c r="U182" s="6" t="s">
        <v>85</v>
      </c>
      <c r="V182" s="6" t="s">
        <v>86</v>
      </c>
      <c r="W182" s="6" t="s">
        <v>87</v>
      </c>
      <c r="X182" s="6" t="s">
        <v>88</v>
      </c>
      <c r="Y182" s="6" t="s">
        <v>89</v>
      </c>
      <c r="Z182" s="6" t="s">
        <v>90</v>
      </c>
      <c r="AA182" s="6" t="s">
        <v>91</v>
      </c>
    </row>
    <row r="183">
      <c r="B183" s="6" t="s">
        <v>4</v>
      </c>
      <c r="C183" s="7">
        <f t="shared" ref="C183:M183" si="169">AVERAGE(C143, C153)</f>
        <v>0.2863</v>
      </c>
      <c r="D183" s="7">
        <f t="shared" si="169"/>
        <v>0.3006</v>
      </c>
      <c r="E183" s="7">
        <f t="shared" si="169"/>
        <v>0.3108</v>
      </c>
      <c r="F183" s="7">
        <f t="shared" si="169"/>
        <v>0.2709</v>
      </c>
      <c r="G183" s="7">
        <f t="shared" si="169"/>
        <v>0.3709</v>
      </c>
      <c r="H183" s="7">
        <f t="shared" si="169"/>
        <v>0.2504</v>
      </c>
      <c r="I183" s="7">
        <f t="shared" si="169"/>
        <v>0.4504</v>
      </c>
      <c r="J183" s="7">
        <f t="shared" si="169"/>
        <v>0.2635</v>
      </c>
      <c r="K183" s="7">
        <f t="shared" si="169"/>
        <v>0.3635</v>
      </c>
      <c r="L183" s="7">
        <f t="shared" si="169"/>
        <v>0.2475</v>
      </c>
      <c r="M183" s="7">
        <f t="shared" si="169"/>
        <v>0.4475</v>
      </c>
      <c r="P183" s="6" t="s">
        <v>4</v>
      </c>
      <c r="Q183" s="7">
        <f t="shared" ref="Q183:AA183" si="170">C183-$C$183</f>
        <v>0</v>
      </c>
      <c r="R183" s="7">
        <f t="shared" si="170"/>
        <v>0.0143</v>
      </c>
      <c r="S183" s="7">
        <f t="shared" si="170"/>
        <v>0.0245</v>
      </c>
      <c r="T183" s="7">
        <f t="shared" si="170"/>
        <v>-0.0154</v>
      </c>
      <c r="U183" s="7">
        <f t="shared" si="170"/>
        <v>0.0846</v>
      </c>
      <c r="V183" s="7">
        <f t="shared" si="170"/>
        <v>-0.0359</v>
      </c>
      <c r="W183" s="7">
        <f t="shared" si="170"/>
        <v>0.1641</v>
      </c>
      <c r="X183" s="7">
        <f t="shared" si="170"/>
        <v>-0.0228</v>
      </c>
      <c r="Y183" s="7">
        <f t="shared" si="170"/>
        <v>0.0772</v>
      </c>
      <c r="Z183" s="7">
        <f t="shared" si="170"/>
        <v>-0.0388</v>
      </c>
      <c r="AA183" s="7">
        <f t="shared" si="170"/>
        <v>0.1612</v>
      </c>
    </row>
    <row r="184">
      <c r="B184" s="6" t="s">
        <v>5</v>
      </c>
      <c r="C184" s="7">
        <f t="shared" ref="C184:M184" si="171">AVERAGE(C144, C154)</f>
        <v>0.2679</v>
      </c>
      <c r="D184" s="7">
        <f t="shared" si="171"/>
        <v>0.2815</v>
      </c>
      <c r="E184" s="7">
        <f t="shared" si="171"/>
        <v>0.2905</v>
      </c>
      <c r="F184" s="7">
        <f t="shared" si="171"/>
        <v>0.2543</v>
      </c>
      <c r="G184" s="7">
        <f t="shared" si="171"/>
        <v>0.3543</v>
      </c>
      <c r="H184" s="7">
        <f t="shared" si="171"/>
        <v>0.2351</v>
      </c>
      <c r="I184" s="7">
        <f t="shared" si="171"/>
        <v>0.4351</v>
      </c>
      <c r="J184" s="7">
        <f t="shared" si="171"/>
        <v>0.2473</v>
      </c>
      <c r="K184" s="7">
        <f t="shared" si="171"/>
        <v>0.3473</v>
      </c>
      <c r="L184" s="7">
        <f t="shared" si="171"/>
        <v>0.2317</v>
      </c>
      <c r="M184" s="7">
        <f t="shared" si="171"/>
        <v>0.4317</v>
      </c>
      <c r="P184" s="6" t="s">
        <v>5</v>
      </c>
      <c r="Q184" s="7">
        <f t="shared" ref="Q184:AA184" si="172">C184-$C$183</f>
        <v>-0.0184</v>
      </c>
      <c r="R184" s="7">
        <f t="shared" si="172"/>
        <v>-0.0048</v>
      </c>
      <c r="S184" s="7">
        <f t="shared" si="172"/>
        <v>0.0042</v>
      </c>
      <c r="T184" s="7">
        <f t="shared" si="172"/>
        <v>-0.032</v>
      </c>
      <c r="U184" s="7">
        <f t="shared" si="172"/>
        <v>0.068</v>
      </c>
      <c r="V184" s="7">
        <f t="shared" si="172"/>
        <v>-0.0512</v>
      </c>
      <c r="W184" s="7">
        <f t="shared" si="172"/>
        <v>0.1488</v>
      </c>
      <c r="X184" s="7">
        <f t="shared" si="172"/>
        <v>-0.039</v>
      </c>
      <c r="Y184" s="7">
        <f t="shared" si="172"/>
        <v>0.061</v>
      </c>
      <c r="Z184" s="7">
        <f t="shared" si="172"/>
        <v>-0.0546</v>
      </c>
      <c r="AA184" s="7">
        <f t="shared" si="172"/>
        <v>0.1454</v>
      </c>
    </row>
    <row r="185">
      <c r="B185" s="6" t="s">
        <v>6</v>
      </c>
      <c r="C185" s="7">
        <f t="shared" ref="C185:M185" si="173">AVERAGE(C145, C155)</f>
        <v>0.26</v>
      </c>
      <c r="D185" s="7">
        <f t="shared" si="173"/>
        <v>0.2705</v>
      </c>
      <c r="E185" s="7">
        <f t="shared" si="173"/>
        <v>0.2818</v>
      </c>
      <c r="F185" s="7">
        <f t="shared" si="173"/>
        <v>0.2471</v>
      </c>
      <c r="G185" s="7">
        <f t="shared" si="173"/>
        <v>0.3471</v>
      </c>
      <c r="H185" s="7">
        <f t="shared" si="173"/>
        <v>0.2276</v>
      </c>
      <c r="I185" s="7">
        <f t="shared" si="173"/>
        <v>0.4276</v>
      </c>
      <c r="J185" s="7">
        <f t="shared" si="173"/>
        <v>0.2388</v>
      </c>
      <c r="K185" s="7">
        <f t="shared" si="173"/>
        <v>0.3388</v>
      </c>
      <c r="L185" s="7">
        <f t="shared" si="173"/>
        <v>0.225</v>
      </c>
      <c r="M185" s="7">
        <f t="shared" si="173"/>
        <v>0.425</v>
      </c>
      <c r="P185" s="6" t="s">
        <v>6</v>
      </c>
      <c r="Q185" s="7">
        <f t="shared" ref="Q185:AA185" si="174">C185-$C$183</f>
        <v>-0.0263</v>
      </c>
      <c r="R185" s="7">
        <f t="shared" si="174"/>
        <v>-0.0158</v>
      </c>
      <c r="S185" s="7">
        <f t="shared" si="174"/>
        <v>-0.0045</v>
      </c>
      <c r="T185" s="7">
        <f t="shared" si="174"/>
        <v>-0.0392</v>
      </c>
      <c r="U185" s="7">
        <f t="shared" si="174"/>
        <v>0.0608</v>
      </c>
      <c r="V185" s="7">
        <f t="shared" si="174"/>
        <v>-0.0587</v>
      </c>
      <c r="W185" s="7">
        <f t="shared" si="174"/>
        <v>0.1413</v>
      </c>
      <c r="X185" s="7">
        <f t="shared" si="174"/>
        <v>-0.0475</v>
      </c>
      <c r="Y185" s="7">
        <f t="shared" si="174"/>
        <v>0.0525</v>
      </c>
      <c r="Z185" s="7">
        <f t="shared" si="174"/>
        <v>-0.0613</v>
      </c>
      <c r="AA185" s="7">
        <f t="shared" si="174"/>
        <v>0.1387</v>
      </c>
    </row>
    <row r="186">
      <c r="B186" s="6" t="s">
        <v>7</v>
      </c>
      <c r="C186" s="7">
        <f t="shared" ref="C186:M186" si="175">AVERAGE(C146, C156)</f>
        <v>0.3</v>
      </c>
      <c r="D186" s="7">
        <f t="shared" si="175"/>
        <v>0.3163</v>
      </c>
      <c r="E186" s="7">
        <f t="shared" si="175"/>
        <v>0.3245</v>
      </c>
      <c r="F186" s="7">
        <f t="shared" si="175"/>
        <v>0.2778</v>
      </c>
      <c r="G186" s="7">
        <f t="shared" si="175"/>
        <v>0.3778</v>
      </c>
      <c r="H186" s="7">
        <f t="shared" si="175"/>
        <v>0.2517</v>
      </c>
      <c r="I186" s="7">
        <f t="shared" si="175"/>
        <v>0.4517</v>
      </c>
      <c r="J186" s="7">
        <f t="shared" si="175"/>
        <v>0.2727</v>
      </c>
      <c r="K186" s="7">
        <f t="shared" si="175"/>
        <v>0.3727</v>
      </c>
      <c r="L186" s="7">
        <f t="shared" si="175"/>
        <v>0.2498</v>
      </c>
      <c r="M186" s="7">
        <f t="shared" si="175"/>
        <v>0.4498</v>
      </c>
      <c r="P186" s="6" t="s">
        <v>7</v>
      </c>
      <c r="Q186" s="7">
        <f t="shared" ref="Q186:AA186" si="176">C186-$C$183</f>
        <v>0.0137</v>
      </c>
      <c r="R186" s="7">
        <f t="shared" si="176"/>
        <v>0.03</v>
      </c>
      <c r="S186" s="7">
        <f t="shared" si="176"/>
        <v>0.0382</v>
      </c>
      <c r="T186" s="7">
        <f t="shared" si="176"/>
        <v>-0.0085</v>
      </c>
      <c r="U186" s="7">
        <f t="shared" si="176"/>
        <v>0.0915</v>
      </c>
      <c r="V186" s="7">
        <f t="shared" si="176"/>
        <v>-0.0346</v>
      </c>
      <c r="W186" s="7">
        <f t="shared" si="176"/>
        <v>0.1654</v>
      </c>
      <c r="X186" s="7">
        <f t="shared" si="176"/>
        <v>-0.0136</v>
      </c>
      <c r="Y186" s="7">
        <f t="shared" si="176"/>
        <v>0.0864</v>
      </c>
      <c r="Z186" s="7">
        <f t="shared" si="176"/>
        <v>-0.0365</v>
      </c>
      <c r="AA186" s="7">
        <f t="shared" si="176"/>
        <v>0.1635</v>
      </c>
    </row>
    <row r="187">
      <c r="B187" s="6" t="s">
        <v>8</v>
      </c>
      <c r="C187" s="7">
        <f t="shared" ref="C187:M187" si="177">AVERAGE(C147, C157)</f>
        <v>0.3509</v>
      </c>
      <c r="D187" s="7">
        <f t="shared" si="177"/>
        <v>0.3686</v>
      </c>
      <c r="E187" s="7">
        <f t="shared" si="177"/>
        <v>0.3801</v>
      </c>
      <c r="F187" s="7">
        <f t="shared" si="177"/>
        <v>0.2962</v>
      </c>
      <c r="G187" s="7">
        <f t="shared" si="177"/>
        <v>0.3962</v>
      </c>
      <c r="H187" s="7">
        <f t="shared" si="177"/>
        <v>0.2421</v>
      </c>
      <c r="I187" s="7">
        <f t="shared" si="177"/>
        <v>0.4421</v>
      </c>
      <c r="J187" s="7">
        <f t="shared" si="177"/>
        <v>0.2952</v>
      </c>
      <c r="K187" s="7">
        <f t="shared" si="177"/>
        <v>0.3952</v>
      </c>
      <c r="L187" s="7">
        <f t="shared" si="177"/>
        <v>0.2432</v>
      </c>
      <c r="M187" s="7">
        <f t="shared" si="177"/>
        <v>0.4432</v>
      </c>
      <c r="P187" s="6" t="s">
        <v>8</v>
      </c>
      <c r="Q187" s="7">
        <f t="shared" ref="Q187:AA187" si="178">C187-$C$183</f>
        <v>0.0646</v>
      </c>
      <c r="R187" s="7">
        <f t="shared" si="178"/>
        <v>0.0823</v>
      </c>
      <c r="S187" s="7">
        <f t="shared" si="178"/>
        <v>0.0938</v>
      </c>
      <c r="T187" s="7">
        <f t="shared" si="178"/>
        <v>0.0099</v>
      </c>
      <c r="U187" s="7">
        <f t="shared" si="178"/>
        <v>0.1099</v>
      </c>
      <c r="V187" s="7">
        <f t="shared" si="178"/>
        <v>-0.0442</v>
      </c>
      <c r="W187" s="7">
        <f t="shared" si="178"/>
        <v>0.1558</v>
      </c>
      <c r="X187" s="7">
        <f t="shared" si="178"/>
        <v>0.0089</v>
      </c>
      <c r="Y187" s="7">
        <f t="shared" si="178"/>
        <v>0.1089</v>
      </c>
      <c r="Z187" s="7">
        <f t="shared" si="178"/>
        <v>-0.0431</v>
      </c>
      <c r="AA187" s="7">
        <f t="shared" si="178"/>
        <v>0.1569</v>
      </c>
    </row>
    <row r="188">
      <c r="B188" s="6" t="s">
        <v>9</v>
      </c>
      <c r="C188" s="7">
        <f t="shared" ref="C188:M188" si="179">AVERAGE(C148, C158)</f>
        <v>0.3062</v>
      </c>
      <c r="D188" s="7">
        <f t="shared" si="179"/>
        <v>0.322</v>
      </c>
      <c r="E188" s="7">
        <f t="shared" si="179"/>
        <v>0.3316</v>
      </c>
      <c r="F188" s="7">
        <f t="shared" si="179"/>
        <v>0.2817</v>
      </c>
      <c r="G188" s="7">
        <f t="shared" si="179"/>
        <v>0.3817</v>
      </c>
      <c r="H188" s="7">
        <f t="shared" si="179"/>
        <v>0.2546</v>
      </c>
      <c r="I188" s="7">
        <f t="shared" si="179"/>
        <v>0.4546</v>
      </c>
      <c r="J188" s="7">
        <f t="shared" si="179"/>
        <v>0.2774</v>
      </c>
      <c r="K188" s="7">
        <f t="shared" si="179"/>
        <v>0.3774</v>
      </c>
      <c r="L188" s="7">
        <f t="shared" si="179"/>
        <v>0.2522</v>
      </c>
      <c r="M188" s="7">
        <f t="shared" si="179"/>
        <v>0.4522</v>
      </c>
      <c r="P188" s="6" t="s">
        <v>9</v>
      </c>
      <c r="Q188" s="7">
        <f t="shared" ref="Q188:AA188" si="180">C188-$C$183</f>
        <v>0.0199</v>
      </c>
      <c r="R188" s="7">
        <f t="shared" si="180"/>
        <v>0.0357</v>
      </c>
      <c r="S188" s="7">
        <f t="shared" si="180"/>
        <v>0.0453</v>
      </c>
      <c r="T188" s="7">
        <f t="shared" si="180"/>
        <v>-0.0046</v>
      </c>
      <c r="U188" s="7">
        <f t="shared" si="180"/>
        <v>0.0954</v>
      </c>
      <c r="V188" s="7">
        <f t="shared" si="180"/>
        <v>-0.0317</v>
      </c>
      <c r="W188" s="7">
        <f t="shared" si="180"/>
        <v>0.1683</v>
      </c>
      <c r="X188" s="7">
        <f t="shared" si="180"/>
        <v>-0.0089</v>
      </c>
      <c r="Y188" s="7">
        <f t="shared" si="180"/>
        <v>0.0911</v>
      </c>
      <c r="Z188" s="7">
        <f t="shared" si="180"/>
        <v>-0.0341</v>
      </c>
      <c r="AA188" s="7">
        <f t="shared" si="180"/>
        <v>0.1659</v>
      </c>
    </row>
    <row r="189">
      <c r="B189" s="6" t="s">
        <v>10</v>
      </c>
      <c r="C189" s="7">
        <f t="shared" ref="C189:M189" si="181">AVERAGE(C149, C159)</f>
        <v>0.342</v>
      </c>
      <c r="D189" s="7">
        <f t="shared" si="181"/>
        <v>0.359</v>
      </c>
      <c r="E189" s="7">
        <f t="shared" si="181"/>
        <v>0.369</v>
      </c>
      <c r="F189" s="7">
        <f t="shared" si="181"/>
        <v>0.2995</v>
      </c>
      <c r="G189" s="7">
        <f t="shared" si="181"/>
        <v>0.3995</v>
      </c>
      <c r="H189" s="7">
        <f t="shared" si="181"/>
        <v>0.2582</v>
      </c>
      <c r="I189" s="7">
        <f t="shared" si="181"/>
        <v>0.4582</v>
      </c>
      <c r="J189" s="7">
        <f t="shared" si="181"/>
        <v>0.2978</v>
      </c>
      <c r="K189" s="7">
        <f t="shared" si="181"/>
        <v>0.3978</v>
      </c>
      <c r="L189" s="7">
        <f t="shared" si="181"/>
        <v>0.2573</v>
      </c>
      <c r="M189" s="7">
        <f t="shared" si="181"/>
        <v>0.4573</v>
      </c>
      <c r="P189" s="6" t="s">
        <v>10</v>
      </c>
      <c r="Q189" s="7">
        <f t="shared" ref="Q189:AA189" si="182">C189-$C$183</f>
        <v>0.0557</v>
      </c>
      <c r="R189" s="7">
        <f t="shared" si="182"/>
        <v>0.0727</v>
      </c>
      <c r="S189" s="7">
        <f t="shared" si="182"/>
        <v>0.0827</v>
      </c>
      <c r="T189" s="7">
        <f t="shared" si="182"/>
        <v>0.0132</v>
      </c>
      <c r="U189" s="7">
        <f t="shared" si="182"/>
        <v>0.1132</v>
      </c>
      <c r="V189" s="7">
        <f t="shared" si="182"/>
        <v>-0.0281</v>
      </c>
      <c r="W189" s="7">
        <f t="shared" si="182"/>
        <v>0.1719</v>
      </c>
      <c r="X189" s="7">
        <f t="shared" si="182"/>
        <v>0.0115</v>
      </c>
      <c r="Y189" s="7">
        <f t="shared" si="182"/>
        <v>0.1115</v>
      </c>
      <c r="Z189" s="7">
        <f t="shared" si="182"/>
        <v>-0.029</v>
      </c>
      <c r="AA189" s="7">
        <f t="shared" si="182"/>
        <v>0.171</v>
      </c>
    </row>
    <row r="190">
      <c r="C190" s="7"/>
      <c r="Q190" s="7"/>
    </row>
    <row r="191">
      <c r="A191" s="1" t="s">
        <v>315</v>
      </c>
      <c r="B191" s="2" t="s">
        <v>1</v>
      </c>
      <c r="O191" s="1" t="s">
        <v>316</v>
      </c>
      <c r="P191" s="2" t="s">
        <v>1</v>
      </c>
    </row>
    <row r="192">
      <c r="A192" s="4" t="s">
        <v>3</v>
      </c>
      <c r="B192" s="5"/>
      <c r="C192" s="6" t="s">
        <v>4</v>
      </c>
      <c r="D192" s="6" t="s">
        <v>5</v>
      </c>
      <c r="E192" s="6" t="s">
        <v>6</v>
      </c>
      <c r="F192" s="6" t="s">
        <v>84</v>
      </c>
      <c r="G192" s="6" t="s">
        <v>85</v>
      </c>
      <c r="H192" s="6" t="s">
        <v>86</v>
      </c>
      <c r="I192" s="6" t="s">
        <v>87</v>
      </c>
      <c r="J192" s="6" t="s">
        <v>88</v>
      </c>
      <c r="K192" s="6" t="s">
        <v>89</v>
      </c>
      <c r="L192" s="6" t="s">
        <v>90</v>
      </c>
      <c r="M192" s="6" t="s">
        <v>91</v>
      </c>
      <c r="O192" s="4" t="s">
        <v>3</v>
      </c>
      <c r="P192" s="5"/>
      <c r="Q192" s="6" t="s">
        <v>4</v>
      </c>
      <c r="R192" s="6" t="s">
        <v>5</v>
      </c>
      <c r="S192" s="6" t="s">
        <v>6</v>
      </c>
      <c r="T192" s="6" t="s">
        <v>84</v>
      </c>
      <c r="U192" s="6" t="s">
        <v>85</v>
      </c>
      <c r="V192" s="6" t="s">
        <v>86</v>
      </c>
      <c r="W192" s="6" t="s">
        <v>87</v>
      </c>
      <c r="X192" s="6" t="s">
        <v>88</v>
      </c>
      <c r="Y192" s="6" t="s">
        <v>89</v>
      </c>
      <c r="Z192" s="6" t="s">
        <v>90</v>
      </c>
      <c r="AA192" s="6" t="s">
        <v>91</v>
      </c>
    </row>
    <row r="193">
      <c r="B193" s="6" t="s">
        <v>4</v>
      </c>
      <c r="C193" s="7">
        <f t="shared" ref="C193:M193" si="183">AVERAGE(C163, C173, C183)</f>
        <v>0.3202333333</v>
      </c>
      <c r="D193" s="7">
        <f t="shared" si="183"/>
        <v>0.3253</v>
      </c>
      <c r="E193" s="7">
        <f t="shared" si="183"/>
        <v>0.3355333333</v>
      </c>
      <c r="F193" s="7">
        <f t="shared" si="183"/>
        <v>0.2995</v>
      </c>
      <c r="G193" s="7">
        <f t="shared" si="183"/>
        <v>0.3994666667</v>
      </c>
      <c r="H193" s="7">
        <f t="shared" si="183"/>
        <v>0.2778</v>
      </c>
      <c r="I193" s="7">
        <f t="shared" si="183"/>
        <v>0.4778</v>
      </c>
      <c r="J193" s="7">
        <f t="shared" si="183"/>
        <v>0.2931</v>
      </c>
      <c r="K193" s="7">
        <f t="shared" si="183"/>
        <v>0.3931333333</v>
      </c>
      <c r="L193" s="7">
        <f t="shared" si="183"/>
        <v>0.2708333333</v>
      </c>
      <c r="M193" s="7">
        <f t="shared" si="183"/>
        <v>0.4708333333</v>
      </c>
      <c r="P193" s="6" t="s">
        <v>4</v>
      </c>
      <c r="Q193" s="7">
        <f t="shared" ref="Q193:AA193" si="184">C193-$C$193</f>
        <v>0</v>
      </c>
      <c r="R193" s="7">
        <f t="shared" si="184"/>
        <v>0.005066666667</v>
      </c>
      <c r="S193" s="7">
        <f t="shared" si="184"/>
        <v>0.0153</v>
      </c>
      <c r="T193" s="7">
        <f t="shared" si="184"/>
        <v>-0.02073333333</v>
      </c>
      <c r="U193" s="7">
        <f t="shared" si="184"/>
        <v>0.07923333333</v>
      </c>
      <c r="V193" s="7">
        <f t="shared" si="184"/>
        <v>-0.04243333333</v>
      </c>
      <c r="W193" s="7">
        <f t="shared" si="184"/>
        <v>0.1575666667</v>
      </c>
      <c r="X193" s="7">
        <f t="shared" si="184"/>
        <v>-0.02713333333</v>
      </c>
      <c r="Y193" s="7">
        <f t="shared" si="184"/>
        <v>0.0729</v>
      </c>
      <c r="Z193" s="7">
        <f t="shared" si="184"/>
        <v>-0.0494</v>
      </c>
      <c r="AA193" s="7">
        <f t="shared" si="184"/>
        <v>0.1506</v>
      </c>
    </row>
    <row r="194">
      <c r="B194" s="6" t="s">
        <v>5</v>
      </c>
      <c r="C194" s="7">
        <f t="shared" ref="C194:M194" si="185">AVERAGE(C164, C174, C184)</f>
        <v>0.3198333333</v>
      </c>
      <c r="D194" s="7">
        <f t="shared" si="185"/>
        <v>0.325</v>
      </c>
      <c r="E194" s="7">
        <f t="shared" si="185"/>
        <v>0.3336</v>
      </c>
      <c r="F194" s="7">
        <f t="shared" si="185"/>
        <v>0.2993</v>
      </c>
      <c r="G194" s="7">
        <f t="shared" si="185"/>
        <v>0.3993</v>
      </c>
      <c r="H194" s="7">
        <f t="shared" si="185"/>
        <v>0.2777</v>
      </c>
      <c r="I194" s="7">
        <f t="shared" si="185"/>
        <v>0.4777</v>
      </c>
      <c r="J194" s="7">
        <f t="shared" si="185"/>
        <v>0.2932666667</v>
      </c>
      <c r="K194" s="7">
        <f t="shared" si="185"/>
        <v>0.3933</v>
      </c>
      <c r="L194" s="7">
        <f t="shared" si="185"/>
        <v>0.2716666667</v>
      </c>
      <c r="M194" s="7">
        <f t="shared" si="185"/>
        <v>0.4717333333</v>
      </c>
      <c r="P194" s="6" t="s">
        <v>5</v>
      </c>
      <c r="Q194" s="7">
        <f t="shared" ref="Q194:AA194" si="186">C194-$C$193</f>
        <v>-0.0004</v>
      </c>
      <c r="R194" s="7">
        <f t="shared" si="186"/>
        <v>0.004766666667</v>
      </c>
      <c r="S194" s="7">
        <f t="shared" si="186"/>
        <v>0.01336666667</v>
      </c>
      <c r="T194" s="7">
        <f t="shared" si="186"/>
        <v>-0.02093333333</v>
      </c>
      <c r="U194" s="7">
        <f t="shared" si="186"/>
        <v>0.07906666667</v>
      </c>
      <c r="V194" s="7">
        <f t="shared" si="186"/>
        <v>-0.04253333333</v>
      </c>
      <c r="W194" s="7">
        <f t="shared" si="186"/>
        <v>0.1574666667</v>
      </c>
      <c r="X194" s="7">
        <f t="shared" si="186"/>
        <v>-0.02696666667</v>
      </c>
      <c r="Y194" s="7">
        <f t="shared" si="186"/>
        <v>0.07306666667</v>
      </c>
      <c r="Z194" s="7">
        <f t="shared" si="186"/>
        <v>-0.04856666667</v>
      </c>
      <c r="AA194" s="7">
        <f t="shared" si="186"/>
        <v>0.1515</v>
      </c>
    </row>
    <row r="195">
      <c r="B195" s="6" t="s">
        <v>6</v>
      </c>
      <c r="C195" s="7">
        <f t="shared" ref="C195:M195" si="187">AVERAGE(C165, C175, C185)</f>
        <v>0.3192666667</v>
      </c>
      <c r="D195" s="7">
        <f t="shared" si="187"/>
        <v>0.3230666667</v>
      </c>
      <c r="E195" s="7">
        <f t="shared" si="187"/>
        <v>0.3328</v>
      </c>
      <c r="F195" s="7">
        <f t="shared" si="187"/>
        <v>0.2988</v>
      </c>
      <c r="G195" s="7">
        <f t="shared" si="187"/>
        <v>0.3988333333</v>
      </c>
      <c r="H195" s="7">
        <f t="shared" si="187"/>
        <v>0.2774666667</v>
      </c>
      <c r="I195" s="7">
        <f t="shared" si="187"/>
        <v>0.4775</v>
      </c>
      <c r="J195" s="7">
        <f t="shared" si="187"/>
        <v>0.2923666667</v>
      </c>
      <c r="K195" s="7">
        <f t="shared" si="187"/>
        <v>0.3923666667</v>
      </c>
      <c r="L195" s="7">
        <f t="shared" si="187"/>
        <v>0.2696333333</v>
      </c>
      <c r="M195" s="7">
        <f t="shared" si="187"/>
        <v>0.4696</v>
      </c>
      <c r="P195" s="6" t="s">
        <v>6</v>
      </c>
      <c r="Q195" s="7">
        <f t="shared" ref="Q195:AA195" si="188">C195-$C$193</f>
        <v>-0.0009666666667</v>
      </c>
      <c r="R195" s="7">
        <f t="shared" si="188"/>
        <v>0.002833333333</v>
      </c>
      <c r="S195" s="7">
        <f t="shared" si="188"/>
        <v>0.01256666667</v>
      </c>
      <c r="T195" s="7">
        <f t="shared" si="188"/>
        <v>-0.02143333333</v>
      </c>
      <c r="U195" s="7">
        <f t="shared" si="188"/>
        <v>0.0786</v>
      </c>
      <c r="V195" s="7">
        <f t="shared" si="188"/>
        <v>-0.04276666667</v>
      </c>
      <c r="W195" s="7">
        <f t="shared" si="188"/>
        <v>0.1572666667</v>
      </c>
      <c r="X195" s="7">
        <f t="shared" si="188"/>
        <v>-0.02786666667</v>
      </c>
      <c r="Y195" s="7">
        <f t="shared" si="188"/>
        <v>0.07213333333</v>
      </c>
      <c r="Z195" s="7">
        <f t="shared" si="188"/>
        <v>-0.0506</v>
      </c>
      <c r="AA195" s="7">
        <f t="shared" si="188"/>
        <v>0.1493666667</v>
      </c>
    </row>
    <row r="196">
      <c r="B196" s="6" t="s">
        <v>7</v>
      </c>
      <c r="C196" s="7">
        <f t="shared" ref="C196:M196" si="189">AVERAGE(C166, C176, C186)</f>
        <v>0.3309666667</v>
      </c>
      <c r="D196" s="7">
        <f t="shared" si="189"/>
        <v>0.3365666667</v>
      </c>
      <c r="E196" s="7">
        <f t="shared" si="189"/>
        <v>0.3459333333</v>
      </c>
      <c r="F196" s="7">
        <f t="shared" si="189"/>
        <v>0.3059</v>
      </c>
      <c r="G196" s="7">
        <f t="shared" si="189"/>
        <v>0.4059666667</v>
      </c>
      <c r="H196" s="7">
        <f t="shared" si="189"/>
        <v>0.2806</v>
      </c>
      <c r="I196" s="7">
        <f t="shared" si="189"/>
        <v>0.4806</v>
      </c>
      <c r="J196" s="7">
        <f t="shared" si="189"/>
        <v>0.3005333333</v>
      </c>
      <c r="K196" s="7">
        <f t="shared" si="189"/>
        <v>0.4005666667</v>
      </c>
      <c r="L196" s="7">
        <f t="shared" si="189"/>
        <v>0.2742</v>
      </c>
      <c r="M196" s="7">
        <f t="shared" si="189"/>
        <v>0.4741666667</v>
      </c>
      <c r="P196" s="6" t="s">
        <v>7</v>
      </c>
      <c r="Q196" s="7">
        <f t="shared" ref="Q196:AA196" si="190">C196-$C$193</f>
        <v>0.01073333333</v>
      </c>
      <c r="R196" s="7">
        <f t="shared" si="190"/>
        <v>0.01633333333</v>
      </c>
      <c r="S196" s="7">
        <f t="shared" si="190"/>
        <v>0.0257</v>
      </c>
      <c r="T196" s="7">
        <f t="shared" si="190"/>
        <v>-0.01433333333</v>
      </c>
      <c r="U196" s="7">
        <f t="shared" si="190"/>
        <v>0.08573333333</v>
      </c>
      <c r="V196" s="7">
        <f t="shared" si="190"/>
        <v>-0.03963333333</v>
      </c>
      <c r="W196" s="7">
        <f t="shared" si="190"/>
        <v>0.1603666667</v>
      </c>
      <c r="X196" s="7">
        <f t="shared" si="190"/>
        <v>-0.0197</v>
      </c>
      <c r="Y196" s="7">
        <f t="shared" si="190"/>
        <v>0.08033333333</v>
      </c>
      <c r="Z196" s="7">
        <f t="shared" si="190"/>
        <v>-0.04603333333</v>
      </c>
      <c r="AA196" s="7">
        <f t="shared" si="190"/>
        <v>0.1539333333</v>
      </c>
    </row>
    <row r="197">
      <c r="B197" s="6" t="s">
        <v>8</v>
      </c>
      <c r="C197" s="7">
        <f t="shared" ref="C197:M197" si="191">AVERAGE(C167, C177, C187)</f>
        <v>0.3565666667</v>
      </c>
      <c r="D197" s="7">
        <f t="shared" si="191"/>
        <v>0.3631333333</v>
      </c>
      <c r="E197" s="7">
        <f t="shared" si="191"/>
        <v>0.3727333333</v>
      </c>
      <c r="F197" s="7">
        <f t="shared" si="191"/>
        <v>0.3197666667</v>
      </c>
      <c r="G197" s="7">
        <f t="shared" si="191"/>
        <v>0.4198</v>
      </c>
      <c r="H197" s="7">
        <f t="shared" si="191"/>
        <v>0.2836666667</v>
      </c>
      <c r="I197" s="7">
        <f t="shared" si="191"/>
        <v>0.4837666667</v>
      </c>
      <c r="J197" s="7">
        <f t="shared" si="191"/>
        <v>0.3156</v>
      </c>
      <c r="K197" s="7">
        <f t="shared" si="191"/>
        <v>0.4155666667</v>
      </c>
      <c r="L197" s="7">
        <f t="shared" si="191"/>
        <v>0.2776333333</v>
      </c>
      <c r="M197" s="7">
        <f t="shared" si="191"/>
        <v>0.4777</v>
      </c>
      <c r="P197" s="6" t="s">
        <v>8</v>
      </c>
      <c r="Q197" s="7">
        <f t="shared" ref="Q197:AA197" si="192">C197-$C$193</f>
        <v>0.03633333333</v>
      </c>
      <c r="R197" s="7">
        <f t="shared" si="192"/>
        <v>0.0429</v>
      </c>
      <c r="S197" s="7">
        <f t="shared" si="192"/>
        <v>0.0525</v>
      </c>
      <c r="T197" s="7">
        <f t="shared" si="192"/>
        <v>-0.0004666666667</v>
      </c>
      <c r="U197" s="7">
        <f t="shared" si="192"/>
        <v>0.09956666667</v>
      </c>
      <c r="V197" s="7">
        <f t="shared" si="192"/>
        <v>-0.03656666667</v>
      </c>
      <c r="W197" s="7">
        <f t="shared" si="192"/>
        <v>0.1635333333</v>
      </c>
      <c r="X197" s="7">
        <f t="shared" si="192"/>
        <v>-0.004633333333</v>
      </c>
      <c r="Y197" s="7">
        <f t="shared" si="192"/>
        <v>0.09533333333</v>
      </c>
      <c r="Z197" s="7">
        <f t="shared" si="192"/>
        <v>-0.0426</v>
      </c>
      <c r="AA197" s="7">
        <f t="shared" si="192"/>
        <v>0.1574666667</v>
      </c>
    </row>
    <row r="198">
      <c r="B198" s="6" t="s">
        <v>9</v>
      </c>
      <c r="C198" s="7">
        <f t="shared" ref="C198:M198" si="193">AVERAGE(C168, C178, C188)</f>
        <v>0.3328666667</v>
      </c>
      <c r="D198" s="7">
        <f t="shared" si="193"/>
        <v>0.3384333333</v>
      </c>
      <c r="E198" s="7">
        <f t="shared" si="193"/>
        <v>0.3478</v>
      </c>
      <c r="F198" s="7">
        <f t="shared" si="193"/>
        <v>0.3084666667</v>
      </c>
      <c r="G198" s="7">
        <f t="shared" si="193"/>
        <v>0.4085333333</v>
      </c>
      <c r="H198" s="7">
        <f t="shared" si="193"/>
        <v>0.2816333333</v>
      </c>
      <c r="I198" s="7">
        <f t="shared" si="193"/>
        <v>0.4816666667</v>
      </c>
      <c r="J198" s="7">
        <f t="shared" si="193"/>
        <v>0.3018333333</v>
      </c>
      <c r="K198" s="7">
        <f t="shared" si="193"/>
        <v>0.4018333333</v>
      </c>
      <c r="L198" s="7">
        <f t="shared" si="193"/>
        <v>0.275</v>
      </c>
      <c r="M198" s="7">
        <f t="shared" si="193"/>
        <v>0.4750333333</v>
      </c>
      <c r="P198" s="6" t="s">
        <v>9</v>
      </c>
      <c r="Q198" s="7">
        <f t="shared" ref="Q198:AA198" si="194">C198-$C$193</f>
        <v>0.01263333333</v>
      </c>
      <c r="R198" s="7">
        <f t="shared" si="194"/>
        <v>0.0182</v>
      </c>
      <c r="S198" s="7">
        <f t="shared" si="194"/>
        <v>0.02756666667</v>
      </c>
      <c r="T198" s="7">
        <f t="shared" si="194"/>
        <v>-0.01176666667</v>
      </c>
      <c r="U198" s="7">
        <f t="shared" si="194"/>
        <v>0.0883</v>
      </c>
      <c r="V198" s="7">
        <f t="shared" si="194"/>
        <v>-0.0386</v>
      </c>
      <c r="W198" s="7">
        <f t="shared" si="194"/>
        <v>0.1614333333</v>
      </c>
      <c r="X198" s="7">
        <f t="shared" si="194"/>
        <v>-0.0184</v>
      </c>
      <c r="Y198" s="7">
        <f t="shared" si="194"/>
        <v>0.0816</v>
      </c>
      <c r="Z198" s="7">
        <f t="shared" si="194"/>
        <v>-0.04523333333</v>
      </c>
      <c r="AA198" s="7">
        <f t="shared" si="194"/>
        <v>0.1548</v>
      </c>
    </row>
    <row r="199">
      <c r="B199" s="6" t="s">
        <v>10</v>
      </c>
      <c r="C199" s="7">
        <f t="shared" ref="C199:M199" si="195">AVERAGE(C169, C179, C189)</f>
        <v>0.3508666667</v>
      </c>
      <c r="D199" s="7">
        <f t="shared" si="195"/>
        <v>0.3565666667</v>
      </c>
      <c r="E199" s="7">
        <f t="shared" si="195"/>
        <v>0.3668</v>
      </c>
      <c r="F199" s="7">
        <f t="shared" si="195"/>
        <v>0.3178666667</v>
      </c>
      <c r="G199" s="7">
        <f t="shared" si="195"/>
        <v>0.4179</v>
      </c>
      <c r="H199" s="7">
        <f t="shared" si="195"/>
        <v>0.2857</v>
      </c>
      <c r="I199" s="7">
        <f t="shared" si="195"/>
        <v>0.4857333333</v>
      </c>
      <c r="J199" s="7">
        <f t="shared" si="195"/>
        <v>0.3127333333</v>
      </c>
      <c r="K199" s="7">
        <f t="shared" si="195"/>
        <v>0.4127333333</v>
      </c>
      <c r="L199" s="7">
        <f t="shared" si="195"/>
        <v>0.2782333333</v>
      </c>
      <c r="M199" s="7">
        <f t="shared" si="195"/>
        <v>0.4782333333</v>
      </c>
      <c r="P199" s="6" t="s">
        <v>10</v>
      </c>
      <c r="Q199" s="7">
        <f t="shared" ref="Q199:AA199" si="196">C199-$C$193</f>
        <v>0.03063333333</v>
      </c>
      <c r="R199" s="7">
        <f t="shared" si="196"/>
        <v>0.03633333333</v>
      </c>
      <c r="S199" s="7">
        <f t="shared" si="196"/>
        <v>0.04656666667</v>
      </c>
      <c r="T199" s="7">
        <f t="shared" si="196"/>
        <v>-0.002366666667</v>
      </c>
      <c r="U199" s="7">
        <f t="shared" si="196"/>
        <v>0.09766666667</v>
      </c>
      <c r="V199" s="7">
        <f t="shared" si="196"/>
        <v>-0.03453333333</v>
      </c>
      <c r="W199" s="7">
        <f t="shared" si="196"/>
        <v>0.1655</v>
      </c>
      <c r="X199" s="7">
        <f t="shared" si="196"/>
        <v>-0.0075</v>
      </c>
      <c r="Y199" s="7">
        <f t="shared" si="196"/>
        <v>0.0925</v>
      </c>
      <c r="Z199" s="7">
        <f t="shared" si="196"/>
        <v>-0.042</v>
      </c>
      <c r="AA199" s="7">
        <f t="shared" si="196"/>
        <v>0.158</v>
      </c>
    </row>
  </sheetData>
  <mergeCells count="80">
    <mergeCell ref="A102:A109"/>
    <mergeCell ref="O102:O109"/>
    <mergeCell ref="B111:M111"/>
    <mergeCell ref="P111:AA111"/>
    <mergeCell ref="O112:O119"/>
    <mergeCell ref="P121:AA121"/>
    <mergeCell ref="O122:O129"/>
    <mergeCell ref="P131:AA131"/>
    <mergeCell ref="B121:M121"/>
    <mergeCell ref="B131:M131"/>
    <mergeCell ref="A132:A139"/>
    <mergeCell ref="O132:O139"/>
    <mergeCell ref="P141:AA141"/>
    <mergeCell ref="A142:A149"/>
    <mergeCell ref="O142:O149"/>
    <mergeCell ref="P151:AA151"/>
    <mergeCell ref="B141:M141"/>
    <mergeCell ref="B151:M151"/>
    <mergeCell ref="A152:A159"/>
    <mergeCell ref="O152:O159"/>
    <mergeCell ref="P161:AA161"/>
    <mergeCell ref="A162:A169"/>
    <mergeCell ref="O162:O169"/>
    <mergeCell ref="P171:AA171"/>
    <mergeCell ref="B181:M181"/>
    <mergeCell ref="B191:M191"/>
    <mergeCell ref="A192:A199"/>
    <mergeCell ref="O192:O199"/>
    <mergeCell ref="B161:M161"/>
    <mergeCell ref="B171:M171"/>
    <mergeCell ref="A172:A179"/>
    <mergeCell ref="O172:O179"/>
    <mergeCell ref="P181:AA181"/>
    <mergeCell ref="A182:A189"/>
    <mergeCell ref="O182:O189"/>
    <mergeCell ref="P191:AA191"/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K92:K99"/>
    <mergeCell ref="B101:M101"/>
    <mergeCell ref="P101:AA101"/>
    <mergeCell ref="B71:I71"/>
    <mergeCell ref="B81:I81"/>
    <mergeCell ref="A82:A89"/>
    <mergeCell ref="K82:K89"/>
    <mergeCell ref="B91:I91"/>
    <mergeCell ref="L91:S91"/>
    <mergeCell ref="A92:A99"/>
    <mergeCell ref="A112:A119"/>
    <mergeCell ref="A122:A129"/>
  </mergeCells>
  <drawing r:id="rId1"/>
</worksheet>
</file>