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067A69C3-EF5E-4AF4-94E0-7836A1BB8827}" xr6:coauthVersionLast="46" xr6:coauthVersionMax="46" xr10:uidLastSave="{00000000-0000-0000-0000-000000000000}"/>
  <bookViews>
    <workbookView xWindow="810" yWindow="-120" windowWidth="19800" windowHeight="11760" tabRatio="891" activeTab="1" xr2:uid="{4039CB22-D2B2-482F-8C2E-AD24A08710BB}"/>
  </bookViews>
  <sheets>
    <sheet name="商品风险" sheetId="1" r:id="rId1"/>
    <sheet name="股权风险-lilian+geo" sheetId="2" r:id="rId2"/>
    <sheet name="股權分類-lilian" sheetId="8" r:id="rId3"/>
    <sheet name="非证券化信用利差风险" sheetId="4" r:id="rId4"/>
    <sheet name="证券化-关联性组合" sheetId="6" r:id="rId5"/>
    <sheet name="证券化-非关联性组合" sheetId="7" r:id="rId6"/>
    <sheet name="GIRR-delta-lilian" sheetId="5" r:id="rId7"/>
    <sheet name="Fx-curvature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2" i="7" l="1"/>
  <c r="K53" i="7"/>
  <c r="J53" i="7"/>
  <c r="J52" i="7"/>
  <c r="C53" i="7"/>
  <c r="D53" i="7"/>
  <c r="D52" i="7"/>
  <c r="C52" i="7"/>
  <c r="F22" i="7"/>
  <c r="F23" i="7"/>
  <c r="F24" i="7"/>
  <c r="F25" i="7"/>
  <c r="F26" i="7"/>
  <c r="F27" i="7"/>
  <c r="F28" i="7"/>
  <c r="F21" i="7"/>
  <c r="E19" i="8"/>
  <c r="E18" i="8"/>
  <c r="E17" i="8"/>
  <c r="E16" i="8"/>
  <c r="F20" i="7" l="1"/>
  <c r="F19" i="7"/>
  <c r="F18" i="7"/>
  <c r="F17" i="7"/>
  <c r="F16" i="7"/>
  <c r="F15" i="7"/>
  <c r="F14" i="7"/>
  <c r="F13" i="7"/>
  <c r="D45" i="6"/>
  <c r="B56" i="6" l="1"/>
  <c r="B60" i="4"/>
  <c r="K46" i="6"/>
  <c r="J46" i="6"/>
  <c r="K45" i="6"/>
  <c r="J45" i="6"/>
  <c r="D46" i="6"/>
  <c r="C46" i="6"/>
  <c r="C45" i="6"/>
  <c r="T28" i="2"/>
  <c r="T29" i="2"/>
  <c r="T30" i="2"/>
  <c r="T27" i="2"/>
  <c r="B36" i="2"/>
  <c r="J49" i="4"/>
  <c r="K49" i="4"/>
  <c r="K48" i="4"/>
  <c r="J48" i="4"/>
  <c r="C49" i="4"/>
  <c r="D49" i="4"/>
  <c r="D48" i="4"/>
  <c r="C48" i="4"/>
  <c r="C37" i="2" l="1"/>
  <c r="D36" i="2"/>
  <c r="AE21" i="3"/>
  <c r="AA21" i="3"/>
  <c r="AI21" i="3" s="1"/>
  <c r="Z21" i="3"/>
  <c r="AB21" i="3" s="1"/>
  <c r="AJ21" i="3" s="1"/>
  <c r="Y21" i="3"/>
  <c r="V21" i="3"/>
  <c r="T21" i="3"/>
  <c r="U21" i="3" s="1"/>
  <c r="W21" i="3" s="1"/>
  <c r="AH21" i="3" s="1"/>
  <c r="S21" i="3"/>
  <c r="AF21" i="3" s="1"/>
  <c r="R21" i="3"/>
  <c r="H21" i="3" s="1"/>
  <c r="Q21" i="3"/>
  <c r="P21" i="3"/>
  <c r="N21" i="3"/>
  <c r="AC21" i="3" s="1"/>
  <c r="L21" i="3"/>
  <c r="M21" i="3" s="1"/>
  <c r="O21" i="3" s="1"/>
  <c r="AD21" i="3" s="1"/>
  <c r="AG20" i="3"/>
  <c r="Y20" i="3"/>
  <c r="Z20" i="3" s="1"/>
  <c r="AB20" i="3" s="1"/>
  <c r="AJ20" i="3" s="1"/>
  <c r="W20" i="3"/>
  <c r="AH20" i="3" s="1"/>
  <c r="V20" i="3"/>
  <c r="U20" i="3"/>
  <c r="T20" i="3"/>
  <c r="P20" i="3"/>
  <c r="Q20" i="3" s="1"/>
  <c r="S20" i="3" s="1"/>
  <c r="AF20" i="3" s="1"/>
  <c r="O20" i="3"/>
  <c r="AD20" i="3" s="1"/>
  <c r="N20" i="3"/>
  <c r="AC20" i="3" s="1"/>
  <c r="I20" i="3" s="1"/>
  <c r="M20" i="3"/>
  <c r="L20" i="3"/>
  <c r="AA19" i="3"/>
  <c r="AI19" i="3" s="1"/>
  <c r="X19" i="3" s="1"/>
  <c r="Z19" i="3"/>
  <c r="AB19" i="3" s="1"/>
  <c r="AJ19" i="3" s="1"/>
  <c r="Y19" i="3"/>
  <c r="T19" i="3"/>
  <c r="V19" i="3" s="1"/>
  <c r="AG19" i="3" s="1"/>
  <c r="R19" i="3"/>
  <c r="AE19" i="3" s="1"/>
  <c r="P19" i="3"/>
  <c r="Q19" i="3" s="1"/>
  <c r="S19" i="3" s="1"/>
  <c r="AF19" i="3" s="1"/>
  <c r="L19" i="3"/>
  <c r="N19" i="3" s="1"/>
  <c r="AC19" i="3" s="1"/>
  <c r="AC18" i="3"/>
  <c r="AA18" i="3"/>
  <c r="AI18" i="3" s="1"/>
  <c r="Y18" i="3"/>
  <c r="Z18" i="3" s="1"/>
  <c r="AB18" i="3" s="1"/>
  <c r="AJ18" i="3" s="1"/>
  <c r="V18" i="3"/>
  <c r="U18" i="3"/>
  <c r="W18" i="3" s="1"/>
  <c r="AH18" i="3" s="1"/>
  <c r="T18" i="3"/>
  <c r="P18" i="3"/>
  <c r="R18" i="3" s="1"/>
  <c r="N18" i="3"/>
  <c r="M18" i="3"/>
  <c r="O18" i="3" s="1"/>
  <c r="AD18" i="3" s="1"/>
  <c r="L18" i="3"/>
  <c r="Y17" i="3"/>
  <c r="Z17" i="3" s="1"/>
  <c r="AB17" i="3" s="1"/>
  <c r="AJ17" i="3" s="1"/>
  <c r="P17" i="3"/>
  <c r="Q17" i="3" s="1"/>
  <c r="S17" i="3" s="1"/>
  <c r="AF17" i="3" s="1"/>
  <c r="N17" i="3"/>
  <c r="AC17" i="3" s="1"/>
  <c r="L17" i="3"/>
  <c r="M17" i="3" s="1"/>
  <c r="O17" i="3" s="1"/>
  <c r="P4" i="3"/>
  <c r="K20" i="3" l="1"/>
  <c r="G20" i="3" s="1"/>
  <c r="F21" i="3"/>
  <c r="AD17" i="3"/>
  <c r="I17" i="3"/>
  <c r="AE18" i="3"/>
  <c r="K21" i="3"/>
  <c r="K18" i="3"/>
  <c r="I18" i="3"/>
  <c r="H19" i="3"/>
  <c r="AA17" i="3"/>
  <c r="X18" i="3"/>
  <c r="J18" i="3" s="1"/>
  <c r="M19" i="3"/>
  <c r="O19" i="3" s="1"/>
  <c r="AD19" i="3" s="1"/>
  <c r="I19" i="3" s="1"/>
  <c r="J19" i="3" s="1"/>
  <c r="R20" i="3"/>
  <c r="AE20" i="3" s="1"/>
  <c r="H20" i="3" s="1"/>
  <c r="T17" i="3"/>
  <c r="Q18" i="3"/>
  <c r="S18" i="3" s="1"/>
  <c r="AF18" i="3" s="1"/>
  <c r="AA20" i="3"/>
  <c r="AI20" i="3" s="1"/>
  <c r="X20" i="3" s="1"/>
  <c r="J20" i="3" s="1"/>
  <c r="X21" i="3"/>
  <c r="J21" i="3" s="1"/>
  <c r="R17" i="3"/>
  <c r="U19" i="3"/>
  <c r="W19" i="3" s="1"/>
  <c r="AH19" i="3" s="1"/>
  <c r="K19" i="3" s="1"/>
  <c r="AG18" i="3"/>
  <c r="I21" i="3"/>
  <c r="AG21" i="3"/>
  <c r="G19" i="3" l="1"/>
  <c r="D19" i="3" s="1"/>
  <c r="AE17" i="3"/>
  <c r="H17" i="3"/>
  <c r="X17" i="3"/>
  <c r="J17" i="3" s="1"/>
  <c r="AI17" i="3"/>
  <c r="F19" i="3"/>
  <c r="V17" i="3"/>
  <c r="U17" i="3"/>
  <c r="W17" i="3" s="1"/>
  <c r="AH17" i="3" s="1"/>
  <c r="D20" i="3"/>
  <c r="B20" i="3"/>
  <c r="F20" i="3"/>
  <c r="E20" i="3" s="1"/>
  <c r="H18" i="3"/>
  <c r="F18" i="3" s="1"/>
  <c r="E18" i="3" s="1"/>
  <c r="G18" i="3"/>
  <c r="E21" i="3"/>
  <c r="B21" i="3"/>
  <c r="G21" i="3"/>
  <c r="D21" i="3" s="1"/>
  <c r="C21" i="3" s="1"/>
  <c r="H37" i="3" s="1"/>
  <c r="B19" i="3" l="1"/>
  <c r="E19" i="3"/>
  <c r="F17" i="3"/>
  <c r="E17" i="3" s="1"/>
  <c r="AG17" i="3"/>
  <c r="K17" i="3"/>
  <c r="G17" i="3" s="1"/>
  <c r="C27" i="3"/>
  <c r="G23" i="3"/>
  <c r="H23" i="3"/>
  <c r="C28" i="3"/>
  <c r="D18" i="3"/>
  <c r="C18" i="3" s="1"/>
  <c r="E34" i="3" s="1"/>
  <c r="B18" i="3"/>
  <c r="C20" i="3"/>
  <c r="G36" i="3" s="1"/>
  <c r="C19" i="3"/>
  <c r="F35" i="3" s="1"/>
  <c r="B17" i="3" l="1"/>
  <c r="D17" i="3"/>
  <c r="C17" i="3" s="1"/>
  <c r="D33" i="3" s="1"/>
  <c r="G37" i="3"/>
  <c r="C25" i="3"/>
  <c r="H34" i="3" s="1"/>
  <c r="E23" i="3"/>
  <c r="N37" i="3"/>
  <c r="N36" i="3"/>
  <c r="N35" i="3"/>
  <c r="N34" i="3"/>
  <c r="H36" i="3"/>
  <c r="C26" i="3"/>
  <c r="H35" i="3" s="1"/>
  <c r="F23" i="3"/>
  <c r="G34" i="3" l="1"/>
  <c r="F36" i="3"/>
  <c r="L37" i="3"/>
  <c r="F34" i="3"/>
  <c r="F33" i="3"/>
  <c r="F37" i="3"/>
  <c r="G35" i="3"/>
  <c r="E37" i="3"/>
  <c r="M37" i="3"/>
  <c r="E36" i="3"/>
  <c r="K33" i="3"/>
  <c r="K37" i="3"/>
  <c r="L36" i="3"/>
  <c r="E35" i="3"/>
  <c r="K36" i="3"/>
  <c r="M35" i="3"/>
  <c r="K35" i="3"/>
  <c r="M34" i="3"/>
  <c r="M33" i="3"/>
  <c r="L35" i="3"/>
  <c r="E33" i="3"/>
  <c r="L34" i="3"/>
  <c r="D23" i="3"/>
  <c r="C24" i="3"/>
  <c r="C35" i="2"/>
  <c r="H33" i="3" l="1"/>
  <c r="N33" i="3"/>
  <c r="G33" i="3"/>
  <c r="J34" i="3"/>
  <c r="D37" i="3"/>
  <c r="D36" i="3"/>
  <c r="J37" i="3"/>
  <c r="D35" i="3"/>
  <c r="J35" i="3"/>
  <c r="J39" i="3" s="1"/>
  <c r="J36" i="3"/>
  <c r="D34" i="3"/>
  <c r="L33" i="3"/>
  <c r="C3" i="2"/>
  <c r="C4" i="2"/>
  <c r="C5" i="2"/>
  <c r="C6" i="2"/>
  <c r="C7" i="2"/>
  <c r="C8" i="2"/>
  <c r="C9" i="2"/>
  <c r="C10" i="2"/>
  <c r="C11" i="2"/>
  <c r="C12" i="2"/>
  <c r="C13" i="2"/>
  <c r="C14" i="2"/>
  <c r="C2" i="2"/>
  <c r="B28" i="1"/>
  <c r="C28" i="1"/>
  <c r="D28" i="1"/>
  <c r="B29" i="1"/>
  <c r="C29" i="1"/>
  <c r="D29" i="1"/>
  <c r="C27" i="1"/>
  <c r="D27" i="1"/>
  <c r="B27" i="1"/>
  <c r="C39" i="3" l="1"/>
</calcChain>
</file>

<file path=xl/sharedStrings.xml><?xml version="1.0" encoding="utf-8"?>
<sst xmlns="http://schemas.openxmlformats.org/spreadsheetml/2006/main" count="713" uniqueCount="254">
  <si>
    <t xml:space="preserve">A </t>
  </si>
  <si>
    <t>B</t>
  </si>
  <si>
    <t>C</t>
  </si>
  <si>
    <t>美国俄克拉荷马州</t>
  </si>
  <si>
    <t>布伦特原油</t>
  </si>
  <si>
    <t>法国勒阿佛尔</t>
  </si>
  <si>
    <t>西得克中质原油</t>
  </si>
  <si>
    <t>时间期限</t>
  </si>
  <si>
    <t>D</t>
  </si>
  <si>
    <t xml:space="preserve">假设我们对象存在4个合约 ， 规格如下 : </t>
  </si>
  <si>
    <t>风险组别合约序号</t>
  </si>
  <si>
    <t>交割地点</t>
  </si>
  <si>
    <t>交割基础商品</t>
  </si>
  <si>
    <t>电力</t>
  </si>
  <si>
    <t xml:space="preserve"> D 商品不是属于 A, B, C 三者的同一bucket , 所以分开计算</t>
  </si>
  <si>
    <t>rho(tenor)</t>
  </si>
  <si>
    <t>rho(cty)</t>
  </si>
  <si>
    <t>A</t>
  </si>
  <si>
    <t>rho</t>
  </si>
  <si>
    <t>rho(basis)</t>
  </si>
  <si>
    <t>风险组别 X</t>
  </si>
  <si>
    <t>E</t>
  </si>
  <si>
    <t>碳排放交易</t>
  </si>
  <si>
    <t xml:space="preserve"> E 商品不是属于 A, B, C 三者的同一bucket , 所以分开计算</t>
  </si>
  <si>
    <t>gamma XY之间</t>
  </si>
  <si>
    <t>如果第11风险组与其他风险组之间的相关系数 0%</t>
  </si>
  <si>
    <t>其他商品</t>
  </si>
  <si>
    <t>软饮料和其他农产品</t>
  </si>
  <si>
    <t>家畜和乳制品</t>
  </si>
  <si>
    <t>谷物和油料</t>
  </si>
  <si>
    <t>贵金属(含黄金)</t>
  </si>
  <si>
    <t>气体燃料</t>
  </si>
  <si>
    <t>金属-非贵金属</t>
  </si>
  <si>
    <t>货运</t>
  </si>
  <si>
    <t>能源-电力和碳交易</t>
  </si>
  <si>
    <t>能源-液体燃料</t>
  </si>
  <si>
    <t>能源-固体燃料</t>
  </si>
  <si>
    <t>相关系数</t>
  </si>
  <si>
    <t>商品风险组</t>
  </si>
  <si>
    <t>风险组序号</t>
  </si>
  <si>
    <t>风险权重</t>
  </si>
  <si>
    <t>股权即期价格风险权重</t>
  </si>
  <si>
    <t>股权回购利率风险权重</t>
  </si>
  <si>
    <t>rho(即期价格)</t>
  </si>
  <si>
    <t>市值</t>
  </si>
  <si>
    <t>经济体类别</t>
  </si>
  <si>
    <t>行业类别</t>
  </si>
  <si>
    <t>大市值</t>
  </si>
  <si>
    <t>新兴市场经济体</t>
  </si>
  <si>
    <t>消费品和消费服务、交通运输和仓储、公共管理和支持性服务、健康医疗、公共事业</t>
  </si>
  <si>
    <t>通信行业、工业</t>
  </si>
  <si>
    <t>基础材料、能源、农业、制造业、矿产和开采领域</t>
  </si>
  <si>
    <t>金融机构（包括政府支持金融机构）、房地产行业、科技行业</t>
  </si>
  <si>
    <t>发达经济体</t>
  </si>
  <si>
    <t>小市值</t>
  </si>
  <si>
    <t>Bucket间加总</t>
  </si>
  <si>
    <t>其他分组</t>
  </si>
  <si>
    <t>大市值，发达经济体的股票指数（无特定行业）</t>
  </si>
  <si>
    <t>其他股票指数（无特定行业）</t>
  </si>
  <si>
    <t>股权风险Delta分组 (以股权发行人进行)</t>
  </si>
  <si>
    <t>消费品</t>
  </si>
  <si>
    <t>交通</t>
  </si>
  <si>
    <t>rho(股权回购率)</t>
  </si>
  <si>
    <t>rho(即期价格;股权回购率)</t>
  </si>
  <si>
    <t>非同一个发行人</t>
  </si>
  <si>
    <t>同一个发行人</t>
  </si>
  <si>
    <t>gamma</t>
  </si>
  <si>
    <t>Data Input</t>
    <phoneticPr fontId="1" type="noConversion"/>
  </si>
  <si>
    <t>CCYPair</t>
  </si>
  <si>
    <t>Spot Rate</t>
  </si>
  <si>
    <t>Strike</t>
  </si>
  <si>
    <t>Vol</t>
  </si>
  <si>
    <t>Expiry</t>
  </si>
  <si>
    <t>rd</t>
  </si>
  <si>
    <t>rf</t>
  </si>
  <si>
    <t>Call?</t>
  </si>
  <si>
    <t>Notional</t>
  </si>
  <si>
    <t>RW</t>
  </si>
  <si>
    <t>CNY/USD</t>
  </si>
  <si>
    <t>CNY/GBP</t>
  </si>
  <si>
    <t>CNY/EUR</t>
  </si>
  <si>
    <t>CNY/JPY</t>
  </si>
  <si>
    <t>CNY/HKD</t>
  </si>
  <si>
    <t>我們現在先算一筆</t>
    <phoneticPr fontId="1" type="noConversion"/>
  </si>
  <si>
    <t>sb</t>
  </si>
  <si>
    <t>kb</t>
  </si>
  <si>
    <t>kb-</t>
  </si>
  <si>
    <t>kb+</t>
  </si>
  <si>
    <t>cvr+</t>
  </si>
  <si>
    <t>cvr-</t>
  </si>
  <si>
    <t>VW+</t>
  </si>
  <si>
    <t>V0</t>
  </si>
  <si>
    <t>Sk</t>
  </si>
  <si>
    <t>VW-</t>
  </si>
  <si>
    <t>d1</t>
  </si>
  <si>
    <t>d2</t>
  </si>
  <si>
    <t>N(d1)</t>
  </si>
  <si>
    <t>N(d2)</t>
  </si>
  <si>
    <t>d1 +</t>
  </si>
  <si>
    <t>d2 +</t>
  </si>
  <si>
    <t>N(d1+)</t>
  </si>
  <si>
    <t>N(d2+)</t>
  </si>
  <si>
    <t>d1 -</t>
  </si>
  <si>
    <t>d2 -</t>
  </si>
  <si>
    <t>N(d1-)</t>
  </si>
  <si>
    <t>N(d2-)</t>
  </si>
  <si>
    <t>Fx(1+tweak)</t>
  </si>
  <si>
    <t>d1 tweak</t>
  </si>
  <si>
    <t>d2 tweak</t>
  </si>
  <si>
    <t>N(d1 tweak)</t>
  </si>
  <si>
    <t>N(d2 tweak)</t>
  </si>
  <si>
    <t>N(-d1)</t>
  </si>
  <si>
    <t>N(-d2)</t>
  </si>
  <si>
    <t>N(-d1+)</t>
  </si>
  <si>
    <t>N(-d2+)</t>
  </si>
  <si>
    <t>N(-d1-)</t>
  </si>
  <si>
    <t>N(-d2-)</t>
  </si>
  <si>
    <t>N(-d1 tweak)</t>
  </si>
  <si>
    <t>N(-d2 tweak)</t>
  </si>
  <si>
    <t>by geo</t>
  </si>
  <si>
    <t>phi</t>
  </si>
  <si>
    <t>by steven code</t>
  </si>
  <si>
    <t xml:space="preserve">gamma </t>
  </si>
  <si>
    <t>curvature risk</t>
  </si>
  <si>
    <t>假设 B 是股权回购率</t>
  </si>
  <si>
    <t>CURVE1</t>
    <phoneticPr fontId="1" type="noConversion"/>
  </si>
  <si>
    <t>CURVE2</t>
    <phoneticPr fontId="1" type="noConversion"/>
  </si>
  <si>
    <t>curve2*curve2 * 100</t>
  </si>
  <si>
    <t>curve1*curve1*1</t>
  </si>
  <si>
    <t>curve1*curve2 * 0.99 * 1</t>
  </si>
  <si>
    <t>非证券化信用利差风险</t>
  </si>
  <si>
    <t>信用水平</t>
  </si>
  <si>
    <t>行业分类</t>
  </si>
  <si>
    <t>投资级别( IG）</t>
  </si>
  <si>
    <t>主权机构，包括中央银行、多边开发银行</t>
  </si>
  <si>
    <t>地方政府、政府支持非金融机构、教育机构、公共部门</t>
  </si>
  <si>
    <t>金融机构，包括政府支持的金融机构</t>
  </si>
  <si>
    <t>Bucket 间加总</t>
  </si>
  <si>
    <t>基础材料、能源、工业、农业、制造、矿产和开采领域</t>
  </si>
  <si>
    <t>消费品和服务、交通运输和仓储、公共管理和支持性服务</t>
  </si>
  <si>
    <t>信息科技、通信行业</t>
  </si>
  <si>
    <t>健康医疗、公用事业、专业技术领域</t>
  </si>
  <si>
    <t>资产担保债券</t>
  </si>
  <si>
    <t>高收益（HY）和（无评级）</t>
  </si>
  <si>
    <t>IG指数</t>
  </si>
  <si>
    <t>HY指数</t>
  </si>
  <si>
    <t>rho(name)</t>
  </si>
  <si>
    <t>发行人一致</t>
  </si>
  <si>
    <t>期限维度一致</t>
  </si>
  <si>
    <t>曲线一致</t>
  </si>
  <si>
    <t>Y</t>
  </si>
  <si>
    <t>N</t>
  </si>
  <si>
    <t>例子</t>
  </si>
  <si>
    <t>适用于1~15风险组</t>
  </si>
  <si>
    <t>F</t>
  </si>
  <si>
    <t xml:space="preserve">期限 </t>
  </si>
  <si>
    <t>利率曲线</t>
  </si>
  <si>
    <t>libor</t>
  </si>
  <si>
    <t>sofr</t>
  </si>
  <si>
    <t>适用于17,18风险组</t>
  </si>
  <si>
    <t>gamma(rating)</t>
  </si>
  <si>
    <t>gamma(sector)</t>
  </si>
  <si>
    <t>苹果</t>
  </si>
  <si>
    <t>谷歌</t>
  </si>
  <si>
    <t>债券</t>
  </si>
  <si>
    <t>CDS</t>
  </si>
  <si>
    <t>X</t>
  </si>
  <si>
    <t>FTSE 100</t>
  </si>
  <si>
    <t>US Tech 100</t>
  </si>
  <si>
    <t>风险组 X</t>
  </si>
  <si>
    <t>风险组 Y</t>
  </si>
  <si>
    <t>如果风险组X,Y均位于风险组1~15,且对应的信用水平不同 , 0.5 否则 1</t>
  </si>
  <si>
    <t>证券化-关联性组合</t>
  </si>
  <si>
    <t>信息科技</t>
  </si>
  <si>
    <t>基础材料</t>
  </si>
  <si>
    <t>发行人皆不相等</t>
  </si>
  <si>
    <t>证券化-非关联性组合</t>
  </si>
  <si>
    <t>资产类型</t>
  </si>
  <si>
    <t>高投资级别</t>
  </si>
  <si>
    <t>住房贷款抵押证券-优先级（RMBS-Prime)</t>
  </si>
  <si>
    <t>住房贷款抵押证券-中间级（RMBS-Mid-Prime)</t>
  </si>
  <si>
    <t>住房贷款抵押证券-次级（RMBS-Sub-Prime)</t>
  </si>
  <si>
    <t>商业房地产抵押贷款支持证券（CMBS)</t>
  </si>
  <si>
    <t>资产支持证券-学生贷款（ABS-Student Loans)</t>
  </si>
  <si>
    <t>资产支持证券-信用卡（ABS-Credit Cards)</t>
  </si>
  <si>
    <t>资产支持证券-汽车贷款（ABS-Auto)</t>
  </si>
  <si>
    <t>Bucket</t>
  </si>
  <si>
    <t>贷款抵押债券-非相关性交易组合(CLO non-CTP)</t>
  </si>
  <si>
    <t>投资级别(IG)</t>
  </si>
  <si>
    <t xml:space="preserve"> 高收益(HY)和无评级(NR)</t>
  </si>
  <si>
    <t>(1~8)* 1.25</t>
  </si>
  <si>
    <t>(1~8)* 1.75</t>
  </si>
  <si>
    <t>rho(tranche)</t>
  </si>
  <si>
    <t>商业房地产抵押贷款支持证券(CMBS)</t>
  </si>
  <si>
    <t>股权属性</t>
    <phoneticPr fontId="3" type="noConversion"/>
  </si>
  <si>
    <t>發行人</t>
    <phoneticPr fontId="3" type="noConversion"/>
  </si>
  <si>
    <t>Bucket</t>
    <phoneticPr fontId="3" type="noConversion"/>
  </si>
  <si>
    <t>Pkl</t>
    <phoneticPr fontId="3" type="noConversion"/>
  </si>
  <si>
    <t>產品標籤</t>
    <phoneticPr fontId="3" type="noConversion"/>
  </si>
  <si>
    <t>C/R+Bucket+LINE</t>
    <phoneticPr fontId="3" type="noConversion"/>
  </si>
  <si>
    <t>WSk&amp;WSl全部现货价格</t>
    <phoneticPr fontId="3" type="noConversion"/>
  </si>
  <si>
    <t>不拘</t>
    <phoneticPr fontId="3" type="noConversion"/>
  </si>
  <si>
    <t>Bucket1~4</t>
    <phoneticPr fontId="3" type="noConversion"/>
  </si>
  <si>
    <t>C01+LINE~C04+LINE</t>
    <phoneticPr fontId="3" type="noConversion"/>
  </si>
  <si>
    <t>场景1:</t>
    <phoneticPr fontId="3" type="noConversion"/>
  </si>
  <si>
    <t>Bucket 1~4</t>
    <phoneticPr fontId="3" type="noConversion"/>
  </si>
  <si>
    <t>都是现货价格</t>
    <phoneticPr fontId="3" type="noConversion"/>
  </si>
  <si>
    <t>Bucket5~8</t>
    <phoneticPr fontId="3" type="noConversion"/>
  </si>
  <si>
    <t>C05+LINE~C08+LINE</t>
    <phoneticPr fontId="3" type="noConversion"/>
  </si>
  <si>
    <t>C011</t>
    <phoneticPr fontId="3" type="noConversion"/>
  </si>
  <si>
    <t>C012</t>
    <phoneticPr fontId="3" type="noConversion"/>
  </si>
  <si>
    <t>C013</t>
    <phoneticPr fontId="3" type="noConversion"/>
  </si>
  <si>
    <t>Bucket9</t>
    <phoneticPr fontId="3" type="noConversion"/>
  </si>
  <si>
    <t>C09+LINE</t>
    <phoneticPr fontId="3" type="noConversion"/>
  </si>
  <si>
    <t>Bucket10</t>
    <phoneticPr fontId="3" type="noConversion"/>
  </si>
  <si>
    <t>C10+LINE</t>
    <phoneticPr fontId="3" type="noConversion"/>
  </si>
  <si>
    <t>Bucket12~13</t>
    <phoneticPr fontId="3" type="noConversion"/>
  </si>
  <si>
    <t>C12+LINE~CN13+LINE</t>
    <phoneticPr fontId="3" type="noConversion"/>
  </si>
  <si>
    <t>WSk&amp;WSlc全部是回购</t>
    <phoneticPr fontId="3" type="noConversion"/>
  </si>
  <si>
    <t>R01+LINE~R04+LINE</t>
    <phoneticPr fontId="3" type="noConversion"/>
  </si>
  <si>
    <t>场景2:</t>
    <phoneticPr fontId="3" type="noConversion"/>
  </si>
  <si>
    <t>Bucket 5~8</t>
    <phoneticPr fontId="3" type="noConversion"/>
  </si>
  <si>
    <t>R05+LINE~R08+LINE</t>
    <phoneticPr fontId="3" type="noConversion"/>
  </si>
  <si>
    <t>C041</t>
    <phoneticPr fontId="3" type="noConversion"/>
  </si>
  <si>
    <t>C042</t>
    <phoneticPr fontId="3" type="noConversion"/>
  </si>
  <si>
    <t>C043</t>
    <phoneticPr fontId="3" type="noConversion"/>
  </si>
  <si>
    <t>R09+LINE</t>
    <phoneticPr fontId="3" type="noConversion"/>
  </si>
  <si>
    <t>R10+LINE</t>
    <phoneticPr fontId="3" type="noConversion"/>
  </si>
  <si>
    <t>R12+LINE~RN13+LINE</t>
    <phoneticPr fontId="3" type="noConversion"/>
  </si>
  <si>
    <t>WSk&amp;WSl 一個是現貨一個是回購</t>
    <phoneticPr fontId="3" type="noConversion"/>
  </si>
  <si>
    <t>同一個</t>
    <phoneticPr fontId="3" type="noConversion"/>
  </si>
  <si>
    <t>不同</t>
    <phoneticPr fontId="3" type="noConversion"/>
  </si>
  <si>
    <t>场景3:</t>
    <phoneticPr fontId="3" type="noConversion"/>
  </si>
  <si>
    <t>C091</t>
    <phoneticPr fontId="3" type="noConversion"/>
  </si>
  <si>
    <t>C092</t>
    <phoneticPr fontId="3" type="noConversion"/>
  </si>
  <si>
    <t>C093</t>
    <phoneticPr fontId="3" type="noConversion"/>
  </si>
  <si>
    <t>场景4:</t>
    <phoneticPr fontId="3" type="noConversion"/>
  </si>
  <si>
    <t>Bucket 10</t>
    <phoneticPr fontId="3" type="noConversion"/>
  </si>
  <si>
    <t>C101</t>
    <phoneticPr fontId="3" type="noConversion"/>
  </si>
  <si>
    <t>C102</t>
    <phoneticPr fontId="3" type="noConversion"/>
  </si>
  <si>
    <t>C103</t>
    <phoneticPr fontId="3" type="noConversion"/>
  </si>
  <si>
    <t>场景5:</t>
    <phoneticPr fontId="3" type="noConversion"/>
  </si>
  <si>
    <t>要判斷發行人</t>
    <phoneticPr fontId="3" type="noConversion"/>
  </si>
  <si>
    <t>rho(即期:回購)</t>
    <phoneticPr fontId="3" type="noConversion"/>
  </si>
  <si>
    <t>R103</t>
    <phoneticPr fontId="3" type="noConversion"/>
  </si>
  <si>
    <t xml:space="preserve">場景1: </t>
    <phoneticPr fontId="3" type="noConversion"/>
  </si>
  <si>
    <t>Bucket 9</t>
    <phoneticPr fontId="3" type="noConversion"/>
  </si>
  <si>
    <t xml:space="preserve">場景2: </t>
  </si>
  <si>
    <t xml:space="preserve">場景3: </t>
  </si>
  <si>
    <t xml:space="preserve">場景4: </t>
  </si>
  <si>
    <t>证券化层级相同</t>
  </si>
  <si>
    <t>根据21.26 CTP securitisation tranches 不用算 vega</t>
  </si>
  <si>
    <t>MAR21.7</t>
  </si>
  <si>
    <t>lilian 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</si>
</sst>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00_ "/>
    <numFmt numFmtId="165" formatCode="0.000"/>
    <numFmt numFmtId="166" formatCode="0.0000"/>
    <numFmt numFmtId="167" formatCode="0.0%"/>
    <numFmt numFmtId="168" formatCode="0.0000%"/>
  </numFmts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D4D4D4"/>
      <name val="Calibri"/>
      <family val="2"/>
      <scheme val="minor"/>
    </font>
    <font>
      <sz val="11"/>
      <color rgb="FFD4D4D4"/>
      <name val="Calibri"/>
      <family val="2"/>
      <scheme val="minor"/>
    </font>
    <font>
      <b/>
      <sz val="11"/>
      <color theme="1"/>
      <name val="Calibri"/>
      <family val="1"/>
      <charset val="136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1E1E1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9" fontId="0" fillId="0" borderId="0" xfId="0" applyNumberFormat="1"/>
    <xf numFmtId="0" fontId="0" fillId="4" borderId="0" xfId="0" applyFill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" fillId="5" borderId="0" xfId="0" applyFont="1" applyFill="1" applyAlignment="1">
      <alignment horizontal="right" vertical="center" wrapText="1"/>
    </xf>
    <xf numFmtId="0" fontId="4" fillId="5" borderId="0" xfId="0" applyFont="1" applyFill="1" applyAlignment="1">
      <alignment horizontal="right" vertical="center" wrapText="1"/>
    </xf>
    <xf numFmtId="0" fontId="0" fillId="6" borderId="0" xfId="0" applyFill="1"/>
    <xf numFmtId="0" fontId="5" fillId="0" borderId="0" xfId="0" applyFont="1"/>
    <xf numFmtId="0" fontId="0" fillId="7" borderId="3" xfId="0" applyFill="1" applyBorder="1"/>
    <xf numFmtId="0" fontId="0" fillId="8" borderId="3" xfId="0" applyFill="1" applyBorder="1"/>
    <xf numFmtId="0" fontId="0" fillId="9" borderId="3" xfId="0" applyFill="1" applyBorder="1"/>
    <xf numFmtId="0" fontId="0" fillId="10" borderId="3" xfId="0" applyFill="1" applyBorder="1"/>
    <xf numFmtId="10" fontId="0" fillId="0" borderId="0" xfId="0" applyNumberFormat="1" applyAlignment="1">
      <alignment horizontal="center"/>
    </xf>
    <xf numFmtId="0" fontId="0" fillId="9" borderId="0" xfId="0" applyFill="1" applyAlignment="1">
      <alignment horizontal="center"/>
    </xf>
    <xf numFmtId="9" fontId="0" fillId="9" borderId="0" xfId="0" applyNumberFormat="1" applyFill="1" applyAlignment="1">
      <alignment horizontal="center"/>
    </xf>
    <xf numFmtId="10" fontId="0" fillId="9" borderId="0" xfId="0" applyNumberFormat="1" applyFill="1" applyAlignment="1">
      <alignment horizontal="center"/>
    </xf>
    <xf numFmtId="9" fontId="0" fillId="0" borderId="0" xfId="0" applyNumberFormat="1" applyFill="1" applyAlignment="1">
      <alignment horizontal="center"/>
    </xf>
    <xf numFmtId="10" fontId="0" fillId="0" borderId="0" xfId="0" applyNumberForma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/>
    <xf numFmtId="9" fontId="0" fillId="0" borderId="0" xfId="1" applyFont="1"/>
    <xf numFmtId="0" fontId="0" fillId="4" borderId="0" xfId="0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9" borderId="0" xfId="0" applyFill="1"/>
    <xf numFmtId="0" fontId="0" fillId="0" borderId="0" xfId="0" applyFill="1"/>
    <xf numFmtId="0" fontId="0" fillId="0" borderId="0" xfId="0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8" fontId="0" fillId="0" borderId="0" xfId="1" applyNumberFormat="1" applyFont="1"/>
    <xf numFmtId="0" fontId="0" fillId="0" borderId="0" xfId="0" applyAlignment="1">
      <alignment horizontal="center"/>
    </xf>
    <xf numFmtId="0" fontId="0" fillId="0" borderId="3" xfId="0" applyBorder="1"/>
    <xf numFmtId="9" fontId="0" fillId="0" borderId="3" xfId="0" applyNumberFormat="1" applyBorder="1"/>
    <xf numFmtId="0" fontId="0" fillId="4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3" xfId="0" applyNumberFormat="1" applyBorder="1"/>
    <xf numFmtId="168" fontId="0" fillId="0" borderId="3" xfId="0" applyNumberFormat="1" applyBorder="1"/>
    <xf numFmtId="0" fontId="0" fillId="0" borderId="0" xfId="0" applyFill="1" applyBorder="1" applyAlignment="1">
      <alignment horizontal="center"/>
    </xf>
    <xf numFmtId="9" fontId="0" fillId="0" borderId="3" xfId="1" applyFont="1" applyBorder="1"/>
    <xf numFmtId="0" fontId="0" fillId="4" borderId="3" xfId="0" applyFill="1" applyBorder="1"/>
    <xf numFmtId="9" fontId="0" fillId="4" borderId="3" xfId="0" applyNumberFormat="1" applyFill="1" applyBorder="1"/>
    <xf numFmtId="9" fontId="0" fillId="4" borderId="3" xfId="1" applyFont="1" applyFill="1" applyBorder="1"/>
    <xf numFmtId="10" fontId="0" fillId="4" borderId="3" xfId="0" applyNumberFormat="1" applyFill="1" applyBorder="1"/>
    <xf numFmtId="0" fontId="0" fillId="11" borderId="3" xfId="0" applyFill="1" applyBorder="1"/>
    <xf numFmtId="0" fontId="0" fillId="2" borderId="3" xfId="0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0" fontId="0" fillId="2" borderId="3" xfId="0" applyFill="1" applyBorder="1" applyAlignment="1">
      <alignment horizontal="right" vertical="center" wrapText="1"/>
    </xf>
    <xf numFmtId="165" fontId="0" fillId="0" borderId="3" xfId="0" applyNumberFormat="1" applyBorder="1"/>
    <xf numFmtId="164" fontId="0" fillId="0" borderId="3" xfId="0" applyNumberFormat="1" applyBorder="1"/>
    <xf numFmtId="166" fontId="0" fillId="0" borderId="3" xfId="0" applyNumberFormat="1" applyBorder="1"/>
    <xf numFmtId="0" fontId="0" fillId="2" borderId="3" xfId="0" applyFill="1" applyBorder="1"/>
    <xf numFmtId="165" fontId="0" fillId="2" borderId="3" xfId="0" applyNumberFormat="1" applyFill="1" applyBorder="1"/>
    <xf numFmtId="166" fontId="0" fillId="2" borderId="3" xfId="0" applyNumberFormat="1" applyFill="1" applyBorder="1"/>
    <xf numFmtId="2" fontId="0" fillId="2" borderId="3" xfId="0" applyNumberFormat="1" applyFill="1" applyBorder="1"/>
    <xf numFmtId="2" fontId="0" fillId="0" borderId="3" xfId="0" applyNumberFormat="1" applyBorder="1"/>
    <xf numFmtId="0" fontId="0" fillId="3" borderId="3" xfId="0" applyFill="1" applyBorder="1"/>
    <xf numFmtId="0" fontId="0" fillId="0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114300</xdr:colOff>
      <xdr:row>23</xdr:row>
      <xdr:rowOff>142875</xdr:rowOff>
    </xdr:from>
    <xdr:to>
      <xdr:col>18</xdr:col>
      <xdr:colOff>199096</xdr:colOff>
      <xdr:row>37</xdr:row>
      <xdr:rowOff>37780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D81FAC-C943-4EE6-AB09-7E22D276E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67950" y="4524375"/>
          <a:ext cx="7428571" cy="25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139699</xdr:colOff>
      <xdr:row>3</xdr:row>
      <xdr:rowOff>95250</xdr:rowOff>
    </xdr:from>
    <xdr:to>
      <xdr:col>1</xdr:col>
      <xdr:colOff>619124</xdr:colOff>
      <xdr:row>21</xdr:row>
      <xdr:rowOff>104775</xdr:rowOff>
    </xdr:to>
    <xdr:sp macro="" textlink="">
      <xdr:nvSpPr>
        <xdr:cNvPr id="2" name="Left Brace 1">
          <a:extLst>
            <a:ext uri="{FF2B5EF4-FFF2-40B4-BE49-F238E27FC236}">
              <a16:creationId xmlns:a16="http://schemas.microsoft.com/office/drawing/2014/main" id="{19B2646E-3147-43C8-BE75-1D3D947884B6}"/>
            </a:ext>
          </a:extLst>
        </xdr:cNvPr>
        <xdr:cNvSpPr/>
      </xdr:nvSpPr>
      <xdr:spPr>
        <a:xfrm>
          <a:off x="1025524" y="666750"/>
          <a:ext cx="479425" cy="34385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276225</xdr:colOff>
      <xdr:row>55</xdr:row>
      <xdr:rowOff>142875</xdr:rowOff>
    </xdr:from>
    <xdr:to>
      <xdr:col>6</xdr:col>
      <xdr:colOff>151762</xdr:colOff>
      <xdr:row>68</xdr:row>
      <xdr:rowOff>56851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76EA52-8FE4-46C4-B952-C0315B2D3A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81625" y="10239375"/>
          <a:ext cx="5104762" cy="23904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3</xdr:row>
      <xdr:rowOff>57150</xdr:rowOff>
    </xdr:from>
    <xdr:to>
      <xdr:col>1</xdr:col>
      <xdr:colOff>469900</xdr:colOff>
      <xdr:row>19</xdr:row>
      <xdr:rowOff>66675</xdr:rowOff>
    </xdr:to>
    <xdr:sp macro="" textlink="">
      <xdr:nvSpPr>
        <xdr:cNvPr id="2" name="Left Brace 1">
          <a:extLst>
            <a:ext uri="{FF2B5EF4-FFF2-40B4-BE49-F238E27FC236}">
              <a16:creationId xmlns:a16="http://schemas.microsoft.com/office/drawing/2014/main" id="{106A4E63-C392-4EA3-8EE8-9986A9FBA711}"/>
            </a:ext>
          </a:extLst>
        </xdr:cNvPr>
        <xdr:cNvSpPr/>
      </xdr:nvSpPr>
      <xdr:spPr>
        <a:xfrm>
          <a:off x="600075" y="628650"/>
          <a:ext cx="479425" cy="30575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276225</xdr:colOff>
      <xdr:row>51</xdr:row>
      <xdr:rowOff>142875</xdr:rowOff>
    </xdr:from>
    <xdr:to>
      <xdr:col>5</xdr:col>
      <xdr:colOff>913762</xdr:colOff>
      <xdr:row>64</xdr:row>
      <xdr:rowOff>56851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3398338-2938-46B8-BBA4-8029C94985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81625" y="10620375"/>
          <a:ext cx="5104762" cy="23904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3</xdr:row>
      <xdr:rowOff>76200</xdr:rowOff>
    </xdr:from>
    <xdr:to>
      <xdr:col>1</xdr:col>
      <xdr:colOff>431800</xdr:colOff>
      <xdr:row>28</xdr:row>
      <xdr:rowOff>177800</xdr:rowOff>
    </xdr:to>
    <xdr:sp macro="" textlink="">
      <xdr:nvSpPr>
        <xdr:cNvPr id="2" name="Left Brace 1">
          <a:extLst>
            <a:ext uri="{FF2B5EF4-FFF2-40B4-BE49-F238E27FC236}">
              <a16:creationId xmlns:a16="http://schemas.microsoft.com/office/drawing/2014/main" id="{F0CBBECD-D746-4EF3-9FA2-D6476A715DD3}"/>
            </a:ext>
          </a:extLst>
        </xdr:cNvPr>
        <xdr:cNvSpPr/>
      </xdr:nvSpPr>
      <xdr:spPr>
        <a:xfrm>
          <a:off x="863600" y="876300"/>
          <a:ext cx="406400" cy="51022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482958</xdr:colOff>
      <xdr:row>1</xdr:row>
      <xdr:rowOff>40249</xdr:rowOff>
    </xdr:from>
    <xdr:to>
      <xdr:col>13</xdr:col>
      <xdr:colOff>281726</xdr:colOff>
      <xdr:row>15</xdr:row>
      <xdr:rowOff>131608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2DBE37-BCC7-4FF4-AB89-CF3965FD7B6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767" t="39131" r="7739" b="9871"/>
        <a:stretch/>
      </xdr:blipFill>
      <xdr:spPr>
        <a:xfrm>
          <a:off x="482958" y="230749"/>
          <a:ext cx="7723568" cy="2653584"/>
        </a:xfrm>
        <a:prstGeom prst="rect">
          <a:avLst/>
        </a:prstGeom>
      </xdr:spPr>
    </xdr:pic>
    <xdr:clientData/>
  </xdr:twoCellAnchor>
  <xdr:twoCellAnchor>
    <xdr:from>
      <xdr:col>0</xdr:col>
      <xdr:colOff>348803</xdr:colOff>
      <xdr:row>12</xdr:row>
      <xdr:rowOff>147570</xdr:rowOff>
    </xdr:from>
    <xdr:to>
      <xdr:col>13</xdr:col>
      <xdr:colOff>576867</xdr:colOff>
      <xdr:row>15</xdr:row>
      <xdr:rowOff>134155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72931517-92BD-4B23-B0CD-A055EA69AB2B}"/>
            </a:ext>
          </a:extLst>
        </xdr:cNvPr>
        <xdr:cNvSpPr/>
      </xdr:nvSpPr>
      <xdr:spPr>
        <a:xfrm>
          <a:off x="348803" y="2433570"/>
          <a:ext cx="8152864" cy="55808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16</xdr:col>
      <xdr:colOff>289668</xdr:colOff>
      <xdr:row>5</xdr:row>
      <xdr:rowOff>40246</xdr:rowOff>
    </xdr:from>
    <xdr:to>
      <xdr:col>17</xdr:col>
      <xdr:colOff>53662</xdr:colOff>
      <xdr:row>15</xdr:row>
      <xdr:rowOff>160986</xdr:rowOff>
    </xdr:to>
    <xdr:sp macro="" textlink="">
      <xdr:nvSpPr>
        <xdr:cNvPr id="4" name="Left Brace 3">
          <a:extLst>
            <a:ext uri="{FF2B5EF4-FFF2-40B4-BE49-F238E27FC236}">
              <a16:creationId xmlns:a16="http://schemas.microsoft.com/office/drawing/2014/main" id="{73DA82DF-9E16-4410-BF38-9373D86072E8}"/>
            </a:ext>
          </a:extLst>
        </xdr:cNvPr>
        <xdr:cNvSpPr/>
      </xdr:nvSpPr>
      <xdr:spPr>
        <a:xfrm>
          <a:off x="10043268" y="992746"/>
          <a:ext cx="373594" cy="202574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16</xdr:col>
      <xdr:colOff>307913</xdr:colOff>
      <xdr:row>16</xdr:row>
      <xdr:rowOff>18245</xdr:rowOff>
    </xdr:from>
    <xdr:to>
      <xdr:col>16</xdr:col>
      <xdr:colOff>590282</xdr:colOff>
      <xdr:row>25</xdr:row>
      <xdr:rowOff>187817</xdr:rowOff>
    </xdr:to>
    <xdr:sp macro="" textlink="">
      <xdr:nvSpPr>
        <xdr:cNvPr id="5" name="Left Brace 4">
          <a:extLst>
            <a:ext uri="{FF2B5EF4-FFF2-40B4-BE49-F238E27FC236}">
              <a16:creationId xmlns:a16="http://schemas.microsoft.com/office/drawing/2014/main" id="{8BBD11C2-D31B-44C2-9EBF-1C48C4A9AFEE}"/>
            </a:ext>
          </a:extLst>
        </xdr:cNvPr>
        <xdr:cNvSpPr/>
      </xdr:nvSpPr>
      <xdr:spPr>
        <a:xfrm>
          <a:off x="10061513" y="3066245"/>
          <a:ext cx="282369" cy="1884072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17</xdr:col>
      <xdr:colOff>592373</xdr:colOff>
      <xdr:row>3</xdr:row>
      <xdr:rowOff>2094</xdr:rowOff>
    </xdr:from>
    <xdr:to>
      <xdr:col>27</xdr:col>
      <xdr:colOff>563452</xdr:colOff>
      <xdr:row>4</xdr:row>
      <xdr:rowOff>174400</xdr:rowOff>
    </xdr:to>
    <xdr:sp macro="" textlink="">
      <xdr:nvSpPr>
        <xdr:cNvPr id="6" name="Left Brace 5">
          <a:extLst>
            <a:ext uri="{FF2B5EF4-FFF2-40B4-BE49-F238E27FC236}">
              <a16:creationId xmlns:a16="http://schemas.microsoft.com/office/drawing/2014/main" id="{BF033C12-5A6B-44DB-97E0-A2D626823409}"/>
            </a:ext>
          </a:extLst>
        </xdr:cNvPr>
        <xdr:cNvSpPr/>
      </xdr:nvSpPr>
      <xdr:spPr>
        <a:xfrm rot="5400000">
          <a:off x="13807710" y="-2278543"/>
          <a:ext cx="362806" cy="6067079"/>
        </a:xfrm>
        <a:prstGeom prst="leftBrace">
          <a:avLst>
            <a:gd name="adj1" fmla="val 0"/>
            <a:gd name="adj2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27</xdr:col>
      <xdr:colOff>583787</xdr:colOff>
      <xdr:row>3</xdr:row>
      <xdr:rowOff>20339</xdr:rowOff>
    </xdr:from>
    <xdr:to>
      <xdr:col>37</xdr:col>
      <xdr:colOff>554866</xdr:colOff>
      <xdr:row>4</xdr:row>
      <xdr:rowOff>192645</xdr:rowOff>
    </xdr:to>
    <xdr:sp macro="" textlink="">
      <xdr:nvSpPr>
        <xdr:cNvPr id="7" name="Left Brace 6">
          <a:extLst>
            <a:ext uri="{FF2B5EF4-FFF2-40B4-BE49-F238E27FC236}">
              <a16:creationId xmlns:a16="http://schemas.microsoft.com/office/drawing/2014/main" id="{3273A6DD-73AE-41BA-93B4-372439465C21}"/>
            </a:ext>
          </a:extLst>
        </xdr:cNvPr>
        <xdr:cNvSpPr/>
      </xdr:nvSpPr>
      <xdr:spPr>
        <a:xfrm rot="5400000">
          <a:off x="19895124" y="-2260298"/>
          <a:ext cx="362806" cy="6067079"/>
        </a:xfrm>
        <a:prstGeom prst="leftBrace">
          <a:avLst>
            <a:gd name="adj1" fmla="val 0"/>
            <a:gd name="adj2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</xdr:colOff>
      <xdr:row>8</xdr:row>
      <xdr:rowOff>95288</xdr:rowOff>
    </xdr:from>
    <xdr:to>
      <xdr:col>10</xdr:col>
      <xdr:colOff>466725</xdr:colOff>
      <xdr:row>14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FB2BBD-226E-4146-A726-988733F98B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141" t="47141" r="18193" b="25382"/>
        <a:stretch/>
      </xdr:blipFill>
      <xdr:spPr>
        <a:xfrm>
          <a:off x="5219700" y="1638338"/>
          <a:ext cx="5429250" cy="11048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A4D70-3154-4D8D-B5A3-9CAD5A25C683}">
  <dimension ref="A1:S32"/>
  <sheetViews>
    <sheetView workbookViewId="0">
      <selection activeCell="I16" sqref="I16"/>
    </sheetView>
  </sheetViews>
  <sheetFormatPr defaultRowHeight="15"/>
  <cols>
    <col min="1" max="1" width="15.42578125" customWidth="1"/>
    <col min="2" max="2" width="18.5703125" customWidth="1"/>
    <col min="13" max="13" width="14.42578125" customWidth="1"/>
    <col min="14" max="14" width="14" customWidth="1"/>
    <col min="17" max="17" width="15.140625" customWidth="1"/>
    <col min="18" max="18" width="17.42578125" customWidth="1"/>
  </cols>
  <sheetData>
    <row r="1" spans="1:19">
      <c r="A1" t="s">
        <v>9</v>
      </c>
    </row>
    <row r="2" spans="1:19">
      <c r="A2" t="s">
        <v>10</v>
      </c>
      <c r="B2" t="s">
        <v>11</v>
      </c>
      <c r="C2" t="s">
        <v>7</v>
      </c>
      <c r="D2" t="s">
        <v>12</v>
      </c>
    </row>
    <row r="3" spans="1:19">
      <c r="A3" t="s">
        <v>0</v>
      </c>
      <c r="B3" t="s">
        <v>3</v>
      </c>
      <c r="C3">
        <v>1</v>
      </c>
      <c r="D3" t="s">
        <v>6</v>
      </c>
      <c r="M3" s="5" t="s">
        <v>39</v>
      </c>
      <c r="N3" s="5" t="s">
        <v>38</v>
      </c>
      <c r="O3" s="5" t="s">
        <v>40</v>
      </c>
      <c r="Q3" s="5" t="s">
        <v>39</v>
      </c>
      <c r="R3" s="5" t="s">
        <v>38</v>
      </c>
      <c r="S3" s="5" t="s">
        <v>37</v>
      </c>
    </row>
    <row r="4" spans="1:19">
      <c r="A4" t="s">
        <v>1</v>
      </c>
      <c r="B4" t="s">
        <v>5</v>
      </c>
      <c r="C4">
        <v>5</v>
      </c>
      <c r="D4" t="s">
        <v>4</v>
      </c>
      <c r="M4">
        <v>1</v>
      </c>
      <c r="N4" t="s">
        <v>36</v>
      </c>
      <c r="O4" s="4">
        <v>0.3</v>
      </c>
      <c r="Q4">
        <v>1</v>
      </c>
      <c r="R4" t="s">
        <v>36</v>
      </c>
      <c r="S4" s="4">
        <v>0.55000000000000004</v>
      </c>
    </row>
    <row r="5" spans="1:19">
      <c r="A5" t="s">
        <v>2</v>
      </c>
      <c r="B5" t="s">
        <v>3</v>
      </c>
      <c r="C5">
        <v>2</v>
      </c>
      <c r="D5" t="s">
        <v>4</v>
      </c>
      <c r="M5">
        <v>2</v>
      </c>
      <c r="N5" t="s">
        <v>35</v>
      </c>
      <c r="O5" s="4">
        <v>0.35</v>
      </c>
      <c r="Q5">
        <v>2</v>
      </c>
      <c r="R5" t="s">
        <v>35</v>
      </c>
      <c r="S5" s="4">
        <v>0.95</v>
      </c>
    </row>
    <row r="6" spans="1:19">
      <c r="A6" t="s">
        <v>8</v>
      </c>
      <c r="B6" t="s">
        <v>3</v>
      </c>
      <c r="C6">
        <v>2</v>
      </c>
      <c r="D6" t="s">
        <v>13</v>
      </c>
      <c r="F6" s="1" t="s">
        <v>14</v>
      </c>
      <c r="M6">
        <v>3</v>
      </c>
      <c r="N6" t="s">
        <v>34</v>
      </c>
      <c r="O6" s="4">
        <v>0.6</v>
      </c>
      <c r="Q6">
        <v>3</v>
      </c>
      <c r="R6" t="s">
        <v>34</v>
      </c>
      <c r="S6" s="4">
        <v>0.4</v>
      </c>
    </row>
    <row r="7" spans="1:19">
      <c r="A7" t="s">
        <v>21</v>
      </c>
      <c r="B7" t="s">
        <v>5</v>
      </c>
      <c r="C7">
        <v>3</v>
      </c>
      <c r="D7" t="s">
        <v>22</v>
      </c>
      <c r="F7" s="1" t="s">
        <v>23</v>
      </c>
      <c r="M7">
        <v>4</v>
      </c>
      <c r="N7" t="s">
        <v>33</v>
      </c>
      <c r="O7" s="4">
        <v>0.8</v>
      </c>
      <c r="Q7">
        <v>4</v>
      </c>
      <c r="R7" t="s">
        <v>33</v>
      </c>
      <c r="S7" s="4">
        <v>0.8</v>
      </c>
    </row>
    <row r="8" spans="1:19">
      <c r="F8" s="1"/>
      <c r="M8">
        <v>5</v>
      </c>
      <c r="N8" t="s">
        <v>32</v>
      </c>
      <c r="O8" s="4">
        <v>0.4</v>
      </c>
      <c r="Q8">
        <v>5</v>
      </c>
      <c r="R8" t="s">
        <v>32</v>
      </c>
      <c r="S8" s="4">
        <v>0.6</v>
      </c>
    </row>
    <row r="9" spans="1:19">
      <c r="A9" t="s">
        <v>20</v>
      </c>
      <c r="F9" s="36"/>
      <c r="G9" s="36"/>
      <c r="H9" s="36"/>
      <c r="M9">
        <v>6</v>
      </c>
      <c r="N9" t="s">
        <v>31</v>
      </c>
      <c r="O9" s="4">
        <v>0.45</v>
      </c>
      <c r="Q9">
        <v>6</v>
      </c>
      <c r="R9" t="s">
        <v>31</v>
      </c>
      <c r="S9" s="4">
        <v>0.65</v>
      </c>
    </row>
    <row r="10" spans="1:19">
      <c r="A10" s="60" t="s">
        <v>16</v>
      </c>
      <c r="B10" s="60" t="s">
        <v>17</v>
      </c>
      <c r="C10" s="60" t="s">
        <v>1</v>
      </c>
      <c r="D10" s="60" t="s">
        <v>2</v>
      </c>
      <c r="F10" s="36"/>
      <c r="G10" s="36"/>
      <c r="H10" s="36"/>
      <c r="M10">
        <v>7</v>
      </c>
      <c r="N10" t="s">
        <v>30</v>
      </c>
      <c r="O10" s="4">
        <v>0.2</v>
      </c>
      <c r="Q10">
        <v>7</v>
      </c>
      <c r="R10" t="s">
        <v>30</v>
      </c>
      <c r="S10" s="4">
        <v>0.55000000000000004</v>
      </c>
    </row>
    <row r="11" spans="1:19">
      <c r="A11" s="60" t="s">
        <v>17</v>
      </c>
      <c r="B11" s="41">
        <v>1</v>
      </c>
      <c r="C11" s="41">
        <v>0.95</v>
      </c>
      <c r="D11" s="41">
        <v>0.95</v>
      </c>
      <c r="F11" s="66"/>
      <c r="G11" s="36"/>
      <c r="H11" s="36"/>
      <c r="M11">
        <v>8</v>
      </c>
      <c r="N11" t="s">
        <v>29</v>
      </c>
      <c r="O11" s="4">
        <v>0.35</v>
      </c>
      <c r="Q11">
        <v>8</v>
      </c>
      <c r="R11" t="s">
        <v>29</v>
      </c>
      <c r="S11" s="4">
        <v>0.45</v>
      </c>
    </row>
    <row r="12" spans="1:19">
      <c r="A12" s="60" t="s">
        <v>1</v>
      </c>
      <c r="B12" s="41">
        <v>0.95</v>
      </c>
      <c r="C12" s="41">
        <v>1</v>
      </c>
      <c r="D12" s="41">
        <v>1</v>
      </c>
      <c r="F12" s="66"/>
      <c r="G12" s="36"/>
      <c r="H12" s="36"/>
      <c r="M12">
        <v>9</v>
      </c>
      <c r="N12" t="s">
        <v>28</v>
      </c>
      <c r="O12" s="4">
        <v>0.25</v>
      </c>
      <c r="Q12">
        <v>9</v>
      </c>
      <c r="R12" t="s">
        <v>28</v>
      </c>
      <c r="S12" s="4">
        <v>0.15</v>
      </c>
    </row>
    <row r="13" spans="1:19">
      <c r="A13" s="60" t="s">
        <v>2</v>
      </c>
      <c r="B13" s="41">
        <v>0.95</v>
      </c>
      <c r="C13" s="41">
        <v>1</v>
      </c>
      <c r="D13" s="41">
        <v>1</v>
      </c>
      <c r="M13">
        <v>10</v>
      </c>
      <c r="N13" t="s">
        <v>27</v>
      </c>
      <c r="O13" s="4">
        <v>0.35</v>
      </c>
      <c r="Q13">
        <v>10</v>
      </c>
      <c r="R13" t="s">
        <v>27</v>
      </c>
      <c r="S13" s="4">
        <v>0.4</v>
      </c>
    </row>
    <row r="14" spans="1:19">
      <c r="M14">
        <v>11</v>
      </c>
      <c r="N14" t="s">
        <v>26</v>
      </c>
      <c r="O14" s="4">
        <v>0.5</v>
      </c>
      <c r="Q14">
        <v>11</v>
      </c>
      <c r="R14" t="s">
        <v>26</v>
      </c>
      <c r="S14" s="4">
        <v>0.15</v>
      </c>
    </row>
    <row r="15" spans="1:19">
      <c r="A15" s="60" t="s">
        <v>15</v>
      </c>
      <c r="B15" s="60" t="s">
        <v>17</v>
      </c>
      <c r="C15" s="60" t="s">
        <v>1</v>
      </c>
      <c r="D15" s="60" t="s">
        <v>2</v>
      </c>
    </row>
    <row r="16" spans="1:19">
      <c r="A16" s="60" t="s">
        <v>17</v>
      </c>
      <c r="B16" s="41">
        <v>1</v>
      </c>
      <c r="C16" s="41">
        <v>0.99</v>
      </c>
      <c r="D16" s="41">
        <v>0.99</v>
      </c>
    </row>
    <row r="17" spans="1:5">
      <c r="A17" s="60" t="s">
        <v>1</v>
      </c>
      <c r="B17" s="41">
        <v>0.99</v>
      </c>
      <c r="C17" s="41">
        <v>1</v>
      </c>
      <c r="D17" s="41">
        <v>0.99</v>
      </c>
    </row>
    <row r="18" spans="1:5">
      <c r="A18" s="60" t="s">
        <v>2</v>
      </c>
      <c r="B18" s="41">
        <v>0.99</v>
      </c>
      <c r="C18" s="41">
        <v>0.99</v>
      </c>
      <c r="D18" s="41">
        <v>1</v>
      </c>
    </row>
    <row r="20" spans="1:5">
      <c r="A20" s="60" t="s">
        <v>19</v>
      </c>
      <c r="B20" s="60" t="s">
        <v>17</v>
      </c>
      <c r="C20" s="60" t="s">
        <v>1</v>
      </c>
      <c r="D20" s="60" t="s">
        <v>2</v>
      </c>
    </row>
    <row r="21" spans="1:5">
      <c r="A21" s="60" t="s">
        <v>17</v>
      </c>
      <c r="B21" s="41">
        <v>1</v>
      </c>
      <c r="C21" s="41">
        <v>0.999</v>
      </c>
      <c r="D21" s="41">
        <v>1</v>
      </c>
    </row>
    <row r="22" spans="1:5">
      <c r="A22" s="60" t="s">
        <v>1</v>
      </c>
      <c r="B22" s="41">
        <v>0.999</v>
      </c>
      <c r="C22" s="41">
        <v>1</v>
      </c>
      <c r="D22" s="41">
        <v>0.999</v>
      </c>
    </row>
    <row r="23" spans="1:5">
      <c r="A23" s="60" t="s">
        <v>2</v>
      </c>
      <c r="B23" s="41">
        <v>1</v>
      </c>
      <c r="C23" s="41">
        <v>0.999</v>
      </c>
      <c r="D23" s="41">
        <v>1</v>
      </c>
    </row>
    <row r="26" spans="1:5">
      <c r="A26" s="65" t="s">
        <v>18</v>
      </c>
      <c r="B26" s="65" t="s">
        <v>17</v>
      </c>
      <c r="C26" s="65" t="s">
        <v>1</v>
      </c>
      <c r="D26" s="65" t="s">
        <v>2</v>
      </c>
    </row>
    <row r="27" spans="1:5">
      <c r="A27" s="65" t="s">
        <v>17</v>
      </c>
      <c r="B27" s="41">
        <f>B11*B16*B21</f>
        <v>1</v>
      </c>
      <c r="C27" s="41">
        <f t="shared" ref="C27:D27" si="0">C11*C16*C21</f>
        <v>0.93955949999999999</v>
      </c>
      <c r="D27" s="41">
        <f t="shared" si="0"/>
        <v>0.9405</v>
      </c>
    </row>
    <row r="28" spans="1:5">
      <c r="A28" s="65" t="s">
        <v>1</v>
      </c>
      <c r="B28" s="41">
        <f t="shared" ref="B28:D28" si="1">B12*B17*B22</f>
        <v>0.93955949999999999</v>
      </c>
      <c r="C28" s="41">
        <f t="shared" si="1"/>
        <v>1</v>
      </c>
      <c r="D28" s="41">
        <f t="shared" si="1"/>
        <v>0.98900999999999994</v>
      </c>
    </row>
    <row r="29" spans="1:5">
      <c r="A29" s="65" t="s">
        <v>2</v>
      </c>
      <c r="B29" s="41">
        <f t="shared" ref="B29:D29" si="2">B13*B18*B23</f>
        <v>0.9405</v>
      </c>
      <c r="C29" s="41">
        <f t="shared" si="2"/>
        <v>0.98900999999999994</v>
      </c>
      <c r="D29" s="41">
        <f t="shared" si="2"/>
        <v>1</v>
      </c>
    </row>
    <row r="32" spans="1:5">
      <c r="A32" s="3" t="s">
        <v>24</v>
      </c>
      <c r="B32">
        <v>0.2</v>
      </c>
      <c r="E32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C2E82-BAE5-4903-A7C5-C1A9B13734B7}">
  <dimension ref="A1:V73"/>
  <sheetViews>
    <sheetView tabSelected="1" topLeftCell="A43" zoomScale="85" zoomScaleNormal="85" workbookViewId="0">
      <selection activeCell="G47" sqref="G47"/>
    </sheetView>
  </sheetViews>
  <sheetFormatPr defaultRowHeight="15"/>
  <cols>
    <col min="1" max="1" width="27.5703125" style="6" customWidth="1"/>
    <col min="2" max="2" width="22.42578125" style="6" customWidth="1"/>
    <col min="3" max="3" width="22.28515625" style="6" customWidth="1"/>
    <col min="4" max="6" width="9.140625" style="6"/>
    <col min="7" max="7" width="25.140625" style="6" customWidth="1"/>
    <col min="8" max="8" width="22.7109375" style="6" customWidth="1"/>
    <col min="9" max="15" width="9.140625" style="6"/>
    <col min="16" max="16" width="16.85546875" style="6" customWidth="1"/>
    <col min="17" max="17" width="28" style="6" customWidth="1"/>
    <col min="18" max="18" width="28.7109375" style="6" customWidth="1"/>
    <col min="19" max="19" width="79.42578125" style="6" customWidth="1"/>
    <col min="20" max="20" width="25" style="6" customWidth="1"/>
    <col min="21" max="21" width="23.42578125" style="6" customWidth="1"/>
    <col min="22" max="16384" width="9.140625" style="6"/>
  </cols>
  <sheetData>
    <row r="1" spans="1:22">
      <c r="A1" s="9" t="s">
        <v>39</v>
      </c>
      <c r="B1" s="9" t="s">
        <v>41</v>
      </c>
      <c r="C1" s="9" t="s">
        <v>42</v>
      </c>
    </row>
    <row r="2" spans="1:22">
      <c r="A2" s="6">
        <v>1</v>
      </c>
      <c r="B2" s="7">
        <v>0.55000000000000004</v>
      </c>
      <c r="C2" s="8">
        <f>B2/100</f>
        <v>5.5000000000000005E-3</v>
      </c>
      <c r="O2" s="6" t="s">
        <v>59</v>
      </c>
    </row>
    <row r="3" spans="1:22">
      <c r="A3" s="6">
        <v>2</v>
      </c>
      <c r="B3" s="7">
        <v>0.6</v>
      </c>
      <c r="C3" s="8">
        <f t="shared" ref="C3:C14" si="0">B3/100</f>
        <v>6.0000000000000001E-3</v>
      </c>
      <c r="P3" s="9" t="s">
        <v>39</v>
      </c>
      <c r="Q3" s="9" t="s">
        <v>44</v>
      </c>
      <c r="R3" s="9" t="s">
        <v>45</v>
      </c>
      <c r="S3" s="9" t="s">
        <v>46</v>
      </c>
      <c r="T3" s="9" t="s">
        <v>41</v>
      </c>
      <c r="U3" s="9" t="s">
        <v>42</v>
      </c>
      <c r="V3" s="10"/>
    </row>
    <row r="4" spans="1:22">
      <c r="A4" s="6">
        <v>3</v>
      </c>
      <c r="B4" s="7">
        <v>0.45</v>
      </c>
      <c r="C4" s="8">
        <f t="shared" si="0"/>
        <v>4.5000000000000005E-3</v>
      </c>
      <c r="P4" s="6">
        <v>1</v>
      </c>
      <c r="Q4" s="6" t="s">
        <v>47</v>
      </c>
      <c r="R4" s="6" t="s">
        <v>48</v>
      </c>
      <c r="S4" s="6" t="s">
        <v>49</v>
      </c>
      <c r="T4" s="6">
        <v>0.55000000000000004</v>
      </c>
      <c r="U4" s="6">
        <v>5.5000000000000005E-3</v>
      </c>
    </row>
    <row r="5" spans="1:22">
      <c r="A5" s="6">
        <v>4</v>
      </c>
      <c r="B5" s="7">
        <v>0.55000000000000004</v>
      </c>
      <c r="C5" s="8">
        <f t="shared" si="0"/>
        <v>5.5000000000000005E-3</v>
      </c>
      <c r="P5" s="6">
        <v>2</v>
      </c>
      <c r="S5" s="6" t="s">
        <v>50</v>
      </c>
      <c r="T5" s="6">
        <v>0.6</v>
      </c>
      <c r="U5" s="6">
        <v>6.0000000000000001E-3</v>
      </c>
    </row>
    <row r="6" spans="1:22">
      <c r="A6" s="6">
        <v>5</v>
      </c>
      <c r="B6" s="7">
        <v>0.3</v>
      </c>
      <c r="C6" s="8">
        <f t="shared" si="0"/>
        <v>3.0000000000000001E-3</v>
      </c>
      <c r="P6" s="6">
        <v>3</v>
      </c>
      <c r="S6" s="6" t="s">
        <v>51</v>
      </c>
      <c r="T6" s="6">
        <v>0.45</v>
      </c>
      <c r="U6" s="6">
        <v>4.5000000000000005E-3</v>
      </c>
    </row>
    <row r="7" spans="1:22">
      <c r="A7" s="6">
        <v>6</v>
      </c>
      <c r="B7" s="7">
        <v>0.35</v>
      </c>
      <c r="C7" s="8">
        <f t="shared" si="0"/>
        <v>3.4999999999999996E-3</v>
      </c>
      <c r="P7" s="6">
        <v>4</v>
      </c>
      <c r="S7" s="6" t="s">
        <v>52</v>
      </c>
      <c r="T7" s="6">
        <v>0.55000000000000004</v>
      </c>
      <c r="U7" s="6">
        <v>5.5000000000000005E-3</v>
      </c>
    </row>
    <row r="8" spans="1:22">
      <c r="A8" s="6">
        <v>7</v>
      </c>
      <c r="B8" s="7">
        <v>0.4</v>
      </c>
      <c r="C8" s="8">
        <f t="shared" si="0"/>
        <v>4.0000000000000001E-3</v>
      </c>
      <c r="P8" s="6">
        <v>5</v>
      </c>
      <c r="R8" s="6" t="s">
        <v>53</v>
      </c>
      <c r="S8" s="6" t="s">
        <v>49</v>
      </c>
      <c r="T8" s="6">
        <v>0.3</v>
      </c>
      <c r="U8" s="6">
        <v>3.0000000000000001E-3</v>
      </c>
    </row>
    <row r="9" spans="1:22">
      <c r="A9" s="6">
        <v>8</v>
      </c>
      <c r="B9" s="7">
        <v>0.5</v>
      </c>
      <c r="C9" s="8">
        <f t="shared" si="0"/>
        <v>5.0000000000000001E-3</v>
      </c>
      <c r="P9" s="6">
        <v>6</v>
      </c>
      <c r="S9" s="6" t="s">
        <v>50</v>
      </c>
      <c r="T9" s="6">
        <v>0.35</v>
      </c>
      <c r="U9" s="6">
        <v>3.4999999999999996E-3</v>
      </c>
    </row>
    <row r="10" spans="1:22">
      <c r="A10" s="6">
        <v>9</v>
      </c>
      <c r="B10" s="7">
        <v>0.7</v>
      </c>
      <c r="C10" s="8">
        <f t="shared" si="0"/>
        <v>6.9999999999999993E-3</v>
      </c>
      <c r="P10" s="6">
        <v>7</v>
      </c>
      <c r="S10" s="6" t="s">
        <v>51</v>
      </c>
      <c r="T10" s="6">
        <v>0.4</v>
      </c>
      <c r="U10" s="6">
        <v>4.0000000000000001E-3</v>
      </c>
    </row>
    <row r="11" spans="1:22">
      <c r="A11" s="6">
        <v>10</v>
      </c>
      <c r="B11" s="7">
        <v>0.5</v>
      </c>
      <c r="C11" s="8">
        <f t="shared" si="0"/>
        <v>5.0000000000000001E-3</v>
      </c>
      <c r="P11" s="6">
        <v>8</v>
      </c>
      <c r="S11" s="6" t="s">
        <v>52</v>
      </c>
      <c r="T11" s="6">
        <v>0.5</v>
      </c>
      <c r="U11" s="6">
        <v>5.0000000000000001E-3</v>
      </c>
    </row>
    <row r="12" spans="1:22">
      <c r="A12" s="6">
        <v>11</v>
      </c>
      <c r="B12" s="7">
        <v>0.7</v>
      </c>
      <c r="C12" s="8">
        <f t="shared" si="0"/>
        <v>6.9999999999999993E-3</v>
      </c>
      <c r="P12" s="6">
        <v>9</v>
      </c>
      <c r="Q12" s="6" t="s">
        <v>54</v>
      </c>
      <c r="R12" s="6" t="s">
        <v>48</v>
      </c>
      <c r="S12" s="6" t="s">
        <v>49</v>
      </c>
      <c r="T12" s="6">
        <v>0.7</v>
      </c>
      <c r="U12" s="6">
        <v>6.9999999999999993E-3</v>
      </c>
    </row>
    <row r="13" spans="1:22">
      <c r="A13" s="6">
        <v>12</v>
      </c>
      <c r="B13" s="7">
        <v>0.15</v>
      </c>
      <c r="C13" s="8">
        <f t="shared" si="0"/>
        <v>1.5E-3</v>
      </c>
      <c r="O13" s="6" t="s">
        <v>55</v>
      </c>
      <c r="S13" s="6" t="s">
        <v>50</v>
      </c>
    </row>
    <row r="14" spans="1:22">
      <c r="A14" s="6">
        <v>13</v>
      </c>
      <c r="B14" s="7">
        <v>0.25</v>
      </c>
      <c r="C14" s="8">
        <f t="shared" si="0"/>
        <v>2.5000000000000001E-3</v>
      </c>
      <c r="S14" s="6" t="s">
        <v>51</v>
      </c>
    </row>
    <row r="15" spans="1:22">
      <c r="S15" s="6" t="s">
        <v>52</v>
      </c>
    </row>
    <row r="16" spans="1:22">
      <c r="P16" s="6">
        <v>10</v>
      </c>
      <c r="R16" s="6" t="s">
        <v>53</v>
      </c>
      <c r="S16" s="6" t="s">
        <v>49</v>
      </c>
      <c r="T16" s="6">
        <v>0.5</v>
      </c>
      <c r="U16" s="6">
        <v>5.0000000000000001E-3</v>
      </c>
    </row>
    <row r="17" spans="1:21">
      <c r="S17" s="6" t="s">
        <v>50</v>
      </c>
    </row>
    <row r="18" spans="1:21">
      <c r="A18" s="6" t="s">
        <v>17</v>
      </c>
      <c r="B18" s="6" t="s">
        <v>60</v>
      </c>
      <c r="S18" s="6" t="s">
        <v>51</v>
      </c>
    </row>
    <row r="19" spans="1:21">
      <c r="A19" s="6" t="s">
        <v>1</v>
      </c>
      <c r="B19" s="6" t="s">
        <v>61</v>
      </c>
      <c r="S19" s="6" t="s">
        <v>52</v>
      </c>
    </row>
    <row r="20" spans="1:21">
      <c r="A20" s="6" t="s">
        <v>2</v>
      </c>
      <c r="B20" s="6" t="s">
        <v>13</v>
      </c>
      <c r="P20" s="6">
        <v>11</v>
      </c>
      <c r="Q20" s="6" t="s">
        <v>56</v>
      </c>
      <c r="T20" s="6">
        <v>0.7</v>
      </c>
      <c r="U20" s="6">
        <v>6.9999999999999993E-3</v>
      </c>
    </row>
    <row r="21" spans="1:21">
      <c r="P21" s="6">
        <v>12</v>
      </c>
      <c r="Q21" s="6" t="s">
        <v>57</v>
      </c>
      <c r="T21" s="6">
        <v>0.15</v>
      </c>
      <c r="U21" s="6">
        <v>1.5E-3</v>
      </c>
    </row>
    <row r="22" spans="1:21">
      <c r="P22" s="6">
        <v>13</v>
      </c>
      <c r="Q22" s="6" t="s">
        <v>58</v>
      </c>
      <c r="T22" s="6">
        <v>0.25</v>
      </c>
      <c r="U22" s="6">
        <v>2.5000000000000001E-3</v>
      </c>
    </row>
    <row r="23" spans="1:21">
      <c r="A23" s="43" t="s">
        <v>43</v>
      </c>
      <c r="B23" s="43" t="s">
        <v>17</v>
      </c>
      <c r="C23" s="43" t="s">
        <v>1</v>
      </c>
      <c r="D23" s="43" t="s">
        <v>2</v>
      </c>
      <c r="E23" s="47"/>
      <c r="F23" s="11"/>
      <c r="G23" s="9" t="s">
        <v>41</v>
      </c>
      <c r="H23" s="11"/>
      <c r="I23" s="11"/>
      <c r="J23" s="11"/>
      <c r="K23" s="11"/>
      <c r="L23" s="11"/>
      <c r="M23" s="11"/>
      <c r="N23" s="11"/>
    </row>
    <row r="24" spans="1:21">
      <c r="A24" s="44" t="s">
        <v>17</v>
      </c>
      <c r="B24" s="44">
        <v>1</v>
      </c>
      <c r="C24" s="44">
        <v>0.15</v>
      </c>
      <c r="D24" s="44">
        <v>0.15</v>
      </c>
      <c r="E24" s="47"/>
      <c r="F24" s="27"/>
      <c r="G24" s="6">
        <v>0.55000000000000004</v>
      </c>
    </row>
    <row r="25" spans="1:21">
      <c r="A25" s="44" t="s">
        <v>1</v>
      </c>
      <c r="B25" s="44">
        <v>0.15</v>
      </c>
      <c r="C25" s="44">
        <v>1</v>
      </c>
      <c r="D25" s="44">
        <v>0.15</v>
      </c>
      <c r="E25" s="47"/>
      <c r="F25" s="27"/>
      <c r="G25" s="6">
        <v>0.55000000000000004</v>
      </c>
    </row>
    <row r="26" spans="1:21">
      <c r="A26" s="44" t="s">
        <v>2</v>
      </c>
      <c r="B26" s="44">
        <v>0.15</v>
      </c>
      <c r="C26" s="44">
        <v>0.15</v>
      </c>
      <c r="D26" s="44">
        <v>1</v>
      </c>
      <c r="E26" s="47"/>
      <c r="F26" s="27"/>
      <c r="G26" s="6">
        <v>0.55000000000000004</v>
      </c>
    </row>
    <row r="27" spans="1:21">
      <c r="E27" s="11"/>
      <c r="F27" s="11"/>
      <c r="S27" s="7">
        <v>0.15</v>
      </c>
      <c r="T27" s="6">
        <f>S27*0.999</f>
        <v>0.14984999999999998</v>
      </c>
    </row>
    <row r="28" spans="1:21">
      <c r="A28" s="43" t="s">
        <v>62</v>
      </c>
      <c r="B28" s="43" t="s">
        <v>17</v>
      </c>
      <c r="C28" s="43" t="s">
        <v>1</v>
      </c>
      <c r="D28" s="43" t="s">
        <v>2</v>
      </c>
      <c r="E28" s="47"/>
      <c r="F28" s="11"/>
      <c r="G28" s="9" t="s">
        <v>42</v>
      </c>
      <c r="S28" s="7">
        <v>0.25</v>
      </c>
      <c r="T28" s="6">
        <f t="shared" ref="T28:T30" si="1">S28*0.999</f>
        <v>0.24975</v>
      </c>
    </row>
    <row r="29" spans="1:21">
      <c r="A29" s="44" t="s">
        <v>17</v>
      </c>
      <c r="B29" s="44">
        <v>1</v>
      </c>
      <c r="C29" s="44">
        <v>0.15</v>
      </c>
      <c r="D29" s="44">
        <v>0.15</v>
      </c>
      <c r="E29" s="47"/>
      <c r="F29" s="28"/>
      <c r="G29" s="6">
        <v>5.4999999999999997E-3</v>
      </c>
      <c r="S29" s="23">
        <v>7.4999999999999997E-2</v>
      </c>
      <c r="T29" s="6">
        <f t="shared" si="1"/>
        <v>7.4924999999999992E-2</v>
      </c>
    </row>
    <row r="30" spans="1:21">
      <c r="A30" s="44" t="s">
        <v>1</v>
      </c>
      <c r="B30" s="44">
        <v>0.15</v>
      </c>
      <c r="C30" s="44">
        <v>1</v>
      </c>
      <c r="D30" s="44">
        <v>0.15</v>
      </c>
      <c r="E30" s="47"/>
      <c r="F30" s="28"/>
      <c r="G30" s="6">
        <v>5.4999999999999997E-3</v>
      </c>
      <c r="S30" s="23">
        <v>0.125</v>
      </c>
      <c r="T30" s="6">
        <f t="shared" si="1"/>
        <v>0.124875</v>
      </c>
    </row>
    <row r="31" spans="1:21">
      <c r="A31" s="44" t="s">
        <v>2</v>
      </c>
      <c r="B31" s="44">
        <v>0.15</v>
      </c>
      <c r="C31" s="44">
        <v>0.15</v>
      </c>
      <c r="D31" s="44">
        <v>1</v>
      </c>
      <c r="E31" s="47"/>
      <c r="F31" s="28"/>
      <c r="G31" s="6">
        <v>5.4999999999999997E-3</v>
      </c>
      <c r="S31" s="7"/>
    </row>
    <row r="32" spans="1:21">
      <c r="E32" s="11"/>
    </row>
    <row r="33" spans="1:19">
      <c r="A33" s="12" t="s">
        <v>64</v>
      </c>
      <c r="B33" s="6" t="s">
        <v>124</v>
      </c>
      <c r="E33" s="11"/>
      <c r="F33" s="24" t="s">
        <v>40</v>
      </c>
      <c r="G33" s="12" t="s">
        <v>65</v>
      </c>
      <c r="H33" s="6" t="s">
        <v>124</v>
      </c>
      <c r="K33" s="24" t="s">
        <v>40</v>
      </c>
    </row>
    <row r="34" spans="1:19">
      <c r="A34" s="43" t="s">
        <v>63</v>
      </c>
      <c r="B34" s="43" t="s">
        <v>17</v>
      </c>
      <c r="C34" s="43" t="s">
        <v>1</v>
      </c>
      <c r="D34" s="43" t="s">
        <v>2</v>
      </c>
      <c r="E34" s="47"/>
      <c r="F34" s="24"/>
      <c r="G34" s="43" t="s">
        <v>63</v>
      </c>
      <c r="H34" s="43" t="s">
        <v>17</v>
      </c>
      <c r="I34" s="43" t="s">
        <v>1</v>
      </c>
      <c r="J34" s="43" t="s">
        <v>2</v>
      </c>
      <c r="K34" s="24"/>
    </row>
    <row r="35" spans="1:19">
      <c r="A35" s="44" t="s">
        <v>17</v>
      </c>
      <c r="B35" s="44">
        <v>1</v>
      </c>
      <c r="C35" s="44">
        <f t="shared" ref="C35" si="2">C29*0.999</f>
        <v>0.14984999999999998</v>
      </c>
      <c r="D35" s="44">
        <v>0.15</v>
      </c>
      <c r="E35" s="47"/>
      <c r="F35" s="25">
        <v>0.55000000000000004</v>
      </c>
      <c r="G35" s="44" t="s">
        <v>17</v>
      </c>
      <c r="H35" s="44">
        <v>1</v>
      </c>
      <c r="I35" s="44">
        <v>0.999</v>
      </c>
      <c r="J35" s="44">
        <v>0.15</v>
      </c>
      <c r="K35" s="25">
        <v>0.55000000000000004</v>
      </c>
    </row>
    <row r="36" spans="1:19">
      <c r="A36" s="44" t="s">
        <v>1</v>
      </c>
      <c r="B36" s="44">
        <f>B30*0.999</f>
        <v>0.14984999999999998</v>
      </c>
      <c r="C36" s="44">
        <v>1</v>
      </c>
      <c r="D36" s="44">
        <f>0.15*0.999</f>
        <v>0.14984999999999998</v>
      </c>
      <c r="E36" s="47"/>
      <c r="F36" s="26">
        <v>5.4999999999999997E-3</v>
      </c>
      <c r="G36" s="44" t="s">
        <v>1</v>
      </c>
      <c r="H36" s="44">
        <v>0.999</v>
      </c>
      <c r="I36" s="44">
        <v>1</v>
      </c>
      <c r="J36" s="44">
        <v>0.999</v>
      </c>
      <c r="K36" s="26">
        <v>5.4999999999999997E-3</v>
      </c>
    </row>
    <row r="37" spans="1:19">
      <c r="A37" s="44" t="s">
        <v>2</v>
      </c>
      <c r="B37" s="44">
        <v>0.15</v>
      </c>
      <c r="C37" s="44">
        <f>0.15*0.999</f>
        <v>0.14984999999999998</v>
      </c>
      <c r="D37" s="44">
        <v>1</v>
      </c>
      <c r="E37" s="47"/>
      <c r="F37" s="25">
        <v>0.55000000000000004</v>
      </c>
      <c r="G37" s="44" t="s">
        <v>2</v>
      </c>
      <c r="H37" s="44">
        <v>0.15</v>
      </c>
      <c r="I37" s="44">
        <v>0.999</v>
      </c>
      <c r="J37" s="44">
        <v>1</v>
      </c>
      <c r="K37" s="25">
        <v>0.55000000000000004</v>
      </c>
      <c r="S37"/>
    </row>
    <row r="38" spans="1:19">
      <c r="E38" s="11"/>
    </row>
    <row r="39" spans="1:19">
      <c r="E39" s="11"/>
    </row>
    <row r="40" spans="1:19">
      <c r="E40" s="11"/>
    </row>
    <row r="41" spans="1:19">
      <c r="A41" s="43" t="s">
        <v>66</v>
      </c>
      <c r="B41" s="43" t="s">
        <v>17</v>
      </c>
      <c r="C41" s="43" t="s">
        <v>1</v>
      </c>
      <c r="D41" s="43" t="s">
        <v>2</v>
      </c>
      <c r="E41" s="11"/>
    </row>
    <row r="42" spans="1:19">
      <c r="A42" s="44" t="s">
        <v>17</v>
      </c>
      <c r="B42" s="44">
        <v>1</v>
      </c>
      <c r="C42" s="44">
        <v>0.15</v>
      </c>
      <c r="D42" s="44">
        <v>0.15</v>
      </c>
      <c r="E42" s="11"/>
    </row>
    <row r="43" spans="1:19">
      <c r="A43" s="44" t="s">
        <v>1</v>
      </c>
      <c r="B43" s="44">
        <v>0.15</v>
      </c>
      <c r="C43" s="44">
        <v>1</v>
      </c>
      <c r="D43" s="44">
        <v>0.15</v>
      </c>
    </row>
    <row r="44" spans="1:19">
      <c r="A44" s="44" t="s">
        <v>2</v>
      </c>
      <c r="B44" s="44">
        <v>0.15</v>
      </c>
      <c r="C44" s="44">
        <v>0.15</v>
      </c>
      <c r="D44" s="44">
        <v>1</v>
      </c>
    </row>
    <row r="48" spans="1:19">
      <c r="A48" s="6" t="s">
        <v>253</v>
      </c>
    </row>
    <row r="50" spans="1:9">
      <c r="A50" s="6" t="s">
        <v>245</v>
      </c>
      <c r="B50" s="6" t="s">
        <v>205</v>
      </c>
      <c r="C50" s="6" t="s">
        <v>206</v>
      </c>
    </row>
    <row r="51" spans="1:9">
      <c r="A51" s="43" t="s">
        <v>43</v>
      </c>
      <c r="B51" s="43" t="s">
        <v>17</v>
      </c>
      <c r="C51" s="43" t="s">
        <v>1</v>
      </c>
      <c r="D51" s="43" t="s">
        <v>2</v>
      </c>
      <c r="E51" s="47"/>
      <c r="F51" s="9" t="s">
        <v>41</v>
      </c>
    </row>
    <row r="52" spans="1:9">
      <c r="A52" s="44" t="s">
        <v>17</v>
      </c>
      <c r="B52" s="44">
        <v>1</v>
      </c>
      <c r="C52" s="44">
        <v>0.15</v>
      </c>
      <c r="D52" s="44">
        <v>0.15</v>
      </c>
      <c r="E52" s="47"/>
      <c r="F52" s="6">
        <v>0.55000000000000004</v>
      </c>
    </row>
    <row r="53" spans="1:9">
      <c r="A53" s="44" t="s">
        <v>1</v>
      </c>
      <c r="B53" s="44">
        <v>0.15</v>
      </c>
      <c r="C53" s="44">
        <v>1</v>
      </c>
      <c r="D53" s="44">
        <v>0.15</v>
      </c>
      <c r="E53" s="47"/>
      <c r="F53" s="6">
        <v>0.55000000000000004</v>
      </c>
    </row>
    <row r="54" spans="1:9">
      <c r="A54" s="44" t="s">
        <v>2</v>
      </c>
      <c r="B54" s="44">
        <v>0.15</v>
      </c>
      <c r="C54" s="44">
        <v>0.15</v>
      </c>
      <c r="D54" s="44">
        <v>1</v>
      </c>
      <c r="E54" s="47"/>
      <c r="F54" s="6">
        <v>0.55000000000000004</v>
      </c>
    </row>
    <row r="55" spans="1:9">
      <c r="E55" s="11"/>
    </row>
    <row r="56" spans="1:9">
      <c r="A56" s="6" t="s">
        <v>247</v>
      </c>
      <c r="B56" s="6" t="s">
        <v>221</v>
      </c>
      <c r="C56" s="6" t="s">
        <v>206</v>
      </c>
      <c r="E56" s="11"/>
      <c r="F56" s="9" t="s">
        <v>42</v>
      </c>
    </row>
    <row r="57" spans="1:9">
      <c r="A57" s="43" t="s">
        <v>43</v>
      </c>
      <c r="B57" s="43" t="s">
        <v>17</v>
      </c>
      <c r="C57" s="43" t="s">
        <v>1</v>
      </c>
      <c r="D57" s="43" t="s">
        <v>2</v>
      </c>
      <c r="E57" s="47"/>
      <c r="F57" s="6">
        <v>5.4999999999999997E-3</v>
      </c>
    </row>
    <row r="58" spans="1:9">
      <c r="A58" s="44" t="s">
        <v>17</v>
      </c>
      <c r="B58" s="44">
        <v>1</v>
      </c>
      <c r="C58" s="44">
        <v>0.25</v>
      </c>
      <c r="D58" s="44">
        <v>0.25</v>
      </c>
      <c r="E58" s="47"/>
      <c r="F58" s="6">
        <v>5.4999999999999997E-3</v>
      </c>
    </row>
    <row r="59" spans="1:9">
      <c r="A59" s="44" t="s">
        <v>1</v>
      </c>
      <c r="B59" s="44">
        <v>0.25</v>
      </c>
      <c r="C59" s="44">
        <v>1</v>
      </c>
      <c r="D59" s="44">
        <v>0.25</v>
      </c>
      <c r="E59" s="47"/>
      <c r="F59" s="6">
        <v>5.4999999999999997E-3</v>
      </c>
    </row>
    <row r="60" spans="1:9">
      <c r="A60" s="44" t="s">
        <v>2</v>
      </c>
      <c r="B60" s="44">
        <v>0.25</v>
      </c>
      <c r="C60" s="44">
        <v>0.25</v>
      </c>
      <c r="D60" s="44">
        <v>1</v>
      </c>
      <c r="E60" s="47"/>
    </row>
    <row r="61" spans="1:9">
      <c r="E61" s="11"/>
      <c r="F61" s="12" t="s">
        <v>65</v>
      </c>
    </row>
    <row r="62" spans="1:9">
      <c r="A62" s="6" t="s">
        <v>248</v>
      </c>
      <c r="B62" s="6" t="s">
        <v>246</v>
      </c>
      <c r="C62" s="6" t="s">
        <v>206</v>
      </c>
      <c r="E62" s="11"/>
      <c r="F62" s="9" t="s">
        <v>63</v>
      </c>
      <c r="G62" s="9" t="s">
        <v>17</v>
      </c>
      <c r="H62" s="9" t="s">
        <v>1</v>
      </c>
      <c r="I62" s="9" t="s">
        <v>2</v>
      </c>
    </row>
    <row r="63" spans="1:9">
      <c r="A63" s="43" t="s">
        <v>43</v>
      </c>
      <c r="B63" s="43" t="s">
        <v>17</v>
      </c>
      <c r="C63" s="43" t="s">
        <v>1</v>
      </c>
      <c r="D63" s="43" t="s">
        <v>2</v>
      </c>
      <c r="E63" s="47"/>
      <c r="F63" s="6" t="s">
        <v>17</v>
      </c>
      <c r="G63" s="6">
        <v>0.999</v>
      </c>
      <c r="H63" s="6">
        <v>0.999</v>
      </c>
      <c r="I63" s="6">
        <v>0.999</v>
      </c>
    </row>
    <row r="64" spans="1:9">
      <c r="A64" s="44" t="s">
        <v>17</v>
      </c>
      <c r="B64" s="44">
        <v>1</v>
      </c>
      <c r="C64" s="44">
        <v>7.4999999999999997E-2</v>
      </c>
      <c r="D64" s="44">
        <v>7.4999999999999997E-2</v>
      </c>
      <c r="E64" s="47"/>
      <c r="F64" s="6" t="s">
        <v>1</v>
      </c>
      <c r="G64" s="6">
        <v>0.999</v>
      </c>
      <c r="H64" s="6">
        <v>0.999</v>
      </c>
      <c r="I64" s="6">
        <v>0.999</v>
      </c>
    </row>
    <row r="65" spans="1:9">
      <c r="A65" s="44" t="s">
        <v>1</v>
      </c>
      <c r="B65" s="44">
        <v>7.4999999999999997E-2</v>
      </c>
      <c r="C65" s="44">
        <v>1</v>
      </c>
      <c r="D65" s="44">
        <v>7.4999999999999997E-2</v>
      </c>
      <c r="E65" s="47"/>
      <c r="F65" s="6" t="s">
        <v>2</v>
      </c>
      <c r="G65" s="6">
        <v>0.999</v>
      </c>
      <c r="H65" s="6">
        <v>0.999</v>
      </c>
      <c r="I65" s="6">
        <v>0.999</v>
      </c>
    </row>
    <row r="66" spans="1:9">
      <c r="A66" s="44" t="s">
        <v>2</v>
      </c>
      <c r="B66" s="44">
        <v>7.4999999999999997E-2</v>
      </c>
      <c r="C66" s="44">
        <v>7.4999999999999997E-2</v>
      </c>
      <c r="D66" s="44">
        <v>1</v>
      </c>
      <c r="E66" s="47"/>
      <c r="F66" s="11"/>
    </row>
    <row r="67" spans="1:9">
      <c r="E67" s="11"/>
      <c r="F67" s="11"/>
    </row>
    <row r="68" spans="1:9">
      <c r="A68" s="6" t="s">
        <v>249</v>
      </c>
      <c r="B68" s="6" t="s">
        <v>246</v>
      </c>
      <c r="C68" s="6" t="s">
        <v>206</v>
      </c>
      <c r="E68" s="11"/>
      <c r="F68" s="11"/>
    </row>
    <row r="69" spans="1:9">
      <c r="A69" s="43" t="s">
        <v>43</v>
      </c>
      <c r="B69" s="43" t="s">
        <v>17</v>
      </c>
      <c r="C69" s="43" t="s">
        <v>1</v>
      </c>
      <c r="D69" s="43" t="s">
        <v>2</v>
      </c>
      <c r="E69" s="47"/>
      <c r="F69" s="11"/>
    </row>
    <row r="70" spans="1:9">
      <c r="A70" s="44" t="s">
        <v>17</v>
      </c>
      <c r="B70" s="44">
        <v>1</v>
      </c>
      <c r="C70" s="44">
        <v>12.5</v>
      </c>
      <c r="D70" s="44">
        <v>12.5</v>
      </c>
      <c r="E70" s="47"/>
      <c r="F70" s="11"/>
    </row>
    <row r="71" spans="1:9">
      <c r="A71" s="44" t="s">
        <v>1</v>
      </c>
      <c r="B71" s="44">
        <v>12.5</v>
      </c>
      <c r="C71" s="44">
        <v>1</v>
      </c>
      <c r="D71" s="44">
        <v>12.5</v>
      </c>
      <c r="E71" s="47"/>
      <c r="F71" s="11"/>
    </row>
    <row r="72" spans="1:9">
      <c r="A72" s="44" t="s">
        <v>2</v>
      </c>
      <c r="B72" s="44">
        <v>12.5</v>
      </c>
      <c r="C72" s="44">
        <v>12.5</v>
      </c>
      <c r="D72" s="44">
        <v>1</v>
      </c>
      <c r="E72" s="47"/>
      <c r="F72" s="11"/>
    </row>
    <row r="73" spans="1:9">
      <c r="E73" s="11"/>
      <c r="F73" s="1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E6C7F-E1F6-4366-B70B-08C01EBF4563}">
  <dimension ref="B3:O32"/>
  <sheetViews>
    <sheetView topLeftCell="A6" workbookViewId="0">
      <selection activeCell="D25" sqref="D25"/>
    </sheetView>
  </sheetViews>
  <sheetFormatPr defaultRowHeight="15"/>
  <cols>
    <col min="2" max="2" width="32.85546875" customWidth="1"/>
    <col min="3" max="3" width="8.140625" bestFit="1" customWidth="1"/>
    <col min="4" max="4" width="12.5703125" customWidth="1"/>
    <col min="5" max="5" width="10" bestFit="1" customWidth="1"/>
    <col min="7" max="7" width="12" customWidth="1"/>
    <col min="10" max="10" width="6.140625" customWidth="1"/>
    <col min="11" max="11" width="13.140625" customWidth="1"/>
    <col min="12" max="12" width="13" customWidth="1"/>
    <col min="13" max="13" width="20.85546875" customWidth="1"/>
  </cols>
  <sheetData>
    <row r="3" spans="2:14">
      <c r="B3" s="41" t="s">
        <v>194</v>
      </c>
      <c r="C3" s="41" t="s">
        <v>195</v>
      </c>
      <c r="D3" s="41" t="s">
        <v>196</v>
      </c>
      <c r="E3" s="41" t="s">
        <v>197</v>
      </c>
      <c r="G3" t="s">
        <v>198</v>
      </c>
      <c r="H3" t="s">
        <v>199</v>
      </c>
    </row>
    <row r="4" spans="2:14">
      <c r="B4" s="41" t="s">
        <v>200</v>
      </c>
      <c r="C4" s="41" t="s">
        <v>201</v>
      </c>
      <c r="D4" s="41" t="s">
        <v>202</v>
      </c>
      <c r="E4" s="42">
        <v>0.15</v>
      </c>
      <c r="G4" t="s">
        <v>203</v>
      </c>
      <c r="K4" s="6" t="s">
        <v>204</v>
      </c>
      <c r="L4" s="6" t="s">
        <v>205</v>
      </c>
      <c r="M4" s="6" t="s">
        <v>206</v>
      </c>
      <c r="N4" s="6"/>
    </row>
    <row r="5" spans="2:14">
      <c r="B5" s="41"/>
      <c r="C5" s="41"/>
      <c r="D5" s="41" t="s">
        <v>207</v>
      </c>
      <c r="E5" s="42">
        <v>0.25</v>
      </c>
      <c r="G5" t="s">
        <v>208</v>
      </c>
      <c r="K5" s="43" t="s">
        <v>43</v>
      </c>
      <c r="L5" s="43" t="s">
        <v>209</v>
      </c>
      <c r="M5" s="44" t="s">
        <v>210</v>
      </c>
      <c r="N5" s="44" t="s">
        <v>211</v>
      </c>
    </row>
    <row r="6" spans="2:14">
      <c r="B6" s="41"/>
      <c r="C6" s="41"/>
      <c r="D6" s="41" t="s">
        <v>212</v>
      </c>
      <c r="E6" s="45">
        <v>7.4999999999999997E-2</v>
      </c>
      <c r="G6" t="s">
        <v>213</v>
      </c>
      <c r="K6" s="44" t="s">
        <v>209</v>
      </c>
      <c r="L6" s="44">
        <v>1</v>
      </c>
      <c r="M6" s="44">
        <v>0.15</v>
      </c>
      <c r="N6" s="44">
        <v>0.15</v>
      </c>
    </row>
    <row r="7" spans="2:14">
      <c r="B7" s="41"/>
      <c r="C7" s="41"/>
      <c r="D7" s="41" t="s">
        <v>214</v>
      </c>
      <c r="E7" s="45">
        <v>0.125</v>
      </c>
      <c r="G7" t="s">
        <v>215</v>
      </c>
      <c r="K7" s="44" t="s">
        <v>210</v>
      </c>
      <c r="L7" s="44">
        <v>0.15</v>
      </c>
      <c r="M7" s="44">
        <v>1</v>
      </c>
      <c r="N7" s="44">
        <v>0.15</v>
      </c>
    </row>
    <row r="8" spans="2:14">
      <c r="B8" s="41"/>
      <c r="C8" s="41"/>
      <c r="D8" s="41" t="s">
        <v>216</v>
      </c>
      <c r="E8" s="42">
        <v>0.8</v>
      </c>
      <c r="G8" t="s">
        <v>217</v>
      </c>
      <c r="K8" s="44" t="s">
        <v>211</v>
      </c>
      <c r="L8" s="44">
        <v>0.15</v>
      </c>
      <c r="M8" s="44">
        <v>0.15</v>
      </c>
      <c r="N8" s="44">
        <v>1</v>
      </c>
    </row>
    <row r="9" spans="2:14">
      <c r="B9" s="41"/>
      <c r="C9" s="41"/>
      <c r="D9" s="41"/>
      <c r="E9" s="42"/>
      <c r="K9" s="6"/>
      <c r="L9" s="6"/>
      <c r="M9" s="6"/>
      <c r="N9" s="6"/>
    </row>
    <row r="10" spans="2:14">
      <c r="B10" s="41" t="s">
        <v>218</v>
      </c>
      <c r="C10" s="41" t="s">
        <v>201</v>
      </c>
      <c r="D10" s="41" t="s">
        <v>202</v>
      </c>
      <c r="E10" s="42">
        <v>0.15</v>
      </c>
      <c r="G10" t="s">
        <v>219</v>
      </c>
      <c r="K10" s="6" t="s">
        <v>220</v>
      </c>
      <c r="L10" s="6" t="s">
        <v>221</v>
      </c>
      <c r="M10" s="6" t="s">
        <v>206</v>
      </c>
      <c r="N10" s="6"/>
    </row>
    <row r="11" spans="2:14">
      <c r="B11" s="41"/>
      <c r="C11" s="41"/>
      <c r="D11" s="41" t="s">
        <v>207</v>
      </c>
      <c r="E11" s="42">
        <v>0.25</v>
      </c>
      <c r="G11" t="s">
        <v>222</v>
      </c>
      <c r="K11" s="43" t="s">
        <v>43</v>
      </c>
      <c r="L11" s="44" t="s">
        <v>223</v>
      </c>
      <c r="M11" s="44" t="s">
        <v>224</v>
      </c>
      <c r="N11" s="44" t="s">
        <v>225</v>
      </c>
    </row>
    <row r="12" spans="2:14">
      <c r="B12" s="41"/>
      <c r="C12" s="41"/>
      <c r="D12" s="41" t="s">
        <v>212</v>
      </c>
      <c r="E12" s="45">
        <v>7.4999999999999997E-2</v>
      </c>
      <c r="G12" t="s">
        <v>226</v>
      </c>
      <c r="K12" s="44" t="s">
        <v>223</v>
      </c>
      <c r="L12" s="44">
        <v>1</v>
      </c>
      <c r="M12" s="44">
        <v>0.25</v>
      </c>
      <c r="N12" s="44">
        <v>0.25</v>
      </c>
    </row>
    <row r="13" spans="2:14">
      <c r="B13" s="41"/>
      <c r="C13" s="41"/>
      <c r="D13" s="41" t="s">
        <v>214</v>
      </c>
      <c r="E13" s="45">
        <v>0.125</v>
      </c>
      <c r="G13" t="s">
        <v>227</v>
      </c>
      <c r="K13" s="44" t="s">
        <v>224</v>
      </c>
      <c r="L13" s="44">
        <v>0.25</v>
      </c>
      <c r="M13" s="44">
        <v>1</v>
      </c>
      <c r="N13" s="44">
        <v>0.25</v>
      </c>
    </row>
    <row r="14" spans="2:14">
      <c r="B14" s="41"/>
      <c r="C14" s="41"/>
      <c r="D14" s="41"/>
      <c r="E14" s="41"/>
      <c r="G14" t="s">
        <v>228</v>
      </c>
      <c r="K14" s="44" t="s">
        <v>225</v>
      </c>
      <c r="L14" s="44">
        <v>0.25</v>
      </c>
      <c r="M14" s="44">
        <v>0.25</v>
      </c>
      <c r="N14" s="44">
        <v>1</v>
      </c>
    </row>
    <row r="15" spans="2:14">
      <c r="B15" s="41" t="s">
        <v>229</v>
      </c>
      <c r="C15" s="41" t="s">
        <v>230</v>
      </c>
      <c r="D15" s="41"/>
      <c r="E15" s="45">
        <v>0.999</v>
      </c>
      <c r="K15" s="6"/>
      <c r="L15" s="6"/>
      <c r="M15" s="6"/>
      <c r="N15" s="6"/>
    </row>
    <row r="16" spans="2:14">
      <c r="B16" s="41"/>
      <c r="C16" s="41" t="s">
        <v>231</v>
      </c>
      <c r="D16" s="41" t="s">
        <v>202</v>
      </c>
      <c r="E16" s="46">
        <f>15%*99.9%</f>
        <v>0.14985000000000001</v>
      </c>
      <c r="K16" s="6" t="s">
        <v>232</v>
      </c>
      <c r="L16" s="6">
        <v>0</v>
      </c>
      <c r="M16" s="6" t="s">
        <v>206</v>
      </c>
      <c r="N16" s="6"/>
    </row>
    <row r="17" spans="2:15">
      <c r="B17" s="41"/>
      <c r="C17" s="41"/>
      <c r="D17" s="41" t="s">
        <v>207</v>
      </c>
      <c r="E17" s="46">
        <f>25%*99.9%</f>
        <v>0.24975000000000003</v>
      </c>
      <c r="K17" s="43" t="s">
        <v>43</v>
      </c>
      <c r="L17" s="44" t="s">
        <v>233</v>
      </c>
      <c r="M17" s="44" t="s">
        <v>234</v>
      </c>
      <c r="N17" s="44" t="s">
        <v>235</v>
      </c>
    </row>
    <row r="18" spans="2:15">
      <c r="B18" s="41"/>
      <c r="C18" s="41"/>
      <c r="D18" s="41" t="s">
        <v>212</v>
      </c>
      <c r="E18" s="46">
        <f>7.5%*99.9%</f>
        <v>7.4925000000000005E-2</v>
      </c>
      <c r="K18" s="44" t="s">
        <v>233</v>
      </c>
      <c r="L18" s="44">
        <v>1</v>
      </c>
      <c r="M18" s="44">
        <v>7.4999999999999997E-2</v>
      </c>
      <c r="N18" s="44">
        <v>7.4999999999999997E-2</v>
      </c>
    </row>
    <row r="19" spans="2:15">
      <c r="B19" s="41"/>
      <c r="C19" s="41"/>
      <c r="D19" s="41" t="s">
        <v>214</v>
      </c>
      <c r="E19" s="46">
        <f>12.5%*99.9%</f>
        <v>0.12487500000000001</v>
      </c>
      <c r="K19" s="44" t="s">
        <v>234</v>
      </c>
      <c r="L19" s="44">
        <v>7.4999999999999997E-2</v>
      </c>
      <c r="M19" s="44">
        <v>1</v>
      </c>
      <c r="N19" s="44">
        <v>7.4999999999999997E-2</v>
      </c>
    </row>
    <row r="20" spans="2:15">
      <c r="K20" s="44" t="s">
        <v>235</v>
      </c>
      <c r="L20" s="44">
        <v>7.4999999999999997E-2</v>
      </c>
      <c r="M20" s="44">
        <v>7.4999999999999997E-2</v>
      </c>
      <c r="N20" s="44">
        <v>1</v>
      </c>
    </row>
    <row r="21" spans="2:15">
      <c r="K21" s="6"/>
      <c r="L21" s="6"/>
      <c r="M21" s="6"/>
      <c r="N21" s="6"/>
    </row>
    <row r="22" spans="2:15">
      <c r="K22" s="6" t="s">
        <v>236</v>
      </c>
      <c r="L22" s="6" t="s">
        <v>237</v>
      </c>
      <c r="M22" s="6" t="s">
        <v>206</v>
      </c>
      <c r="N22" s="6"/>
    </row>
    <row r="23" spans="2:15">
      <c r="K23" s="43" t="s">
        <v>43</v>
      </c>
      <c r="L23" s="44" t="s">
        <v>238</v>
      </c>
      <c r="M23" s="44" t="s">
        <v>239</v>
      </c>
      <c r="N23" s="44" t="s">
        <v>240</v>
      </c>
    </row>
    <row r="24" spans="2:15">
      <c r="K24" s="44" t="s">
        <v>238</v>
      </c>
      <c r="L24" s="44">
        <v>1</v>
      </c>
      <c r="M24" s="44">
        <v>12.5</v>
      </c>
      <c r="N24" s="44">
        <v>12.5</v>
      </c>
    </row>
    <row r="25" spans="2:15">
      <c r="K25" s="44" t="s">
        <v>239</v>
      </c>
      <c r="L25" s="44">
        <v>12.5</v>
      </c>
      <c r="M25" s="44">
        <v>1</v>
      </c>
      <c r="N25" s="44">
        <v>12.5</v>
      </c>
    </row>
    <row r="26" spans="2:15">
      <c r="K26" s="44" t="s">
        <v>240</v>
      </c>
      <c r="L26" s="44">
        <v>12.5</v>
      </c>
      <c r="M26" s="44">
        <v>12.5</v>
      </c>
      <c r="N26" s="44">
        <v>1</v>
      </c>
    </row>
    <row r="28" spans="2:15">
      <c r="K28" s="6" t="s">
        <v>241</v>
      </c>
      <c r="L28" s="6" t="s">
        <v>237</v>
      </c>
      <c r="M28" s="6" t="s">
        <v>206</v>
      </c>
      <c r="N28" s="6"/>
      <c r="O28" s="6" t="s">
        <v>242</v>
      </c>
    </row>
    <row r="29" spans="2:15">
      <c r="K29" s="43" t="s">
        <v>243</v>
      </c>
      <c r="L29" s="44" t="s">
        <v>238</v>
      </c>
      <c r="M29" s="44" t="s">
        <v>239</v>
      </c>
      <c r="N29" s="44" t="s">
        <v>244</v>
      </c>
    </row>
    <row r="30" spans="2:15">
      <c r="K30" s="44" t="s">
        <v>238</v>
      </c>
      <c r="L30" s="44">
        <v>1</v>
      </c>
      <c r="M30" s="44">
        <v>12.5</v>
      </c>
      <c r="N30" s="44">
        <v>12.487500000000001</v>
      </c>
    </row>
    <row r="31" spans="2:15">
      <c r="K31" s="44" t="s">
        <v>239</v>
      </c>
      <c r="L31" s="44">
        <v>12.5</v>
      </c>
      <c r="M31" s="44">
        <v>1</v>
      </c>
      <c r="N31" s="44">
        <v>12.5</v>
      </c>
    </row>
    <row r="32" spans="2:15">
      <c r="K32" s="44" t="s">
        <v>244</v>
      </c>
      <c r="L32" s="44">
        <v>12.487500000000001</v>
      </c>
      <c r="M32" s="44">
        <v>12.5</v>
      </c>
      <c r="N32" s="4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3EA7B-EBF4-4135-B4EF-AD7F0DC725B8}">
  <dimension ref="A2:M60"/>
  <sheetViews>
    <sheetView topLeftCell="E35" workbookViewId="0">
      <selection activeCell="E36" sqref="E36"/>
    </sheetView>
  </sheetViews>
  <sheetFormatPr defaultRowHeight="15"/>
  <cols>
    <col min="1" max="1" width="13.28515625" customWidth="1"/>
    <col min="2" max="2" width="17.7109375" customWidth="1"/>
    <col min="3" max="3" width="13.85546875" customWidth="1"/>
    <col min="4" max="4" width="31.7109375" customWidth="1"/>
    <col min="5" max="5" width="60.140625" customWidth="1"/>
    <col min="6" max="6" width="18.28515625" customWidth="1"/>
    <col min="9" max="9" width="13" customWidth="1"/>
    <col min="10" max="10" width="12.140625" customWidth="1"/>
    <col min="12" max="12" width="14.5703125" customWidth="1"/>
  </cols>
  <sheetData>
    <row r="2" spans="1:6">
      <c r="A2" t="s">
        <v>130</v>
      </c>
    </row>
    <row r="4" spans="1:6">
      <c r="C4" s="33" t="s">
        <v>39</v>
      </c>
      <c r="D4" s="33" t="s">
        <v>131</v>
      </c>
      <c r="E4" s="33" t="s">
        <v>132</v>
      </c>
      <c r="F4" s="33" t="s">
        <v>40</v>
      </c>
    </row>
    <row r="5" spans="1:6">
      <c r="C5" s="29">
        <v>1</v>
      </c>
      <c r="D5" s="37" t="s">
        <v>133</v>
      </c>
      <c r="E5" s="29" t="s">
        <v>134</v>
      </c>
      <c r="F5" s="31">
        <v>5.0000000000000001E-3</v>
      </c>
    </row>
    <row r="6" spans="1:6">
      <c r="C6" s="29">
        <v>2</v>
      </c>
      <c r="D6" s="37"/>
      <c r="E6" s="29" t="s">
        <v>135</v>
      </c>
      <c r="F6" s="4">
        <v>0.01</v>
      </c>
    </row>
    <row r="7" spans="1:6">
      <c r="C7" s="29">
        <v>3</v>
      </c>
      <c r="D7" s="37"/>
      <c r="E7" s="29" t="s">
        <v>136</v>
      </c>
      <c r="F7" s="4">
        <v>0.05</v>
      </c>
    </row>
    <row r="8" spans="1:6">
      <c r="A8" t="s">
        <v>137</v>
      </c>
      <c r="C8" s="29">
        <v>4</v>
      </c>
      <c r="D8" s="37"/>
      <c r="E8" s="29" t="s">
        <v>138</v>
      </c>
      <c r="F8" s="4">
        <v>0.03</v>
      </c>
    </row>
    <row r="9" spans="1:6">
      <c r="C9" s="29">
        <v>5</v>
      </c>
      <c r="D9" s="37"/>
      <c r="E9" s="29" t="s">
        <v>139</v>
      </c>
      <c r="F9" s="4">
        <v>0.03</v>
      </c>
    </row>
    <row r="10" spans="1:6">
      <c r="C10" s="29">
        <v>6</v>
      </c>
      <c r="D10" s="37"/>
      <c r="E10" s="29" t="s">
        <v>140</v>
      </c>
      <c r="F10" s="4">
        <v>0.02</v>
      </c>
    </row>
    <row r="11" spans="1:6">
      <c r="C11" s="29">
        <v>7</v>
      </c>
      <c r="D11" s="37"/>
      <c r="E11" s="29" t="s">
        <v>141</v>
      </c>
      <c r="F11" s="31">
        <v>1.4999999999999999E-2</v>
      </c>
    </row>
    <row r="12" spans="1:6">
      <c r="C12" s="29">
        <v>8</v>
      </c>
      <c r="D12" s="37"/>
      <c r="E12" s="29" t="s">
        <v>142</v>
      </c>
      <c r="F12" s="31">
        <v>2.5000000000000001E-2</v>
      </c>
    </row>
    <row r="13" spans="1:6">
      <c r="C13" s="29">
        <v>9</v>
      </c>
      <c r="D13" s="37" t="s">
        <v>143</v>
      </c>
      <c r="E13" s="29" t="s">
        <v>134</v>
      </c>
      <c r="F13" s="4">
        <v>0.02</v>
      </c>
    </row>
    <row r="14" spans="1:6">
      <c r="C14" s="29">
        <v>10</v>
      </c>
      <c r="D14" s="37"/>
      <c r="E14" s="29" t="s">
        <v>135</v>
      </c>
      <c r="F14" s="4">
        <v>0.04</v>
      </c>
    </row>
    <row r="15" spans="1:6">
      <c r="C15" s="29">
        <v>11</v>
      </c>
      <c r="D15" s="37"/>
      <c r="E15" s="29" t="s">
        <v>136</v>
      </c>
      <c r="F15" s="4">
        <v>0.12</v>
      </c>
    </row>
    <row r="16" spans="1:6">
      <c r="C16" s="29">
        <v>12</v>
      </c>
      <c r="D16" s="37"/>
      <c r="E16" s="29" t="s">
        <v>138</v>
      </c>
      <c r="F16" s="4">
        <v>7.0000000000000007E-2</v>
      </c>
    </row>
    <row r="17" spans="1:13">
      <c r="C17" s="29">
        <v>13</v>
      </c>
      <c r="D17" s="37"/>
      <c r="E17" s="29" t="s">
        <v>139</v>
      </c>
      <c r="F17" s="31">
        <v>8.5000000000000006E-2</v>
      </c>
    </row>
    <row r="18" spans="1:13">
      <c r="C18" s="29">
        <v>14</v>
      </c>
      <c r="D18" s="37"/>
      <c r="E18" s="29" t="s">
        <v>140</v>
      </c>
      <c r="F18" s="31">
        <v>5.5E-2</v>
      </c>
    </row>
    <row r="19" spans="1:13">
      <c r="C19" s="29">
        <v>15</v>
      </c>
      <c r="D19" s="37"/>
      <c r="E19" s="29" t="s">
        <v>141</v>
      </c>
      <c r="F19" s="4">
        <v>0.05</v>
      </c>
    </row>
    <row r="20" spans="1:13">
      <c r="C20" s="29">
        <v>16</v>
      </c>
      <c r="D20" s="37" t="s">
        <v>56</v>
      </c>
      <c r="E20" s="37"/>
      <c r="F20" s="4">
        <v>0.12</v>
      </c>
    </row>
    <row r="21" spans="1:13">
      <c r="C21" s="29">
        <v>17</v>
      </c>
      <c r="D21" s="37" t="s">
        <v>144</v>
      </c>
      <c r="E21" s="37"/>
      <c r="F21" s="31">
        <v>1.4999999999999999E-2</v>
      </c>
    </row>
    <row r="22" spans="1:13">
      <c r="C22" s="29">
        <v>18</v>
      </c>
      <c r="D22" s="37" t="s">
        <v>145</v>
      </c>
      <c r="E22" s="37"/>
      <c r="F22" s="4">
        <v>0.05</v>
      </c>
    </row>
    <row r="23" spans="1:13">
      <c r="A23" t="s">
        <v>169</v>
      </c>
      <c r="C23" s="29"/>
      <c r="D23" s="29"/>
      <c r="E23" s="29"/>
      <c r="F23" s="4"/>
      <c r="H23" t="s">
        <v>170</v>
      </c>
    </row>
    <row r="24" spans="1:13">
      <c r="A24" t="s">
        <v>152</v>
      </c>
      <c r="B24" s="33" t="s">
        <v>132</v>
      </c>
      <c r="C24" s="33" t="s">
        <v>39</v>
      </c>
      <c r="D24" s="33" t="s">
        <v>40</v>
      </c>
      <c r="E24" s="33" t="s">
        <v>155</v>
      </c>
      <c r="F24" s="33" t="s">
        <v>156</v>
      </c>
      <c r="H24" t="s">
        <v>152</v>
      </c>
      <c r="I24" s="33" t="s">
        <v>132</v>
      </c>
      <c r="J24" s="33" t="s">
        <v>39</v>
      </c>
      <c r="K24" s="33" t="s">
        <v>40</v>
      </c>
      <c r="L24" s="33" t="s">
        <v>155</v>
      </c>
      <c r="M24" s="33" t="s">
        <v>156</v>
      </c>
    </row>
    <row r="25" spans="1:13">
      <c r="A25" t="s">
        <v>17</v>
      </c>
      <c r="B25" t="s">
        <v>162</v>
      </c>
      <c r="C25" s="29">
        <v>6</v>
      </c>
      <c r="D25" s="34">
        <v>0.02</v>
      </c>
      <c r="E25" s="29">
        <v>5</v>
      </c>
      <c r="F25" t="s">
        <v>164</v>
      </c>
      <c r="H25" t="s">
        <v>8</v>
      </c>
      <c r="I25" t="s">
        <v>167</v>
      </c>
      <c r="J25" s="29">
        <v>17</v>
      </c>
      <c r="K25" s="38">
        <v>1.4999999999999999E-2</v>
      </c>
      <c r="L25" s="29">
        <v>3</v>
      </c>
      <c r="M25" t="s">
        <v>157</v>
      </c>
    </row>
    <row r="26" spans="1:13">
      <c r="A26" t="s">
        <v>1</v>
      </c>
      <c r="B26" t="s">
        <v>163</v>
      </c>
      <c r="C26" s="29">
        <v>6</v>
      </c>
      <c r="D26" s="34">
        <v>0.02</v>
      </c>
      <c r="E26" s="29">
        <v>10</v>
      </c>
      <c r="F26" t="s">
        <v>165</v>
      </c>
      <c r="H26" t="s">
        <v>21</v>
      </c>
      <c r="I26" t="s">
        <v>168</v>
      </c>
      <c r="J26" s="29">
        <v>17</v>
      </c>
      <c r="K26" s="38">
        <v>1.4999999999999999E-2</v>
      </c>
      <c r="L26" s="29">
        <v>3</v>
      </c>
      <c r="M26" t="s">
        <v>158</v>
      </c>
    </row>
    <row r="30" spans="1:13">
      <c r="A30" t="s">
        <v>153</v>
      </c>
      <c r="C30" t="s">
        <v>150</v>
      </c>
      <c r="D30" t="s">
        <v>151</v>
      </c>
      <c r="H30" t="s">
        <v>159</v>
      </c>
      <c r="J30" t="s">
        <v>150</v>
      </c>
      <c r="K30" t="s">
        <v>151</v>
      </c>
    </row>
    <row r="31" spans="1:13">
      <c r="A31" s="5" t="s">
        <v>146</v>
      </c>
      <c r="B31" t="s">
        <v>147</v>
      </c>
      <c r="C31" s="32">
        <v>1</v>
      </c>
      <c r="D31" s="4">
        <v>0.35</v>
      </c>
      <c r="H31" s="5" t="s">
        <v>146</v>
      </c>
      <c r="I31" t="s">
        <v>147</v>
      </c>
      <c r="J31" s="32">
        <v>1</v>
      </c>
      <c r="K31" s="4">
        <v>0.8</v>
      </c>
    </row>
    <row r="32" spans="1:13">
      <c r="B32" s="41"/>
      <c r="C32" s="21" t="s">
        <v>17</v>
      </c>
      <c r="D32" s="21" t="s">
        <v>1</v>
      </c>
      <c r="E32" s="36"/>
      <c r="I32" s="41"/>
      <c r="J32" s="21" t="s">
        <v>21</v>
      </c>
      <c r="K32" s="21" t="s">
        <v>154</v>
      </c>
    </row>
    <row r="33" spans="1:11">
      <c r="B33" s="21" t="s">
        <v>17</v>
      </c>
      <c r="C33" s="41">
        <v>1</v>
      </c>
      <c r="D33" s="41">
        <v>0.35</v>
      </c>
      <c r="I33" s="21" t="s">
        <v>21</v>
      </c>
      <c r="J33" s="41">
        <v>1</v>
      </c>
      <c r="K33" s="41">
        <v>0.8</v>
      </c>
    </row>
    <row r="34" spans="1:11">
      <c r="B34" s="21" t="s">
        <v>1</v>
      </c>
      <c r="C34" s="41">
        <v>0.35</v>
      </c>
      <c r="D34" s="41">
        <v>1</v>
      </c>
      <c r="I34" s="21" t="s">
        <v>154</v>
      </c>
      <c r="J34" s="41">
        <v>0.8</v>
      </c>
      <c r="K34" s="41">
        <v>1</v>
      </c>
    </row>
    <row r="35" spans="1:11">
      <c r="B35" s="36"/>
    </row>
    <row r="37" spans="1:11">
      <c r="A37" s="5" t="s">
        <v>15</v>
      </c>
      <c r="B37" t="s">
        <v>148</v>
      </c>
      <c r="C37" s="32">
        <v>1</v>
      </c>
      <c r="D37" s="4">
        <v>0.65</v>
      </c>
      <c r="H37" s="5" t="s">
        <v>15</v>
      </c>
      <c r="I37" t="s">
        <v>148</v>
      </c>
      <c r="J37" s="32">
        <v>1</v>
      </c>
      <c r="K37" s="4">
        <v>0.65</v>
      </c>
    </row>
    <row r="38" spans="1:11">
      <c r="B38" s="41"/>
      <c r="C38" s="21" t="s">
        <v>17</v>
      </c>
      <c r="D38" s="21" t="s">
        <v>1</v>
      </c>
      <c r="E38" s="36"/>
      <c r="I38" s="41"/>
      <c r="J38" s="21" t="s">
        <v>21</v>
      </c>
      <c r="K38" s="21" t="s">
        <v>154</v>
      </c>
    </row>
    <row r="39" spans="1:11">
      <c r="B39" s="21" t="s">
        <v>17</v>
      </c>
      <c r="C39" s="41">
        <v>1</v>
      </c>
      <c r="D39" s="41">
        <v>0.65</v>
      </c>
      <c r="I39" s="21" t="s">
        <v>21</v>
      </c>
      <c r="J39" s="41">
        <v>1</v>
      </c>
      <c r="K39" s="41">
        <v>1</v>
      </c>
    </row>
    <row r="40" spans="1:11">
      <c r="B40" s="21" t="s">
        <v>1</v>
      </c>
      <c r="C40" s="41">
        <v>0.65</v>
      </c>
      <c r="D40" s="41">
        <v>1</v>
      </c>
      <c r="I40" s="21" t="s">
        <v>154</v>
      </c>
      <c r="J40" s="41">
        <v>1</v>
      </c>
      <c r="K40" s="41">
        <v>1</v>
      </c>
    </row>
    <row r="42" spans="1:11">
      <c r="A42" s="5" t="s">
        <v>19</v>
      </c>
      <c r="B42" t="s">
        <v>149</v>
      </c>
      <c r="C42" s="32">
        <v>1</v>
      </c>
      <c r="D42" s="31">
        <v>0.999</v>
      </c>
      <c r="H42" s="5" t="s">
        <v>19</v>
      </c>
      <c r="I42" t="s">
        <v>149</v>
      </c>
      <c r="J42" s="32">
        <v>1</v>
      </c>
      <c r="K42" s="31">
        <v>0.999</v>
      </c>
    </row>
    <row r="43" spans="1:11">
      <c r="B43" s="41"/>
      <c r="C43" s="21" t="s">
        <v>17</v>
      </c>
      <c r="D43" s="21" t="s">
        <v>1</v>
      </c>
      <c r="I43" s="41"/>
      <c r="J43" s="21" t="s">
        <v>21</v>
      </c>
      <c r="K43" s="21" t="s">
        <v>154</v>
      </c>
    </row>
    <row r="44" spans="1:11">
      <c r="B44" s="21" t="s">
        <v>17</v>
      </c>
      <c r="C44" s="41">
        <v>1</v>
      </c>
      <c r="D44" s="41">
        <v>0.999</v>
      </c>
      <c r="I44" s="21" t="s">
        <v>21</v>
      </c>
      <c r="J44" s="41">
        <v>1</v>
      </c>
      <c r="K44" s="41">
        <v>0.999</v>
      </c>
    </row>
    <row r="45" spans="1:11">
      <c r="B45" s="21" t="s">
        <v>1</v>
      </c>
      <c r="C45" s="41">
        <v>0.999</v>
      </c>
      <c r="D45" s="41">
        <v>1</v>
      </c>
      <c r="I45" s="21" t="s">
        <v>154</v>
      </c>
      <c r="J45" s="41">
        <v>0.999</v>
      </c>
      <c r="K45" s="41">
        <v>1</v>
      </c>
    </row>
    <row r="47" spans="1:11">
      <c r="A47" t="s">
        <v>18</v>
      </c>
      <c r="B47" s="41"/>
      <c r="C47" s="21" t="s">
        <v>17</v>
      </c>
      <c r="D47" s="21" t="s">
        <v>1</v>
      </c>
      <c r="H47" t="s">
        <v>18</v>
      </c>
      <c r="I47" s="41"/>
      <c r="J47" s="21" t="s">
        <v>21</v>
      </c>
      <c r="K47" s="21" t="s">
        <v>154</v>
      </c>
    </row>
    <row r="48" spans="1:11">
      <c r="B48" s="21" t="s">
        <v>17</v>
      </c>
      <c r="C48" s="41">
        <f>C33*C39*C44</f>
        <v>1</v>
      </c>
      <c r="D48" s="41">
        <f>D33*D39*D44</f>
        <v>0.22727249999999999</v>
      </c>
      <c r="I48" s="21" t="s">
        <v>21</v>
      </c>
      <c r="J48" s="41">
        <f>J33*J39*J44</f>
        <v>1</v>
      </c>
      <c r="K48" s="41">
        <f>K33*K39*K44</f>
        <v>0.79920000000000002</v>
      </c>
    </row>
    <row r="49" spans="1:11">
      <c r="B49" s="21" t="s">
        <v>1</v>
      </c>
      <c r="C49" s="41">
        <f>C34*C40*C45</f>
        <v>0.22727249999999999</v>
      </c>
      <c r="D49" s="41">
        <f>D34*D40*D45</f>
        <v>1</v>
      </c>
      <c r="I49" s="21" t="s">
        <v>154</v>
      </c>
      <c r="J49" s="41">
        <f>J34*J40*J45</f>
        <v>0.79920000000000002</v>
      </c>
      <c r="K49" s="41">
        <f>K34*K40*K45</f>
        <v>1</v>
      </c>
    </row>
    <row r="52" spans="1:11">
      <c r="A52" t="s">
        <v>160</v>
      </c>
      <c r="B52" s="21" t="s">
        <v>166</v>
      </c>
      <c r="C52" s="21" t="s">
        <v>150</v>
      </c>
      <c r="D52" t="s">
        <v>171</v>
      </c>
    </row>
    <row r="53" spans="1:11">
      <c r="A53" s="35" t="s">
        <v>166</v>
      </c>
      <c r="B53" s="41">
        <v>1</v>
      </c>
      <c r="C53" s="41">
        <v>1</v>
      </c>
    </row>
    <row r="54" spans="1:11">
      <c r="A54" s="35" t="s">
        <v>150</v>
      </c>
      <c r="B54" s="41">
        <v>1</v>
      </c>
      <c r="C54" s="41">
        <v>1</v>
      </c>
    </row>
    <row r="56" spans="1:11">
      <c r="A56" t="s">
        <v>161</v>
      </c>
      <c r="B56" s="21" t="s">
        <v>166</v>
      </c>
      <c r="C56" s="21" t="s">
        <v>150</v>
      </c>
    </row>
    <row r="57" spans="1:11">
      <c r="A57" s="35" t="s">
        <v>166</v>
      </c>
      <c r="B57" s="41">
        <v>1</v>
      </c>
      <c r="C57" s="41">
        <v>0.45</v>
      </c>
    </row>
    <row r="58" spans="1:11">
      <c r="A58" s="35" t="s">
        <v>150</v>
      </c>
      <c r="B58" s="41">
        <v>0.45</v>
      </c>
      <c r="C58" s="41">
        <v>1</v>
      </c>
    </row>
    <row r="60" spans="1:11">
      <c r="A60" s="2" t="s">
        <v>66</v>
      </c>
      <c r="B60" s="2">
        <f>C53*C57</f>
        <v>0.45</v>
      </c>
    </row>
  </sheetData>
  <mergeCells count="5">
    <mergeCell ref="D5:D12"/>
    <mergeCell ref="D13:D19"/>
    <mergeCell ref="D20:E20"/>
    <mergeCell ref="D21:E21"/>
    <mergeCell ref="D22:E2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EE8FE-A62D-4F17-B612-B85F6EFD6E9E}">
  <dimension ref="A2:M56"/>
  <sheetViews>
    <sheetView workbookViewId="0">
      <selection activeCell="C3" sqref="C3"/>
    </sheetView>
  </sheetViews>
  <sheetFormatPr defaultRowHeight="15"/>
  <cols>
    <col min="1" max="1" width="13.5703125" customWidth="1"/>
    <col min="2" max="2" width="12.140625" customWidth="1"/>
    <col min="3" max="3" width="13.28515625" customWidth="1"/>
    <col min="4" max="4" width="28.5703125" customWidth="1"/>
    <col min="5" max="5" width="67" customWidth="1"/>
    <col min="6" max="6" width="17.140625" customWidth="1"/>
    <col min="8" max="8" width="20.140625" customWidth="1"/>
    <col min="9" max="9" width="14.5703125" customWidth="1"/>
    <col min="10" max="10" width="13.28515625" customWidth="1"/>
  </cols>
  <sheetData>
    <row r="2" spans="1:6">
      <c r="A2" t="s">
        <v>172</v>
      </c>
      <c r="D2" t="s">
        <v>251</v>
      </c>
    </row>
    <row r="4" spans="1:6">
      <c r="C4" s="33" t="s">
        <v>39</v>
      </c>
      <c r="D4" s="33" t="s">
        <v>131</v>
      </c>
      <c r="E4" s="33" t="s">
        <v>132</v>
      </c>
      <c r="F4" s="33" t="s">
        <v>40</v>
      </c>
    </row>
    <row r="5" spans="1:6">
      <c r="C5" s="30">
        <v>1</v>
      </c>
      <c r="D5" s="37" t="s">
        <v>133</v>
      </c>
      <c r="E5" s="30" t="s">
        <v>134</v>
      </c>
      <c r="F5" s="31">
        <v>0.04</v>
      </c>
    </row>
    <row r="6" spans="1:6">
      <c r="C6" s="30">
        <v>2</v>
      </c>
      <c r="D6" s="37"/>
      <c r="E6" s="30" t="s">
        <v>135</v>
      </c>
      <c r="F6" s="4">
        <v>0.04</v>
      </c>
    </row>
    <row r="7" spans="1:6">
      <c r="C7" s="30">
        <v>3</v>
      </c>
      <c r="D7" s="37"/>
      <c r="E7" s="30" t="s">
        <v>136</v>
      </c>
      <c r="F7" s="4">
        <v>0.08</v>
      </c>
    </row>
    <row r="8" spans="1:6">
      <c r="A8" t="s">
        <v>137</v>
      </c>
      <c r="C8" s="30">
        <v>4</v>
      </c>
      <c r="D8" s="37"/>
      <c r="E8" s="30" t="s">
        <v>138</v>
      </c>
      <c r="F8" s="4">
        <v>0.05</v>
      </c>
    </row>
    <row r="9" spans="1:6">
      <c r="C9" s="30">
        <v>5</v>
      </c>
      <c r="D9" s="37"/>
      <c r="E9" s="30" t="s">
        <v>139</v>
      </c>
      <c r="F9" s="4">
        <v>0.04</v>
      </c>
    </row>
    <row r="10" spans="1:6">
      <c r="C10" s="30">
        <v>6</v>
      </c>
      <c r="D10" s="37"/>
      <c r="E10" s="30" t="s">
        <v>140</v>
      </c>
      <c r="F10" s="4">
        <v>0.03</v>
      </c>
    </row>
    <row r="11" spans="1:6">
      <c r="C11" s="30">
        <v>7</v>
      </c>
      <c r="D11" s="37"/>
      <c r="E11" s="30" t="s">
        <v>141</v>
      </c>
      <c r="F11" s="31">
        <v>0.02</v>
      </c>
    </row>
    <row r="12" spans="1:6">
      <c r="C12" s="30">
        <v>8</v>
      </c>
      <c r="D12" s="37"/>
      <c r="E12" s="30" t="s">
        <v>142</v>
      </c>
      <c r="F12" s="31">
        <v>0.06</v>
      </c>
    </row>
    <row r="13" spans="1:6">
      <c r="C13" s="30">
        <v>9</v>
      </c>
      <c r="D13" s="37" t="s">
        <v>143</v>
      </c>
      <c r="E13" s="30" t="s">
        <v>134</v>
      </c>
      <c r="F13" s="4">
        <v>0.13</v>
      </c>
    </row>
    <row r="14" spans="1:6">
      <c r="C14" s="30">
        <v>10</v>
      </c>
      <c r="D14" s="37"/>
      <c r="E14" s="30" t="s">
        <v>135</v>
      </c>
      <c r="F14" s="4">
        <v>0.13</v>
      </c>
    </row>
    <row r="15" spans="1:6">
      <c r="C15" s="30">
        <v>11</v>
      </c>
      <c r="D15" s="37"/>
      <c r="E15" s="30" t="s">
        <v>136</v>
      </c>
      <c r="F15" s="4">
        <v>0.16</v>
      </c>
    </row>
    <row r="16" spans="1:6">
      <c r="C16" s="30">
        <v>12</v>
      </c>
      <c r="D16" s="37"/>
      <c r="E16" s="30" t="s">
        <v>138</v>
      </c>
      <c r="F16" s="4">
        <v>0.1</v>
      </c>
    </row>
    <row r="17" spans="1:13">
      <c r="C17" s="30">
        <v>13</v>
      </c>
      <c r="D17" s="37"/>
      <c r="E17" s="30" t="s">
        <v>139</v>
      </c>
      <c r="F17" s="31">
        <v>0.12</v>
      </c>
    </row>
    <row r="18" spans="1:13">
      <c r="C18" s="30">
        <v>14</v>
      </c>
      <c r="D18" s="37"/>
      <c r="E18" s="30" t="s">
        <v>140</v>
      </c>
      <c r="F18" s="31">
        <v>0.12</v>
      </c>
    </row>
    <row r="19" spans="1:13">
      <c r="C19" s="30">
        <v>15</v>
      </c>
      <c r="D19" s="37"/>
      <c r="E19" s="30" t="s">
        <v>141</v>
      </c>
      <c r="F19" s="4">
        <v>0.12</v>
      </c>
    </row>
    <row r="20" spans="1:13">
      <c r="C20" s="30">
        <v>16</v>
      </c>
      <c r="D20" s="37" t="s">
        <v>56</v>
      </c>
      <c r="E20" s="37"/>
      <c r="F20" s="4">
        <v>0.13</v>
      </c>
    </row>
    <row r="22" spans="1:13">
      <c r="A22" t="s">
        <v>169</v>
      </c>
      <c r="B22" t="s">
        <v>175</v>
      </c>
      <c r="C22" s="30"/>
      <c r="D22" s="30"/>
      <c r="E22" s="30"/>
      <c r="F22" s="4"/>
      <c r="H22" t="s">
        <v>170</v>
      </c>
      <c r="I22" t="s">
        <v>175</v>
      </c>
    </row>
    <row r="23" spans="1:13">
      <c r="A23" t="s">
        <v>152</v>
      </c>
      <c r="B23" s="33" t="s">
        <v>132</v>
      </c>
      <c r="C23" s="33" t="s">
        <v>39</v>
      </c>
      <c r="D23" s="33" t="s">
        <v>40</v>
      </c>
      <c r="E23" s="33" t="s">
        <v>155</v>
      </c>
      <c r="F23" s="33" t="s">
        <v>156</v>
      </c>
      <c r="H23" t="s">
        <v>152</v>
      </c>
      <c r="I23" s="33" t="s">
        <v>132</v>
      </c>
      <c r="J23" s="33" t="s">
        <v>39</v>
      </c>
      <c r="K23" s="33" t="s">
        <v>40</v>
      </c>
      <c r="L23" s="33" t="s">
        <v>155</v>
      </c>
      <c r="M23" s="33" t="s">
        <v>156</v>
      </c>
    </row>
    <row r="24" spans="1:13">
      <c r="A24" t="s">
        <v>17</v>
      </c>
      <c r="B24" t="s">
        <v>173</v>
      </c>
      <c r="C24" s="30">
        <v>6</v>
      </c>
      <c r="D24" s="34">
        <v>0.03</v>
      </c>
      <c r="E24" s="30">
        <v>5</v>
      </c>
      <c r="F24" t="s">
        <v>164</v>
      </c>
      <c r="H24" t="s">
        <v>8</v>
      </c>
      <c r="I24" t="s">
        <v>174</v>
      </c>
      <c r="J24" s="30">
        <v>12</v>
      </c>
      <c r="K24" s="34">
        <v>0.1</v>
      </c>
      <c r="L24" s="30">
        <v>3</v>
      </c>
      <c r="M24" t="s">
        <v>157</v>
      </c>
    </row>
    <row r="25" spans="1:13">
      <c r="A25" t="s">
        <v>1</v>
      </c>
      <c r="B25" t="s">
        <v>173</v>
      </c>
      <c r="C25" s="30">
        <v>6</v>
      </c>
      <c r="D25" s="34">
        <v>0.03</v>
      </c>
      <c r="E25" s="30">
        <v>10</v>
      </c>
      <c r="F25" t="s">
        <v>165</v>
      </c>
      <c r="H25" t="s">
        <v>21</v>
      </c>
      <c r="I25" t="s">
        <v>174</v>
      </c>
      <c r="J25" s="30">
        <v>12</v>
      </c>
      <c r="K25" s="34">
        <v>0.1</v>
      </c>
      <c r="L25" s="30">
        <v>3</v>
      </c>
      <c r="M25" t="s">
        <v>158</v>
      </c>
    </row>
    <row r="27" spans="1:13">
      <c r="A27" t="s">
        <v>153</v>
      </c>
      <c r="C27" t="s">
        <v>150</v>
      </c>
      <c r="D27" t="s">
        <v>151</v>
      </c>
      <c r="H27" t="s">
        <v>153</v>
      </c>
      <c r="J27" t="s">
        <v>150</v>
      </c>
      <c r="K27" t="s">
        <v>151</v>
      </c>
    </row>
    <row r="28" spans="1:13">
      <c r="A28" s="5" t="s">
        <v>146</v>
      </c>
      <c r="B28" s="41" t="s">
        <v>147</v>
      </c>
      <c r="C28" s="48">
        <v>1</v>
      </c>
      <c r="D28" s="42">
        <v>0.35</v>
      </c>
      <c r="H28" s="5" t="s">
        <v>146</v>
      </c>
      <c r="I28" s="41" t="s">
        <v>147</v>
      </c>
      <c r="J28" s="48">
        <v>1</v>
      </c>
      <c r="K28" s="42">
        <v>0.35</v>
      </c>
    </row>
    <row r="29" spans="1:13">
      <c r="B29" s="41"/>
      <c r="C29" s="21" t="s">
        <v>17</v>
      </c>
      <c r="D29" s="21" t="s">
        <v>1</v>
      </c>
      <c r="I29" s="41"/>
      <c r="J29" s="21" t="s">
        <v>17</v>
      </c>
      <c r="K29" s="21" t="s">
        <v>1</v>
      </c>
    </row>
    <row r="30" spans="1:13">
      <c r="B30" s="21" t="s">
        <v>17</v>
      </c>
      <c r="C30" s="41">
        <v>1</v>
      </c>
      <c r="D30" s="41">
        <v>0.35</v>
      </c>
      <c r="I30" s="21" t="s">
        <v>17</v>
      </c>
      <c r="J30" s="41">
        <v>1</v>
      </c>
      <c r="K30" s="41">
        <v>0.35</v>
      </c>
    </row>
    <row r="31" spans="1:13">
      <c r="B31" s="21" t="s">
        <v>1</v>
      </c>
      <c r="C31" s="41">
        <v>0.35</v>
      </c>
      <c r="D31" s="41">
        <v>1</v>
      </c>
      <c r="I31" s="21" t="s">
        <v>1</v>
      </c>
      <c r="J31" s="41">
        <v>0.35</v>
      </c>
      <c r="K31" s="41">
        <v>1</v>
      </c>
    </row>
    <row r="32" spans="1:13">
      <c r="B32" s="36"/>
      <c r="I32" s="36"/>
    </row>
    <row r="34" spans="1:11">
      <c r="A34" s="5" t="s">
        <v>15</v>
      </c>
      <c r="B34" s="41" t="s">
        <v>148</v>
      </c>
      <c r="C34" s="48">
        <v>1</v>
      </c>
      <c r="D34" s="42">
        <v>0.65</v>
      </c>
      <c r="H34" s="5" t="s">
        <v>15</v>
      </c>
      <c r="I34" s="41" t="s">
        <v>148</v>
      </c>
      <c r="J34" s="48">
        <v>1</v>
      </c>
      <c r="K34" s="42">
        <v>0.65</v>
      </c>
    </row>
    <row r="35" spans="1:11">
      <c r="B35" s="41"/>
      <c r="C35" s="21" t="s">
        <v>17</v>
      </c>
      <c r="D35" s="21" t="s">
        <v>1</v>
      </c>
      <c r="I35" s="41"/>
      <c r="J35" s="21" t="s">
        <v>17</v>
      </c>
      <c r="K35" s="21" t="s">
        <v>1</v>
      </c>
    </row>
    <row r="36" spans="1:11">
      <c r="B36" s="21" t="s">
        <v>17</v>
      </c>
      <c r="C36" s="41">
        <v>1</v>
      </c>
      <c r="D36" s="41">
        <v>0.65</v>
      </c>
      <c r="I36" s="21" t="s">
        <v>17</v>
      </c>
      <c r="J36" s="41">
        <v>1</v>
      </c>
      <c r="K36" s="41">
        <v>1</v>
      </c>
    </row>
    <row r="37" spans="1:11">
      <c r="B37" s="21" t="s">
        <v>1</v>
      </c>
      <c r="C37" s="41">
        <v>0.65</v>
      </c>
      <c r="D37" s="41">
        <v>1</v>
      </c>
      <c r="I37" s="21" t="s">
        <v>1</v>
      </c>
      <c r="J37" s="41">
        <v>1</v>
      </c>
      <c r="K37" s="41">
        <v>1</v>
      </c>
    </row>
    <row r="39" spans="1:11">
      <c r="A39" s="5" t="s">
        <v>19</v>
      </c>
      <c r="B39" s="41" t="s">
        <v>149</v>
      </c>
      <c r="C39" s="48">
        <v>1</v>
      </c>
      <c r="D39" s="45">
        <v>0.99</v>
      </c>
      <c r="H39" s="5" t="s">
        <v>19</v>
      </c>
      <c r="I39" s="41" t="s">
        <v>149</v>
      </c>
      <c r="J39" s="48">
        <v>1</v>
      </c>
      <c r="K39" s="45">
        <v>0.99</v>
      </c>
    </row>
    <row r="40" spans="1:11">
      <c r="B40" s="41"/>
      <c r="C40" s="21" t="s">
        <v>17</v>
      </c>
      <c r="D40" s="21" t="s">
        <v>1</v>
      </c>
      <c r="I40" s="41"/>
      <c r="J40" s="21" t="s">
        <v>17</v>
      </c>
      <c r="K40" s="21" t="s">
        <v>1</v>
      </c>
    </row>
    <row r="41" spans="1:11">
      <c r="B41" s="21" t="s">
        <v>17</v>
      </c>
      <c r="C41" s="41">
        <v>1</v>
      </c>
      <c r="D41" s="41">
        <v>0.99</v>
      </c>
      <c r="I41" s="21" t="s">
        <v>17</v>
      </c>
      <c r="J41" s="41">
        <v>1</v>
      </c>
      <c r="K41" s="41">
        <v>0.99</v>
      </c>
    </row>
    <row r="42" spans="1:11">
      <c r="B42" s="21" t="s">
        <v>1</v>
      </c>
      <c r="C42" s="41">
        <v>0.99</v>
      </c>
      <c r="D42" s="41">
        <v>1</v>
      </c>
      <c r="I42" s="21" t="s">
        <v>1</v>
      </c>
      <c r="J42" s="41">
        <v>0.99</v>
      </c>
      <c r="K42" s="41">
        <v>1</v>
      </c>
    </row>
    <row r="44" spans="1:11">
      <c r="A44" t="s">
        <v>18</v>
      </c>
      <c r="B44" s="41"/>
      <c r="C44" s="21" t="s">
        <v>17</v>
      </c>
      <c r="D44" s="21" t="s">
        <v>1</v>
      </c>
      <c r="H44" t="s">
        <v>18</v>
      </c>
      <c r="I44" s="41"/>
      <c r="J44" s="21" t="s">
        <v>17</v>
      </c>
      <c r="K44" s="21" t="s">
        <v>1</v>
      </c>
    </row>
    <row r="45" spans="1:11">
      <c r="B45" s="21" t="s">
        <v>17</v>
      </c>
      <c r="C45" s="41">
        <f>C30*C36*C41</f>
        <v>1</v>
      </c>
      <c r="D45" s="41">
        <f>D30*D36*D41</f>
        <v>0.22522499999999998</v>
      </c>
      <c r="I45" s="21" t="s">
        <v>17</v>
      </c>
      <c r="J45" s="41">
        <f>J30*J36*J41</f>
        <v>1</v>
      </c>
      <c r="K45" s="41">
        <f>K30*K36*K41</f>
        <v>0.34649999999999997</v>
      </c>
    </row>
    <row r="46" spans="1:11">
      <c r="B46" s="21" t="s">
        <v>1</v>
      </c>
      <c r="C46" s="41">
        <f>C31*C37*C42</f>
        <v>0.22522499999999998</v>
      </c>
      <c r="D46" s="41">
        <f>D31*D37*D42</f>
        <v>1</v>
      </c>
      <c r="I46" s="21" t="s">
        <v>1</v>
      </c>
      <c r="J46" s="41">
        <f>J31*J37*J42</f>
        <v>0.34649999999999997</v>
      </c>
      <c r="K46" s="41">
        <f>K31*K37*K42</f>
        <v>1</v>
      </c>
    </row>
    <row r="48" spans="1:11">
      <c r="A48" t="s">
        <v>160</v>
      </c>
      <c r="B48" s="21" t="s">
        <v>166</v>
      </c>
      <c r="C48" s="21" t="s">
        <v>150</v>
      </c>
      <c r="D48" t="s">
        <v>171</v>
      </c>
    </row>
    <row r="49" spans="1:3">
      <c r="A49" s="35" t="s">
        <v>166</v>
      </c>
      <c r="B49" s="41">
        <v>1</v>
      </c>
      <c r="C49" s="41">
        <v>0.5</v>
      </c>
    </row>
    <row r="50" spans="1:3">
      <c r="A50" s="35" t="s">
        <v>150</v>
      </c>
      <c r="B50" s="41">
        <v>0.5</v>
      </c>
      <c r="C50" s="41">
        <v>1</v>
      </c>
    </row>
    <row r="52" spans="1:3">
      <c r="A52" t="s">
        <v>161</v>
      </c>
      <c r="B52" s="21" t="s">
        <v>166</v>
      </c>
      <c r="C52" s="21" t="s">
        <v>150</v>
      </c>
    </row>
    <row r="53" spans="1:3">
      <c r="A53" s="35" t="s">
        <v>166</v>
      </c>
      <c r="B53" s="41">
        <v>1</v>
      </c>
      <c r="C53" s="41">
        <v>0.25</v>
      </c>
    </row>
    <row r="54" spans="1:3">
      <c r="A54" s="35" t="s">
        <v>150</v>
      </c>
      <c r="B54" s="41">
        <v>0.25</v>
      </c>
      <c r="C54" s="41">
        <v>1</v>
      </c>
    </row>
    <row r="56" spans="1:3">
      <c r="A56" s="2" t="s">
        <v>66</v>
      </c>
      <c r="B56" s="2">
        <f>C49*C53</f>
        <v>0.125</v>
      </c>
    </row>
  </sheetData>
  <mergeCells count="3">
    <mergeCell ref="D5:D12"/>
    <mergeCell ref="D13:D19"/>
    <mergeCell ref="D20:E2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BAD8B-0BEC-4B49-87FA-81759057EC96}">
  <dimension ref="A2:M55"/>
  <sheetViews>
    <sheetView workbookViewId="0">
      <selection activeCell="D55" sqref="D55"/>
    </sheetView>
  </sheetViews>
  <sheetFormatPr defaultRowHeight="15"/>
  <cols>
    <col min="2" max="2" width="41.140625" customWidth="1"/>
    <col min="3" max="3" width="18.42578125" customWidth="1"/>
    <col min="4" max="4" width="27.85546875" customWidth="1"/>
    <col min="5" max="5" width="19.28515625" customWidth="1"/>
    <col min="6" max="6" width="12.85546875" customWidth="1"/>
    <col min="9" max="9" width="36.5703125" customWidth="1"/>
    <col min="10" max="10" width="16.5703125" customWidth="1"/>
    <col min="11" max="11" width="10.7109375" customWidth="1"/>
  </cols>
  <sheetData>
    <row r="2" spans="1:7">
      <c r="A2" t="s">
        <v>176</v>
      </c>
    </row>
    <row r="4" spans="1:7">
      <c r="C4" s="33" t="s">
        <v>39</v>
      </c>
      <c r="D4" s="33" t="s">
        <v>131</v>
      </c>
      <c r="E4" s="33" t="s">
        <v>177</v>
      </c>
      <c r="F4" s="33" t="s">
        <v>40</v>
      </c>
    </row>
    <row r="5" spans="1:7">
      <c r="C5" s="30">
        <v>1</v>
      </c>
      <c r="D5" s="37" t="s">
        <v>178</v>
      </c>
      <c r="E5" s="30" t="s">
        <v>179</v>
      </c>
      <c r="F5" s="39">
        <v>8.9999999999999993E-3</v>
      </c>
    </row>
    <row r="6" spans="1:7">
      <c r="C6" s="30">
        <v>2</v>
      </c>
      <c r="D6" s="37"/>
      <c r="E6" s="30" t="s">
        <v>180</v>
      </c>
      <c r="F6" s="39">
        <v>1.4999999999999999E-2</v>
      </c>
    </row>
    <row r="7" spans="1:7">
      <c r="C7" s="30">
        <v>3</v>
      </c>
      <c r="D7" s="37"/>
      <c r="E7" s="30" t="s">
        <v>181</v>
      </c>
      <c r="F7" s="39">
        <v>0.02</v>
      </c>
    </row>
    <row r="8" spans="1:7">
      <c r="C8" s="30">
        <v>4</v>
      </c>
      <c r="D8" s="37"/>
      <c r="E8" s="30" t="s">
        <v>182</v>
      </c>
      <c r="F8" s="39">
        <v>0.02</v>
      </c>
    </row>
    <row r="9" spans="1:7">
      <c r="C9" s="30">
        <v>5</v>
      </c>
      <c r="D9" s="37"/>
      <c r="E9" s="30" t="s">
        <v>183</v>
      </c>
      <c r="F9" s="39">
        <v>8.0000000000000002E-3</v>
      </c>
    </row>
    <row r="10" spans="1:7">
      <c r="C10" s="30">
        <v>6</v>
      </c>
      <c r="D10" s="37"/>
      <c r="E10" s="30" t="s">
        <v>184</v>
      </c>
      <c r="F10" s="39">
        <v>1.2E-2</v>
      </c>
    </row>
    <row r="11" spans="1:7">
      <c r="C11" s="30">
        <v>7</v>
      </c>
      <c r="D11" s="37"/>
      <c r="E11" s="30" t="s">
        <v>185</v>
      </c>
      <c r="F11" s="39">
        <v>1.2E-2</v>
      </c>
    </row>
    <row r="12" spans="1:7">
      <c r="A12" t="s">
        <v>186</v>
      </c>
      <c r="C12" s="30">
        <v>8</v>
      </c>
      <c r="D12" s="37"/>
      <c r="E12" s="30" t="s">
        <v>187</v>
      </c>
      <c r="F12" s="39">
        <v>1.4E-2</v>
      </c>
    </row>
    <row r="13" spans="1:7">
      <c r="C13" s="30">
        <v>9</v>
      </c>
      <c r="D13" s="37" t="s">
        <v>188</v>
      </c>
      <c r="E13" s="30" t="s">
        <v>179</v>
      </c>
      <c r="F13" s="39">
        <f>F5*1.25</f>
        <v>1.125E-2</v>
      </c>
      <c r="G13" t="s">
        <v>190</v>
      </c>
    </row>
    <row r="14" spans="1:7">
      <c r="C14" s="30">
        <v>10</v>
      </c>
      <c r="D14" s="37"/>
      <c r="E14" s="30" t="s">
        <v>180</v>
      </c>
      <c r="F14" s="39">
        <f t="shared" ref="F14:F20" si="0">F6*1.25</f>
        <v>1.8749999999999999E-2</v>
      </c>
    </row>
    <row r="15" spans="1:7">
      <c r="C15" s="30">
        <v>11</v>
      </c>
      <c r="D15" s="37"/>
      <c r="E15" s="30" t="s">
        <v>181</v>
      </c>
      <c r="F15" s="39">
        <f t="shared" si="0"/>
        <v>2.5000000000000001E-2</v>
      </c>
    </row>
    <row r="16" spans="1:7">
      <c r="C16" s="30">
        <v>12</v>
      </c>
      <c r="D16" s="37"/>
      <c r="E16" s="30" t="s">
        <v>182</v>
      </c>
      <c r="F16" s="39">
        <f t="shared" si="0"/>
        <v>2.5000000000000001E-2</v>
      </c>
    </row>
    <row r="17" spans="1:13">
      <c r="C17" s="30">
        <v>13</v>
      </c>
      <c r="D17" s="37"/>
      <c r="E17" s="30" t="s">
        <v>183</v>
      </c>
      <c r="F17" s="39">
        <f t="shared" si="0"/>
        <v>0.01</v>
      </c>
    </row>
    <row r="18" spans="1:13">
      <c r="C18" s="30">
        <v>14</v>
      </c>
      <c r="D18" s="37"/>
      <c r="E18" s="30" t="s">
        <v>184</v>
      </c>
      <c r="F18" s="39">
        <f t="shared" si="0"/>
        <v>1.4999999999999999E-2</v>
      </c>
    </row>
    <row r="19" spans="1:13">
      <c r="C19" s="30">
        <v>15</v>
      </c>
      <c r="D19" s="37"/>
      <c r="E19" s="30" t="s">
        <v>185</v>
      </c>
      <c r="F19" s="39">
        <f t="shared" si="0"/>
        <v>1.4999999999999999E-2</v>
      </c>
    </row>
    <row r="20" spans="1:13">
      <c r="C20" s="30">
        <v>16</v>
      </c>
      <c r="D20" s="37"/>
      <c r="E20" s="30" t="s">
        <v>187</v>
      </c>
      <c r="F20" s="39">
        <f t="shared" si="0"/>
        <v>1.7500000000000002E-2</v>
      </c>
    </row>
    <row r="21" spans="1:13">
      <c r="C21" s="30">
        <v>17</v>
      </c>
      <c r="D21" s="37" t="s">
        <v>189</v>
      </c>
      <c r="E21" s="30" t="s">
        <v>179</v>
      </c>
      <c r="F21" s="39">
        <f>F5*1.75</f>
        <v>1.575E-2</v>
      </c>
      <c r="G21" t="s">
        <v>191</v>
      </c>
    </row>
    <row r="22" spans="1:13">
      <c r="C22" s="30">
        <v>18</v>
      </c>
      <c r="D22" s="37"/>
      <c r="E22" s="30" t="s">
        <v>180</v>
      </c>
      <c r="F22" s="39">
        <f t="shared" ref="F22:F28" si="1">F6*1.75</f>
        <v>2.6249999999999999E-2</v>
      </c>
    </row>
    <row r="23" spans="1:13">
      <c r="C23" s="30">
        <v>19</v>
      </c>
      <c r="D23" s="37"/>
      <c r="E23" s="30" t="s">
        <v>181</v>
      </c>
      <c r="F23" s="39">
        <f t="shared" si="1"/>
        <v>3.5000000000000003E-2</v>
      </c>
    </row>
    <row r="24" spans="1:13">
      <c r="C24" s="30">
        <v>20</v>
      </c>
      <c r="D24" s="37"/>
      <c r="E24" s="30" t="s">
        <v>182</v>
      </c>
      <c r="F24" s="39">
        <f t="shared" si="1"/>
        <v>3.5000000000000003E-2</v>
      </c>
    </row>
    <row r="25" spans="1:13">
      <c r="C25" s="30">
        <v>21</v>
      </c>
      <c r="D25" s="37"/>
      <c r="E25" s="30" t="s">
        <v>183</v>
      </c>
      <c r="F25" s="39">
        <f t="shared" si="1"/>
        <v>1.4E-2</v>
      </c>
    </row>
    <row r="26" spans="1:13">
      <c r="C26" s="30">
        <v>22</v>
      </c>
      <c r="D26" s="37"/>
      <c r="E26" s="30" t="s">
        <v>184</v>
      </c>
      <c r="F26" s="39">
        <f t="shared" si="1"/>
        <v>2.1000000000000001E-2</v>
      </c>
    </row>
    <row r="27" spans="1:13">
      <c r="C27" s="30">
        <v>23</v>
      </c>
      <c r="D27" s="37"/>
      <c r="E27" s="30" t="s">
        <v>185</v>
      </c>
      <c r="F27" s="39">
        <f t="shared" si="1"/>
        <v>2.1000000000000001E-2</v>
      </c>
    </row>
    <row r="28" spans="1:13">
      <c r="C28" s="30">
        <v>24</v>
      </c>
      <c r="D28" s="37"/>
      <c r="E28" s="30" t="s">
        <v>187</v>
      </c>
      <c r="F28" s="39">
        <f t="shared" si="1"/>
        <v>2.4500000000000001E-2</v>
      </c>
    </row>
    <row r="29" spans="1:13">
      <c r="C29" s="30">
        <v>25</v>
      </c>
      <c r="D29" s="40" t="s">
        <v>56</v>
      </c>
      <c r="E29" s="40"/>
      <c r="F29" s="39">
        <v>3.5000000000000003E-2</v>
      </c>
    </row>
    <row r="31" spans="1:13">
      <c r="A31" t="s">
        <v>169</v>
      </c>
      <c r="B31" t="s">
        <v>175</v>
      </c>
      <c r="C31" s="30"/>
      <c r="D31" s="30"/>
      <c r="E31" s="30"/>
      <c r="F31" s="4"/>
      <c r="H31" t="s">
        <v>170</v>
      </c>
      <c r="I31" t="s">
        <v>175</v>
      </c>
      <c r="J31" s="30"/>
      <c r="K31" s="30"/>
      <c r="L31" s="30"/>
      <c r="M31" s="4"/>
    </row>
    <row r="32" spans="1:13">
      <c r="A32" t="s">
        <v>152</v>
      </c>
      <c r="B32" s="33" t="s">
        <v>132</v>
      </c>
      <c r="C32" s="33" t="s">
        <v>39</v>
      </c>
      <c r="D32" s="33" t="s">
        <v>40</v>
      </c>
      <c r="E32" s="33" t="s">
        <v>155</v>
      </c>
      <c r="F32" s="33" t="s">
        <v>156</v>
      </c>
      <c r="I32" s="33" t="s">
        <v>132</v>
      </c>
      <c r="J32" s="33" t="s">
        <v>39</v>
      </c>
      <c r="K32" s="33" t="s">
        <v>40</v>
      </c>
      <c r="L32" s="33" t="s">
        <v>155</v>
      </c>
      <c r="M32" s="33" t="s">
        <v>156</v>
      </c>
    </row>
    <row r="33" spans="1:13">
      <c r="A33" t="s">
        <v>17</v>
      </c>
      <c r="B33" t="s">
        <v>193</v>
      </c>
      <c r="C33" s="30">
        <v>4</v>
      </c>
      <c r="D33" s="34">
        <v>0.02</v>
      </c>
      <c r="E33" s="30">
        <v>5</v>
      </c>
      <c r="F33" t="s">
        <v>164</v>
      </c>
      <c r="H33" t="s">
        <v>2</v>
      </c>
      <c r="I33" t="s">
        <v>193</v>
      </c>
      <c r="J33" s="30">
        <v>12</v>
      </c>
      <c r="K33" s="38">
        <v>2.5000000000000001E-2</v>
      </c>
      <c r="L33" s="30">
        <v>5</v>
      </c>
      <c r="M33" t="s">
        <v>164</v>
      </c>
    </row>
    <row r="34" spans="1:13">
      <c r="A34" t="s">
        <v>1</v>
      </c>
      <c r="B34" t="s">
        <v>193</v>
      </c>
      <c r="C34" s="30">
        <v>4</v>
      </c>
      <c r="D34" s="34">
        <v>0.02</v>
      </c>
      <c r="E34" s="30">
        <v>10</v>
      </c>
      <c r="F34" t="s">
        <v>165</v>
      </c>
      <c r="H34" t="s">
        <v>8</v>
      </c>
      <c r="I34" t="s">
        <v>193</v>
      </c>
      <c r="J34" s="30">
        <v>12</v>
      </c>
      <c r="K34" s="38">
        <v>2.5000000000000001E-2</v>
      </c>
      <c r="L34" s="30">
        <v>10</v>
      </c>
      <c r="M34" t="s">
        <v>165</v>
      </c>
    </row>
    <row r="35" spans="1:13">
      <c r="C35" s="30"/>
      <c r="D35" s="34"/>
      <c r="E35" s="30"/>
    </row>
    <row r="36" spans="1:13">
      <c r="A36" t="s">
        <v>192</v>
      </c>
      <c r="B36" t="s">
        <v>250</v>
      </c>
      <c r="C36" s="4">
        <v>1</v>
      </c>
      <c r="D36" s="4">
        <v>0.4</v>
      </c>
      <c r="H36" t="s">
        <v>192</v>
      </c>
      <c r="I36" t="s">
        <v>250</v>
      </c>
      <c r="J36" s="4">
        <v>1</v>
      </c>
      <c r="K36" s="4">
        <v>0.4</v>
      </c>
    </row>
    <row r="37" spans="1:13">
      <c r="B37" s="49"/>
      <c r="C37" s="50" t="s">
        <v>17</v>
      </c>
      <c r="D37" s="50" t="s">
        <v>1</v>
      </c>
      <c r="I37" s="49"/>
      <c r="J37" s="50" t="s">
        <v>17</v>
      </c>
      <c r="K37" s="50" t="s">
        <v>1</v>
      </c>
    </row>
    <row r="38" spans="1:13">
      <c r="B38" s="53" t="s">
        <v>17</v>
      </c>
      <c r="C38" s="53">
        <v>1</v>
      </c>
      <c r="D38" s="53">
        <v>1</v>
      </c>
      <c r="I38" s="53" t="s">
        <v>17</v>
      </c>
      <c r="J38" s="53">
        <v>1</v>
      </c>
      <c r="K38" s="53">
        <v>1</v>
      </c>
    </row>
    <row r="39" spans="1:13">
      <c r="B39" s="53" t="s">
        <v>1</v>
      </c>
      <c r="C39" s="53">
        <v>1</v>
      </c>
      <c r="D39" s="53">
        <v>1</v>
      </c>
      <c r="I39" s="53" t="s">
        <v>1</v>
      </c>
      <c r="J39" s="53">
        <v>1</v>
      </c>
      <c r="K39" s="53">
        <v>1</v>
      </c>
    </row>
    <row r="41" spans="1:13">
      <c r="A41" t="s">
        <v>15</v>
      </c>
      <c r="B41" t="s">
        <v>148</v>
      </c>
      <c r="C41" s="32">
        <v>1</v>
      </c>
      <c r="D41" s="4">
        <v>0.8</v>
      </c>
      <c r="H41" t="s">
        <v>15</v>
      </c>
      <c r="I41" t="s">
        <v>148</v>
      </c>
      <c r="J41" s="32">
        <v>1</v>
      </c>
      <c r="K41" s="4">
        <v>0.8</v>
      </c>
    </row>
    <row r="42" spans="1:13">
      <c r="B42" s="49"/>
      <c r="C42" s="51" t="s">
        <v>17</v>
      </c>
      <c r="D42" s="50" t="s">
        <v>1</v>
      </c>
      <c r="I42" s="49"/>
      <c r="J42" s="51" t="s">
        <v>17</v>
      </c>
      <c r="K42" s="50" t="s">
        <v>1</v>
      </c>
    </row>
    <row r="43" spans="1:13">
      <c r="B43" s="41" t="s">
        <v>17</v>
      </c>
      <c r="C43" s="41">
        <v>1</v>
      </c>
      <c r="D43" s="41">
        <v>0.8</v>
      </c>
      <c r="I43" s="41" t="s">
        <v>17</v>
      </c>
      <c r="J43" s="41">
        <v>1</v>
      </c>
      <c r="K43" s="41">
        <v>0.8</v>
      </c>
    </row>
    <row r="44" spans="1:13">
      <c r="B44" s="41" t="s">
        <v>1</v>
      </c>
      <c r="C44" s="41">
        <v>0.8</v>
      </c>
      <c r="D44" s="41">
        <v>1</v>
      </c>
      <c r="I44" s="41" t="s">
        <v>1</v>
      </c>
      <c r="J44" s="41">
        <v>0.8</v>
      </c>
      <c r="K44" s="41">
        <v>1</v>
      </c>
    </row>
    <row r="46" spans="1:13">
      <c r="A46" t="s">
        <v>19</v>
      </c>
      <c r="B46" t="s">
        <v>149</v>
      </c>
      <c r="C46" s="4">
        <v>1</v>
      </c>
      <c r="D46" s="31">
        <v>0.999</v>
      </c>
      <c r="H46" t="s">
        <v>19</v>
      </c>
      <c r="I46" t="s">
        <v>149</v>
      </c>
      <c r="J46" s="4">
        <v>1</v>
      </c>
      <c r="K46" s="31">
        <v>0.999</v>
      </c>
    </row>
    <row r="47" spans="1:13">
      <c r="B47" s="49"/>
      <c r="C47" s="50" t="s">
        <v>17</v>
      </c>
      <c r="D47" s="52" t="s">
        <v>1</v>
      </c>
      <c r="I47" s="49"/>
      <c r="J47" s="50" t="s">
        <v>17</v>
      </c>
      <c r="K47" s="52" t="s">
        <v>1</v>
      </c>
    </row>
    <row r="48" spans="1:13">
      <c r="B48" s="41" t="s">
        <v>17</v>
      </c>
      <c r="C48" s="41">
        <v>1</v>
      </c>
      <c r="D48" s="41">
        <v>0.999</v>
      </c>
      <c r="I48" s="41" t="s">
        <v>17</v>
      </c>
      <c r="J48" s="41">
        <v>1</v>
      </c>
      <c r="K48" s="41">
        <v>0.999</v>
      </c>
    </row>
    <row r="49" spans="1:11">
      <c r="B49" s="41" t="s">
        <v>1</v>
      </c>
      <c r="C49" s="41">
        <v>0.999</v>
      </c>
      <c r="D49" s="41">
        <v>1</v>
      </c>
      <c r="I49" s="41" t="s">
        <v>1</v>
      </c>
      <c r="J49" s="41">
        <v>0.999</v>
      </c>
      <c r="K49" s="41">
        <v>1</v>
      </c>
    </row>
    <row r="51" spans="1:11">
      <c r="A51" t="s">
        <v>18</v>
      </c>
      <c r="B51" s="49"/>
      <c r="C51" s="50" t="s">
        <v>17</v>
      </c>
      <c r="D51" s="52" t="s">
        <v>1</v>
      </c>
      <c r="H51" t="s">
        <v>18</v>
      </c>
      <c r="I51" s="49"/>
      <c r="J51" s="50" t="s">
        <v>17</v>
      </c>
      <c r="K51" s="52" t="s">
        <v>1</v>
      </c>
    </row>
    <row r="52" spans="1:11">
      <c r="B52" s="41" t="s">
        <v>17</v>
      </c>
      <c r="C52" s="41">
        <f>C38*C43*C48</f>
        <v>1</v>
      </c>
      <c r="D52" s="41">
        <f>D38*D43*D48</f>
        <v>0.79920000000000002</v>
      </c>
      <c r="I52" s="41" t="s">
        <v>17</v>
      </c>
      <c r="J52" s="41">
        <f>J38*J43*J48</f>
        <v>1</v>
      </c>
      <c r="K52" s="41">
        <f>K38*K43*K48</f>
        <v>0.79920000000000002</v>
      </c>
    </row>
    <row r="53" spans="1:11">
      <c r="B53" s="41" t="s">
        <v>1</v>
      </c>
      <c r="C53" s="41">
        <f>C39*C44*C49</f>
        <v>0.79920000000000002</v>
      </c>
      <c r="D53" s="41">
        <f>D39*D44*D49</f>
        <v>1</v>
      </c>
      <c r="I53" s="41" t="s">
        <v>1</v>
      </c>
      <c r="J53" s="41">
        <f>J39*J44*J49</f>
        <v>0.79920000000000002</v>
      </c>
      <c r="K53" s="41">
        <f>K39*K44*K49</f>
        <v>1</v>
      </c>
    </row>
    <row r="55" spans="1:11">
      <c r="A55" t="s">
        <v>66</v>
      </c>
      <c r="B55">
        <v>0</v>
      </c>
      <c r="C55" s="6" t="s">
        <v>252</v>
      </c>
    </row>
  </sheetData>
  <mergeCells count="4">
    <mergeCell ref="D5:D12"/>
    <mergeCell ref="D13:D20"/>
    <mergeCell ref="D21:D28"/>
    <mergeCell ref="D29:E2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D75B2-2BCC-4E29-9CFE-6D5EC9CE7723}">
  <dimension ref="P3:AL26"/>
  <sheetViews>
    <sheetView topLeftCell="S1" workbookViewId="0">
      <selection activeCell="Z3" sqref="Z3"/>
    </sheetView>
  </sheetViews>
  <sheetFormatPr defaultRowHeight="15"/>
  <sheetData>
    <row r="3" spans="16:38">
      <c r="W3" s="18" t="s">
        <v>125</v>
      </c>
      <c r="AG3" s="18" t="s">
        <v>126</v>
      </c>
    </row>
    <row r="6" spans="16:38">
      <c r="S6" s="18">
        <v>0.25</v>
      </c>
      <c r="T6" s="18">
        <v>0.5</v>
      </c>
      <c r="U6" s="18">
        <v>1</v>
      </c>
      <c r="V6" s="18">
        <v>2</v>
      </c>
      <c r="W6" s="18">
        <v>3</v>
      </c>
      <c r="X6" s="18">
        <v>5</v>
      </c>
      <c r="Y6" s="18">
        <v>10</v>
      </c>
      <c r="Z6" s="18">
        <v>15</v>
      </c>
      <c r="AA6" s="18">
        <v>20</v>
      </c>
      <c r="AB6" s="18">
        <v>30</v>
      </c>
      <c r="AC6" s="18">
        <v>0.25</v>
      </c>
      <c r="AD6" s="18">
        <v>0.5</v>
      </c>
      <c r="AE6" s="18">
        <v>1</v>
      </c>
      <c r="AF6" s="18">
        <v>2</v>
      </c>
      <c r="AG6" s="18">
        <v>3</v>
      </c>
      <c r="AH6" s="18">
        <v>5</v>
      </c>
      <c r="AI6" s="18">
        <v>10</v>
      </c>
      <c r="AJ6" s="18">
        <v>15</v>
      </c>
      <c r="AK6" s="18">
        <v>20</v>
      </c>
      <c r="AL6" s="18">
        <v>30</v>
      </c>
    </row>
    <row r="7" spans="16:38">
      <c r="R7" s="18">
        <v>0.25</v>
      </c>
      <c r="S7" s="19" t="s">
        <v>128</v>
      </c>
      <c r="T7" s="19"/>
      <c r="U7" s="19"/>
      <c r="V7" s="19"/>
      <c r="W7" s="19"/>
      <c r="X7" s="19"/>
      <c r="Y7" s="19"/>
      <c r="Z7" s="19"/>
      <c r="AA7" s="19"/>
      <c r="AB7" s="19"/>
      <c r="AC7" s="21" t="s">
        <v>129</v>
      </c>
      <c r="AD7" s="21"/>
      <c r="AE7" s="21"/>
      <c r="AF7" s="21"/>
      <c r="AG7" s="21"/>
      <c r="AH7" s="21"/>
      <c r="AI7" s="21"/>
      <c r="AJ7" s="21"/>
      <c r="AK7" s="21"/>
      <c r="AL7" s="21"/>
    </row>
    <row r="8" spans="16:38">
      <c r="R8" s="18">
        <v>0.5</v>
      </c>
      <c r="S8" s="19"/>
      <c r="T8" s="19"/>
      <c r="U8" s="19"/>
      <c r="V8" s="19"/>
      <c r="W8" s="19"/>
      <c r="X8" s="19"/>
      <c r="Y8" s="19"/>
      <c r="Z8" s="19"/>
      <c r="AA8" s="19"/>
      <c r="AB8" s="19"/>
      <c r="AC8" s="21"/>
      <c r="AD8" s="21"/>
      <c r="AE8" s="21"/>
      <c r="AF8" s="21"/>
      <c r="AG8" s="21"/>
      <c r="AH8" s="21"/>
      <c r="AI8" s="21"/>
      <c r="AJ8" s="21"/>
      <c r="AK8" s="21"/>
      <c r="AL8" s="21"/>
    </row>
    <row r="9" spans="16:38">
      <c r="R9" s="18">
        <v>1</v>
      </c>
      <c r="S9" s="19"/>
      <c r="T9" s="19"/>
      <c r="U9" s="19"/>
      <c r="V9" s="19"/>
      <c r="W9" s="19"/>
      <c r="X9" s="19"/>
      <c r="Y9" s="19"/>
      <c r="Z9" s="19"/>
      <c r="AA9" s="19"/>
      <c r="AB9" s="19"/>
      <c r="AC9" s="21"/>
      <c r="AD9" s="21"/>
      <c r="AE9" s="21"/>
      <c r="AF9" s="21"/>
      <c r="AG9" s="21"/>
      <c r="AH9" s="21"/>
      <c r="AI9" s="21"/>
      <c r="AJ9" s="21"/>
      <c r="AK9" s="21"/>
      <c r="AL9" s="21"/>
    </row>
    <row r="10" spans="16:38">
      <c r="R10" s="18">
        <v>2</v>
      </c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21"/>
      <c r="AD10" s="21"/>
      <c r="AE10" s="21"/>
      <c r="AF10" s="21"/>
      <c r="AG10" s="21"/>
      <c r="AH10" s="21"/>
      <c r="AI10" s="21"/>
      <c r="AJ10" s="21"/>
      <c r="AK10" s="21"/>
      <c r="AL10" s="21"/>
    </row>
    <row r="11" spans="16:38">
      <c r="P11" s="18" t="s">
        <v>125</v>
      </c>
      <c r="R11" s="18">
        <v>3</v>
      </c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21"/>
      <c r="AD11" s="21"/>
      <c r="AE11" s="21"/>
      <c r="AF11" s="21"/>
      <c r="AG11" s="21"/>
      <c r="AH11" s="21"/>
      <c r="AI11" s="21"/>
      <c r="AJ11" s="21"/>
      <c r="AK11" s="21"/>
      <c r="AL11" s="21"/>
    </row>
    <row r="12" spans="16:38">
      <c r="R12" s="18">
        <v>5</v>
      </c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21"/>
      <c r="AD12" s="21"/>
      <c r="AE12" s="21"/>
      <c r="AF12" s="21"/>
      <c r="AG12" s="21"/>
      <c r="AH12" s="21"/>
      <c r="AI12" s="21"/>
      <c r="AJ12" s="21"/>
      <c r="AK12" s="21"/>
      <c r="AL12" s="21"/>
    </row>
    <row r="13" spans="16:38">
      <c r="R13" s="18">
        <v>10</v>
      </c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21"/>
      <c r="AD13" s="21"/>
      <c r="AE13" s="21"/>
      <c r="AF13" s="21"/>
      <c r="AG13" s="21"/>
      <c r="AH13" s="21"/>
      <c r="AI13" s="21"/>
      <c r="AJ13" s="21"/>
      <c r="AK13" s="21"/>
      <c r="AL13" s="21"/>
    </row>
    <row r="14" spans="16:38">
      <c r="R14" s="18">
        <v>15</v>
      </c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21"/>
      <c r="AD14" s="21"/>
      <c r="AE14" s="21"/>
      <c r="AF14" s="21"/>
      <c r="AG14" s="21"/>
      <c r="AH14" s="21"/>
      <c r="AI14" s="21"/>
      <c r="AJ14" s="21"/>
      <c r="AK14" s="21"/>
      <c r="AL14" s="21"/>
    </row>
    <row r="15" spans="16:38">
      <c r="R15" s="18">
        <v>20</v>
      </c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21"/>
      <c r="AD15" s="21"/>
      <c r="AE15" s="21"/>
      <c r="AF15" s="21"/>
      <c r="AG15" s="21"/>
      <c r="AH15" s="21"/>
      <c r="AI15" s="21"/>
      <c r="AJ15" s="21"/>
      <c r="AK15" s="21"/>
      <c r="AL15" s="21"/>
    </row>
    <row r="16" spans="16:38">
      <c r="R16" s="18">
        <v>30</v>
      </c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21"/>
      <c r="AD16" s="21"/>
      <c r="AE16" s="21"/>
      <c r="AF16" s="21"/>
      <c r="AG16" s="21"/>
      <c r="AH16" s="21"/>
      <c r="AI16" s="21"/>
      <c r="AJ16" s="21"/>
      <c r="AK16" s="21"/>
      <c r="AL16" s="21"/>
    </row>
    <row r="17" spans="16:38">
      <c r="R17" s="18">
        <v>0.25</v>
      </c>
      <c r="S17" s="20" t="s">
        <v>129</v>
      </c>
      <c r="T17" s="20"/>
      <c r="U17" s="20"/>
      <c r="V17" s="20"/>
      <c r="W17" s="20"/>
      <c r="X17" s="20"/>
      <c r="Y17" s="20"/>
      <c r="Z17" s="20"/>
      <c r="AA17" s="20"/>
      <c r="AB17" s="20"/>
      <c r="AC17" s="22" t="s">
        <v>127</v>
      </c>
      <c r="AD17" s="22"/>
      <c r="AE17" s="22"/>
      <c r="AF17" s="22"/>
      <c r="AG17" s="22"/>
      <c r="AH17" s="22"/>
      <c r="AI17" s="22"/>
      <c r="AJ17" s="22"/>
      <c r="AK17" s="22"/>
      <c r="AL17" s="22"/>
    </row>
    <row r="18" spans="16:38">
      <c r="R18" s="18">
        <v>0.5</v>
      </c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2"/>
      <c r="AD18" s="22"/>
      <c r="AE18" s="22"/>
      <c r="AF18" s="22"/>
      <c r="AG18" s="22"/>
      <c r="AH18" s="22"/>
      <c r="AI18" s="22"/>
      <c r="AJ18" s="22"/>
      <c r="AK18" s="22"/>
      <c r="AL18" s="22"/>
    </row>
    <row r="19" spans="16:38">
      <c r="R19" s="18">
        <v>1</v>
      </c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2"/>
      <c r="AD19" s="22"/>
      <c r="AE19" s="22"/>
      <c r="AF19" s="22"/>
      <c r="AG19" s="22"/>
      <c r="AH19" s="22"/>
      <c r="AI19" s="22"/>
      <c r="AJ19" s="22"/>
      <c r="AK19" s="22"/>
      <c r="AL19" s="22"/>
    </row>
    <row r="20" spans="16:38">
      <c r="P20" s="18" t="s">
        <v>126</v>
      </c>
      <c r="R20" s="18">
        <v>2</v>
      </c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2"/>
      <c r="AD20" s="22"/>
      <c r="AE20" s="22"/>
      <c r="AF20" s="22"/>
      <c r="AG20" s="22"/>
      <c r="AH20" s="22"/>
      <c r="AI20" s="22"/>
      <c r="AJ20" s="22"/>
      <c r="AK20" s="22"/>
      <c r="AL20" s="22"/>
    </row>
    <row r="21" spans="16:38">
      <c r="R21" s="18">
        <v>3</v>
      </c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2"/>
      <c r="AD21" s="22"/>
      <c r="AE21" s="22"/>
      <c r="AF21" s="22"/>
      <c r="AG21" s="22"/>
      <c r="AH21" s="22"/>
      <c r="AI21" s="22"/>
      <c r="AJ21" s="22"/>
      <c r="AK21" s="22"/>
      <c r="AL21" s="22"/>
    </row>
    <row r="22" spans="16:38">
      <c r="R22" s="18">
        <v>5</v>
      </c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2"/>
      <c r="AD22" s="22"/>
      <c r="AE22" s="22"/>
      <c r="AF22" s="22"/>
      <c r="AG22" s="22"/>
      <c r="AH22" s="22"/>
      <c r="AI22" s="22"/>
      <c r="AJ22" s="22"/>
      <c r="AK22" s="22"/>
      <c r="AL22" s="22"/>
    </row>
    <row r="23" spans="16:38">
      <c r="R23" s="18">
        <v>10</v>
      </c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2"/>
      <c r="AD23" s="22"/>
      <c r="AE23" s="22"/>
      <c r="AF23" s="22"/>
      <c r="AG23" s="22"/>
      <c r="AH23" s="22"/>
      <c r="AI23" s="22"/>
      <c r="AJ23" s="22"/>
      <c r="AK23" s="22"/>
      <c r="AL23" s="22"/>
    </row>
    <row r="24" spans="16:38">
      <c r="R24" s="18">
        <v>15</v>
      </c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2"/>
      <c r="AD24" s="22"/>
      <c r="AE24" s="22"/>
      <c r="AF24" s="22"/>
      <c r="AG24" s="22"/>
      <c r="AH24" s="22"/>
      <c r="AI24" s="22"/>
      <c r="AJ24" s="22"/>
      <c r="AK24" s="22"/>
      <c r="AL24" s="22"/>
    </row>
    <row r="25" spans="16:38">
      <c r="R25" s="18">
        <v>20</v>
      </c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2"/>
      <c r="AD25" s="22"/>
      <c r="AE25" s="22"/>
      <c r="AF25" s="22"/>
      <c r="AG25" s="22"/>
      <c r="AH25" s="22"/>
      <c r="AI25" s="22"/>
      <c r="AJ25" s="22"/>
      <c r="AK25" s="22"/>
      <c r="AL25" s="22"/>
    </row>
    <row r="26" spans="16:38">
      <c r="R26" s="18">
        <v>30</v>
      </c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2"/>
      <c r="AD26" s="22"/>
      <c r="AE26" s="22"/>
      <c r="AF26" s="22"/>
      <c r="AG26" s="22"/>
      <c r="AH26" s="22"/>
      <c r="AI26" s="22"/>
      <c r="AJ26" s="22"/>
      <c r="AK26" s="22"/>
      <c r="AL26" s="2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B55CD-F7C8-43D4-A732-F8AC8DB764C9}">
  <dimension ref="A2:AJ39"/>
  <sheetViews>
    <sheetView topLeftCell="A4" workbookViewId="0">
      <selection activeCell="I31" sqref="I31"/>
    </sheetView>
  </sheetViews>
  <sheetFormatPr defaultRowHeight="15"/>
  <cols>
    <col min="1" max="1" width="9.5703125" bestFit="1" customWidth="1"/>
    <col min="2" max="2" width="13.85546875" bestFit="1" customWidth="1"/>
    <col min="3" max="3" width="11.140625" customWidth="1"/>
    <col min="4" max="5" width="14.42578125" bestFit="1" customWidth="1"/>
    <col min="6" max="6" width="14.140625" customWidth="1"/>
    <col min="7" max="7" width="15.85546875" customWidth="1"/>
    <col min="8" max="8" width="14.140625" customWidth="1"/>
    <col min="9" max="9" width="28.5703125" customWidth="1"/>
    <col min="10" max="10" width="16.5703125" customWidth="1"/>
    <col min="11" max="12" width="15.85546875" customWidth="1"/>
    <col min="13" max="13" width="13.140625" bestFit="1" customWidth="1"/>
    <col min="14" max="14" width="15.42578125" bestFit="1" customWidth="1"/>
    <col min="15" max="15" width="11.7109375" customWidth="1"/>
    <col min="16" max="16" width="13.140625" bestFit="1" customWidth="1"/>
    <col min="17" max="23" width="9.42578125" bestFit="1" customWidth="1"/>
    <col min="24" max="24" width="16" customWidth="1"/>
    <col min="25" max="26" width="9.42578125" bestFit="1" customWidth="1"/>
    <col min="27" max="27" width="13" customWidth="1"/>
    <col min="28" max="28" width="14.85546875" customWidth="1"/>
    <col min="29" max="29" width="9.42578125" customWidth="1"/>
    <col min="30" max="34" width="9.42578125" bestFit="1" customWidth="1"/>
    <col min="35" max="35" width="11.85546875" customWidth="1"/>
    <col min="36" max="36" width="13.5703125" customWidth="1"/>
  </cols>
  <sheetData>
    <row r="2" spans="1:36" ht="15.75" thickBot="1">
      <c r="F2" t="s">
        <v>67</v>
      </c>
    </row>
    <row r="3" spans="1:36" ht="15.75" thickBot="1">
      <c r="G3" s="13" t="s">
        <v>68</v>
      </c>
      <c r="H3" s="14" t="s">
        <v>69</v>
      </c>
      <c r="I3" s="14" t="s">
        <v>70</v>
      </c>
      <c r="J3" s="14" t="s">
        <v>71</v>
      </c>
      <c r="K3" s="14" t="s">
        <v>72</v>
      </c>
      <c r="L3" s="14" t="s">
        <v>73</v>
      </c>
      <c r="M3" s="14" t="s">
        <v>74</v>
      </c>
      <c r="N3" s="14" t="s">
        <v>75</v>
      </c>
      <c r="O3" s="14" t="s">
        <v>76</v>
      </c>
      <c r="P3" s="14" t="s">
        <v>77</v>
      </c>
    </row>
    <row r="4" spans="1:36">
      <c r="F4" s="15">
        <v>0</v>
      </c>
      <c r="G4" s="16" t="s">
        <v>78</v>
      </c>
      <c r="H4" s="16">
        <v>6.48</v>
      </c>
      <c r="I4" s="16">
        <v>6.5</v>
      </c>
      <c r="J4" s="16">
        <v>0.05</v>
      </c>
      <c r="K4" s="16">
        <v>1</v>
      </c>
      <c r="L4" s="16">
        <v>1.4999999999999999E-2</v>
      </c>
      <c r="M4" s="16">
        <v>8.0000000000000002E-3</v>
      </c>
      <c r="N4" s="16" t="b">
        <v>1</v>
      </c>
      <c r="O4" s="16">
        <v>-1000000</v>
      </c>
      <c r="P4" s="16">
        <f>0.15/SQRT(2)</f>
        <v>0.10606601717798211</v>
      </c>
    </row>
    <row r="5" spans="1:36">
      <c r="F5" s="15">
        <v>1</v>
      </c>
      <c r="G5" s="16" t="s">
        <v>79</v>
      </c>
      <c r="H5" s="16">
        <v>8.77</v>
      </c>
      <c r="I5" s="16">
        <v>8.8000000000000007</v>
      </c>
      <c r="J5" s="16">
        <v>0.05</v>
      </c>
      <c r="K5" s="16">
        <v>0.8</v>
      </c>
      <c r="L5" s="16">
        <v>1.4999999999999999E-2</v>
      </c>
      <c r="M5" s="16">
        <v>6.0000000000000001E-3</v>
      </c>
      <c r="N5" s="16" t="b">
        <v>1</v>
      </c>
      <c r="O5" s="16">
        <v>-1000000</v>
      </c>
      <c r="P5" s="16">
        <v>0.15</v>
      </c>
    </row>
    <row r="6" spans="1:36">
      <c r="F6" s="15">
        <v>2</v>
      </c>
      <c r="G6" s="16" t="s">
        <v>80</v>
      </c>
      <c r="H6" s="16">
        <v>7.77</v>
      </c>
      <c r="I6" s="16">
        <v>7.8</v>
      </c>
      <c r="J6" s="16">
        <v>0.05</v>
      </c>
      <c r="K6" s="16">
        <v>1.5</v>
      </c>
      <c r="L6" s="16">
        <v>1.4999999999999999E-2</v>
      </c>
      <c r="M6" s="16">
        <v>5.0000000000000001E-3</v>
      </c>
      <c r="N6" s="16" t="b">
        <v>0</v>
      </c>
      <c r="O6" s="16">
        <v>1000000</v>
      </c>
      <c r="P6" s="16">
        <v>0.15</v>
      </c>
    </row>
    <row r="7" spans="1:36">
      <c r="F7" s="15">
        <v>3</v>
      </c>
      <c r="G7" s="16" t="s">
        <v>81</v>
      </c>
      <c r="H7" s="16">
        <v>6.0999999999999999E-2</v>
      </c>
      <c r="I7" s="16">
        <v>0.06</v>
      </c>
      <c r="J7" s="16">
        <v>0.05</v>
      </c>
      <c r="K7" s="16">
        <v>0.7</v>
      </c>
      <c r="L7" s="16">
        <v>1.4999999999999999E-2</v>
      </c>
      <c r="M7" s="16">
        <v>1E-3</v>
      </c>
      <c r="N7" s="16" t="b">
        <v>0</v>
      </c>
      <c r="O7" s="16">
        <v>-1000000</v>
      </c>
      <c r="P7" s="16">
        <v>0.15</v>
      </c>
    </row>
    <row r="8" spans="1:36">
      <c r="F8" s="15">
        <v>4</v>
      </c>
      <c r="G8" s="16" t="s">
        <v>82</v>
      </c>
      <c r="H8" s="16">
        <v>0.82</v>
      </c>
      <c r="I8" s="16">
        <v>0.8</v>
      </c>
      <c r="J8" s="16">
        <v>0.05</v>
      </c>
      <c r="K8" s="16">
        <v>0.5</v>
      </c>
      <c r="L8" s="16">
        <v>1.4999999999999999E-2</v>
      </c>
      <c r="M8" s="16">
        <v>1.6E-2</v>
      </c>
      <c r="N8" s="16" t="b">
        <v>1</v>
      </c>
      <c r="O8" s="16">
        <v>1000000</v>
      </c>
      <c r="P8" s="16">
        <v>0.15</v>
      </c>
    </row>
    <row r="14" spans="1:36">
      <c r="H14" t="s">
        <v>83</v>
      </c>
    </row>
    <row r="16" spans="1:36" s="6" customFormat="1">
      <c r="A16" s="44"/>
      <c r="B16" s="54" t="s">
        <v>84</v>
      </c>
      <c r="C16" s="54" t="s">
        <v>85</v>
      </c>
      <c r="D16" s="54" t="s">
        <v>86</v>
      </c>
      <c r="E16" s="54" t="s">
        <v>87</v>
      </c>
      <c r="F16" s="54" t="s">
        <v>88</v>
      </c>
      <c r="G16" s="54" t="s">
        <v>89</v>
      </c>
      <c r="H16" s="54" t="s">
        <v>90</v>
      </c>
      <c r="I16" s="55" t="s">
        <v>91</v>
      </c>
      <c r="J16" s="54" t="s">
        <v>92</v>
      </c>
      <c r="K16" s="54" t="s">
        <v>93</v>
      </c>
      <c r="L16" s="54" t="s">
        <v>94</v>
      </c>
      <c r="M16" s="54" t="s">
        <v>95</v>
      </c>
      <c r="N16" s="54" t="s">
        <v>96</v>
      </c>
      <c r="O16" s="54" t="s">
        <v>97</v>
      </c>
      <c r="P16" s="54" t="s">
        <v>98</v>
      </c>
      <c r="Q16" s="54" t="s">
        <v>99</v>
      </c>
      <c r="R16" s="54" t="s">
        <v>100</v>
      </c>
      <c r="S16" s="54" t="s">
        <v>101</v>
      </c>
      <c r="T16" s="54" t="s">
        <v>102</v>
      </c>
      <c r="U16" s="54" t="s">
        <v>103</v>
      </c>
      <c r="V16" s="54" t="s">
        <v>104</v>
      </c>
      <c r="W16" s="54" t="s">
        <v>105</v>
      </c>
      <c r="X16" s="54" t="s">
        <v>106</v>
      </c>
      <c r="Y16" s="54" t="s">
        <v>107</v>
      </c>
      <c r="Z16" s="54" t="s">
        <v>108</v>
      </c>
      <c r="AA16" s="54" t="s">
        <v>109</v>
      </c>
      <c r="AB16" s="54" t="s">
        <v>110</v>
      </c>
      <c r="AC16" s="54" t="s">
        <v>111</v>
      </c>
      <c r="AD16" s="54" t="s">
        <v>112</v>
      </c>
      <c r="AE16" s="54" t="s">
        <v>113</v>
      </c>
      <c r="AF16" s="54" t="s">
        <v>114</v>
      </c>
      <c r="AG16" s="54" t="s">
        <v>115</v>
      </c>
      <c r="AH16" s="54" t="s">
        <v>116</v>
      </c>
      <c r="AI16" s="54" t="s">
        <v>117</v>
      </c>
      <c r="AJ16" s="54" t="s">
        <v>118</v>
      </c>
    </row>
    <row r="17" spans="1:36">
      <c r="A17" s="56">
        <v>0.10606599999999999</v>
      </c>
      <c r="B17" s="57">
        <f>G17</f>
        <v>256391.98675539732</v>
      </c>
      <c r="C17" s="41">
        <f>MAX(D17,E17)</f>
        <v>256391.98675539732</v>
      </c>
      <c r="D17" s="41">
        <f>MAX(G17,0)</f>
        <v>256391.98675539732</v>
      </c>
      <c r="E17" s="41">
        <f>MAX(F17,0)</f>
        <v>172582.38357909326</v>
      </c>
      <c r="F17" s="57">
        <f>-(H17-I17-P4*J17)</f>
        <v>172582.38357909326</v>
      </c>
      <c r="G17" s="41">
        <f>-(K17-I17+P4*J17)</f>
        <v>256391.98675539732</v>
      </c>
      <c r="H17" s="41">
        <f>(H4*(1+P4)*EXP(-M4*K4)*R17 - I4 * EXP(-L4*K4) *S17)*O4</f>
        <v>-709185.16442205524</v>
      </c>
      <c r="I17" s="58">
        <f>(H4*EXP(-M4*K4)*N17-I4*O17*EXP(-L4*K4))*O4</f>
        <v>-140925.55849799427</v>
      </c>
      <c r="J17" s="41">
        <f>(X17-I17)/0.01</f>
        <v>-3730480.6277491208</v>
      </c>
      <c r="K17" s="41">
        <f>(H4*(1-P4)*EXP(-M4*K4)*V17 - I4 * EXP(-L4*K4) *W17)*O4</f>
        <v>-1640.322908423808</v>
      </c>
      <c r="L17" s="41">
        <f>(LN(H4/I4)+(L4-M4+(0.5*J4^2)*K4))/(J4*SQRT(K4))</f>
        <v>0.10336666925184</v>
      </c>
      <c r="M17" s="41">
        <f>L17-SQRT(K4)*J4</f>
        <v>5.3366669251839999E-2</v>
      </c>
      <c r="N17" s="41">
        <f>_xlfn.NORM.S.DIST(L17,TRUE)</f>
        <v>0.54116401775219192</v>
      </c>
      <c r="O17" s="41">
        <f>_xlfn.NORM.S.DIST(M17,TRUE)</f>
        <v>0.52128011928145113</v>
      </c>
      <c r="P17" s="41">
        <f>(LN((H4*(1+P4))/I4)+(L4-M4+(0.5*J4^2)*K4))/(J4*SQRT(K4))</f>
        <v>2.1195584963139558</v>
      </c>
      <c r="Q17" s="41">
        <f>P17-SQRT(K4)*J4</f>
        <v>2.0695584963139559</v>
      </c>
      <c r="R17" s="41">
        <f>_xlfn.NORM.S.DIST(P17,TRUE)</f>
        <v>0.98297835214619911</v>
      </c>
      <c r="S17" s="41">
        <f>_xlfn.NORM.S.DIST(Q17,TRUE)</f>
        <v>0.9807531459578428</v>
      </c>
      <c r="T17" s="41">
        <f>(LN((H4*(1-P4))/I4)+(L4-M4+(0.5*J4^2)*K4))/(J4*SQRT(K4))</f>
        <v>-2.1391003558157444</v>
      </c>
      <c r="U17" s="41">
        <f>T17-SQRT(K4)*J4</f>
        <v>-2.1891003558157442</v>
      </c>
      <c r="V17" s="41">
        <f>_xlfn.NORM.S.DIST(T17,TRUE)</f>
        <v>1.6213770804150898E-2</v>
      </c>
      <c r="W17" s="41">
        <f>_xlfn.NORM.S.DIST(U17,TRUE)</f>
        <v>1.4294773343887141E-2</v>
      </c>
      <c r="X17" s="41">
        <f>(H4*(1+0.01)*EXP(-M4*K4)*AA17 - I4 * EXP(-L4*K4) *AB17)*O4</f>
        <v>-178230.36477548548</v>
      </c>
      <c r="Y17" s="41">
        <f>(LN((H4*(1+0.01))/I4)+(L4-M4+(0.5*J4^2)*K4))/(J4*SQRT(K4))</f>
        <v>0.30237328631520083</v>
      </c>
      <c r="Z17" s="41">
        <f>Y17-SQRT(K4)*J4</f>
        <v>0.25237328631520084</v>
      </c>
      <c r="AA17" s="41">
        <f>_xlfn.NORM.S.DIST(Y17,TRUE)</f>
        <v>0.61881624167504223</v>
      </c>
      <c r="AB17" s="41">
        <f>_xlfn.NORM.S.DIST(Z17,TRUE)</f>
        <v>0.59962372678787146</v>
      </c>
      <c r="AC17" s="41">
        <f>1-N17</f>
        <v>0.45883598224780808</v>
      </c>
      <c r="AD17" s="41">
        <f>1-O17</f>
        <v>0.47871988071854887</v>
      </c>
      <c r="AE17" s="41">
        <f>1-R17</f>
        <v>1.7021647853800892E-2</v>
      </c>
      <c r="AF17" s="41">
        <f>1-S17</f>
        <v>1.9246854042157202E-2</v>
      </c>
      <c r="AG17" s="41">
        <f>1-V17</f>
        <v>0.98378622919584913</v>
      </c>
      <c r="AH17" s="41">
        <f>1-W17</f>
        <v>0.98570522665611282</v>
      </c>
      <c r="AI17" s="41">
        <f>1-AA17</f>
        <v>0.38118375832495777</v>
      </c>
      <c r="AJ17" s="41">
        <f>1-AB17</f>
        <v>0.40037627321212854</v>
      </c>
    </row>
    <row r="18" spans="1:36">
      <c r="A18" s="56">
        <v>0.15</v>
      </c>
      <c r="B18" s="41">
        <f>G18</f>
        <v>595324.93527616642</v>
      </c>
      <c r="C18" s="41">
        <f t="shared" ref="C18:C21" si="0">MAX(D18,E18)</f>
        <v>595324.93527616642</v>
      </c>
      <c r="D18" s="41">
        <f t="shared" ref="D18:D21" si="1">MAX(G18,0)</f>
        <v>595324.93527616642</v>
      </c>
      <c r="E18" s="41">
        <f t="shared" ref="E18:E21" si="2">MAX(F18,0)</f>
        <v>402281.73002125125</v>
      </c>
      <c r="F18" s="41">
        <f t="shared" ref="F18:F19" si="3">-(H18-I18-P5*J18)</f>
        <v>402281.73002125125</v>
      </c>
      <c r="G18" s="41">
        <f t="shared" ref="G18:G21" si="4">-(K18-I18+P5*J18)</f>
        <v>595324.93527616642</v>
      </c>
      <c r="H18" s="41">
        <f t="shared" ref="H18" si="5">(H5*(1+P5)*EXP(-M5*K5)*R18 - I5 * EXP(-L5*K5) *S18)*O5</f>
        <v>-1342248.4180678006</v>
      </c>
      <c r="I18" s="58">
        <f>(H5*EXP(-M5*K5)*N18-I5*O18*EXP(-L5*K5))*O5</f>
        <v>-172329.3767724199</v>
      </c>
      <c r="J18" s="41">
        <f t="shared" ref="J18:J21" si="6">(X18-I18)/0.01</f>
        <v>-5117582.0751608638</v>
      </c>
      <c r="K18" s="41">
        <f t="shared" ref="K18:K21" si="7">(H5*(1-P5)*EXP(-M5*K5)*V18 - I5 * EXP(-L5*K5) *W18)*O5</f>
        <v>-17.000774456777659</v>
      </c>
      <c r="L18" s="41">
        <f t="shared" ref="L18:L21" si="8">(LN(H5/I5)+(L5-M5+(0.5*J5^2)*K5))/(J5*SQRT(K5))</f>
        <v>0.14724697473852591</v>
      </c>
      <c r="M18" s="41">
        <f t="shared" ref="M18:M21" si="9">L18-SQRT(K5)*J5</f>
        <v>0.10252561518853012</v>
      </c>
      <c r="N18" s="41">
        <f t="shared" ref="N18:O21" si="10">_xlfn.NORM.S.DIST(L18,TRUE)</f>
        <v>0.55853145791222292</v>
      </c>
      <c r="O18" s="41">
        <f t="shared" si="10"/>
        <v>0.54083025900239345</v>
      </c>
      <c r="P18" s="41">
        <f t="shared" ref="P18:P21" si="11">(LN((H5*(1+P5))/I5)+(L5-M5+(0.5*J5^2)*K5))/(J5*SQRT(K5))</f>
        <v>3.2724190129211554</v>
      </c>
      <c r="Q18" s="41">
        <f t="shared" ref="Q18:Q21" si="12">P18-SQRT(K5)*J5</f>
        <v>3.2276976533711594</v>
      </c>
      <c r="R18" s="41">
        <f t="shared" ref="R18:S21" si="13">_xlfn.NORM.S.DIST(P18,TRUE)</f>
        <v>0.99946684291650023</v>
      </c>
      <c r="S18" s="41">
        <f t="shared" si="13"/>
        <v>0.99937604602168684</v>
      </c>
      <c r="T18" s="41">
        <f t="shared" ref="T18:T21" si="14">(LN((H5*(1-P5))/I5)+(L5-M5+(0.5*J5^2)*K5))/(J5*SQRT(K5))</f>
        <v>-3.4867867651366802</v>
      </c>
      <c r="U18" s="41">
        <f t="shared" ref="U18:U21" si="15">T18-SQRT(K5)*J5</f>
        <v>-3.5315081246866762</v>
      </c>
      <c r="V18" s="41">
        <f t="shared" ref="V18:W21" si="16">_xlfn.NORM.S.DIST(T18,TRUE)</f>
        <v>2.4443048356397084E-4</v>
      </c>
      <c r="W18" s="41">
        <f t="shared" si="16"/>
        <v>2.065985841210364E-4</v>
      </c>
      <c r="X18" s="41">
        <f t="shared" ref="X18:X21" si="17">(H5*(1+0.01)*EXP(-M5*K5)*AA18 - I5 * EXP(-L5*K5) *AB18)*O5</f>
        <v>-223505.19752402854</v>
      </c>
      <c r="Y18" s="41">
        <f t="shared" ref="Y18:Y21" si="18">(LN((H5*(1+0.01))/I5)+(L5-M5+(0.5*J5^2)*K5))/(J5*SQRT(K5))</f>
        <v>0.36974313660149943</v>
      </c>
      <c r="Z18" s="41">
        <f t="shared" ref="Z18:Z21" si="19">Y18-SQRT(K5)*J5</f>
        <v>0.32502177705150365</v>
      </c>
      <c r="AA18" s="41">
        <f t="shared" ref="AA18:AB21" si="20">_xlfn.NORM.S.DIST(Y18,TRUE)</f>
        <v>0.64421305622668745</v>
      </c>
      <c r="AB18" s="41">
        <f t="shared" si="20"/>
        <v>0.62741770499229088</v>
      </c>
      <c r="AC18" s="41">
        <f t="shared" ref="AC18:AD21" si="21">1-N18</f>
        <v>0.44146854208777708</v>
      </c>
      <c r="AD18" s="41">
        <f t="shared" si="21"/>
        <v>0.45916974099760655</v>
      </c>
      <c r="AE18" s="41">
        <f t="shared" ref="AE18:AF21" si="22">1-R18</f>
        <v>5.3315708349976898E-4</v>
      </c>
      <c r="AF18" s="41">
        <f t="shared" si="22"/>
        <v>6.2395397831316313E-4</v>
      </c>
      <c r="AG18" s="41">
        <f t="shared" ref="AG18:AH21" si="23">1-V18</f>
        <v>0.99975556951643607</v>
      </c>
      <c r="AH18" s="41">
        <f t="shared" si="23"/>
        <v>0.99979340141587891</v>
      </c>
      <c r="AI18" s="41">
        <f t="shared" ref="AI18:AJ21" si="24">1-AA18</f>
        <v>0.35578694377331255</v>
      </c>
      <c r="AJ18" s="41">
        <f t="shared" si="24"/>
        <v>0.37258229500770912</v>
      </c>
    </row>
    <row r="19" spans="1:36">
      <c r="A19" s="56">
        <v>0.15</v>
      </c>
      <c r="B19" s="59">
        <f>F19</f>
        <v>-298542.49679583142</v>
      </c>
      <c r="C19" s="41">
        <f t="shared" si="0"/>
        <v>0</v>
      </c>
      <c r="D19" s="41">
        <f t="shared" si="1"/>
        <v>0</v>
      </c>
      <c r="E19" s="41">
        <f t="shared" si="2"/>
        <v>0</v>
      </c>
      <c r="F19" s="59">
        <f t="shared" si="3"/>
        <v>-298542.49679583142</v>
      </c>
      <c r="G19" s="41">
        <f t="shared" si="4"/>
        <v>-480650.91220462398</v>
      </c>
      <c r="H19" s="41">
        <f>-(H6*(1+P6)*EXP(-M6*K6)*AE19 - I6 * EXP(-L6*K6) *AF19)*O6</f>
        <v>1089.5320721398955</v>
      </c>
      <c r="I19" s="58">
        <f>-(H6*EXP(-M6*K6)*AC19-I6*AD19*EXP(-L6*K6))*O6</f>
        <v>147063.27039335365</v>
      </c>
      <c r="J19" s="41">
        <f t="shared" si="6"/>
        <v>-2963441.5674469681</v>
      </c>
      <c r="K19" s="41">
        <f>-(H6*(1-P6)*EXP(-M6*K6)*AG19 - I6 * EXP(-L6*K6) *AH19)*O6</f>
        <v>1072230.4177150228</v>
      </c>
      <c r="L19" s="41">
        <f t="shared" si="8"/>
        <v>0.13098941455285884</v>
      </c>
      <c r="M19" s="41">
        <f t="shared" si="9"/>
        <v>6.9752170983279391E-2</v>
      </c>
      <c r="N19" s="41">
        <f t="shared" si="10"/>
        <v>0.55210815939249758</v>
      </c>
      <c r="O19" s="41">
        <f t="shared" si="10"/>
        <v>0.52780454178666802</v>
      </c>
      <c r="P19" s="41">
        <f t="shared" si="11"/>
        <v>2.4132923764155572</v>
      </c>
      <c r="Q19" s="41">
        <f t="shared" si="12"/>
        <v>2.3520551328459778</v>
      </c>
      <c r="R19" s="41">
        <f t="shared" si="13"/>
        <v>0.99209543394066324</v>
      </c>
      <c r="S19" s="41">
        <f t="shared" si="13"/>
        <v>0.99066499627174898</v>
      </c>
      <c r="T19" s="41">
        <f t="shared" si="14"/>
        <v>-2.5229335908664901</v>
      </c>
      <c r="U19" s="41">
        <f t="shared" si="15"/>
        <v>-2.5841708344360694</v>
      </c>
      <c r="V19" s="41">
        <f t="shared" si="16"/>
        <v>5.8190188472137727E-3</v>
      </c>
      <c r="W19" s="41">
        <f t="shared" si="16"/>
        <v>4.8806715558701134E-3</v>
      </c>
      <c r="X19" s="41">
        <f>-(H6*(1+0.01)*EXP(-M6*K6)*AI19 - I6 * EXP(-L6*K6) *AJ19)*O6</f>
        <v>117428.85471888397</v>
      </c>
      <c r="Y19" s="41">
        <f t="shared" si="18"/>
        <v>0.29347763696708518</v>
      </c>
      <c r="Z19" s="41">
        <f t="shared" si="19"/>
        <v>0.23224039339750574</v>
      </c>
      <c r="AA19" s="41">
        <f t="shared" si="20"/>
        <v>0.61542145476966759</v>
      </c>
      <c r="AB19" s="41">
        <f t="shared" si="20"/>
        <v>0.59182434706082643</v>
      </c>
      <c r="AC19" s="41">
        <f t="shared" si="21"/>
        <v>0.44789184060750242</v>
      </c>
      <c r="AD19" s="41">
        <f t="shared" si="21"/>
        <v>0.47219545821333198</v>
      </c>
      <c r="AE19" s="41">
        <f t="shared" si="22"/>
        <v>7.9045660593367595E-3</v>
      </c>
      <c r="AF19" s="41">
        <f t="shared" si="22"/>
        <v>9.3350037282510234E-3</v>
      </c>
      <c r="AG19" s="41">
        <f t="shared" si="23"/>
        <v>0.99418098115278619</v>
      </c>
      <c r="AH19" s="41">
        <f t="shared" si="23"/>
        <v>0.99511932844412987</v>
      </c>
      <c r="AI19" s="41">
        <f t="shared" si="24"/>
        <v>0.38457854523033241</v>
      </c>
      <c r="AJ19" s="41">
        <f t="shared" si="24"/>
        <v>0.40817565293917357</v>
      </c>
    </row>
    <row r="20" spans="1:36">
      <c r="A20" s="56">
        <v>0.15</v>
      </c>
      <c r="B20" s="41">
        <f>G20</f>
        <v>5145.6093179464078</v>
      </c>
      <c r="C20" s="41">
        <f t="shared" si="0"/>
        <v>5145.6093179464078</v>
      </c>
      <c r="D20" s="41">
        <f t="shared" si="1"/>
        <v>5145.6093179464078</v>
      </c>
      <c r="E20" s="41">
        <f t="shared" si="2"/>
        <v>1613.2066203202189</v>
      </c>
      <c r="F20" s="41">
        <f>-(H20-I20-P7*J20)</f>
        <v>1613.2066203202189</v>
      </c>
      <c r="G20" s="41">
        <f t="shared" si="4"/>
        <v>5145.6093179464078</v>
      </c>
      <c r="H20" s="41">
        <f>-(H7*(1+P7)*EXP(-M7*K7)*AE20 - I7 * EXP(-L7*K7) *AF20)*O7</f>
        <v>-2.0406397316379367E-2</v>
      </c>
      <c r="I20" s="58">
        <f>-(H7*EXP(-M7*K7)*AC20-I7*AD20*EXP(-L7*K7))*O7</f>
        <v>-400.55148699017633</v>
      </c>
      <c r="J20" s="41">
        <f>(X20-I20)/0.01</f>
        <v>13424.918006087193</v>
      </c>
      <c r="K20" s="41">
        <f>-(H7*(1-P7)*EXP(-M7*K7)*AG20 - I7 * EXP(-L7*K7) *AH20)*O7</f>
        <v>-7559.8985058496628</v>
      </c>
      <c r="L20" s="41">
        <f t="shared" si="8"/>
        <v>0.75070640296525426</v>
      </c>
      <c r="M20" s="41">
        <f t="shared" si="9"/>
        <v>0.7088734016385505</v>
      </c>
      <c r="N20" s="41">
        <f t="shared" si="10"/>
        <v>0.77358531563949706</v>
      </c>
      <c r="O20" s="41">
        <f t="shared" si="10"/>
        <v>0.76079847883260021</v>
      </c>
      <c r="P20" s="41">
        <f t="shared" si="11"/>
        <v>4.0916558434239425</v>
      </c>
      <c r="Q20" s="41">
        <f t="shared" si="12"/>
        <v>4.0498228420972389</v>
      </c>
      <c r="R20" s="41">
        <f t="shared" si="13"/>
        <v>0.99997858480175394</v>
      </c>
      <c r="S20" s="41">
        <f t="shared" si="13"/>
        <v>0.9999743717894638</v>
      </c>
      <c r="T20" s="41">
        <f t="shared" si="14"/>
        <v>-3.1342390789175387</v>
      </c>
      <c r="U20" s="41">
        <f t="shared" si="15"/>
        <v>-3.1760720802442424</v>
      </c>
      <c r="V20" s="41">
        <f t="shared" si="16"/>
        <v>8.6150205218124575E-4</v>
      </c>
      <c r="W20" s="41">
        <f t="shared" si="16"/>
        <v>7.4641926737699371E-4</v>
      </c>
      <c r="X20" s="41">
        <f>-(H7*(1+0.01)*EXP(-M7*K7)*AI20 - I7 * EXP(-L7*K7) *AJ20)*O7</f>
        <v>-266.30230692930439</v>
      </c>
      <c r="Y20" s="41">
        <f t="shared" si="18"/>
        <v>0.98856480512623801</v>
      </c>
      <c r="Z20" s="41">
        <f t="shared" si="19"/>
        <v>0.94673180379953426</v>
      </c>
      <c r="AA20" s="41">
        <f t="shared" si="20"/>
        <v>0.83856194353408309</v>
      </c>
      <c r="AB20" s="41">
        <f t="shared" si="20"/>
        <v>0.8281122700198833</v>
      </c>
      <c r="AC20" s="41">
        <f t="shared" si="21"/>
        <v>0.22641468436050294</v>
      </c>
      <c r="AD20" s="41">
        <f t="shared" si="21"/>
        <v>0.23920152116739979</v>
      </c>
      <c r="AE20" s="41">
        <f t="shared" si="22"/>
        <v>2.1415198246055311E-5</v>
      </c>
      <c r="AF20" s="41">
        <f t="shared" si="22"/>
        <v>2.5628210536199347E-5</v>
      </c>
      <c r="AG20" s="41">
        <f t="shared" si="23"/>
        <v>0.99913849794781873</v>
      </c>
      <c r="AH20" s="41">
        <f t="shared" si="23"/>
        <v>0.99925358073262305</v>
      </c>
      <c r="AI20" s="41">
        <f t="shared" si="24"/>
        <v>0.16143805646591691</v>
      </c>
      <c r="AJ20" s="41">
        <f t="shared" si="24"/>
        <v>0.1718877299801167</v>
      </c>
    </row>
    <row r="21" spans="1:36">
      <c r="A21" s="56">
        <v>0.15</v>
      </c>
      <c r="B21" s="41">
        <f>F21</f>
        <v>-20284.472893664861</v>
      </c>
      <c r="C21" s="41">
        <f t="shared" si="0"/>
        <v>0</v>
      </c>
      <c r="D21" s="41">
        <f t="shared" si="1"/>
        <v>0</v>
      </c>
      <c r="E21" s="41">
        <f t="shared" si="2"/>
        <v>0</v>
      </c>
      <c r="F21" s="41">
        <f>-(H21-I21-P8*J21)</f>
        <v>-20284.472893664861</v>
      </c>
      <c r="G21" s="41">
        <f t="shared" si="4"/>
        <v>-73956.340126583644</v>
      </c>
      <c r="H21" s="41">
        <f>(H8*(1+P8)*EXP(-M8*K8)*R21 - I8 * EXP(-L8*K8) *S21)*O8</f>
        <v>141463.66251402342</v>
      </c>
      <c r="I21" s="58">
        <f t="shared" ref="I21" si="25">(H8*EXP(-M8*K8)*N21-I8*O21*EXP(-L8*K8))*O8</f>
        <v>23611.561965737994</v>
      </c>
      <c r="J21" s="41">
        <f t="shared" si="6"/>
        <v>650450.85103080387</v>
      </c>
      <c r="K21" s="41">
        <f t="shared" si="7"/>
        <v>0.27443770106722193</v>
      </c>
      <c r="L21" s="41">
        <f t="shared" si="8"/>
        <v>0.68780595059675953</v>
      </c>
      <c r="M21" s="41">
        <f t="shared" si="9"/>
        <v>0.65245061153743211</v>
      </c>
      <c r="N21" s="41">
        <f t="shared" si="10"/>
        <v>0.75421250582517518</v>
      </c>
      <c r="O21" s="41">
        <f t="shared" si="10"/>
        <v>0.74294473815523432</v>
      </c>
      <c r="P21" s="41">
        <f t="shared" si="11"/>
        <v>4.6408706388078835</v>
      </c>
      <c r="Q21" s="41">
        <f t="shared" si="12"/>
        <v>4.6055152997485562</v>
      </c>
      <c r="R21" s="41">
        <f t="shared" si="13"/>
        <v>0.99999826527860769</v>
      </c>
      <c r="S21" s="41">
        <f t="shared" si="13"/>
        <v>0.99999794277133958</v>
      </c>
      <c r="T21" s="41">
        <f t="shared" si="14"/>
        <v>-3.9089235341654449</v>
      </c>
      <c r="U21" s="41">
        <f t="shared" si="15"/>
        <v>-3.9442788732247722</v>
      </c>
      <c r="V21" s="41">
        <f t="shared" si="16"/>
        <v>4.6354150019033942E-5</v>
      </c>
      <c r="W21" s="41">
        <f t="shared" si="16"/>
        <v>4.0020235572748909E-5</v>
      </c>
      <c r="X21" s="41">
        <f t="shared" si="17"/>
        <v>30116.070476046032</v>
      </c>
      <c r="Y21" s="41">
        <f t="shared" si="18"/>
        <v>0.96924380744975114</v>
      </c>
      <c r="Z21" s="41">
        <f t="shared" si="19"/>
        <v>0.93388846839042372</v>
      </c>
      <c r="AA21" s="41">
        <f t="shared" si="20"/>
        <v>0.83378822072357017</v>
      </c>
      <c r="AB21" s="41">
        <f t="shared" si="20"/>
        <v>0.82481928607998645</v>
      </c>
      <c r="AC21" s="41">
        <f t="shared" si="21"/>
        <v>0.24578749417482482</v>
      </c>
      <c r="AD21" s="41">
        <f t="shared" si="21"/>
        <v>0.25705526184476568</v>
      </c>
      <c r="AE21" s="41">
        <f t="shared" si="22"/>
        <v>1.7347213923102345E-6</v>
      </c>
      <c r="AF21" s="41">
        <f t="shared" si="22"/>
        <v>2.0572286604236822E-6</v>
      </c>
      <c r="AG21" s="41">
        <f t="shared" si="23"/>
        <v>0.99995364584998092</v>
      </c>
      <c r="AH21" s="41">
        <f t="shared" si="23"/>
        <v>0.9999599797644273</v>
      </c>
      <c r="AI21" s="41">
        <f t="shared" si="24"/>
        <v>0.16621177927642983</v>
      </c>
      <c r="AJ21" s="41">
        <f t="shared" si="24"/>
        <v>0.17518071392001355</v>
      </c>
    </row>
    <row r="23" spans="1:36">
      <c r="B23" s="6" t="s">
        <v>119</v>
      </c>
      <c r="C23" s="60" t="s">
        <v>120</v>
      </c>
      <c r="D23" s="61">
        <f>B17</f>
        <v>256391.98675539732</v>
      </c>
      <c r="E23" s="60">
        <f>B18</f>
        <v>595324.93527616642</v>
      </c>
      <c r="F23" s="62">
        <f>B19</f>
        <v>-298542.49679583142</v>
      </c>
      <c r="G23" s="60">
        <f>B20</f>
        <v>5145.6093179464078</v>
      </c>
      <c r="H23" s="60">
        <f>B21</f>
        <v>-20284.472893664861</v>
      </c>
      <c r="I23" s="6" t="s">
        <v>121</v>
      </c>
      <c r="J23" s="60"/>
      <c r="K23" s="60"/>
      <c r="L23" s="60"/>
      <c r="M23" s="60"/>
      <c r="N23" s="60"/>
    </row>
    <row r="24" spans="1:36">
      <c r="C24" s="61">
        <f>B17</f>
        <v>256391.98675539732</v>
      </c>
      <c r="D24" s="60">
        <v>1</v>
      </c>
      <c r="E24" s="41">
        <v>1</v>
      </c>
      <c r="F24" s="41">
        <v>1</v>
      </c>
      <c r="G24" s="41">
        <v>1</v>
      </c>
      <c r="H24" s="41">
        <v>1</v>
      </c>
      <c r="J24" s="60">
        <v>0</v>
      </c>
      <c r="K24" s="41">
        <v>0</v>
      </c>
      <c r="L24" s="41">
        <v>0</v>
      </c>
      <c r="M24" s="41">
        <v>0</v>
      </c>
      <c r="N24" s="41">
        <v>0</v>
      </c>
    </row>
    <row r="25" spans="1:36">
      <c r="C25" s="61">
        <f t="shared" ref="C25:C28" si="26">B18</f>
        <v>595324.93527616642</v>
      </c>
      <c r="D25" s="41">
        <v>1</v>
      </c>
      <c r="E25" s="60">
        <v>1</v>
      </c>
      <c r="F25" s="41">
        <v>1</v>
      </c>
      <c r="G25" s="41">
        <v>1</v>
      </c>
      <c r="H25" s="41">
        <v>1</v>
      </c>
      <c r="J25" s="41">
        <v>0</v>
      </c>
      <c r="K25" s="60">
        <v>0</v>
      </c>
      <c r="L25" s="41">
        <v>0</v>
      </c>
      <c r="M25" s="41">
        <v>0</v>
      </c>
      <c r="N25" s="41">
        <v>0</v>
      </c>
    </row>
    <row r="26" spans="1:36">
      <c r="C26" s="61">
        <f t="shared" si="26"/>
        <v>-298542.49679583142</v>
      </c>
      <c r="D26" s="41">
        <v>1</v>
      </c>
      <c r="E26" s="41">
        <v>1</v>
      </c>
      <c r="F26" s="60">
        <v>1</v>
      </c>
      <c r="G26" s="41">
        <v>1</v>
      </c>
      <c r="H26" s="41">
        <v>0</v>
      </c>
      <c r="J26" s="41">
        <v>0</v>
      </c>
      <c r="K26" s="41">
        <v>0</v>
      </c>
      <c r="L26" s="60">
        <v>0</v>
      </c>
      <c r="M26" s="41">
        <v>0</v>
      </c>
      <c r="N26" s="41">
        <v>1</v>
      </c>
    </row>
    <row r="27" spans="1:36">
      <c r="C27" s="61">
        <f t="shared" si="26"/>
        <v>5145.6093179464078</v>
      </c>
      <c r="D27" s="41">
        <v>1</v>
      </c>
      <c r="E27" s="41">
        <v>1</v>
      </c>
      <c r="F27" s="41">
        <v>1</v>
      </c>
      <c r="G27" s="60">
        <v>1</v>
      </c>
      <c r="H27" s="41">
        <v>1</v>
      </c>
      <c r="J27" s="41">
        <v>0</v>
      </c>
      <c r="K27" s="41">
        <v>0</v>
      </c>
      <c r="L27" s="41">
        <v>0</v>
      </c>
      <c r="M27" s="60">
        <v>0</v>
      </c>
      <c r="N27" s="41">
        <v>0</v>
      </c>
    </row>
    <row r="28" spans="1:36">
      <c r="C28" s="61">
        <f t="shared" si="26"/>
        <v>-20284.472893664861</v>
      </c>
      <c r="D28" s="41">
        <v>1</v>
      </c>
      <c r="E28" s="41">
        <v>1</v>
      </c>
      <c r="F28" s="41">
        <v>0</v>
      </c>
      <c r="G28" s="41">
        <v>1</v>
      </c>
      <c r="H28" s="60">
        <v>1</v>
      </c>
      <c r="J28" s="41">
        <v>0</v>
      </c>
      <c r="K28" s="41">
        <v>0</v>
      </c>
      <c r="L28" s="41">
        <v>1</v>
      </c>
      <c r="M28" s="41">
        <v>0</v>
      </c>
      <c r="N28" s="60">
        <v>0</v>
      </c>
    </row>
    <row r="30" spans="1:36">
      <c r="C30" t="s">
        <v>122</v>
      </c>
      <c r="D30">
        <v>0.6</v>
      </c>
    </row>
    <row r="32" spans="1:36">
      <c r="C32" s="60" t="s">
        <v>123</v>
      </c>
      <c r="D32" s="60"/>
      <c r="E32" s="60"/>
      <c r="F32" s="60"/>
      <c r="G32" s="60"/>
      <c r="H32" s="60"/>
      <c r="J32" s="60" t="s">
        <v>123</v>
      </c>
      <c r="K32" s="60"/>
      <c r="L32" s="60"/>
      <c r="M32" s="60"/>
      <c r="N32" s="60"/>
    </row>
    <row r="33" spans="3:14">
      <c r="C33" s="60"/>
      <c r="D33" s="60">
        <f>C17*C17</f>
        <v>65736850872.379829</v>
      </c>
      <c r="E33" s="41">
        <f>$E$23*C24*E24*$D$30</f>
        <v>91581925752.290771</v>
      </c>
      <c r="F33" s="41">
        <f>$F$23*C24*F24*$D$30</f>
        <v>-45926342330.64003</v>
      </c>
      <c r="G33" s="41">
        <f>$G$23*C24*G24*$D$30</f>
        <v>791575797.65721858</v>
      </c>
      <c r="H33" s="41">
        <f>$H$23*C24*H24*$D$30</f>
        <v>-3120465783.2956419</v>
      </c>
      <c r="J33" s="63">
        <v>65736850872.379829</v>
      </c>
      <c r="K33" s="64">
        <f>$E$23*C24*K24*$D$30</f>
        <v>0</v>
      </c>
      <c r="L33" s="64">
        <f>$E$23*C24*L24*$D$30</f>
        <v>0</v>
      </c>
      <c r="M33" s="64">
        <f>$E$23*C24*M24*$D$30</f>
        <v>0</v>
      </c>
      <c r="N33" s="64">
        <f>$H$23*C24*N24*$D$30</f>
        <v>0</v>
      </c>
    </row>
    <row r="34" spans="3:14">
      <c r="C34" s="60"/>
      <c r="D34" s="41">
        <f>$D$23*C25*$D$30*D25</f>
        <v>91581925752.290771</v>
      </c>
      <c r="E34" s="60">
        <f>C18*C18</f>
        <v>354411778561.57172</v>
      </c>
      <c r="F34" s="41">
        <f t="shared" ref="F34:F37" si="27">$F$23*C25*F25*$D$30</f>
        <v>-106637875549.29807</v>
      </c>
      <c r="G34" s="41">
        <f>$G$23*C25*G25*$D$30</f>
        <v>1837985720.4977305</v>
      </c>
      <c r="H34" s="41">
        <f>$H$23*C25*H25*$D$30</f>
        <v>-7245511507.519311</v>
      </c>
      <c r="J34" s="64">
        <f>$D$23*C25*J25*$D$30</f>
        <v>0</v>
      </c>
      <c r="K34" s="63">
        <v>354411778561.57172</v>
      </c>
      <c r="L34" s="64">
        <f t="shared" ref="L34:L36" si="28">$E$23*C25*L25*$D$30</f>
        <v>0</v>
      </c>
      <c r="M34" s="64">
        <f t="shared" ref="M34:M37" si="29">$E$23*C25*M25*$D$30</f>
        <v>0</v>
      </c>
      <c r="N34" s="64">
        <f t="shared" ref="N34:N37" si="30">$H$23*C25*N25*$D$30</f>
        <v>0</v>
      </c>
    </row>
    <row r="35" spans="3:14">
      <c r="C35" s="60"/>
      <c r="D35" s="41">
        <f>$D$23*C26*$D$30*D26</f>
        <v>-45926342330.64003</v>
      </c>
      <c r="E35" s="41">
        <f t="shared" ref="E35:E37" si="31">$E$23*C26*E26*$D$30</f>
        <v>-106637875549.29807</v>
      </c>
      <c r="F35" s="60">
        <f>C19*C19</f>
        <v>0</v>
      </c>
      <c r="G35" s="41">
        <f t="shared" ref="G35:G37" si="32">$G$23*C26*G26*$D$30</f>
        <v>-921709831.98936939</v>
      </c>
      <c r="H35" s="41">
        <f t="shared" ref="H35:H36" si="33">$H$23*C26*H26*$D$30</f>
        <v>0</v>
      </c>
      <c r="J35" s="64">
        <f t="shared" ref="J35:J37" si="34">$D$23*C26*J26*$D$30</f>
        <v>0</v>
      </c>
      <c r="K35" s="64">
        <f t="shared" ref="K35:K37" si="35">$E$23*C26*K26*$D$30</f>
        <v>0</v>
      </c>
      <c r="L35" s="63">
        <f t="shared" si="28"/>
        <v>0</v>
      </c>
      <c r="M35" s="64">
        <f t="shared" si="29"/>
        <v>0</v>
      </c>
      <c r="N35" s="64">
        <f t="shared" si="30"/>
        <v>3633466310.3172426</v>
      </c>
    </row>
    <row r="36" spans="3:14">
      <c r="C36" s="60"/>
      <c r="D36" s="41">
        <f>$D$23*C27*$D$30*D27</f>
        <v>791575797.65721858</v>
      </c>
      <c r="E36" s="41">
        <f t="shared" si="31"/>
        <v>1837985720.4977305</v>
      </c>
      <c r="F36" s="41">
        <f t="shared" si="27"/>
        <v>-921709831.98936939</v>
      </c>
      <c r="G36" s="60">
        <f>C20*C20</f>
        <v>26477295.252936896</v>
      </c>
      <c r="H36" s="41">
        <f t="shared" si="33"/>
        <v>-62625583.638763949</v>
      </c>
      <c r="J36" s="64">
        <f t="shared" si="34"/>
        <v>0</v>
      </c>
      <c r="K36" s="64">
        <f t="shared" si="35"/>
        <v>0</v>
      </c>
      <c r="L36" s="64">
        <f t="shared" si="28"/>
        <v>0</v>
      </c>
      <c r="M36" s="63">
        <v>26477295.252936896</v>
      </c>
      <c r="N36" s="64">
        <f t="shared" si="30"/>
        <v>0</v>
      </c>
    </row>
    <row r="37" spans="3:14">
      <c r="C37" s="60"/>
      <c r="D37" s="41">
        <f t="shared" ref="D37" si="36">$D$23*C28*$D$30*D28</f>
        <v>-3120465783.2956419</v>
      </c>
      <c r="E37" s="41">
        <f t="shared" si="31"/>
        <v>-7245511507.519311</v>
      </c>
      <c r="F37" s="41">
        <f t="shared" si="27"/>
        <v>0</v>
      </c>
      <c r="G37" s="41">
        <f t="shared" si="32"/>
        <v>-62625583.638763949</v>
      </c>
      <c r="H37" s="60">
        <f>C21*C21</f>
        <v>0</v>
      </c>
      <c r="J37" s="64">
        <f t="shared" si="34"/>
        <v>0</v>
      </c>
      <c r="K37" s="64">
        <f t="shared" si="35"/>
        <v>0</v>
      </c>
      <c r="L37" s="64">
        <f>$F$23*C28*L28*$D$30</f>
        <v>3633466310.3172426</v>
      </c>
      <c r="M37" s="64">
        <f t="shared" si="29"/>
        <v>0</v>
      </c>
      <c r="N37" s="63">
        <f t="shared" si="30"/>
        <v>0</v>
      </c>
    </row>
    <row r="38" spans="3:14">
      <c r="C38" s="2"/>
    </row>
    <row r="39" spans="3:14">
      <c r="C39" s="17">
        <f>SQRT(SUM(D33:H37))</f>
        <v>529876.41964644322</v>
      </c>
      <c r="J39" s="17">
        <f>SQRT(SUM(J33:N37))</f>
        <v>653790.5164116706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商品风险</vt:lpstr>
      <vt:lpstr>股权风险-lilian+geo</vt:lpstr>
      <vt:lpstr>股權分類-lilian</vt:lpstr>
      <vt:lpstr>非证券化信用利差风险</vt:lpstr>
      <vt:lpstr>证券化-关联性组合</vt:lpstr>
      <vt:lpstr>证券化-非关联性组合</vt:lpstr>
      <vt:lpstr>GIRR-delta-lilian</vt:lpstr>
      <vt:lpstr>Fx-curvature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BoonHong</dc:creator>
  <cp:lastModifiedBy>BoonHong</cp:lastModifiedBy>
  <dcterms:created xsi:type="dcterms:W3CDTF">2021-02-24T05:59:27Z</dcterms:created>
  <dcterms:modified xsi:type="dcterms:W3CDTF">2021-02-25T08:48:00Z</dcterms:modified>
</cp:coreProperties>
</file>