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pn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4.xml" ContentType="application/vnd.openxmlformats-officedocument.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iagrams/data3.xml" ContentType="application/vnd.openxmlformats-officedocument.drawingml.diagramData+xml"/>
  <Override PartName="/xl/diagrams/layout3.xml" ContentType="application/vnd.openxmlformats-officedocument.drawingml.diagramLayout+xml"/>
  <Override PartName="/xl/diagrams/quickStyle3.xml" ContentType="application/vnd.openxmlformats-officedocument.drawingml.diagramStyle+xml"/>
  <Override PartName="/xl/diagrams/colors3.xml" ContentType="application/vnd.openxmlformats-officedocument.drawingml.diagramColors+xml"/>
  <Override PartName="/xl/diagrams/drawing3.xml" ContentType="application/vnd.ms-office.drawingml.diagramDrawing+xml"/>
  <Override PartName="/xl/drawings/drawing5.xml" ContentType="application/vnd.openxmlformats-officedocument.drawing+xml"/>
  <Override PartName="/xl/diagrams/data4.xml" ContentType="application/vnd.openxmlformats-officedocument.drawingml.diagramData+xml"/>
  <Override PartName="/xl/diagrams/layout4.xml" ContentType="application/vnd.openxmlformats-officedocument.drawingml.diagramLayout+xml"/>
  <Override PartName="/xl/diagrams/quickStyle4.xml" ContentType="application/vnd.openxmlformats-officedocument.drawingml.diagramStyle+xml"/>
  <Override PartName="/xl/diagrams/colors4.xml" ContentType="application/vnd.openxmlformats-officedocument.drawingml.diagramColors+xml"/>
  <Override PartName="/xl/diagrams/drawing4.xml" ContentType="application/vnd.ms-office.drawingml.diagramDrawing+xml"/>
  <Override PartName="/xl/diagrams/data5.xml" ContentType="application/vnd.openxmlformats-officedocument.drawingml.diagramData+xml"/>
  <Override PartName="/xl/diagrams/layout5.xml" ContentType="application/vnd.openxmlformats-officedocument.drawingml.diagramLayout+xml"/>
  <Override PartName="/xl/diagrams/quickStyle5.xml" ContentType="application/vnd.openxmlformats-officedocument.drawingml.diagramStyle+xml"/>
  <Override PartName="/xl/diagrams/colors5.xml" ContentType="application/vnd.openxmlformats-officedocument.drawingml.diagramColors+xml"/>
  <Override PartName="/xl/diagrams/drawing5.xml" ContentType="application/vnd.ms-office.drawingml.diagram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27.xml" ContentType="application/vnd.openxmlformats-officedocument.drawing+xml"/>
  <Override PartName="/xl/media/image16.jpg" ContentType="image/jpeg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Users\Lucas\Desktop\TURISMO\2026 CTPLP\STN\TECNOLOGIAS DE INFORMACION APLICADAS A LA GERENCIA Y PRODUCCION EN COCINA\"/>
    </mc:Choice>
  </mc:AlternateContent>
  <xr:revisionPtr revIDLastSave="0" documentId="13_ncr:1_{2733399B-DBD9-4D1A-B2B8-99B775EDA704}" xr6:coauthVersionLast="47" xr6:coauthVersionMax="47" xr10:uidLastSave="{00000000-0000-0000-0000-000000000000}"/>
  <bookViews>
    <workbookView showSheetTabs="1" xWindow="-120" yWindow="-120" windowWidth="20730" windowHeight="11040" tabRatio="933" activeTab="23" xr2:uid="{00000000-000D-0000-FFFF-FFFF00000000}"/>
  </bookViews>
  <sheets>
    <sheet name="Registro General" sheetId="1" r:id="rId1"/>
    <sheet name="REGISTRO IIS" sheetId="396" r:id="rId2"/>
    <sheet name="FACE" sheetId="413" r:id="rId3"/>
    <sheet name="SEMESTREI" sheetId="414" r:id="rId4"/>
    <sheet name="SEMESTRE II" sheetId="415" r:id="rId5"/>
    <sheet name="REGISTRO DATOS" sheetId="108" r:id="rId6"/>
    <sheet name="DESGLOSE - IS" sheetId="411" r:id="rId7"/>
    <sheet name="DESGLOSE - IIS" sheetId="412" r:id="rId8"/>
    <sheet name="TAREAS - IS" sheetId="407" r:id="rId9"/>
    <sheet name="TAREAS - IIS" sheetId="408" r:id="rId10"/>
    <sheet name="EXAMENES - IS" sheetId="405" r:id="rId11"/>
    <sheet name="PROYECTO IIS" sheetId="419" r:id="rId12"/>
    <sheet name="PROYECTO" sheetId="418" r:id="rId13"/>
    <sheet name="EXAMENES - IIS" sheetId="406" r:id="rId14"/>
    <sheet name="COTIDIANO - IIS" sheetId="404" r:id="rId15"/>
    <sheet name="COTIDIANO - IS" sheetId="403" r:id="rId16"/>
    <sheet name="Indicadores + Descripción" sheetId="34" r:id="rId17"/>
    <sheet name="Indicadores + Descripción IIS" sheetId="400" r:id="rId18"/>
    <sheet name="ESTADISTICA IIS" sheetId="417" r:id="rId19"/>
    <sheet name="ESTADISTICA" sheetId="395" r:id="rId20"/>
    <sheet name="REPORTE DE ASISTENCIA" sheetId="391" r:id="rId21"/>
    <sheet name="AVANCE DE PERIODO" sheetId="388" r:id="rId22"/>
    <sheet name="AVANCE DE PERIODO IIS" sheetId="399" r:id="rId23"/>
    <sheet name="ASISTENCIA" sheetId="390" r:id="rId24"/>
    <sheet name="ASISTENCIAIIS" sheetId="398" r:id="rId25"/>
    <sheet name="R.ASIST-IIS" sheetId="397" r:id="rId26"/>
    <sheet name="Registro General respaldo" sheetId="384" r:id="rId27"/>
    <sheet name="ACTA SEMESTRE I" sheetId="387" r:id="rId28"/>
    <sheet name="ACTA SEMESTRE II" sheetId="410" r:id="rId29"/>
    <sheet name="ACTA ANUAL" sheetId="392" r:id="rId30"/>
    <sheet name="ALERTA TEMPRANA" sheetId="394" r:id="rId31"/>
    <sheet name="TABLA.EP.IS" sheetId="401" r:id="rId32"/>
    <sheet name="TABLA.EP.IIS" sheetId="402" r:id="rId33"/>
  </sheets>
  <externalReferences>
    <externalReference r:id="rId34"/>
  </externalReferences>
  <definedNames>
    <definedName name="_xlnm._FilterDatabase" localSheetId="30" hidden="1">'ALERTA TEMPRANA'!$A$9:$F$49</definedName>
    <definedName name="_xlnm._FilterDatabase" localSheetId="25" hidden="1">'R.ASIST-IIS'!$B$10:$D$169</definedName>
    <definedName name="_xlnm._FilterDatabase" localSheetId="20" hidden="1">'REPORTE DE ASISTENCIA'!$B$10:$D$169</definedName>
    <definedName name="ACCIONES">'ALERTA TEMPRANA'!$Z$10:$Z$12</definedName>
    <definedName name="_xlnm.Print_Area" localSheetId="29">'ACTA ANUAL'!$A$1:$L$53</definedName>
    <definedName name="_xlnm.Print_Area" localSheetId="27">'ACTA SEMESTRE I'!$A$1:$H$53</definedName>
    <definedName name="_xlnm.Print_Area" localSheetId="28">'ACTA SEMESTRE II'!$A$1:$H$53</definedName>
    <definedName name="_xlnm.Print_Area" localSheetId="30">'ALERTA TEMPRANA'!$C$1:$X$61</definedName>
    <definedName name="_xlnm.Print_Area" localSheetId="21">'AVANCE DE PERIODO'!$A$1:$F$28</definedName>
    <definedName name="_xlnm.Print_Area" localSheetId="22">'AVANCE DE PERIODO IIS'!$A$1:$F$28</definedName>
    <definedName name="_xlnm.Print_Area" localSheetId="19">ESTADISTICA!$A$1:$AB$41</definedName>
    <definedName name="_xlnm.Print_Area" localSheetId="18">'ESTADISTICA IIS'!$A$1:$AB$38</definedName>
    <definedName name="_xlnm.Print_Area" localSheetId="32">TABLA.EP.IIS!$A$1:$S$29</definedName>
    <definedName name="_xlnm.Print_Area" localSheetId="31">TABLA.EP.IS!$A$1:$T$29</definedName>
    <definedName name="CONDICIÓN" localSheetId="29">'ACTA ANUAL'!$M$14:$M$15</definedName>
    <definedName name="CONDICIÓN" localSheetId="28">'ACTA SEMESTRE II'!$I$14:$I$15</definedName>
    <definedName name="CONDICIÓN">'ACTA SEMESTRE I'!$I$14:$I$15</definedName>
    <definedName name="Condiciones" localSheetId="29">'ACTA ANUAL'!$N$27:$N$29</definedName>
    <definedName name="Condiciones" localSheetId="28">'ACTA SEMESTRE II'!$J$27:$J$29</definedName>
    <definedName name="Condiciones" localSheetId="12">'[1]ACTA PERIODO'!$K$27:$K$29</definedName>
    <definedName name="Condiciones" localSheetId="11">'[1]ACTA PERIODO'!$K$27:$K$29</definedName>
    <definedName name="Condiciones">'ACTA SEMESTRE I'!$J$27:$J$29</definedName>
    <definedName name="ESCENARIOS" localSheetId="14">'COTIDIANO - IIS'!$AA$9:$AA$11</definedName>
    <definedName name="ESCENARIOS" localSheetId="15">'COTIDIANO - IS'!$AA$9:$AA$11</definedName>
    <definedName name="ESCENARIOS" localSheetId="7">'DESGLOSE - IIS'!#REF!</definedName>
    <definedName name="ESCENARIOS" localSheetId="6">'DESGLOSE - IS'!#REF!</definedName>
    <definedName name="ESCENARIOS" localSheetId="13">'EXAMENES - IIS'!$W$9:$W$10</definedName>
    <definedName name="ESCENARIOS" localSheetId="10">'EXAMENES - IS'!$W$9:$W$10</definedName>
    <definedName name="ESCENARIOS" localSheetId="26">'Registro General respaldo'!$AA$8:$AB$11</definedName>
    <definedName name="ESCENARIOS" localSheetId="1">'REGISTRO IIS'!$AA$9:$AG$11</definedName>
    <definedName name="ESCENARIOS" localSheetId="9">'TAREAS - IIS'!$T$9:$T$10</definedName>
    <definedName name="ESCENARIOS" localSheetId="8">'TAREAS - IS'!$U$9:$U$10</definedName>
    <definedName name="ESCENARIOS">'Registro General'!$AA$9:$AG$11</definedName>
    <definedName name="ESTADOS">'ALERTA TEMPRANA'!$Y$11:$Y$13</definedName>
    <definedName name="INDICADORES" localSheetId="17">'Indicadores + Descripción IIS'!$B$12:$B$71</definedName>
    <definedName name="INDICADORES">'Indicadores + Descripción'!$B$12:$B$71</definedName>
    <definedName name="INDICADORESII">'Indicadores + Descripción IIS'!$B$12:$B$71</definedName>
    <definedName name="INDICADORESIIIÇ">'Indicadores + Descripción IIS'!$B$12:$B$71</definedName>
    <definedName name="LISTA">'ALERTA TEMPRANA'!$Z$2:$Z$13</definedName>
    <definedName name="SECCIÓN" localSheetId="14">'COTIDIANO - IIS'!$X$5</definedName>
    <definedName name="SECCIÓN" localSheetId="15">'COTIDIANO - IS'!$X$5</definedName>
    <definedName name="SECCIÓN" localSheetId="7">'DESGLOSE - IIS'!#REF!</definedName>
    <definedName name="SECCIÓN" localSheetId="6">'DESGLOSE - IS'!#REF!</definedName>
    <definedName name="SECCIÓN" localSheetId="13">'EXAMENES - IIS'!$T$5</definedName>
    <definedName name="SECCIÓN" localSheetId="10">'EXAMENES - IS'!$T$5</definedName>
    <definedName name="SECCIÓN" localSheetId="26">'Registro General respaldo'!$Y$4</definedName>
    <definedName name="SECCIÓN" localSheetId="1">'REGISTRO IIS'!$X$5</definedName>
    <definedName name="SECCIÓN" localSheetId="9">'TAREAS - IIS'!$R$5</definedName>
    <definedName name="SECCIÓN" localSheetId="8">'TAREAS - IS'!$S$5</definedName>
    <definedName name="SECCIÓN">'Registro General'!$X$5</definedName>
    <definedName name="UPRE" localSheetId="28">#REF!</definedName>
    <definedName name="UPRE" localSheetId="24">#REF!</definedName>
    <definedName name="UPRE" localSheetId="22">#REF!</definedName>
    <definedName name="UPRE" localSheetId="14">#REF!</definedName>
    <definedName name="UPRE" localSheetId="15">#REF!</definedName>
    <definedName name="UPRE" localSheetId="7">#REF!</definedName>
    <definedName name="UPRE" localSheetId="6">#REF!</definedName>
    <definedName name="UPRE" localSheetId="18">#REF!</definedName>
    <definedName name="UPRE" localSheetId="13">#REF!</definedName>
    <definedName name="UPRE" localSheetId="10">#REF!</definedName>
    <definedName name="UPRE" localSheetId="17">#REF!</definedName>
    <definedName name="UPRE" localSheetId="12">#REF!</definedName>
    <definedName name="UPRE" localSheetId="11">#REF!</definedName>
    <definedName name="UPRE" localSheetId="25">#REF!</definedName>
    <definedName name="UPRE" localSheetId="1">#REF!</definedName>
    <definedName name="UPRE" localSheetId="4">#REF!</definedName>
    <definedName name="UPRE" localSheetId="32">#REF!</definedName>
    <definedName name="UPRE" localSheetId="9">#REF!</definedName>
    <definedName name="UPRE" localSheetId="8">#REF!</definedName>
    <definedName name="UPRE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15" i="1" l="1"/>
  <c r="AD16" i="1"/>
  <c r="C4" i="392"/>
  <c r="C5" i="410"/>
  <c r="C5" i="387"/>
  <c r="K17" i="399" l="1"/>
  <c r="K17" i="388"/>
  <c r="B8" i="419" l="1"/>
  <c r="C8" i="419"/>
  <c r="D8" i="419"/>
  <c r="B9" i="419"/>
  <c r="C9" i="419"/>
  <c r="D9" i="419"/>
  <c r="B10" i="419"/>
  <c r="C10" i="419"/>
  <c r="D10" i="419"/>
  <c r="B11" i="419"/>
  <c r="C11" i="419"/>
  <c r="D11" i="419"/>
  <c r="B12" i="419"/>
  <c r="C12" i="419"/>
  <c r="D12" i="419"/>
  <c r="B13" i="419"/>
  <c r="C13" i="419"/>
  <c r="D13" i="419"/>
  <c r="B14" i="419"/>
  <c r="C14" i="419"/>
  <c r="D14" i="419"/>
  <c r="B15" i="419"/>
  <c r="C15" i="419"/>
  <c r="D15" i="419"/>
  <c r="B16" i="419"/>
  <c r="C16" i="419"/>
  <c r="D16" i="419"/>
  <c r="B17" i="419"/>
  <c r="C17" i="419"/>
  <c r="D17" i="419"/>
  <c r="B18" i="419"/>
  <c r="C18" i="419"/>
  <c r="D18" i="419"/>
  <c r="B19" i="419"/>
  <c r="C19" i="419"/>
  <c r="D19" i="419"/>
  <c r="B20" i="419"/>
  <c r="C20" i="419"/>
  <c r="D20" i="419"/>
  <c r="B21" i="419"/>
  <c r="C21" i="419"/>
  <c r="D21" i="419"/>
  <c r="B22" i="419"/>
  <c r="C22" i="419"/>
  <c r="D22" i="419"/>
  <c r="B23" i="419"/>
  <c r="C23" i="419"/>
  <c r="D23" i="419"/>
  <c r="B24" i="419"/>
  <c r="C24" i="419"/>
  <c r="D24" i="419"/>
  <c r="B25" i="419"/>
  <c r="C25" i="419"/>
  <c r="D25" i="419"/>
  <c r="B26" i="419"/>
  <c r="C26" i="419"/>
  <c r="D26" i="419"/>
  <c r="B27" i="419"/>
  <c r="C27" i="419"/>
  <c r="D27" i="419"/>
  <c r="B28" i="419"/>
  <c r="C28" i="419"/>
  <c r="D28" i="419"/>
  <c r="B29" i="419"/>
  <c r="C29" i="419"/>
  <c r="D29" i="419"/>
  <c r="B30" i="419"/>
  <c r="C30" i="419"/>
  <c r="D30" i="419"/>
  <c r="B31" i="419"/>
  <c r="C31" i="419"/>
  <c r="D31" i="419"/>
  <c r="B32" i="419"/>
  <c r="C32" i="419"/>
  <c r="D32" i="419"/>
  <c r="B33" i="419"/>
  <c r="C33" i="419"/>
  <c r="D33" i="419"/>
  <c r="B34" i="419"/>
  <c r="C34" i="419"/>
  <c r="D34" i="419"/>
  <c r="B35" i="419"/>
  <c r="C35" i="419"/>
  <c r="D35" i="419"/>
  <c r="B36" i="419"/>
  <c r="C36" i="419"/>
  <c r="D36" i="419"/>
  <c r="B37" i="419"/>
  <c r="C37" i="419"/>
  <c r="D37" i="419"/>
  <c r="B38" i="419"/>
  <c r="C38" i="419"/>
  <c r="D38" i="419"/>
  <c r="B39" i="419"/>
  <c r="C39" i="419"/>
  <c r="D39" i="419"/>
  <c r="B40" i="419"/>
  <c r="C40" i="419"/>
  <c r="D40" i="419"/>
  <c r="B41" i="419"/>
  <c r="C41" i="419"/>
  <c r="D41" i="419"/>
  <c r="B42" i="419"/>
  <c r="C42" i="419"/>
  <c r="D42" i="419"/>
  <c r="B43" i="419"/>
  <c r="C43" i="419"/>
  <c r="D43" i="419"/>
  <c r="B44" i="419"/>
  <c r="C44" i="419"/>
  <c r="D44" i="419"/>
  <c r="B45" i="419"/>
  <c r="C45" i="419"/>
  <c r="D45" i="419"/>
  <c r="B46" i="419"/>
  <c r="C46" i="419"/>
  <c r="D46" i="419"/>
  <c r="C7" i="419"/>
  <c r="D7" i="419"/>
  <c r="B7" i="419"/>
  <c r="B8" i="418"/>
  <c r="C8" i="418"/>
  <c r="D8" i="418"/>
  <c r="B9" i="418"/>
  <c r="C9" i="418"/>
  <c r="D9" i="418"/>
  <c r="B10" i="418"/>
  <c r="C10" i="418"/>
  <c r="D10" i="418"/>
  <c r="B11" i="418"/>
  <c r="C11" i="418"/>
  <c r="D11" i="418"/>
  <c r="B12" i="418"/>
  <c r="C12" i="418"/>
  <c r="D12" i="418"/>
  <c r="B13" i="418"/>
  <c r="C13" i="418"/>
  <c r="D13" i="418"/>
  <c r="B14" i="418"/>
  <c r="C14" i="418"/>
  <c r="D14" i="418"/>
  <c r="B15" i="418"/>
  <c r="C15" i="418"/>
  <c r="D15" i="418"/>
  <c r="B16" i="418"/>
  <c r="C16" i="418"/>
  <c r="D16" i="418"/>
  <c r="B17" i="418"/>
  <c r="C17" i="418"/>
  <c r="D17" i="418"/>
  <c r="B18" i="418"/>
  <c r="C18" i="418"/>
  <c r="D18" i="418"/>
  <c r="B19" i="418"/>
  <c r="C19" i="418"/>
  <c r="D19" i="418"/>
  <c r="B20" i="418"/>
  <c r="C20" i="418"/>
  <c r="D20" i="418"/>
  <c r="B21" i="418"/>
  <c r="C21" i="418"/>
  <c r="D21" i="418"/>
  <c r="B22" i="418"/>
  <c r="C22" i="418"/>
  <c r="D22" i="418"/>
  <c r="B23" i="418"/>
  <c r="C23" i="418"/>
  <c r="D23" i="418"/>
  <c r="B24" i="418"/>
  <c r="C24" i="418"/>
  <c r="D24" i="418"/>
  <c r="B25" i="418"/>
  <c r="C25" i="418"/>
  <c r="D25" i="418"/>
  <c r="B26" i="418"/>
  <c r="C26" i="418"/>
  <c r="D26" i="418"/>
  <c r="B27" i="418"/>
  <c r="C27" i="418"/>
  <c r="D27" i="418"/>
  <c r="B28" i="418"/>
  <c r="C28" i="418"/>
  <c r="D28" i="418"/>
  <c r="B29" i="418"/>
  <c r="C29" i="418"/>
  <c r="D29" i="418"/>
  <c r="B30" i="418"/>
  <c r="C30" i="418"/>
  <c r="D30" i="418"/>
  <c r="B31" i="418"/>
  <c r="C31" i="418"/>
  <c r="D31" i="418"/>
  <c r="B32" i="418"/>
  <c r="C32" i="418"/>
  <c r="D32" i="418"/>
  <c r="B33" i="418"/>
  <c r="C33" i="418"/>
  <c r="D33" i="418"/>
  <c r="B34" i="418"/>
  <c r="C34" i="418"/>
  <c r="D34" i="418"/>
  <c r="B35" i="418"/>
  <c r="C35" i="418"/>
  <c r="D35" i="418"/>
  <c r="B36" i="418"/>
  <c r="C36" i="418"/>
  <c r="D36" i="418"/>
  <c r="B37" i="418"/>
  <c r="C37" i="418"/>
  <c r="D37" i="418"/>
  <c r="B38" i="418"/>
  <c r="C38" i="418"/>
  <c r="D38" i="418"/>
  <c r="B39" i="418"/>
  <c r="C39" i="418"/>
  <c r="D39" i="418"/>
  <c r="B40" i="418"/>
  <c r="C40" i="418"/>
  <c r="D40" i="418"/>
  <c r="B41" i="418"/>
  <c r="C41" i="418"/>
  <c r="D41" i="418"/>
  <c r="B42" i="418"/>
  <c r="C42" i="418"/>
  <c r="D42" i="418"/>
  <c r="B43" i="418"/>
  <c r="C43" i="418"/>
  <c r="D43" i="418"/>
  <c r="B44" i="418"/>
  <c r="C44" i="418"/>
  <c r="D44" i="418"/>
  <c r="B45" i="418"/>
  <c r="C45" i="418"/>
  <c r="D45" i="418"/>
  <c r="B46" i="418"/>
  <c r="C46" i="418"/>
  <c r="D46" i="418"/>
  <c r="C7" i="418"/>
  <c r="D7" i="418"/>
  <c r="B7" i="418"/>
  <c r="AD8" i="418"/>
  <c r="AD9" i="418"/>
  <c r="AD10" i="418"/>
  <c r="AD11" i="418"/>
  <c r="AD12" i="418"/>
  <c r="AD13" i="418"/>
  <c r="AD14" i="418"/>
  <c r="AD15" i="418"/>
  <c r="AD16" i="418"/>
  <c r="AD17" i="418"/>
  <c r="AD18" i="418"/>
  <c r="AD19" i="418"/>
  <c r="AD20" i="418"/>
  <c r="AD21" i="418"/>
  <c r="AD22" i="418"/>
  <c r="AD23" i="418"/>
  <c r="AD24" i="418"/>
  <c r="AD25" i="418"/>
  <c r="AD26" i="418"/>
  <c r="AD27" i="418"/>
  <c r="AD28" i="418"/>
  <c r="AD29" i="418"/>
  <c r="AD30" i="418"/>
  <c r="AD31" i="418"/>
  <c r="AD32" i="418"/>
  <c r="AD33" i="418"/>
  <c r="AD34" i="418"/>
  <c r="AD35" i="418"/>
  <c r="AD36" i="418"/>
  <c r="AD37" i="418"/>
  <c r="AD38" i="418"/>
  <c r="AD39" i="418"/>
  <c r="AD40" i="418"/>
  <c r="AD41" i="418"/>
  <c r="AD42" i="418"/>
  <c r="AD43" i="418"/>
  <c r="AD44" i="418"/>
  <c r="AD45" i="418"/>
  <c r="AD46" i="418"/>
  <c r="AD7" i="418"/>
  <c r="AD8" i="419"/>
  <c r="AD9" i="419"/>
  <c r="AD10" i="419"/>
  <c r="AD11" i="419"/>
  <c r="AD12" i="419"/>
  <c r="AD13" i="419"/>
  <c r="AD14" i="419"/>
  <c r="AD15" i="419"/>
  <c r="AD16" i="419"/>
  <c r="AD17" i="419"/>
  <c r="AD18" i="419"/>
  <c r="AD19" i="419"/>
  <c r="AD20" i="419"/>
  <c r="AD21" i="419"/>
  <c r="AD22" i="419"/>
  <c r="AD23" i="419"/>
  <c r="AD24" i="419"/>
  <c r="AD25" i="419"/>
  <c r="AD26" i="419"/>
  <c r="AD27" i="419"/>
  <c r="AD28" i="419"/>
  <c r="AD29" i="419"/>
  <c r="AD30" i="419"/>
  <c r="AD31" i="419"/>
  <c r="AD32" i="419"/>
  <c r="AD33" i="419"/>
  <c r="AD34" i="419"/>
  <c r="AD35" i="419"/>
  <c r="AD36" i="419"/>
  <c r="AD37" i="419"/>
  <c r="AD38" i="419"/>
  <c r="AD39" i="419"/>
  <c r="AD40" i="419"/>
  <c r="AD41" i="419"/>
  <c r="AD42" i="419"/>
  <c r="AD43" i="419"/>
  <c r="AD44" i="419"/>
  <c r="AD45" i="419"/>
  <c r="AD46" i="419"/>
  <c r="AD7" i="419"/>
  <c r="B145" i="419" l="1"/>
  <c r="U46" i="419"/>
  <c r="K46" i="419"/>
  <c r="U45" i="419"/>
  <c r="K45" i="419"/>
  <c r="U44" i="419"/>
  <c r="K44" i="419"/>
  <c r="U43" i="419"/>
  <c r="K43" i="419"/>
  <c r="U42" i="419"/>
  <c r="K42" i="419"/>
  <c r="U41" i="419"/>
  <c r="K41" i="419"/>
  <c r="U40" i="419"/>
  <c r="K40" i="419"/>
  <c r="U39" i="419"/>
  <c r="K39" i="419"/>
  <c r="U38" i="419"/>
  <c r="K38" i="419"/>
  <c r="U37" i="419"/>
  <c r="K37" i="419"/>
  <c r="U36" i="419"/>
  <c r="K36" i="419"/>
  <c r="U35" i="419"/>
  <c r="K35" i="419"/>
  <c r="U34" i="419"/>
  <c r="K34" i="419"/>
  <c r="E34" i="419" s="1"/>
  <c r="U33" i="419"/>
  <c r="K33" i="419"/>
  <c r="U32" i="419"/>
  <c r="K32" i="419"/>
  <c r="U31" i="419"/>
  <c r="K31" i="419"/>
  <c r="U30" i="419"/>
  <c r="K30" i="419"/>
  <c r="U29" i="419"/>
  <c r="K29" i="419"/>
  <c r="U28" i="419"/>
  <c r="K28" i="419"/>
  <c r="U27" i="419"/>
  <c r="K27" i="419"/>
  <c r="U26" i="419"/>
  <c r="K26" i="419"/>
  <c r="U25" i="419"/>
  <c r="K25" i="419"/>
  <c r="U24" i="419"/>
  <c r="K24" i="419"/>
  <c r="U23" i="419"/>
  <c r="K23" i="419"/>
  <c r="U22" i="419"/>
  <c r="K22" i="419"/>
  <c r="U21" i="419"/>
  <c r="K21" i="419"/>
  <c r="U20" i="419"/>
  <c r="K20" i="419"/>
  <c r="U19" i="419"/>
  <c r="K19" i="419"/>
  <c r="U18" i="419"/>
  <c r="K18" i="419"/>
  <c r="U17" i="419"/>
  <c r="K17" i="419"/>
  <c r="U16" i="419"/>
  <c r="K16" i="419"/>
  <c r="U15" i="419"/>
  <c r="K15" i="419"/>
  <c r="U14" i="419"/>
  <c r="K14" i="419"/>
  <c r="U13" i="419"/>
  <c r="K13" i="419"/>
  <c r="U12" i="419"/>
  <c r="K12" i="419"/>
  <c r="U11" i="419"/>
  <c r="K11" i="419"/>
  <c r="U10" i="419"/>
  <c r="K10" i="419"/>
  <c r="U9" i="419"/>
  <c r="K9" i="419"/>
  <c r="U8" i="419"/>
  <c r="K8" i="419"/>
  <c r="U7" i="419"/>
  <c r="K7" i="419"/>
  <c r="AD5" i="419"/>
  <c r="AF6" i="419" s="1"/>
  <c r="U5" i="419"/>
  <c r="K5" i="419"/>
  <c r="M6" i="419" s="1"/>
  <c r="D4" i="419"/>
  <c r="AD5" i="418"/>
  <c r="AF6" i="418" s="1"/>
  <c r="W39" i="419" l="1"/>
  <c r="V39" i="419" s="1"/>
  <c r="E14" i="419"/>
  <c r="W28" i="419"/>
  <c r="V28" i="419" s="1"/>
  <c r="E15" i="419"/>
  <c r="E17" i="419"/>
  <c r="E33" i="419"/>
  <c r="W31" i="419"/>
  <c r="V31" i="419" s="1"/>
  <c r="W12" i="419"/>
  <c r="V12" i="419" s="1"/>
  <c r="E25" i="419"/>
  <c r="W34" i="419"/>
  <c r="V34" i="419" s="1"/>
  <c r="W38" i="419"/>
  <c r="V38" i="419" s="1"/>
  <c r="W10" i="419"/>
  <c r="V10" i="419" s="1"/>
  <c r="W18" i="419"/>
  <c r="V18" i="419" s="1"/>
  <c r="W26" i="419"/>
  <c r="V26" i="419" s="1"/>
  <c r="W35" i="419"/>
  <c r="V35" i="419" s="1"/>
  <c r="W46" i="419"/>
  <c r="V46" i="419" s="1"/>
  <c r="W20" i="419"/>
  <c r="V20" i="419" s="1"/>
  <c r="W6" i="419"/>
  <c r="W7" i="419"/>
  <c r="V7" i="419" s="1"/>
  <c r="W15" i="419"/>
  <c r="V15" i="419" s="1"/>
  <c r="W23" i="419"/>
  <c r="V23" i="419" s="1"/>
  <c r="W43" i="419"/>
  <c r="V43" i="419" s="1"/>
  <c r="W42" i="419"/>
  <c r="V42" i="419" s="1"/>
  <c r="E9" i="419"/>
  <c r="E7" i="419"/>
  <c r="AF7" i="419"/>
  <c r="AE7" i="419" s="1"/>
  <c r="AF10" i="419"/>
  <c r="AE10" i="419" s="1"/>
  <c r="AF14" i="419"/>
  <c r="AE14" i="419" s="1"/>
  <c r="AF22" i="419"/>
  <c r="AE22" i="419" s="1"/>
  <c r="AF30" i="419"/>
  <c r="AE30" i="419" s="1"/>
  <c r="AF36" i="419"/>
  <c r="AE36" i="419" s="1"/>
  <c r="AF37" i="419"/>
  <c r="AE37" i="419" s="1"/>
  <c r="AF40" i="419"/>
  <c r="AE40" i="419" s="1"/>
  <c r="AF41" i="419"/>
  <c r="AE41" i="419" s="1"/>
  <c r="AF44" i="419"/>
  <c r="AE44" i="419" s="1"/>
  <c r="AF45" i="419"/>
  <c r="AE45" i="419" s="1"/>
  <c r="AF11" i="419"/>
  <c r="AE11" i="419" s="1"/>
  <c r="AF8" i="419"/>
  <c r="AE8" i="419" s="1"/>
  <c r="AF13" i="419"/>
  <c r="AE13" i="419" s="1"/>
  <c r="AF18" i="419"/>
  <c r="AE18" i="419" s="1"/>
  <c r="AF26" i="419"/>
  <c r="AE26" i="419" s="1"/>
  <c r="AF35" i="419"/>
  <c r="AE35" i="419" s="1"/>
  <c r="AF39" i="419"/>
  <c r="AE39" i="419" s="1"/>
  <c r="AF43" i="419"/>
  <c r="AE43" i="419" s="1"/>
  <c r="AF9" i="419"/>
  <c r="AE9" i="419" s="1"/>
  <c r="AF12" i="419"/>
  <c r="AE12" i="419" s="1"/>
  <c r="AF16" i="419"/>
  <c r="AE16" i="419" s="1"/>
  <c r="AF21" i="419"/>
  <c r="AE21" i="419" s="1"/>
  <c r="AF24" i="419"/>
  <c r="AE24" i="419" s="1"/>
  <c r="AF29" i="419"/>
  <c r="AE29" i="419" s="1"/>
  <c r="AF32" i="419"/>
  <c r="AE32" i="419" s="1"/>
  <c r="AF34" i="419"/>
  <c r="AE34" i="419" s="1"/>
  <c r="AF38" i="419"/>
  <c r="AE38" i="419" s="1"/>
  <c r="AF15" i="419"/>
  <c r="AE15" i="419" s="1"/>
  <c r="AF17" i="419"/>
  <c r="AE17" i="419" s="1"/>
  <c r="AF20" i="419"/>
  <c r="AE20" i="419" s="1"/>
  <c r="AF25" i="419"/>
  <c r="AE25" i="419" s="1"/>
  <c r="AF28" i="419"/>
  <c r="AE28" i="419" s="1"/>
  <c r="AF33" i="419"/>
  <c r="AE33" i="419" s="1"/>
  <c r="AG5" i="419"/>
  <c r="D5" i="419"/>
  <c r="M39" i="419"/>
  <c r="L39" i="419" s="1"/>
  <c r="M43" i="419"/>
  <c r="L43" i="419" s="1"/>
  <c r="M35" i="419"/>
  <c r="L35" i="419" s="1"/>
  <c r="M31" i="419"/>
  <c r="L31" i="419" s="1"/>
  <c r="M23" i="419"/>
  <c r="L23" i="419" s="1"/>
  <c r="M15" i="419"/>
  <c r="L15" i="419" s="1"/>
  <c r="M7" i="419"/>
  <c r="L7" i="419" s="1"/>
  <c r="M30" i="419"/>
  <c r="L30" i="419" s="1"/>
  <c r="M22" i="419"/>
  <c r="L22" i="419" s="1"/>
  <c r="M14" i="419"/>
  <c r="L14" i="419" s="1"/>
  <c r="M27" i="419"/>
  <c r="L27" i="419" s="1"/>
  <c r="M19" i="419"/>
  <c r="L19" i="419" s="1"/>
  <c r="M11" i="419"/>
  <c r="L11" i="419" s="1"/>
  <c r="M10" i="419"/>
  <c r="L10" i="419" s="1"/>
  <c r="AF19" i="419"/>
  <c r="AE19" i="419" s="1"/>
  <c r="E19" i="419"/>
  <c r="E20" i="419"/>
  <c r="M20" i="419"/>
  <c r="L20" i="419" s="1"/>
  <c r="W29" i="419"/>
  <c r="V29" i="419" s="1"/>
  <c r="E29" i="419"/>
  <c r="W37" i="419"/>
  <c r="V37" i="419" s="1"/>
  <c r="E37" i="419"/>
  <c r="M38" i="419"/>
  <c r="L38" i="419" s="1"/>
  <c r="W45" i="419"/>
  <c r="V45" i="419" s="1"/>
  <c r="E45" i="419"/>
  <c r="M46" i="419"/>
  <c r="L46" i="419" s="1"/>
  <c r="E12" i="419"/>
  <c r="M12" i="419"/>
  <c r="L12" i="419" s="1"/>
  <c r="W21" i="419"/>
  <c r="V21" i="419" s="1"/>
  <c r="E21" i="419"/>
  <c r="W13" i="419"/>
  <c r="V13" i="419" s="1"/>
  <c r="E13" i="419"/>
  <c r="M26" i="419"/>
  <c r="L26" i="419" s="1"/>
  <c r="E30" i="419"/>
  <c r="M34" i="419"/>
  <c r="L34" i="419" s="1"/>
  <c r="W41" i="419"/>
  <c r="V41" i="419" s="1"/>
  <c r="E41" i="419"/>
  <c r="M42" i="419"/>
  <c r="L42" i="419" s="1"/>
  <c r="M18" i="419"/>
  <c r="L18" i="419" s="1"/>
  <c r="E22" i="419"/>
  <c r="AF27" i="419"/>
  <c r="AE27" i="419" s="1"/>
  <c r="E27" i="419"/>
  <c r="E28" i="419"/>
  <c r="M28" i="419"/>
  <c r="L28" i="419" s="1"/>
  <c r="M9" i="419"/>
  <c r="L9" i="419" s="1"/>
  <c r="M17" i="419"/>
  <c r="L17" i="419" s="1"/>
  <c r="M25" i="419"/>
  <c r="L25" i="419" s="1"/>
  <c r="M33" i="419"/>
  <c r="L33" i="419" s="1"/>
  <c r="W44" i="419"/>
  <c r="V44" i="419" s="1"/>
  <c r="W40" i="419"/>
  <c r="V40" i="419" s="1"/>
  <c r="W36" i="419"/>
  <c r="V36" i="419" s="1"/>
  <c r="E8" i="419"/>
  <c r="M8" i="419"/>
  <c r="L8" i="419" s="1"/>
  <c r="W8" i="419"/>
  <c r="V8" i="419" s="1"/>
  <c r="W9" i="419"/>
  <c r="V9" i="419" s="1"/>
  <c r="E10" i="419"/>
  <c r="E16" i="419"/>
  <c r="M16" i="419"/>
  <c r="L16" i="419" s="1"/>
  <c r="W16" i="419"/>
  <c r="V16" i="419" s="1"/>
  <c r="W17" i="419"/>
  <c r="V17" i="419" s="1"/>
  <c r="E18" i="419"/>
  <c r="AF23" i="419"/>
  <c r="AE23" i="419" s="1"/>
  <c r="E23" i="419"/>
  <c r="E24" i="419"/>
  <c r="M24" i="419"/>
  <c r="L24" i="419" s="1"/>
  <c r="W24" i="419"/>
  <c r="V24" i="419" s="1"/>
  <c r="W25" i="419"/>
  <c r="V25" i="419" s="1"/>
  <c r="E26" i="419"/>
  <c r="AF31" i="419"/>
  <c r="AE31" i="419" s="1"/>
  <c r="E31" i="419"/>
  <c r="E32" i="419"/>
  <c r="M32" i="419"/>
  <c r="L32" i="419" s="1"/>
  <c r="W32" i="419"/>
  <c r="V32" i="419" s="1"/>
  <c r="W33" i="419"/>
  <c r="V33" i="419" s="1"/>
  <c r="E36" i="419"/>
  <c r="M36" i="419"/>
  <c r="L36" i="419" s="1"/>
  <c r="E40" i="419"/>
  <c r="M40" i="419"/>
  <c r="L40" i="419" s="1"/>
  <c r="AF42" i="419"/>
  <c r="AE42" i="419" s="1"/>
  <c r="E42" i="419"/>
  <c r="E44" i="419"/>
  <c r="M44" i="419"/>
  <c r="L44" i="419" s="1"/>
  <c r="AF46" i="419"/>
  <c r="AE46" i="419" s="1"/>
  <c r="E46" i="419"/>
  <c r="E11" i="419"/>
  <c r="W11" i="419"/>
  <c r="V11" i="419" s="1"/>
  <c r="M13" i="419"/>
  <c r="L13" i="419" s="1"/>
  <c r="W14" i="419"/>
  <c r="V14" i="419" s="1"/>
  <c r="W19" i="419"/>
  <c r="V19" i="419" s="1"/>
  <c r="M21" i="419"/>
  <c r="L21" i="419" s="1"/>
  <c r="W22" i="419"/>
  <c r="V22" i="419" s="1"/>
  <c r="W27" i="419"/>
  <c r="V27" i="419" s="1"/>
  <c r="M29" i="419"/>
  <c r="L29" i="419" s="1"/>
  <c r="W30" i="419"/>
  <c r="V30" i="419" s="1"/>
  <c r="M37" i="419"/>
  <c r="L37" i="419" s="1"/>
  <c r="M41" i="419"/>
  <c r="L41" i="419" s="1"/>
  <c r="M45" i="419"/>
  <c r="L45" i="419" s="1"/>
  <c r="E35" i="419"/>
  <c r="E39" i="419"/>
  <c r="E43" i="419"/>
  <c r="E38" i="419"/>
  <c r="D4" i="418"/>
  <c r="B145" i="418"/>
  <c r="U46" i="418"/>
  <c r="K46" i="418"/>
  <c r="U45" i="418"/>
  <c r="K45" i="418"/>
  <c r="U44" i="418"/>
  <c r="K44" i="418"/>
  <c r="E44" i="418" s="1"/>
  <c r="U43" i="418"/>
  <c r="K43" i="418"/>
  <c r="U42" i="418"/>
  <c r="K42" i="418"/>
  <c r="E42" i="418" s="1"/>
  <c r="U41" i="418"/>
  <c r="K41" i="418"/>
  <c r="U40" i="418"/>
  <c r="K40" i="418"/>
  <c r="U39" i="418"/>
  <c r="K39" i="418"/>
  <c r="U38" i="418"/>
  <c r="K38" i="418"/>
  <c r="E38" i="418" s="1"/>
  <c r="U37" i="418"/>
  <c r="K37" i="418"/>
  <c r="U36" i="418"/>
  <c r="K36" i="418"/>
  <c r="U35" i="418"/>
  <c r="K35" i="418"/>
  <c r="E35" i="418" s="1"/>
  <c r="U34" i="418"/>
  <c r="K34" i="418"/>
  <c r="U33" i="418"/>
  <c r="K33" i="418"/>
  <c r="U32" i="418"/>
  <c r="K32" i="418"/>
  <c r="U31" i="418"/>
  <c r="K31" i="418"/>
  <c r="E31" i="418" s="1"/>
  <c r="U30" i="418"/>
  <c r="K30" i="418"/>
  <c r="U29" i="418"/>
  <c r="K29" i="418"/>
  <c r="U28" i="418"/>
  <c r="K28" i="418"/>
  <c r="U27" i="418"/>
  <c r="K27" i="418"/>
  <c r="E27" i="418" s="1"/>
  <c r="U26" i="418"/>
  <c r="K26" i="418"/>
  <c r="U25" i="418"/>
  <c r="K25" i="418"/>
  <c r="U24" i="418"/>
  <c r="K24" i="418"/>
  <c r="U23" i="418"/>
  <c r="K23" i="418"/>
  <c r="E23" i="418" s="1"/>
  <c r="U22" i="418"/>
  <c r="K22" i="418"/>
  <c r="U21" i="418"/>
  <c r="K21" i="418"/>
  <c r="U20" i="418"/>
  <c r="K20" i="418"/>
  <c r="U19" i="418"/>
  <c r="K19" i="418"/>
  <c r="U18" i="418"/>
  <c r="K18" i="418"/>
  <c r="E18" i="418" s="1"/>
  <c r="U17" i="418"/>
  <c r="K17" i="418"/>
  <c r="U16" i="418"/>
  <c r="K16" i="418"/>
  <c r="E16" i="418" s="1"/>
  <c r="U15" i="418"/>
  <c r="K15" i="418"/>
  <c r="U14" i="418"/>
  <c r="K14" i="418"/>
  <c r="E14" i="418" s="1"/>
  <c r="U13" i="418"/>
  <c r="K13" i="418"/>
  <c r="U12" i="418"/>
  <c r="K12" i="418"/>
  <c r="U11" i="418"/>
  <c r="K11" i="418"/>
  <c r="U10" i="418"/>
  <c r="K10" i="418"/>
  <c r="U9" i="418"/>
  <c r="K9" i="418"/>
  <c r="U8" i="418"/>
  <c r="K8" i="418"/>
  <c r="U7" i="418"/>
  <c r="K7" i="418"/>
  <c r="AF20" i="418"/>
  <c r="AE20" i="418" s="1"/>
  <c r="U5" i="418"/>
  <c r="W46" i="418" s="1"/>
  <c r="V46" i="418" s="1"/>
  <c r="K5" i="418"/>
  <c r="E45" i="418" l="1"/>
  <c r="E15" i="418"/>
  <c r="E13" i="418"/>
  <c r="E21" i="418"/>
  <c r="E37" i="418"/>
  <c r="E26" i="418"/>
  <c r="E41" i="418"/>
  <c r="E8" i="418"/>
  <c r="M6" i="418"/>
  <c r="D5" i="418"/>
  <c r="E7" i="418"/>
  <c r="M29" i="418"/>
  <c r="L29" i="418" s="1"/>
  <c r="E40" i="418"/>
  <c r="E11" i="418"/>
  <c r="E20" i="418"/>
  <c r="M21" i="418"/>
  <c r="L21" i="418" s="1"/>
  <c r="M26" i="418"/>
  <c r="L26" i="418" s="1"/>
  <c r="E10" i="418"/>
  <c r="E12" i="418"/>
  <c r="M13" i="418"/>
  <c r="L13" i="418" s="1"/>
  <c r="M20" i="418"/>
  <c r="L20" i="418" s="1"/>
  <c r="M25" i="418"/>
  <c r="L25" i="418" s="1"/>
  <c r="E30" i="418"/>
  <c r="E39" i="418"/>
  <c r="E46" i="418"/>
  <c r="M12" i="418"/>
  <c r="L12" i="418" s="1"/>
  <c r="E22" i="418"/>
  <c r="M30" i="418"/>
  <c r="L30" i="418" s="1"/>
  <c r="E43" i="418"/>
  <c r="AF42" i="418"/>
  <c r="AE42" i="418" s="1"/>
  <c r="AF7" i="418"/>
  <c r="AE7" i="418" s="1"/>
  <c r="AF12" i="418"/>
  <c r="AE12" i="418" s="1"/>
  <c r="AF15" i="418"/>
  <c r="AE15" i="418" s="1"/>
  <c r="AF37" i="418"/>
  <c r="AE37" i="418" s="1"/>
  <c r="AF8" i="418"/>
  <c r="AE8" i="418" s="1"/>
  <c r="AF10" i="418"/>
  <c r="AE10" i="418" s="1"/>
  <c r="AF16" i="418"/>
  <c r="AE16" i="418" s="1"/>
  <c r="AF18" i="418"/>
  <c r="AE18" i="418" s="1"/>
  <c r="AF45" i="418"/>
  <c r="AE45" i="418" s="1"/>
  <c r="W37" i="418"/>
  <c r="V37" i="418" s="1"/>
  <c r="W26" i="418"/>
  <c r="V26" i="418" s="1"/>
  <c r="W27" i="418"/>
  <c r="V27" i="418" s="1"/>
  <c r="W29" i="418"/>
  <c r="V29" i="418" s="1"/>
  <c r="W45" i="418"/>
  <c r="V45" i="418" s="1"/>
  <c r="W7" i="418"/>
  <c r="V7" i="418" s="1"/>
  <c r="W9" i="418"/>
  <c r="V9" i="418" s="1"/>
  <c r="W13" i="418"/>
  <c r="V13" i="418" s="1"/>
  <c r="W18" i="418"/>
  <c r="V18" i="418" s="1"/>
  <c r="W22" i="418"/>
  <c r="V22" i="418" s="1"/>
  <c r="W23" i="418"/>
  <c r="V23" i="418" s="1"/>
  <c r="W25" i="418"/>
  <c r="V25" i="418" s="1"/>
  <c r="W36" i="418"/>
  <c r="V36" i="418" s="1"/>
  <c r="W39" i="418"/>
  <c r="V39" i="418" s="1"/>
  <c r="W44" i="418"/>
  <c r="V44" i="418" s="1"/>
  <c r="W31" i="418"/>
  <c r="V31" i="418" s="1"/>
  <c r="W33" i="418"/>
  <c r="V33" i="418" s="1"/>
  <c r="W41" i="418"/>
  <c r="V41" i="418" s="1"/>
  <c r="W10" i="418"/>
  <c r="V10" i="418" s="1"/>
  <c r="W14" i="418"/>
  <c r="V14" i="418" s="1"/>
  <c r="W15" i="418"/>
  <c r="V15" i="418" s="1"/>
  <c r="W17" i="418"/>
  <c r="V17" i="418" s="1"/>
  <c r="W19" i="418"/>
  <c r="V19" i="418" s="1"/>
  <c r="W21" i="418"/>
  <c r="V21" i="418" s="1"/>
  <c r="W30" i="418"/>
  <c r="V30" i="418" s="1"/>
  <c r="W35" i="418"/>
  <c r="V35" i="418" s="1"/>
  <c r="W40" i="418"/>
  <c r="V40" i="418" s="1"/>
  <c r="W43" i="418"/>
  <c r="V43" i="418" s="1"/>
  <c r="AF43" i="418"/>
  <c r="AE43" i="418" s="1"/>
  <c r="AF39" i="418"/>
  <c r="AE39" i="418" s="1"/>
  <c r="AF35" i="418"/>
  <c r="AE35" i="418" s="1"/>
  <c r="AF29" i="418"/>
  <c r="AE29" i="418" s="1"/>
  <c r="AF25" i="418"/>
  <c r="AE25" i="418" s="1"/>
  <c r="AF21" i="418"/>
  <c r="AE21" i="418" s="1"/>
  <c r="AF17" i="418"/>
  <c r="AE17" i="418" s="1"/>
  <c r="AF13" i="418"/>
  <c r="AE13" i="418" s="1"/>
  <c r="AF9" i="418"/>
  <c r="AE9" i="418" s="1"/>
  <c r="AF44" i="418"/>
  <c r="AE44" i="418" s="1"/>
  <c r="AF40" i="418"/>
  <c r="AE40" i="418" s="1"/>
  <c r="M10" i="418"/>
  <c r="L10" i="418" s="1"/>
  <c r="W11" i="418"/>
  <c r="V11" i="418" s="1"/>
  <c r="M18" i="418"/>
  <c r="L18" i="418" s="1"/>
  <c r="E19" i="418"/>
  <c r="AF33" i="418"/>
  <c r="AE33" i="418" s="1"/>
  <c r="AF34" i="418"/>
  <c r="AE34" i="418" s="1"/>
  <c r="E36" i="418"/>
  <c r="M36" i="418"/>
  <c r="L36" i="418" s="1"/>
  <c r="AF36" i="418"/>
  <c r="AE36" i="418" s="1"/>
  <c r="M8" i="418"/>
  <c r="L8" i="418" s="1"/>
  <c r="E9" i="418"/>
  <c r="AF11" i="418"/>
  <c r="AE11" i="418" s="1"/>
  <c r="M16" i="418"/>
  <c r="L16" i="418" s="1"/>
  <c r="E17" i="418"/>
  <c r="AF19" i="418"/>
  <c r="AE19" i="418" s="1"/>
  <c r="AF22" i="418"/>
  <c r="AE22" i="418" s="1"/>
  <c r="AF26" i="418"/>
  <c r="AE26" i="418" s="1"/>
  <c r="AF30" i="418"/>
  <c r="AE30" i="418" s="1"/>
  <c r="AF31" i="418"/>
  <c r="AE31" i="418" s="1"/>
  <c r="E32" i="418"/>
  <c r="M32" i="418"/>
  <c r="L32" i="418" s="1"/>
  <c r="AF32" i="418"/>
  <c r="AE32" i="418" s="1"/>
  <c r="E33" i="418"/>
  <c r="E34" i="418"/>
  <c r="AF38" i="418"/>
  <c r="AE38" i="418" s="1"/>
  <c r="AF41" i="418"/>
  <c r="AE41" i="418" s="1"/>
  <c r="AF46" i="418"/>
  <c r="AE46" i="418" s="1"/>
  <c r="M45" i="418"/>
  <c r="L45" i="418" s="1"/>
  <c r="M41" i="418"/>
  <c r="L41" i="418" s="1"/>
  <c r="M37" i="418"/>
  <c r="L37" i="418" s="1"/>
  <c r="M33" i="418"/>
  <c r="L33" i="418" s="1"/>
  <c r="AG5" i="418"/>
  <c r="M31" i="418"/>
  <c r="L31" i="418" s="1"/>
  <c r="M27" i="418"/>
  <c r="L27" i="418" s="1"/>
  <c r="M23" i="418"/>
  <c r="L23" i="418" s="1"/>
  <c r="M19" i="418"/>
  <c r="L19" i="418" s="1"/>
  <c r="M15" i="418"/>
  <c r="L15" i="418" s="1"/>
  <c r="M11" i="418"/>
  <c r="L11" i="418" s="1"/>
  <c r="M7" i="418"/>
  <c r="L7" i="418" s="1"/>
  <c r="M46" i="418"/>
  <c r="L46" i="418" s="1"/>
  <c r="M42" i="418"/>
  <c r="L42" i="418" s="1"/>
  <c r="M38" i="418"/>
  <c r="L38" i="418" s="1"/>
  <c r="M9" i="418"/>
  <c r="L9" i="418" s="1"/>
  <c r="M14" i="418"/>
  <c r="L14" i="418" s="1"/>
  <c r="AF14" i="418"/>
  <c r="AE14" i="418" s="1"/>
  <c r="M17" i="418"/>
  <c r="L17" i="418" s="1"/>
  <c r="M22" i="418"/>
  <c r="L22" i="418" s="1"/>
  <c r="AF23" i="418"/>
  <c r="AE23" i="418" s="1"/>
  <c r="E24" i="418"/>
  <c r="M24" i="418"/>
  <c r="L24" i="418" s="1"/>
  <c r="AF24" i="418"/>
  <c r="AE24" i="418" s="1"/>
  <c r="E25" i="418"/>
  <c r="AF27" i="418"/>
  <c r="AE27" i="418" s="1"/>
  <c r="E28" i="418"/>
  <c r="M28" i="418"/>
  <c r="L28" i="418" s="1"/>
  <c r="AF28" i="418"/>
  <c r="AE28" i="418" s="1"/>
  <c r="E29" i="418"/>
  <c r="M34" i="418"/>
  <c r="L34" i="418" s="1"/>
  <c r="W6" i="418"/>
  <c r="W8" i="418"/>
  <c r="V8" i="418" s="1"/>
  <c r="W12" i="418"/>
  <c r="V12" i="418" s="1"/>
  <c r="W16" i="418"/>
  <c r="V16" i="418" s="1"/>
  <c r="W20" i="418"/>
  <c r="V20" i="418" s="1"/>
  <c r="W24" i="418"/>
  <c r="V24" i="418" s="1"/>
  <c r="W28" i="418"/>
  <c r="V28" i="418" s="1"/>
  <c r="W32" i="418"/>
  <c r="V32" i="418" s="1"/>
  <c r="M35" i="418"/>
  <c r="L35" i="418" s="1"/>
  <c r="M39" i="418"/>
  <c r="L39" i="418" s="1"/>
  <c r="M43" i="418"/>
  <c r="L43" i="418" s="1"/>
  <c r="M40" i="418"/>
  <c r="L40" i="418" s="1"/>
  <c r="M44" i="418"/>
  <c r="L44" i="418" s="1"/>
  <c r="W34" i="418"/>
  <c r="V34" i="418" s="1"/>
  <c r="W38" i="418"/>
  <c r="V38" i="418" s="1"/>
  <c r="W42" i="418"/>
  <c r="V42" i="418" s="1"/>
  <c r="I13" i="108"/>
  <c r="I14" i="108"/>
  <c r="I15" i="108"/>
  <c r="I16" i="108"/>
  <c r="E6" i="417"/>
  <c r="E5" i="417"/>
  <c r="C2" i="417"/>
  <c r="B45" i="397"/>
  <c r="B28" i="391"/>
  <c r="AA15" i="396" l="1"/>
  <c r="K17" i="396" l="1"/>
  <c r="L17" i="396"/>
  <c r="M17" i="396"/>
  <c r="N17" i="396"/>
  <c r="O17" i="396"/>
  <c r="P17" i="396"/>
  <c r="Q17" i="396"/>
  <c r="R17" i="396"/>
  <c r="S17" i="396"/>
  <c r="T17" i="396"/>
  <c r="U17" i="396"/>
  <c r="V17" i="396"/>
  <c r="W17" i="396"/>
  <c r="X17" i="396"/>
  <c r="K18" i="396"/>
  <c r="L18" i="396"/>
  <c r="M18" i="396"/>
  <c r="N18" i="396"/>
  <c r="O18" i="396"/>
  <c r="P18" i="396"/>
  <c r="Q18" i="396"/>
  <c r="R18" i="396"/>
  <c r="S18" i="396"/>
  <c r="T18" i="396"/>
  <c r="U18" i="396"/>
  <c r="V18" i="396"/>
  <c r="W18" i="396"/>
  <c r="X18" i="396"/>
  <c r="K19" i="396"/>
  <c r="L19" i="396"/>
  <c r="M19" i="396"/>
  <c r="N19" i="396"/>
  <c r="O19" i="396"/>
  <c r="P19" i="396"/>
  <c r="Q19" i="396"/>
  <c r="R19" i="396"/>
  <c r="S19" i="396"/>
  <c r="T19" i="396"/>
  <c r="U19" i="396"/>
  <c r="V19" i="396"/>
  <c r="W19" i="396"/>
  <c r="X19" i="396"/>
  <c r="K20" i="396"/>
  <c r="L20" i="396"/>
  <c r="M20" i="396"/>
  <c r="N20" i="396"/>
  <c r="O20" i="396"/>
  <c r="P20" i="396"/>
  <c r="Q20" i="396"/>
  <c r="R20" i="396"/>
  <c r="S20" i="396"/>
  <c r="T20" i="396"/>
  <c r="U20" i="396"/>
  <c r="V20" i="396"/>
  <c r="W20" i="396"/>
  <c r="X20" i="396"/>
  <c r="K21" i="396"/>
  <c r="L21" i="396"/>
  <c r="M21" i="396"/>
  <c r="N21" i="396"/>
  <c r="O21" i="396"/>
  <c r="P21" i="396"/>
  <c r="Q21" i="396"/>
  <c r="R21" i="396"/>
  <c r="S21" i="396"/>
  <c r="T21" i="396"/>
  <c r="U21" i="396"/>
  <c r="V21" i="396"/>
  <c r="W21" i="396"/>
  <c r="X21" i="396"/>
  <c r="K22" i="396"/>
  <c r="L22" i="396"/>
  <c r="M22" i="396"/>
  <c r="N22" i="396"/>
  <c r="O22" i="396"/>
  <c r="P22" i="396"/>
  <c r="Q22" i="396"/>
  <c r="R22" i="396"/>
  <c r="S22" i="396"/>
  <c r="T22" i="396"/>
  <c r="U22" i="396"/>
  <c r="V22" i="396"/>
  <c r="W22" i="396"/>
  <c r="X22" i="396"/>
  <c r="K23" i="396"/>
  <c r="L23" i="396"/>
  <c r="M23" i="396"/>
  <c r="N23" i="396"/>
  <c r="O23" i="396"/>
  <c r="P23" i="396"/>
  <c r="Q23" i="396"/>
  <c r="R23" i="396"/>
  <c r="S23" i="396"/>
  <c r="T23" i="396"/>
  <c r="U23" i="396"/>
  <c r="V23" i="396"/>
  <c r="W23" i="396"/>
  <c r="X23" i="396"/>
  <c r="K24" i="396"/>
  <c r="L24" i="396"/>
  <c r="M24" i="396"/>
  <c r="N24" i="396"/>
  <c r="O24" i="396"/>
  <c r="P24" i="396"/>
  <c r="Q24" i="396"/>
  <c r="R24" i="396"/>
  <c r="S24" i="396"/>
  <c r="T24" i="396"/>
  <c r="U24" i="396"/>
  <c r="V24" i="396"/>
  <c r="W24" i="396"/>
  <c r="X24" i="396"/>
  <c r="K25" i="396"/>
  <c r="L25" i="396"/>
  <c r="M25" i="396"/>
  <c r="N25" i="396"/>
  <c r="O25" i="396"/>
  <c r="P25" i="396"/>
  <c r="Q25" i="396"/>
  <c r="R25" i="396"/>
  <c r="S25" i="396"/>
  <c r="T25" i="396"/>
  <c r="U25" i="396"/>
  <c r="V25" i="396"/>
  <c r="W25" i="396"/>
  <c r="X25" i="396"/>
  <c r="K26" i="396"/>
  <c r="L26" i="396"/>
  <c r="M26" i="396"/>
  <c r="N26" i="396"/>
  <c r="O26" i="396"/>
  <c r="P26" i="396"/>
  <c r="Q26" i="396"/>
  <c r="R26" i="396"/>
  <c r="S26" i="396"/>
  <c r="T26" i="396"/>
  <c r="U26" i="396"/>
  <c r="V26" i="396"/>
  <c r="W26" i="396"/>
  <c r="X26" i="396"/>
  <c r="K27" i="396"/>
  <c r="L27" i="396"/>
  <c r="M27" i="396"/>
  <c r="N27" i="396"/>
  <c r="O27" i="396"/>
  <c r="P27" i="396"/>
  <c r="Q27" i="396"/>
  <c r="R27" i="396"/>
  <c r="S27" i="396"/>
  <c r="T27" i="396"/>
  <c r="U27" i="396"/>
  <c r="V27" i="396"/>
  <c r="W27" i="396"/>
  <c r="X27" i="396"/>
  <c r="K28" i="396"/>
  <c r="L28" i="396"/>
  <c r="M28" i="396"/>
  <c r="N28" i="396"/>
  <c r="O28" i="396"/>
  <c r="P28" i="396"/>
  <c r="Q28" i="396"/>
  <c r="R28" i="396"/>
  <c r="S28" i="396"/>
  <c r="T28" i="396"/>
  <c r="U28" i="396"/>
  <c r="V28" i="396"/>
  <c r="W28" i="396"/>
  <c r="X28" i="396"/>
  <c r="K29" i="396"/>
  <c r="L29" i="396"/>
  <c r="M29" i="396"/>
  <c r="N29" i="396"/>
  <c r="O29" i="396"/>
  <c r="P29" i="396"/>
  <c r="Q29" i="396"/>
  <c r="R29" i="396"/>
  <c r="S29" i="396"/>
  <c r="T29" i="396"/>
  <c r="U29" i="396"/>
  <c r="V29" i="396"/>
  <c r="W29" i="396"/>
  <c r="X29" i="396"/>
  <c r="K30" i="396"/>
  <c r="L30" i="396"/>
  <c r="M30" i="396"/>
  <c r="N30" i="396"/>
  <c r="O30" i="396"/>
  <c r="P30" i="396"/>
  <c r="Q30" i="396"/>
  <c r="R30" i="396"/>
  <c r="S30" i="396"/>
  <c r="T30" i="396"/>
  <c r="U30" i="396"/>
  <c r="V30" i="396"/>
  <c r="W30" i="396"/>
  <c r="X30" i="396"/>
  <c r="K31" i="396"/>
  <c r="L31" i="396"/>
  <c r="M31" i="396"/>
  <c r="N31" i="396"/>
  <c r="O31" i="396"/>
  <c r="P31" i="396"/>
  <c r="Q31" i="396"/>
  <c r="R31" i="396"/>
  <c r="S31" i="396"/>
  <c r="T31" i="396"/>
  <c r="U31" i="396"/>
  <c r="V31" i="396"/>
  <c r="W31" i="396"/>
  <c r="X31" i="396"/>
  <c r="K32" i="396"/>
  <c r="L32" i="396"/>
  <c r="M32" i="396"/>
  <c r="N32" i="396"/>
  <c r="O32" i="396"/>
  <c r="P32" i="396"/>
  <c r="Q32" i="396"/>
  <c r="R32" i="396"/>
  <c r="S32" i="396"/>
  <c r="T32" i="396"/>
  <c r="U32" i="396"/>
  <c r="V32" i="396"/>
  <c r="W32" i="396"/>
  <c r="X32" i="396"/>
  <c r="K33" i="396"/>
  <c r="L33" i="396"/>
  <c r="M33" i="396"/>
  <c r="N33" i="396"/>
  <c r="O33" i="396"/>
  <c r="P33" i="396"/>
  <c r="Q33" i="396"/>
  <c r="R33" i="396"/>
  <c r="S33" i="396"/>
  <c r="T33" i="396"/>
  <c r="U33" i="396"/>
  <c r="V33" i="396"/>
  <c r="W33" i="396"/>
  <c r="X33" i="396"/>
  <c r="K34" i="396"/>
  <c r="L34" i="396"/>
  <c r="M34" i="396"/>
  <c r="N34" i="396"/>
  <c r="O34" i="396"/>
  <c r="P34" i="396"/>
  <c r="Q34" i="396"/>
  <c r="R34" i="396"/>
  <c r="S34" i="396"/>
  <c r="T34" i="396"/>
  <c r="U34" i="396"/>
  <c r="V34" i="396"/>
  <c r="W34" i="396"/>
  <c r="X34" i="396"/>
  <c r="K35" i="396"/>
  <c r="L35" i="396"/>
  <c r="M35" i="396"/>
  <c r="N35" i="396"/>
  <c r="O35" i="396"/>
  <c r="P35" i="396"/>
  <c r="Q35" i="396"/>
  <c r="R35" i="396"/>
  <c r="S35" i="396"/>
  <c r="T35" i="396"/>
  <c r="U35" i="396"/>
  <c r="V35" i="396"/>
  <c r="W35" i="396"/>
  <c r="X35" i="396"/>
  <c r="K36" i="396"/>
  <c r="L36" i="396"/>
  <c r="M36" i="396"/>
  <c r="N36" i="396"/>
  <c r="O36" i="396"/>
  <c r="P36" i="396"/>
  <c r="Q36" i="396"/>
  <c r="R36" i="396"/>
  <c r="S36" i="396"/>
  <c r="T36" i="396"/>
  <c r="U36" i="396"/>
  <c r="V36" i="396"/>
  <c r="W36" i="396"/>
  <c r="X36" i="396"/>
  <c r="K37" i="396"/>
  <c r="L37" i="396"/>
  <c r="M37" i="396"/>
  <c r="N37" i="396"/>
  <c r="O37" i="396"/>
  <c r="P37" i="396"/>
  <c r="Q37" i="396"/>
  <c r="R37" i="396"/>
  <c r="S37" i="396"/>
  <c r="T37" i="396"/>
  <c r="U37" i="396"/>
  <c r="V37" i="396"/>
  <c r="W37" i="396"/>
  <c r="X37" i="396"/>
  <c r="K38" i="396"/>
  <c r="L38" i="396"/>
  <c r="M38" i="396"/>
  <c r="N38" i="396"/>
  <c r="O38" i="396"/>
  <c r="P38" i="396"/>
  <c r="Q38" i="396"/>
  <c r="R38" i="396"/>
  <c r="S38" i="396"/>
  <c r="T38" i="396"/>
  <c r="U38" i="396"/>
  <c r="V38" i="396"/>
  <c r="W38" i="396"/>
  <c r="X38" i="396"/>
  <c r="K39" i="396"/>
  <c r="L39" i="396"/>
  <c r="M39" i="396"/>
  <c r="N39" i="396"/>
  <c r="O39" i="396"/>
  <c r="P39" i="396"/>
  <c r="Q39" i="396"/>
  <c r="R39" i="396"/>
  <c r="S39" i="396"/>
  <c r="T39" i="396"/>
  <c r="U39" i="396"/>
  <c r="V39" i="396"/>
  <c r="W39" i="396"/>
  <c r="X39" i="396"/>
  <c r="K40" i="396"/>
  <c r="L40" i="396"/>
  <c r="M40" i="396"/>
  <c r="N40" i="396"/>
  <c r="O40" i="396"/>
  <c r="P40" i="396"/>
  <c r="Q40" i="396"/>
  <c r="R40" i="396"/>
  <c r="S40" i="396"/>
  <c r="T40" i="396"/>
  <c r="U40" i="396"/>
  <c r="V40" i="396"/>
  <c r="W40" i="396"/>
  <c r="X40" i="396"/>
  <c r="K41" i="396"/>
  <c r="L41" i="396"/>
  <c r="M41" i="396"/>
  <c r="N41" i="396"/>
  <c r="O41" i="396"/>
  <c r="P41" i="396"/>
  <c r="Q41" i="396"/>
  <c r="R41" i="396"/>
  <c r="S41" i="396"/>
  <c r="T41" i="396"/>
  <c r="U41" i="396"/>
  <c r="V41" i="396"/>
  <c r="W41" i="396"/>
  <c r="X41" i="396"/>
  <c r="K42" i="396"/>
  <c r="L42" i="396"/>
  <c r="M42" i="396"/>
  <c r="N42" i="396"/>
  <c r="O42" i="396"/>
  <c r="P42" i="396"/>
  <c r="Q42" i="396"/>
  <c r="R42" i="396"/>
  <c r="S42" i="396"/>
  <c r="T42" i="396"/>
  <c r="U42" i="396"/>
  <c r="V42" i="396"/>
  <c r="W42" i="396"/>
  <c r="X42" i="396"/>
  <c r="K43" i="396"/>
  <c r="L43" i="396"/>
  <c r="M43" i="396"/>
  <c r="N43" i="396"/>
  <c r="O43" i="396"/>
  <c r="P43" i="396"/>
  <c r="Q43" i="396"/>
  <c r="R43" i="396"/>
  <c r="S43" i="396"/>
  <c r="T43" i="396"/>
  <c r="U43" i="396"/>
  <c r="V43" i="396"/>
  <c r="W43" i="396"/>
  <c r="X43" i="396"/>
  <c r="K44" i="396"/>
  <c r="L44" i="396"/>
  <c r="M44" i="396"/>
  <c r="N44" i="396"/>
  <c r="O44" i="396"/>
  <c r="P44" i="396"/>
  <c r="Q44" i="396"/>
  <c r="R44" i="396"/>
  <c r="S44" i="396"/>
  <c r="T44" i="396"/>
  <c r="U44" i="396"/>
  <c r="V44" i="396"/>
  <c r="W44" i="396"/>
  <c r="X44" i="396"/>
  <c r="K45" i="396"/>
  <c r="L45" i="396"/>
  <c r="M45" i="396"/>
  <c r="N45" i="396"/>
  <c r="O45" i="396"/>
  <c r="P45" i="396"/>
  <c r="Q45" i="396"/>
  <c r="R45" i="396"/>
  <c r="S45" i="396"/>
  <c r="T45" i="396"/>
  <c r="U45" i="396"/>
  <c r="V45" i="396"/>
  <c r="W45" i="396"/>
  <c r="X45" i="396"/>
  <c r="K46" i="396"/>
  <c r="L46" i="396"/>
  <c r="M46" i="396"/>
  <c r="N46" i="396"/>
  <c r="O46" i="396"/>
  <c r="P46" i="396"/>
  <c r="Q46" i="396"/>
  <c r="R46" i="396"/>
  <c r="S46" i="396"/>
  <c r="T46" i="396"/>
  <c r="U46" i="396"/>
  <c r="V46" i="396"/>
  <c r="W46" i="396"/>
  <c r="X46" i="396"/>
  <c r="K47" i="396"/>
  <c r="L47" i="396"/>
  <c r="M47" i="396"/>
  <c r="N47" i="396"/>
  <c r="O47" i="396"/>
  <c r="P47" i="396"/>
  <c r="Q47" i="396"/>
  <c r="R47" i="396"/>
  <c r="S47" i="396"/>
  <c r="T47" i="396"/>
  <c r="U47" i="396"/>
  <c r="V47" i="396"/>
  <c r="W47" i="396"/>
  <c r="X47" i="396"/>
  <c r="K48" i="396"/>
  <c r="L48" i="396"/>
  <c r="M48" i="396"/>
  <c r="N48" i="396"/>
  <c r="O48" i="396"/>
  <c r="P48" i="396"/>
  <c r="Q48" i="396"/>
  <c r="R48" i="396"/>
  <c r="S48" i="396"/>
  <c r="T48" i="396"/>
  <c r="U48" i="396"/>
  <c r="V48" i="396"/>
  <c r="W48" i="396"/>
  <c r="X48" i="396"/>
  <c r="K16" i="396"/>
  <c r="L16" i="396"/>
  <c r="M16" i="396"/>
  <c r="N16" i="396"/>
  <c r="O16" i="396"/>
  <c r="P16" i="396"/>
  <c r="Q16" i="396"/>
  <c r="R16" i="396"/>
  <c r="S16" i="396"/>
  <c r="T16" i="396"/>
  <c r="U16" i="396"/>
  <c r="V16" i="396"/>
  <c r="W16" i="396"/>
  <c r="X16" i="396"/>
  <c r="J37" i="396"/>
  <c r="I38" i="108"/>
  <c r="F52" i="387" l="1"/>
  <c r="F3" i="387"/>
  <c r="C4" i="387"/>
  <c r="A9" i="387"/>
  <c r="C9" i="387"/>
  <c r="A10" i="387"/>
  <c r="C10" i="387"/>
  <c r="F52" i="410"/>
  <c r="C3" i="392"/>
  <c r="C10" i="410"/>
  <c r="A10" i="410"/>
  <c r="C9" i="410"/>
  <c r="A9" i="410"/>
  <c r="C4" i="410"/>
  <c r="F3" i="410"/>
  <c r="B11" i="399"/>
  <c r="J21" i="1"/>
  <c r="B11" i="388"/>
  <c r="D9" i="400"/>
  <c r="D8" i="400"/>
  <c r="D7" i="400"/>
  <c r="D6" i="400"/>
  <c r="A4" i="400"/>
  <c r="E9" i="404"/>
  <c r="E8" i="404"/>
  <c r="E7" i="404"/>
  <c r="E6" i="404"/>
  <c r="X5" i="404"/>
  <c r="E5" i="404"/>
  <c r="E4" i="404"/>
  <c r="E3" i="404"/>
  <c r="AF15" i="396"/>
  <c r="AC15" i="396"/>
  <c r="E9" i="406"/>
  <c r="E8" i="406"/>
  <c r="E7" i="406"/>
  <c r="E6" i="406"/>
  <c r="E5" i="406"/>
  <c r="E4" i="406"/>
  <c r="E3" i="406"/>
  <c r="E10" i="408"/>
  <c r="E9" i="408"/>
  <c r="E8" i="408"/>
  <c r="E7" i="408"/>
  <c r="E6" i="408"/>
  <c r="E5" i="408"/>
  <c r="E4" i="408"/>
  <c r="V16" i="412"/>
  <c r="V14" i="412"/>
  <c r="V12" i="412"/>
  <c r="V10" i="412"/>
  <c r="V8" i="412"/>
  <c r="AF15" i="1" l="1"/>
  <c r="B14" i="399" l="1"/>
  <c r="B14" i="388"/>
  <c r="B13" i="388"/>
  <c r="B13" i="399"/>
  <c r="I17" i="108" l="1"/>
  <c r="I18" i="108"/>
  <c r="I27" i="108"/>
  <c r="I28" i="108"/>
  <c r="I29" i="108"/>
  <c r="I30" i="108"/>
  <c r="I31" i="108"/>
  <c r="I32" i="108"/>
  <c r="AH15" i="1" l="1"/>
  <c r="AH15" i="396"/>
  <c r="L2" i="412"/>
  <c r="J80" i="412"/>
  <c r="J78" i="412"/>
  <c r="J76" i="412"/>
  <c r="J74" i="412"/>
  <c r="J72" i="412"/>
  <c r="J70" i="412"/>
  <c r="J68" i="412"/>
  <c r="J66" i="412"/>
  <c r="J64" i="412"/>
  <c r="J62" i="412"/>
  <c r="J60" i="412"/>
  <c r="J58" i="412"/>
  <c r="J56" i="412"/>
  <c r="J54" i="412"/>
  <c r="J52" i="412"/>
  <c r="J50" i="412"/>
  <c r="J48" i="412"/>
  <c r="J46" i="412"/>
  <c r="J44" i="412"/>
  <c r="J42" i="412"/>
  <c r="J40" i="412"/>
  <c r="J38" i="412"/>
  <c r="J36" i="412"/>
  <c r="J34" i="412"/>
  <c r="J32" i="412"/>
  <c r="J30" i="412"/>
  <c r="J28" i="412"/>
  <c r="J26" i="412"/>
  <c r="J24" i="412"/>
  <c r="J22" i="412"/>
  <c r="J20" i="412"/>
  <c r="J18" i="412"/>
  <c r="J16" i="412"/>
  <c r="J14" i="412"/>
  <c r="J12" i="412"/>
  <c r="J10" i="412"/>
  <c r="J8" i="412"/>
  <c r="J6" i="412"/>
  <c r="J4" i="412"/>
  <c r="J2" i="412"/>
  <c r="H80" i="412"/>
  <c r="H78" i="412"/>
  <c r="H76" i="412"/>
  <c r="H74" i="412"/>
  <c r="H72" i="412"/>
  <c r="H70" i="412"/>
  <c r="H68" i="412"/>
  <c r="H66" i="412"/>
  <c r="H64" i="412"/>
  <c r="H62" i="412"/>
  <c r="H60" i="412"/>
  <c r="H58" i="412"/>
  <c r="H56" i="412"/>
  <c r="H54" i="412"/>
  <c r="H52" i="412"/>
  <c r="H50" i="412"/>
  <c r="H48" i="412"/>
  <c r="H46" i="412"/>
  <c r="H44" i="412"/>
  <c r="H42" i="412"/>
  <c r="H40" i="412"/>
  <c r="H38" i="412"/>
  <c r="H36" i="412"/>
  <c r="H34" i="412"/>
  <c r="H32" i="412"/>
  <c r="H30" i="412"/>
  <c r="H28" i="412"/>
  <c r="H26" i="412"/>
  <c r="H24" i="412"/>
  <c r="H22" i="412"/>
  <c r="H20" i="412"/>
  <c r="H18" i="412"/>
  <c r="H16" i="412"/>
  <c r="H14" i="412"/>
  <c r="H12" i="412"/>
  <c r="H10" i="412"/>
  <c r="H8" i="412"/>
  <c r="H6" i="412"/>
  <c r="H4" i="412"/>
  <c r="H2" i="412"/>
  <c r="F80" i="412"/>
  <c r="F78" i="412"/>
  <c r="F76" i="412"/>
  <c r="F74" i="412"/>
  <c r="F72" i="412"/>
  <c r="F70" i="412"/>
  <c r="F68" i="412"/>
  <c r="F66" i="412"/>
  <c r="F64" i="412"/>
  <c r="F62" i="412"/>
  <c r="F60" i="412"/>
  <c r="F58" i="412"/>
  <c r="F56" i="412"/>
  <c r="F54" i="412"/>
  <c r="F52" i="412"/>
  <c r="F50" i="412"/>
  <c r="F48" i="412"/>
  <c r="F46" i="412"/>
  <c r="F44" i="412"/>
  <c r="F42" i="412"/>
  <c r="F40" i="412"/>
  <c r="F38" i="412"/>
  <c r="F36" i="412"/>
  <c r="F34" i="412"/>
  <c r="F32" i="412"/>
  <c r="F30" i="412"/>
  <c r="F28" i="412"/>
  <c r="F26" i="412"/>
  <c r="F24" i="412"/>
  <c r="F22" i="412"/>
  <c r="F20" i="412"/>
  <c r="F18" i="412"/>
  <c r="F16" i="412"/>
  <c r="F14" i="412"/>
  <c r="F12" i="412"/>
  <c r="F10" i="412"/>
  <c r="F8" i="412"/>
  <c r="F6" i="412"/>
  <c r="F4" i="412"/>
  <c r="F2" i="412"/>
  <c r="L6" i="412"/>
  <c r="B12" i="388" l="1"/>
  <c r="B12" i="399"/>
  <c r="V81" i="412"/>
  <c r="J81" i="412"/>
  <c r="D81" i="412"/>
  <c r="C81" i="412"/>
  <c r="B81" i="412"/>
  <c r="N80" i="412"/>
  <c r="L80" i="412"/>
  <c r="V79" i="412"/>
  <c r="J79" i="412"/>
  <c r="D79" i="412"/>
  <c r="C79" i="412"/>
  <c r="B79" i="412"/>
  <c r="N78" i="412"/>
  <c r="L78" i="412"/>
  <c r="V77" i="412"/>
  <c r="J77" i="412"/>
  <c r="D77" i="412"/>
  <c r="C77" i="412"/>
  <c r="B77" i="412"/>
  <c r="N76" i="412"/>
  <c r="L76" i="412"/>
  <c r="V75" i="412"/>
  <c r="J75" i="412"/>
  <c r="D75" i="412"/>
  <c r="C75" i="412"/>
  <c r="B75" i="412"/>
  <c r="N74" i="412"/>
  <c r="L74" i="412"/>
  <c r="V73" i="412"/>
  <c r="J73" i="412"/>
  <c r="D73" i="412"/>
  <c r="C73" i="412"/>
  <c r="B73" i="412"/>
  <c r="N72" i="412"/>
  <c r="L72" i="412"/>
  <c r="V71" i="412"/>
  <c r="J71" i="412"/>
  <c r="D71" i="412"/>
  <c r="C71" i="412"/>
  <c r="B71" i="412"/>
  <c r="N70" i="412"/>
  <c r="L70" i="412"/>
  <c r="V69" i="412"/>
  <c r="J69" i="412"/>
  <c r="D69" i="412"/>
  <c r="C69" i="412"/>
  <c r="B69" i="412"/>
  <c r="N68" i="412"/>
  <c r="L68" i="412"/>
  <c r="V67" i="412"/>
  <c r="J67" i="412"/>
  <c r="D67" i="412"/>
  <c r="C67" i="412"/>
  <c r="B67" i="412"/>
  <c r="N66" i="412"/>
  <c r="L66" i="412"/>
  <c r="V65" i="412"/>
  <c r="J65" i="412"/>
  <c r="D65" i="412"/>
  <c r="C65" i="412"/>
  <c r="B65" i="412"/>
  <c r="N64" i="412"/>
  <c r="L64" i="412"/>
  <c r="V63" i="412"/>
  <c r="J63" i="412"/>
  <c r="D63" i="412"/>
  <c r="C63" i="412"/>
  <c r="B63" i="412"/>
  <c r="N62" i="412"/>
  <c r="L62" i="412"/>
  <c r="V61" i="412"/>
  <c r="J61" i="412"/>
  <c r="D61" i="412"/>
  <c r="C61" i="412"/>
  <c r="B61" i="412"/>
  <c r="N60" i="412"/>
  <c r="L60" i="412"/>
  <c r="V59" i="412"/>
  <c r="J59" i="412"/>
  <c r="D59" i="412"/>
  <c r="C59" i="412"/>
  <c r="B59" i="412"/>
  <c r="N58" i="412"/>
  <c r="L58" i="412"/>
  <c r="V57" i="412"/>
  <c r="J57" i="412"/>
  <c r="D57" i="412"/>
  <c r="C57" i="412"/>
  <c r="B57" i="412"/>
  <c r="N56" i="412"/>
  <c r="L56" i="412"/>
  <c r="V55" i="412"/>
  <c r="J55" i="412"/>
  <c r="D55" i="412"/>
  <c r="C55" i="412"/>
  <c r="B55" i="412"/>
  <c r="N54" i="412"/>
  <c r="L54" i="412"/>
  <c r="V53" i="412"/>
  <c r="J53" i="412"/>
  <c r="D53" i="412"/>
  <c r="C53" i="412"/>
  <c r="B53" i="412"/>
  <c r="N52" i="412"/>
  <c r="L52" i="412"/>
  <c r="V51" i="412"/>
  <c r="J51" i="412"/>
  <c r="D51" i="412"/>
  <c r="C51" i="412"/>
  <c r="B51" i="412"/>
  <c r="N50" i="412"/>
  <c r="L50" i="412"/>
  <c r="V49" i="412"/>
  <c r="J49" i="412"/>
  <c r="D49" i="412"/>
  <c r="C49" i="412"/>
  <c r="B49" i="412"/>
  <c r="N48" i="412"/>
  <c r="L48" i="412"/>
  <c r="V47" i="412"/>
  <c r="J47" i="412"/>
  <c r="D47" i="412"/>
  <c r="C47" i="412"/>
  <c r="B47" i="412"/>
  <c r="N46" i="412"/>
  <c r="L46" i="412"/>
  <c r="V45" i="412"/>
  <c r="J45" i="412"/>
  <c r="D45" i="412"/>
  <c r="C45" i="412"/>
  <c r="B45" i="412"/>
  <c r="N44" i="412"/>
  <c r="L44" i="412"/>
  <c r="V43" i="412"/>
  <c r="J43" i="412"/>
  <c r="D43" i="412"/>
  <c r="C43" i="412"/>
  <c r="B43" i="412"/>
  <c r="N42" i="412"/>
  <c r="L42" i="412"/>
  <c r="V41" i="412"/>
  <c r="J41" i="412"/>
  <c r="D41" i="412"/>
  <c r="C41" i="412"/>
  <c r="B41" i="412"/>
  <c r="N40" i="412"/>
  <c r="L40" i="412"/>
  <c r="V39" i="412"/>
  <c r="J39" i="412"/>
  <c r="D39" i="412"/>
  <c r="C39" i="412"/>
  <c r="B39" i="412"/>
  <c r="N38" i="412"/>
  <c r="L38" i="412"/>
  <c r="V37" i="412"/>
  <c r="J37" i="412"/>
  <c r="D37" i="412"/>
  <c r="C37" i="412"/>
  <c r="B37" i="412"/>
  <c r="N36" i="412"/>
  <c r="L36" i="412"/>
  <c r="V35" i="412"/>
  <c r="J35" i="412"/>
  <c r="D35" i="412"/>
  <c r="C35" i="412"/>
  <c r="B35" i="412"/>
  <c r="N34" i="412"/>
  <c r="L34" i="412"/>
  <c r="V33" i="412"/>
  <c r="J33" i="412"/>
  <c r="D33" i="412"/>
  <c r="C33" i="412"/>
  <c r="B33" i="412"/>
  <c r="N32" i="412"/>
  <c r="L32" i="412"/>
  <c r="V31" i="412"/>
  <c r="J31" i="412"/>
  <c r="D31" i="412"/>
  <c r="C31" i="412"/>
  <c r="B31" i="412"/>
  <c r="N30" i="412"/>
  <c r="L30" i="412"/>
  <c r="AC29" i="412"/>
  <c r="AB29" i="412"/>
  <c r="AA29" i="412"/>
  <c r="Z29" i="412"/>
  <c r="AD29" i="412" s="1"/>
  <c r="V29" i="412"/>
  <c r="J29" i="412"/>
  <c r="D29" i="412"/>
  <c r="C29" i="412"/>
  <c r="B29" i="412"/>
  <c r="N28" i="412"/>
  <c r="L28" i="412"/>
  <c r="V27" i="412"/>
  <c r="J27" i="412"/>
  <c r="D27" i="412"/>
  <c r="C27" i="412"/>
  <c r="B27" i="412"/>
  <c r="N26" i="412"/>
  <c r="L26" i="412"/>
  <c r="V25" i="412"/>
  <c r="J25" i="412"/>
  <c r="D25" i="412"/>
  <c r="C25" i="412"/>
  <c r="B25" i="412"/>
  <c r="N24" i="412"/>
  <c r="L24" i="412"/>
  <c r="V23" i="412"/>
  <c r="J23" i="412"/>
  <c r="D23" i="412"/>
  <c r="C23" i="412"/>
  <c r="B23" i="412"/>
  <c r="N22" i="412"/>
  <c r="L22" i="412"/>
  <c r="V21" i="412"/>
  <c r="J21" i="412"/>
  <c r="D21" i="412"/>
  <c r="C21" i="412"/>
  <c r="B21" i="412"/>
  <c r="N20" i="412"/>
  <c r="L20" i="412"/>
  <c r="AC19" i="412"/>
  <c r="AB19" i="412"/>
  <c r="AA19" i="412"/>
  <c r="Z19" i="412"/>
  <c r="AD19" i="412" s="1"/>
  <c r="V19" i="412"/>
  <c r="J19" i="412"/>
  <c r="D19" i="412"/>
  <c r="C19" i="412"/>
  <c r="B19" i="412"/>
  <c r="N18" i="412"/>
  <c r="L18" i="412"/>
  <c r="J17" i="412"/>
  <c r="D17" i="412"/>
  <c r="C17" i="412"/>
  <c r="B17" i="412"/>
  <c r="N16" i="412"/>
  <c r="L16" i="412"/>
  <c r="J15" i="412"/>
  <c r="D15" i="412"/>
  <c r="C15" i="412"/>
  <c r="B15" i="412"/>
  <c r="N14" i="412"/>
  <c r="L14" i="412"/>
  <c r="D13" i="412"/>
  <c r="C13" i="412"/>
  <c r="B13" i="412"/>
  <c r="N12" i="412"/>
  <c r="L12" i="412"/>
  <c r="D11" i="412"/>
  <c r="C11" i="412"/>
  <c r="B11" i="412"/>
  <c r="N10" i="412"/>
  <c r="L10" i="412"/>
  <c r="AC9" i="412"/>
  <c r="AB9" i="412"/>
  <c r="AA9" i="412"/>
  <c r="Z9" i="412"/>
  <c r="AD9" i="412" s="1"/>
  <c r="D9" i="412"/>
  <c r="C9" i="412"/>
  <c r="B9" i="412"/>
  <c r="N8" i="412"/>
  <c r="L8" i="412"/>
  <c r="D7" i="412"/>
  <c r="C7" i="412"/>
  <c r="B7" i="412"/>
  <c r="N6" i="412"/>
  <c r="D5" i="412"/>
  <c r="C5" i="412"/>
  <c r="B5" i="412"/>
  <c r="N4" i="412"/>
  <c r="L4" i="412"/>
  <c r="D3" i="412"/>
  <c r="C3" i="412"/>
  <c r="B3" i="412"/>
  <c r="N2" i="412"/>
  <c r="N80" i="411" l="1"/>
  <c r="L80" i="411"/>
  <c r="J80" i="411"/>
  <c r="H80" i="411"/>
  <c r="F80" i="411"/>
  <c r="N78" i="411"/>
  <c r="L78" i="411"/>
  <c r="J78" i="411"/>
  <c r="H78" i="411"/>
  <c r="F78" i="411"/>
  <c r="N76" i="411"/>
  <c r="L76" i="411"/>
  <c r="J76" i="411"/>
  <c r="H76" i="411"/>
  <c r="F76" i="411"/>
  <c r="N74" i="411"/>
  <c r="L74" i="411"/>
  <c r="J74" i="411"/>
  <c r="H74" i="411"/>
  <c r="F74" i="411"/>
  <c r="N72" i="411"/>
  <c r="L72" i="411"/>
  <c r="J72" i="411"/>
  <c r="H72" i="411"/>
  <c r="F72" i="411"/>
  <c r="N70" i="411"/>
  <c r="L70" i="411"/>
  <c r="J70" i="411"/>
  <c r="H70" i="411"/>
  <c r="F70" i="411"/>
  <c r="N68" i="411"/>
  <c r="L68" i="411"/>
  <c r="J68" i="411"/>
  <c r="H68" i="411"/>
  <c r="F68" i="411"/>
  <c r="N66" i="411"/>
  <c r="L66" i="411"/>
  <c r="J66" i="411"/>
  <c r="H66" i="411"/>
  <c r="F66" i="411"/>
  <c r="N64" i="411"/>
  <c r="L64" i="411"/>
  <c r="J64" i="411"/>
  <c r="H64" i="411"/>
  <c r="F64" i="411"/>
  <c r="N62" i="411"/>
  <c r="L62" i="411"/>
  <c r="J62" i="411"/>
  <c r="H62" i="411"/>
  <c r="F62" i="411"/>
  <c r="N60" i="411"/>
  <c r="L60" i="411"/>
  <c r="J60" i="411"/>
  <c r="H60" i="411"/>
  <c r="F60" i="411"/>
  <c r="N58" i="411"/>
  <c r="L58" i="411"/>
  <c r="J58" i="411"/>
  <c r="H58" i="411"/>
  <c r="F58" i="411"/>
  <c r="N56" i="411"/>
  <c r="L56" i="411"/>
  <c r="J56" i="411"/>
  <c r="H56" i="411"/>
  <c r="F56" i="411"/>
  <c r="N54" i="411"/>
  <c r="L54" i="411"/>
  <c r="J54" i="411"/>
  <c r="H54" i="411"/>
  <c r="F54" i="411"/>
  <c r="N52" i="411"/>
  <c r="L52" i="411"/>
  <c r="J52" i="411"/>
  <c r="H52" i="411"/>
  <c r="F52" i="411"/>
  <c r="N50" i="411"/>
  <c r="L50" i="411"/>
  <c r="J50" i="411"/>
  <c r="H50" i="411"/>
  <c r="F50" i="411"/>
  <c r="N48" i="411"/>
  <c r="L48" i="411"/>
  <c r="J48" i="411"/>
  <c r="H48" i="411"/>
  <c r="F48" i="411"/>
  <c r="N46" i="411"/>
  <c r="L46" i="411"/>
  <c r="J46" i="411"/>
  <c r="H46" i="411"/>
  <c r="F46" i="411"/>
  <c r="N44" i="411"/>
  <c r="L44" i="411"/>
  <c r="J44" i="411"/>
  <c r="H44" i="411"/>
  <c r="F44" i="411"/>
  <c r="N42" i="411"/>
  <c r="L42" i="411"/>
  <c r="J42" i="411"/>
  <c r="H42" i="411"/>
  <c r="F42" i="411"/>
  <c r="N40" i="411"/>
  <c r="L40" i="411"/>
  <c r="J40" i="411"/>
  <c r="H40" i="411"/>
  <c r="F40" i="411"/>
  <c r="N38" i="411"/>
  <c r="L38" i="411"/>
  <c r="J38" i="411"/>
  <c r="H38" i="411"/>
  <c r="F38" i="411"/>
  <c r="N36" i="411"/>
  <c r="L36" i="411"/>
  <c r="J36" i="411"/>
  <c r="H36" i="411"/>
  <c r="F36" i="411"/>
  <c r="N34" i="411"/>
  <c r="L34" i="411"/>
  <c r="J34" i="411"/>
  <c r="H34" i="411"/>
  <c r="F34" i="411"/>
  <c r="N32" i="411"/>
  <c r="L32" i="411"/>
  <c r="J32" i="411"/>
  <c r="H32" i="411"/>
  <c r="F32" i="411"/>
  <c r="N30" i="411"/>
  <c r="L30" i="411"/>
  <c r="J30" i="411"/>
  <c r="H30" i="411"/>
  <c r="F30" i="411"/>
  <c r="N28" i="411"/>
  <c r="L28" i="411"/>
  <c r="J28" i="411"/>
  <c r="H28" i="411"/>
  <c r="F28" i="411"/>
  <c r="N26" i="411"/>
  <c r="L26" i="411"/>
  <c r="J26" i="411"/>
  <c r="H26" i="411"/>
  <c r="F26" i="411"/>
  <c r="N24" i="411"/>
  <c r="L24" i="411"/>
  <c r="J24" i="411"/>
  <c r="H24" i="411"/>
  <c r="F24" i="411"/>
  <c r="B61" i="411"/>
  <c r="C61" i="411"/>
  <c r="D61" i="411"/>
  <c r="J61" i="411"/>
  <c r="V61" i="411"/>
  <c r="N22" i="411"/>
  <c r="L22" i="411"/>
  <c r="J22" i="411"/>
  <c r="H22" i="411"/>
  <c r="F22" i="411"/>
  <c r="N20" i="411"/>
  <c r="L20" i="411"/>
  <c r="J20" i="411"/>
  <c r="H20" i="411"/>
  <c r="F20" i="411"/>
  <c r="N18" i="411"/>
  <c r="L18" i="411"/>
  <c r="J18" i="411"/>
  <c r="H18" i="411"/>
  <c r="F18" i="411"/>
  <c r="N16" i="411"/>
  <c r="L16" i="411"/>
  <c r="J16" i="411"/>
  <c r="H16" i="411"/>
  <c r="F16" i="411"/>
  <c r="N14" i="411"/>
  <c r="L14" i="411"/>
  <c r="J14" i="411"/>
  <c r="H14" i="411"/>
  <c r="F14" i="411"/>
  <c r="N12" i="411"/>
  <c r="L12" i="411"/>
  <c r="J12" i="411"/>
  <c r="H12" i="411"/>
  <c r="F12" i="411"/>
  <c r="N10" i="411"/>
  <c r="L10" i="411"/>
  <c r="J10" i="411"/>
  <c r="H10" i="411"/>
  <c r="F10" i="411"/>
  <c r="N8" i="411"/>
  <c r="L8" i="411"/>
  <c r="J8" i="411"/>
  <c r="H8" i="411"/>
  <c r="F8" i="411"/>
  <c r="N6" i="411"/>
  <c r="L6" i="411"/>
  <c r="J6" i="411"/>
  <c r="H6" i="411"/>
  <c r="F6" i="411"/>
  <c r="N4" i="411"/>
  <c r="L4" i="411"/>
  <c r="J4" i="411"/>
  <c r="H4" i="411"/>
  <c r="F4" i="411"/>
  <c r="N2" i="411"/>
  <c r="L2" i="411"/>
  <c r="J2" i="411"/>
  <c r="H2" i="411"/>
  <c r="F2" i="411"/>
  <c r="J15" i="411"/>
  <c r="J17" i="411"/>
  <c r="J19" i="411"/>
  <c r="J21" i="411"/>
  <c r="J23" i="411"/>
  <c r="J25" i="411"/>
  <c r="J27" i="411"/>
  <c r="J29" i="411"/>
  <c r="J31" i="411"/>
  <c r="J33" i="411"/>
  <c r="J35" i="411"/>
  <c r="J37" i="411"/>
  <c r="J39" i="411"/>
  <c r="J41" i="411"/>
  <c r="J43" i="411"/>
  <c r="J45" i="411"/>
  <c r="J47" i="411"/>
  <c r="J49" i="411"/>
  <c r="J51" i="411"/>
  <c r="J53" i="411"/>
  <c r="J55" i="411"/>
  <c r="J57" i="411"/>
  <c r="J59" i="411"/>
  <c r="J63" i="411"/>
  <c r="J65" i="411"/>
  <c r="J67" i="411"/>
  <c r="J69" i="411"/>
  <c r="J71" i="411"/>
  <c r="J73" i="411"/>
  <c r="J75" i="411"/>
  <c r="J77" i="411"/>
  <c r="J79" i="411"/>
  <c r="J81" i="411"/>
  <c r="V81" i="411"/>
  <c r="D81" i="411"/>
  <c r="C81" i="411"/>
  <c r="B81" i="411"/>
  <c r="V79" i="411"/>
  <c r="D79" i="411"/>
  <c r="C79" i="411"/>
  <c r="B79" i="411"/>
  <c r="V77" i="411"/>
  <c r="D77" i="411"/>
  <c r="C77" i="411"/>
  <c r="B77" i="411"/>
  <c r="V75" i="411"/>
  <c r="D75" i="411"/>
  <c r="C75" i="411"/>
  <c r="B75" i="411"/>
  <c r="V73" i="411"/>
  <c r="D73" i="411"/>
  <c r="C73" i="411"/>
  <c r="B73" i="411"/>
  <c r="V71" i="411"/>
  <c r="D71" i="411"/>
  <c r="C71" i="411"/>
  <c r="B71" i="411"/>
  <c r="V69" i="411"/>
  <c r="D69" i="411"/>
  <c r="C69" i="411"/>
  <c r="B69" i="411"/>
  <c r="V67" i="411"/>
  <c r="D67" i="411"/>
  <c r="C67" i="411"/>
  <c r="B67" i="411"/>
  <c r="V65" i="411"/>
  <c r="D65" i="411"/>
  <c r="C65" i="411"/>
  <c r="B65" i="411"/>
  <c r="V63" i="411"/>
  <c r="D63" i="411"/>
  <c r="C63" i="411"/>
  <c r="B63" i="411"/>
  <c r="V59" i="411"/>
  <c r="D59" i="411"/>
  <c r="C59" i="411"/>
  <c r="B59" i="411"/>
  <c r="V57" i="411"/>
  <c r="D57" i="411"/>
  <c r="C57" i="411"/>
  <c r="B57" i="411"/>
  <c r="V55" i="411"/>
  <c r="D55" i="411"/>
  <c r="C55" i="411"/>
  <c r="B55" i="411"/>
  <c r="V53" i="411"/>
  <c r="D53" i="411"/>
  <c r="C53" i="411"/>
  <c r="B53" i="411"/>
  <c r="V51" i="411"/>
  <c r="D51" i="411"/>
  <c r="C51" i="411"/>
  <c r="B51" i="411"/>
  <c r="V49" i="411"/>
  <c r="D49" i="411"/>
  <c r="C49" i="411"/>
  <c r="B49" i="411"/>
  <c r="V47" i="411"/>
  <c r="D47" i="411"/>
  <c r="C47" i="411"/>
  <c r="B47" i="411"/>
  <c r="V45" i="411"/>
  <c r="D45" i="411"/>
  <c r="C45" i="411"/>
  <c r="B45" i="411"/>
  <c r="V43" i="411"/>
  <c r="D43" i="411"/>
  <c r="C43" i="411"/>
  <c r="B43" i="411"/>
  <c r="V41" i="411"/>
  <c r="D41" i="411"/>
  <c r="C41" i="411"/>
  <c r="B41" i="411"/>
  <c r="V39" i="411"/>
  <c r="D39" i="411"/>
  <c r="C39" i="411"/>
  <c r="B39" i="411"/>
  <c r="V37" i="411"/>
  <c r="D37" i="411"/>
  <c r="C37" i="411"/>
  <c r="B37" i="411"/>
  <c r="V35" i="411"/>
  <c r="D35" i="411"/>
  <c r="C35" i="411"/>
  <c r="B35" i="411"/>
  <c r="V33" i="411"/>
  <c r="D33" i="411"/>
  <c r="C33" i="411"/>
  <c r="B33" i="411"/>
  <c r="V31" i="411"/>
  <c r="D31" i="411"/>
  <c r="C31" i="411"/>
  <c r="B31" i="411"/>
  <c r="AC29" i="411"/>
  <c r="AB29" i="411"/>
  <c r="AA29" i="411"/>
  <c r="Z29" i="411"/>
  <c r="AD29" i="411" s="1"/>
  <c r="V29" i="411"/>
  <c r="D29" i="411"/>
  <c r="C29" i="411"/>
  <c r="B29" i="411"/>
  <c r="V27" i="411"/>
  <c r="D27" i="411"/>
  <c r="C27" i="411"/>
  <c r="B27" i="411"/>
  <c r="V25" i="411"/>
  <c r="D25" i="411"/>
  <c r="C25" i="411"/>
  <c r="B25" i="411"/>
  <c r="V23" i="411"/>
  <c r="D23" i="411"/>
  <c r="C23" i="411"/>
  <c r="B23" i="411"/>
  <c r="V21" i="411"/>
  <c r="D21" i="411"/>
  <c r="C21" i="411"/>
  <c r="B21" i="411"/>
  <c r="AC19" i="411"/>
  <c r="AB19" i="411"/>
  <c r="AA19" i="411"/>
  <c r="Z19" i="411"/>
  <c r="AD19" i="411" s="1"/>
  <c r="V19" i="411"/>
  <c r="D19" i="411"/>
  <c r="C19" i="411"/>
  <c r="B19" i="411"/>
  <c r="V17" i="411"/>
  <c r="D17" i="411"/>
  <c r="C17" i="411"/>
  <c r="B17" i="411"/>
  <c r="V15" i="411"/>
  <c r="D15" i="411"/>
  <c r="C15" i="411"/>
  <c r="B15" i="411"/>
  <c r="V13" i="411"/>
  <c r="D13" i="411"/>
  <c r="C13" i="411"/>
  <c r="B13" i="411"/>
  <c r="V11" i="411"/>
  <c r="D11" i="411"/>
  <c r="C11" i="411"/>
  <c r="B11" i="411"/>
  <c r="AC9" i="411"/>
  <c r="AB9" i="411"/>
  <c r="AA9" i="411"/>
  <c r="Z9" i="411"/>
  <c r="AD9" i="411" s="1"/>
  <c r="V9" i="411"/>
  <c r="D9" i="411"/>
  <c r="C9" i="411"/>
  <c r="B9" i="411"/>
  <c r="V7" i="411"/>
  <c r="D7" i="411"/>
  <c r="C7" i="411"/>
  <c r="B7" i="411"/>
  <c r="V5" i="411"/>
  <c r="D5" i="411"/>
  <c r="C5" i="411"/>
  <c r="B5" i="411"/>
  <c r="D3" i="411"/>
  <c r="C3" i="411"/>
  <c r="B3" i="411"/>
  <c r="B51" i="410" l="1"/>
  <c r="C51" i="410" s="1"/>
  <c r="D51" i="410" s="1"/>
  <c r="E51" i="410" s="1"/>
  <c r="B50" i="410"/>
  <c r="C50" i="410" s="1"/>
  <c r="D50" i="410" s="1"/>
  <c r="E50" i="410" s="1"/>
  <c r="B49" i="410"/>
  <c r="C49" i="410" s="1"/>
  <c r="D49" i="410" s="1"/>
  <c r="E49" i="410" s="1"/>
  <c r="B48" i="410"/>
  <c r="C48" i="410" s="1"/>
  <c r="D48" i="410" s="1"/>
  <c r="E48" i="410" s="1"/>
  <c r="B47" i="410"/>
  <c r="C47" i="410" s="1"/>
  <c r="D47" i="410" s="1"/>
  <c r="E47" i="410" s="1"/>
  <c r="B46" i="410"/>
  <c r="C46" i="410" s="1"/>
  <c r="D46" i="410" s="1"/>
  <c r="E46" i="410" s="1"/>
  <c r="B45" i="410"/>
  <c r="C45" i="410" s="1"/>
  <c r="D45" i="410" s="1"/>
  <c r="E45" i="410" s="1"/>
  <c r="B44" i="410"/>
  <c r="C44" i="410" s="1"/>
  <c r="D44" i="410" s="1"/>
  <c r="E44" i="410" s="1"/>
  <c r="B43" i="410"/>
  <c r="C43" i="410" s="1"/>
  <c r="D43" i="410" s="1"/>
  <c r="E43" i="410" s="1"/>
  <c r="B42" i="410"/>
  <c r="C42" i="410" s="1"/>
  <c r="D42" i="410" s="1"/>
  <c r="E42" i="410" s="1"/>
  <c r="B41" i="410"/>
  <c r="C41" i="410" s="1"/>
  <c r="D41" i="410" s="1"/>
  <c r="E41" i="410" s="1"/>
  <c r="B40" i="410"/>
  <c r="C40" i="410" s="1"/>
  <c r="D40" i="410" s="1"/>
  <c r="E40" i="410" s="1"/>
  <c r="B39" i="410"/>
  <c r="C39" i="410" s="1"/>
  <c r="D39" i="410" s="1"/>
  <c r="E39" i="410" s="1"/>
  <c r="B38" i="410"/>
  <c r="C38" i="410" s="1"/>
  <c r="D38" i="410" s="1"/>
  <c r="E38" i="410" s="1"/>
  <c r="B37" i="410"/>
  <c r="C37" i="410" s="1"/>
  <c r="D37" i="410" s="1"/>
  <c r="E37" i="410" s="1"/>
  <c r="B36" i="410"/>
  <c r="C36" i="410" s="1"/>
  <c r="D36" i="410" s="1"/>
  <c r="E36" i="410" s="1"/>
  <c r="B35" i="410"/>
  <c r="C35" i="410" s="1"/>
  <c r="D35" i="410" s="1"/>
  <c r="E35" i="410" s="1"/>
  <c r="B34" i="410"/>
  <c r="C34" i="410" s="1"/>
  <c r="D34" i="410" s="1"/>
  <c r="E34" i="410" s="1"/>
  <c r="B33" i="410"/>
  <c r="C33" i="410" s="1"/>
  <c r="D33" i="410" s="1"/>
  <c r="E33" i="410" s="1"/>
  <c r="B32" i="410"/>
  <c r="C32" i="410" s="1"/>
  <c r="D32" i="410" s="1"/>
  <c r="E32" i="410" s="1"/>
  <c r="B31" i="410"/>
  <c r="C31" i="410" s="1"/>
  <c r="D31" i="410" s="1"/>
  <c r="E31" i="410" s="1"/>
  <c r="B30" i="410"/>
  <c r="C30" i="410" s="1"/>
  <c r="D30" i="410" s="1"/>
  <c r="E30" i="410" s="1"/>
  <c r="B29" i="410"/>
  <c r="C29" i="410" s="1"/>
  <c r="D29" i="410" s="1"/>
  <c r="E29" i="410" s="1"/>
  <c r="B28" i="410"/>
  <c r="C28" i="410" s="1"/>
  <c r="D28" i="410" s="1"/>
  <c r="E28" i="410" s="1"/>
  <c r="B27" i="410"/>
  <c r="C27" i="410" s="1"/>
  <c r="D27" i="410" s="1"/>
  <c r="E27" i="410" s="1"/>
  <c r="B26" i="410"/>
  <c r="C26" i="410" s="1"/>
  <c r="D26" i="410" s="1"/>
  <c r="E26" i="410" s="1"/>
  <c r="B25" i="410"/>
  <c r="C25" i="410" s="1"/>
  <c r="D25" i="410" s="1"/>
  <c r="E25" i="410" s="1"/>
  <c r="B24" i="410"/>
  <c r="C24" i="410" s="1"/>
  <c r="D24" i="410" s="1"/>
  <c r="E24" i="410" s="1"/>
  <c r="B23" i="410"/>
  <c r="C23" i="410" s="1"/>
  <c r="D23" i="410" s="1"/>
  <c r="E23" i="410" s="1"/>
  <c r="B22" i="410"/>
  <c r="C22" i="410" s="1"/>
  <c r="D22" i="410" s="1"/>
  <c r="E22" i="410" s="1"/>
  <c r="B21" i="410"/>
  <c r="C21" i="410" s="1"/>
  <c r="D21" i="410" s="1"/>
  <c r="E21" i="410" s="1"/>
  <c r="B20" i="410"/>
  <c r="C20" i="410" s="1"/>
  <c r="D20" i="410" s="1"/>
  <c r="E20" i="410" s="1"/>
  <c r="B19" i="410"/>
  <c r="C19" i="410" s="1"/>
  <c r="D19" i="410" s="1"/>
  <c r="E19" i="410" s="1"/>
  <c r="B18" i="410"/>
  <c r="C18" i="410" s="1"/>
  <c r="D18" i="410" s="1"/>
  <c r="E18" i="410" s="1"/>
  <c r="B17" i="410"/>
  <c r="C17" i="410" s="1"/>
  <c r="D17" i="410" s="1"/>
  <c r="E17" i="410" s="1"/>
  <c r="B16" i="410"/>
  <c r="C16" i="410" s="1"/>
  <c r="D16" i="410" s="1"/>
  <c r="E16" i="410" s="1"/>
  <c r="B15" i="410"/>
  <c r="C15" i="410" s="1"/>
  <c r="D15" i="410" s="1"/>
  <c r="E15" i="410" s="1"/>
  <c r="B14" i="410"/>
  <c r="C14" i="410" s="1"/>
  <c r="D14" i="410" s="1"/>
  <c r="E14" i="410" s="1"/>
  <c r="B13" i="410"/>
  <c r="C13" i="410" s="1"/>
  <c r="D13" i="410" s="1"/>
  <c r="E13" i="410" s="1"/>
  <c r="B12" i="410"/>
  <c r="C12" i="410" s="1"/>
  <c r="D12" i="410" s="1"/>
  <c r="E12" i="410" s="1"/>
  <c r="K16" i="399"/>
  <c r="K15" i="399"/>
  <c r="K14" i="399"/>
  <c r="K13" i="399"/>
  <c r="K12" i="399"/>
  <c r="K11" i="399"/>
  <c r="K12" i="388"/>
  <c r="K13" i="388"/>
  <c r="K14" i="388"/>
  <c r="K15" i="388"/>
  <c r="K16" i="388"/>
  <c r="K11" i="388"/>
  <c r="L9" i="397"/>
  <c r="L8" i="397"/>
  <c r="L7" i="397"/>
  <c r="L6" i="397"/>
  <c r="L5" i="397"/>
  <c r="L4" i="397"/>
  <c r="U54" i="408"/>
  <c r="G54" i="408"/>
  <c r="E54" i="408"/>
  <c r="D54" i="408"/>
  <c r="C54" i="408"/>
  <c r="B54" i="408"/>
  <c r="U53" i="408"/>
  <c r="G53" i="408"/>
  <c r="E53" i="408"/>
  <c r="D53" i="408"/>
  <c r="C53" i="408"/>
  <c r="B53" i="408"/>
  <c r="U52" i="408"/>
  <c r="G52" i="408"/>
  <c r="E52" i="408"/>
  <c r="D52" i="408"/>
  <c r="C52" i="408"/>
  <c r="B52" i="408"/>
  <c r="U51" i="408"/>
  <c r="G51" i="408"/>
  <c r="E51" i="408"/>
  <c r="D51" i="408"/>
  <c r="C51" i="408"/>
  <c r="B51" i="408"/>
  <c r="U50" i="408"/>
  <c r="G50" i="408"/>
  <c r="E50" i="408"/>
  <c r="D50" i="408"/>
  <c r="C50" i="408"/>
  <c r="B50" i="408"/>
  <c r="U49" i="408"/>
  <c r="G49" i="408"/>
  <c r="E49" i="408"/>
  <c r="D49" i="408"/>
  <c r="C49" i="408"/>
  <c r="B49" i="408"/>
  <c r="U48" i="408"/>
  <c r="G48" i="408"/>
  <c r="E48" i="408"/>
  <c r="D48" i="408"/>
  <c r="C48" i="408"/>
  <c r="B48" i="408"/>
  <c r="U47" i="408"/>
  <c r="G47" i="408"/>
  <c r="E47" i="408"/>
  <c r="D47" i="408"/>
  <c r="C47" i="408"/>
  <c r="B47" i="408"/>
  <c r="U46" i="408"/>
  <c r="G46" i="408"/>
  <c r="E46" i="408"/>
  <c r="D46" i="408"/>
  <c r="C46" i="408"/>
  <c r="B46" i="408"/>
  <c r="U45" i="408"/>
  <c r="G45" i="408"/>
  <c r="E45" i="408"/>
  <c r="D45" i="408"/>
  <c r="C45" i="408"/>
  <c r="B45" i="408"/>
  <c r="U44" i="408"/>
  <c r="G44" i="408"/>
  <c r="E44" i="408"/>
  <c r="D44" i="408"/>
  <c r="C44" i="408"/>
  <c r="B44" i="408"/>
  <c r="U43" i="408"/>
  <c r="G43" i="408"/>
  <c r="E43" i="408"/>
  <c r="D43" i="408"/>
  <c r="C43" i="408"/>
  <c r="B43" i="408"/>
  <c r="U42" i="408"/>
  <c r="G42" i="408"/>
  <c r="E42" i="408"/>
  <c r="D42" i="408"/>
  <c r="C42" i="408"/>
  <c r="B42" i="408"/>
  <c r="U41" i="408"/>
  <c r="G41" i="408"/>
  <c r="E41" i="408"/>
  <c r="D41" i="408"/>
  <c r="C41" i="408"/>
  <c r="B41" i="408"/>
  <c r="U40" i="408"/>
  <c r="G40" i="408"/>
  <c r="E40" i="408"/>
  <c r="D40" i="408"/>
  <c r="C40" i="408"/>
  <c r="B40" i="408"/>
  <c r="U39" i="408"/>
  <c r="G39" i="408"/>
  <c r="E39" i="408"/>
  <c r="D39" i="408"/>
  <c r="C39" i="408"/>
  <c r="B39" i="408"/>
  <c r="U38" i="408"/>
  <c r="G38" i="408"/>
  <c r="E38" i="408"/>
  <c r="D38" i="408"/>
  <c r="C38" i="408"/>
  <c r="B38" i="408"/>
  <c r="U37" i="408"/>
  <c r="G37" i="408"/>
  <c r="E37" i="408"/>
  <c r="D37" i="408"/>
  <c r="C37" i="408"/>
  <c r="B37" i="408"/>
  <c r="U36" i="408"/>
  <c r="G36" i="408"/>
  <c r="E36" i="408"/>
  <c r="D36" i="408"/>
  <c r="C36" i="408"/>
  <c r="B36" i="408"/>
  <c r="U35" i="408"/>
  <c r="G35" i="408"/>
  <c r="E35" i="408"/>
  <c r="D35" i="408"/>
  <c r="C35" i="408"/>
  <c r="B35" i="408"/>
  <c r="U34" i="408"/>
  <c r="G34" i="408"/>
  <c r="E34" i="408"/>
  <c r="D34" i="408"/>
  <c r="C34" i="408"/>
  <c r="B34" i="408"/>
  <c r="U33" i="408"/>
  <c r="G33" i="408"/>
  <c r="E33" i="408"/>
  <c r="D33" i="408"/>
  <c r="C33" i="408"/>
  <c r="B33" i="408"/>
  <c r="U32" i="408"/>
  <c r="G32" i="408"/>
  <c r="E32" i="408"/>
  <c r="D32" i="408"/>
  <c r="C32" i="408"/>
  <c r="B32" i="408"/>
  <c r="U31" i="408"/>
  <c r="G31" i="408"/>
  <c r="E31" i="408"/>
  <c r="D31" i="408"/>
  <c r="C31" i="408"/>
  <c r="B31" i="408"/>
  <c r="U30" i="408"/>
  <c r="G30" i="408"/>
  <c r="E30" i="408"/>
  <c r="D30" i="408"/>
  <c r="C30" i="408"/>
  <c r="B30" i="408"/>
  <c r="U29" i="408"/>
  <c r="G29" i="408"/>
  <c r="E29" i="408"/>
  <c r="D29" i="408"/>
  <c r="C29" i="408"/>
  <c r="B29" i="408"/>
  <c r="AB28" i="408"/>
  <c r="AA28" i="408"/>
  <c r="Z28" i="408"/>
  <c r="Y28" i="408"/>
  <c r="AC28" i="408" s="1"/>
  <c r="U28" i="408"/>
  <c r="G28" i="408"/>
  <c r="E28" i="408"/>
  <c r="D28" i="408"/>
  <c r="C28" i="408"/>
  <c r="B28" i="408"/>
  <c r="U27" i="408"/>
  <c r="G27" i="408"/>
  <c r="E27" i="408"/>
  <c r="D27" i="408"/>
  <c r="C27" i="408"/>
  <c r="B27" i="408"/>
  <c r="U26" i="408"/>
  <c r="G26" i="408"/>
  <c r="E26" i="408"/>
  <c r="D26" i="408"/>
  <c r="C26" i="408"/>
  <c r="B26" i="408"/>
  <c r="U25" i="408"/>
  <c r="G25" i="408"/>
  <c r="E25" i="408"/>
  <c r="D25" i="408"/>
  <c r="C25" i="408"/>
  <c r="B25" i="408"/>
  <c r="U24" i="408"/>
  <c r="G24" i="408"/>
  <c r="E24" i="408"/>
  <c r="D24" i="408"/>
  <c r="C24" i="408"/>
  <c r="B24" i="408"/>
  <c r="AB23" i="408"/>
  <c r="AA23" i="408"/>
  <c r="Z23" i="408"/>
  <c r="Y23" i="408"/>
  <c r="AC23" i="408" s="1"/>
  <c r="U23" i="408"/>
  <c r="G23" i="408"/>
  <c r="E23" i="408"/>
  <c r="D23" i="408"/>
  <c r="C23" i="408"/>
  <c r="B23" i="408"/>
  <c r="U22" i="408"/>
  <c r="G22" i="408"/>
  <c r="E22" i="408"/>
  <c r="D22" i="408"/>
  <c r="C22" i="408"/>
  <c r="B22" i="408"/>
  <c r="U21" i="408"/>
  <c r="G21" i="408"/>
  <c r="E21" i="408"/>
  <c r="D21" i="408"/>
  <c r="C21" i="408"/>
  <c r="B21" i="408"/>
  <c r="U20" i="408"/>
  <c r="G20" i="408"/>
  <c r="E20" i="408"/>
  <c r="D20" i="408"/>
  <c r="C20" i="408"/>
  <c r="B20" i="408"/>
  <c r="U19" i="408"/>
  <c r="G19" i="408"/>
  <c r="E19" i="408"/>
  <c r="D19" i="408"/>
  <c r="C19" i="408"/>
  <c r="B19" i="408"/>
  <c r="AB18" i="408"/>
  <c r="AA18" i="408"/>
  <c r="Z18" i="408"/>
  <c r="Y18" i="408"/>
  <c r="AC18" i="408" s="1"/>
  <c r="U18" i="408"/>
  <c r="G18" i="408"/>
  <c r="E18" i="408"/>
  <c r="D18" i="408"/>
  <c r="C18" i="408"/>
  <c r="B18" i="408"/>
  <c r="U17" i="408"/>
  <c r="G17" i="408"/>
  <c r="E17" i="408"/>
  <c r="D17" i="408"/>
  <c r="C17" i="408"/>
  <c r="B17" i="408"/>
  <c r="U16" i="408"/>
  <c r="G16" i="408"/>
  <c r="E16" i="408"/>
  <c r="D16" i="408"/>
  <c r="C16" i="408"/>
  <c r="B16" i="408"/>
  <c r="U15" i="408"/>
  <c r="G15" i="408"/>
  <c r="E15" i="408"/>
  <c r="D15" i="408"/>
  <c r="C15" i="408"/>
  <c r="B15" i="408"/>
  <c r="G16" i="407"/>
  <c r="G17" i="407"/>
  <c r="G18" i="407"/>
  <c r="G19" i="407"/>
  <c r="G20" i="407"/>
  <c r="G21" i="407"/>
  <c r="G22" i="407"/>
  <c r="G23" i="407"/>
  <c r="G24" i="407"/>
  <c r="G25" i="407"/>
  <c r="G26" i="407"/>
  <c r="G27" i="407"/>
  <c r="G28" i="407"/>
  <c r="G29" i="407"/>
  <c r="G30" i="407"/>
  <c r="G31" i="407"/>
  <c r="G32" i="407"/>
  <c r="G33" i="407"/>
  <c r="G34" i="407"/>
  <c r="G35" i="407"/>
  <c r="G36" i="407"/>
  <c r="G37" i="407"/>
  <c r="G38" i="407"/>
  <c r="G39" i="407"/>
  <c r="G40" i="407"/>
  <c r="G41" i="407"/>
  <c r="G42" i="407"/>
  <c r="G43" i="407"/>
  <c r="G44" i="407"/>
  <c r="G45" i="407"/>
  <c r="G46" i="407"/>
  <c r="G47" i="407"/>
  <c r="G48" i="407"/>
  <c r="G49" i="407"/>
  <c r="G50" i="407"/>
  <c r="G51" i="407"/>
  <c r="G52" i="407"/>
  <c r="G53" i="407"/>
  <c r="G54" i="407"/>
  <c r="G15" i="407"/>
  <c r="E16" i="407"/>
  <c r="I16" i="407" s="1"/>
  <c r="AH17" i="1" s="1"/>
  <c r="E17" i="407"/>
  <c r="I17" i="407" s="1"/>
  <c r="AH18" i="1" s="1"/>
  <c r="E18" i="407"/>
  <c r="I18" i="407" s="1"/>
  <c r="AH19" i="1" s="1"/>
  <c r="E19" i="407"/>
  <c r="I19" i="407" s="1"/>
  <c r="AH20" i="1" s="1"/>
  <c r="E20" i="407"/>
  <c r="I20" i="407" s="1"/>
  <c r="AH21" i="1" s="1"/>
  <c r="E21" i="407"/>
  <c r="I21" i="407" s="1"/>
  <c r="AH22" i="1" s="1"/>
  <c r="E22" i="407"/>
  <c r="I22" i="407" s="1"/>
  <c r="AH23" i="1" s="1"/>
  <c r="E23" i="407"/>
  <c r="I23" i="407" s="1"/>
  <c r="AH24" i="1" s="1"/>
  <c r="E24" i="407"/>
  <c r="I24" i="407" s="1"/>
  <c r="AH25" i="1" s="1"/>
  <c r="E25" i="407"/>
  <c r="I25" i="407" s="1"/>
  <c r="AH26" i="1" s="1"/>
  <c r="E26" i="407"/>
  <c r="I26" i="407" s="1"/>
  <c r="AH27" i="1" s="1"/>
  <c r="E27" i="407"/>
  <c r="I27" i="407" s="1"/>
  <c r="AH28" i="1" s="1"/>
  <c r="E28" i="407"/>
  <c r="I28" i="407" s="1"/>
  <c r="AH29" i="1" s="1"/>
  <c r="E29" i="407"/>
  <c r="I29" i="407" s="1"/>
  <c r="AH30" i="1" s="1"/>
  <c r="E30" i="407"/>
  <c r="I30" i="407" s="1"/>
  <c r="AH31" i="1" s="1"/>
  <c r="E31" i="407"/>
  <c r="I31" i="407" s="1"/>
  <c r="AH32" i="1" s="1"/>
  <c r="E32" i="407"/>
  <c r="I32" i="407" s="1"/>
  <c r="AH33" i="1" s="1"/>
  <c r="E33" i="407"/>
  <c r="I33" i="407" s="1"/>
  <c r="AH34" i="1" s="1"/>
  <c r="E34" i="407"/>
  <c r="I34" i="407" s="1"/>
  <c r="AH35" i="1" s="1"/>
  <c r="E35" i="407"/>
  <c r="E36" i="407"/>
  <c r="I36" i="407" s="1"/>
  <c r="AH37" i="1" s="1"/>
  <c r="E37" i="407"/>
  <c r="I37" i="407" s="1"/>
  <c r="AH38" i="1" s="1"/>
  <c r="E38" i="407"/>
  <c r="I38" i="407" s="1"/>
  <c r="AH39" i="1" s="1"/>
  <c r="E39" i="407"/>
  <c r="I39" i="407" s="1"/>
  <c r="AH40" i="1" s="1"/>
  <c r="E40" i="407"/>
  <c r="I40" i="407" s="1"/>
  <c r="AH41" i="1" s="1"/>
  <c r="E41" i="407"/>
  <c r="I41" i="407" s="1"/>
  <c r="AH42" i="1" s="1"/>
  <c r="E42" i="407"/>
  <c r="I42" i="407" s="1"/>
  <c r="AH43" i="1" s="1"/>
  <c r="E43" i="407"/>
  <c r="I43" i="407" s="1"/>
  <c r="AH44" i="1" s="1"/>
  <c r="E44" i="407"/>
  <c r="I44" i="407" s="1"/>
  <c r="AH45" i="1" s="1"/>
  <c r="E45" i="407"/>
  <c r="I45" i="407" s="1"/>
  <c r="AH46" i="1" s="1"/>
  <c r="E46" i="407"/>
  <c r="I46" i="407" s="1"/>
  <c r="AH47" i="1" s="1"/>
  <c r="E47" i="407"/>
  <c r="I47" i="407" s="1"/>
  <c r="AH48" i="1" s="1"/>
  <c r="E48" i="407"/>
  <c r="I48" i="407" s="1"/>
  <c r="AH49" i="1" s="1"/>
  <c r="E49" i="407"/>
  <c r="I49" i="407" s="1"/>
  <c r="AH50" i="1" s="1"/>
  <c r="E50" i="407"/>
  <c r="I50" i="407" s="1"/>
  <c r="AH51" i="1" s="1"/>
  <c r="E51" i="407"/>
  <c r="I51" i="407" s="1"/>
  <c r="AH52" i="1" s="1"/>
  <c r="E52" i="407"/>
  <c r="I52" i="407" s="1"/>
  <c r="AH53" i="1" s="1"/>
  <c r="E53" i="407"/>
  <c r="I53" i="407" s="1"/>
  <c r="AH54" i="1" s="1"/>
  <c r="E54" i="407"/>
  <c r="I54" i="407" s="1"/>
  <c r="AH55" i="1" s="1"/>
  <c r="E15" i="407"/>
  <c r="I15" i="407" s="1"/>
  <c r="AH16" i="1" s="1"/>
  <c r="V54" i="407"/>
  <c r="D54" i="407"/>
  <c r="C54" i="407"/>
  <c r="B54" i="407"/>
  <c r="V53" i="407"/>
  <c r="D53" i="407"/>
  <c r="C53" i="407"/>
  <c r="B53" i="407"/>
  <c r="V52" i="407"/>
  <c r="D52" i="407"/>
  <c r="C52" i="407"/>
  <c r="B52" i="407"/>
  <c r="V51" i="407"/>
  <c r="D51" i="407"/>
  <c r="C51" i="407"/>
  <c r="B51" i="407"/>
  <c r="V50" i="407"/>
  <c r="D50" i="407"/>
  <c r="C50" i="407"/>
  <c r="B50" i="407"/>
  <c r="V49" i="407"/>
  <c r="D49" i="407"/>
  <c r="C49" i="407"/>
  <c r="B49" i="407"/>
  <c r="V48" i="407"/>
  <c r="D48" i="407"/>
  <c r="C48" i="407"/>
  <c r="B48" i="407"/>
  <c r="V47" i="407"/>
  <c r="D47" i="407"/>
  <c r="C47" i="407"/>
  <c r="B47" i="407"/>
  <c r="V46" i="407"/>
  <c r="D46" i="407"/>
  <c r="C46" i="407"/>
  <c r="B46" i="407"/>
  <c r="V45" i="407"/>
  <c r="D45" i="407"/>
  <c r="C45" i="407"/>
  <c r="B45" i="407"/>
  <c r="V44" i="407"/>
  <c r="D44" i="407"/>
  <c r="C44" i="407"/>
  <c r="B44" i="407"/>
  <c r="V43" i="407"/>
  <c r="D43" i="407"/>
  <c r="C43" i="407"/>
  <c r="B43" i="407"/>
  <c r="V42" i="407"/>
  <c r="D42" i="407"/>
  <c r="C42" i="407"/>
  <c r="B42" i="407"/>
  <c r="V41" i="407"/>
  <c r="D41" i="407"/>
  <c r="C41" i="407"/>
  <c r="B41" i="407"/>
  <c r="V40" i="407"/>
  <c r="D40" i="407"/>
  <c r="C40" i="407"/>
  <c r="B40" i="407"/>
  <c r="V39" i="407"/>
  <c r="D39" i="407"/>
  <c r="C39" i="407"/>
  <c r="B39" i="407"/>
  <c r="V38" i="407"/>
  <c r="D38" i="407"/>
  <c r="C38" i="407"/>
  <c r="B38" i="407"/>
  <c r="V37" i="407"/>
  <c r="D37" i="407"/>
  <c r="C37" i="407"/>
  <c r="B37" i="407"/>
  <c r="V36" i="407"/>
  <c r="D36" i="407"/>
  <c r="C36" i="407"/>
  <c r="B36" i="407"/>
  <c r="V35" i="407"/>
  <c r="D35" i="407"/>
  <c r="C35" i="407"/>
  <c r="B35" i="407"/>
  <c r="V34" i="407"/>
  <c r="D34" i="407"/>
  <c r="C34" i="407"/>
  <c r="B34" i="407"/>
  <c r="V33" i="407"/>
  <c r="D33" i="407"/>
  <c r="C33" i="407"/>
  <c r="B33" i="407"/>
  <c r="V32" i="407"/>
  <c r="D32" i="407"/>
  <c r="C32" i="407"/>
  <c r="B32" i="407"/>
  <c r="V31" i="407"/>
  <c r="D31" i="407"/>
  <c r="C31" i="407"/>
  <c r="B31" i="407"/>
  <c r="V30" i="407"/>
  <c r="D30" i="407"/>
  <c r="C30" i="407"/>
  <c r="B30" i="407"/>
  <c r="V29" i="407"/>
  <c r="D29" i="407"/>
  <c r="C29" i="407"/>
  <c r="B29" i="407"/>
  <c r="AC28" i="407"/>
  <c r="AB28" i="407"/>
  <c r="AA28" i="407"/>
  <c r="Z28" i="407"/>
  <c r="AD28" i="407" s="1"/>
  <c r="V28" i="407"/>
  <c r="D28" i="407"/>
  <c r="C28" i="407"/>
  <c r="B28" i="407"/>
  <c r="V27" i="407"/>
  <c r="D27" i="407"/>
  <c r="C27" i="407"/>
  <c r="B27" i="407"/>
  <c r="V26" i="407"/>
  <c r="D26" i="407"/>
  <c r="C26" i="407"/>
  <c r="B26" i="407"/>
  <c r="V25" i="407"/>
  <c r="D25" i="407"/>
  <c r="C25" i="407"/>
  <c r="B25" i="407"/>
  <c r="V24" i="407"/>
  <c r="D24" i="407"/>
  <c r="C24" i="407"/>
  <c r="B24" i="407"/>
  <c r="AC23" i="407"/>
  <c r="AB23" i="407"/>
  <c r="AA23" i="407"/>
  <c r="Z23" i="407"/>
  <c r="AD23" i="407" s="1"/>
  <c r="V23" i="407"/>
  <c r="D23" i="407"/>
  <c r="C23" i="407"/>
  <c r="B23" i="407"/>
  <c r="V22" i="407"/>
  <c r="D22" i="407"/>
  <c r="C22" i="407"/>
  <c r="B22" i="407"/>
  <c r="V21" i="407"/>
  <c r="D21" i="407"/>
  <c r="C21" i="407"/>
  <c r="B21" i="407"/>
  <c r="V20" i="407"/>
  <c r="D20" i="407"/>
  <c r="C20" i="407"/>
  <c r="B20" i="407"/>
  <c r="V19" i="407"/>
  <c r="D19" i="407"/>
  <c r="C19" i="407"/>
  <c r="B19" i="407"/>
  <c r="AC18" i="407"/>
  <c r="AB18" i="407"/>
  <c r="AA18" i="407"/>
  <c r="Z18" i="407"/>
  <c r="AD18" i="407" s="1"/>
  <c r="V18" i="407"/>
  <c r="D18" i="407"/>
  <c r="C18" i="407"/>
  <c r="B18" i="407"/>
  <c r="V17" i="407"/>
  <c r="D17" i="407"/>
  <c r="C17" i="407"/>
  <c r="B17" i="407"/>
  <c r="V16" i="407"/>
  <c r="D16" i="407"/>
  <c r="C16" i="407"/>
  <c r="B16" i="407"/>
  <c r="V15" i="407"/>
  <c r="D15" i="407"/>
  <c r="C15" i="407"/>
  <c r="B15" i="407"/>
  <c r="E9" i="407"/>
  <c r="E8" i="407"/>
  <c r="E7" i="407"/>
  <c r="E6" i="407"/>
  <c r="E5" i="407"/>
  <c r="E4" i="407"/>
  <c r="E3" i="407"/>
  <c r="AD15" i="396"/>
  <c r="AG17" i="396"/>
  <c r="AG18" i="396"/>
  <c r="AG19" i="396"/>
  <c r="AG20" i="396"/>
  <c r="AG21" i="396"/>
  <c r="AG22" i="396"/>
  <c r="AG23" i="396"/>
  <c r="AG24" i="396"/>
  <c r="AG25" i="396"/>
  <c r="AG26" i="396"/>
  <c r="AG27" i="396"/>
  <c r="AG28" i="396"/>
  <c r="AG29" i="396"/>
  <c r="AG30" i="396"/>
  <c r="AG31" i="396"/>
  <c r="AG32" i="396"/>
  <c r="AG33" i="396"/>
  <c r="AG34" i="396"/>
  <c r="AG35" i="396"/>
  <c r="AG36" i="396"/>
  <c r="AG37" i="396"/>
  <c r="AG38" i="396"/>
  <c r="AG39" i="396"/>
  <c r="AG40" i="396"/>
  <c r="AG41" i="396"/>
  <c r="AG42" i="396"/>
  <c r="AG43" i="396"/>
  <c r="AG44" i="396"/>
  <c r="AG45" i="396"/>
  <c r="AG46" i="396"/>
  <c r="AG47" i="396"/>
  <c r="AG48" i="396"/>
  <c r="AG49" i="396"/>
  <c r="AG50" i="396"/>
  <c r="AG51" i="396"/>
  <c r="AG52" i="396"/>
  <c r="AG53" i="396"/>
  <c r="AG54" i="396"/>
  <c r="AG55" i="396"/>
  <c r="AG16" i="396"/>
  <c r="AD17" i="396"/>
  <c r="AD18" i="396"/>
  <c r="AD19" i="396"/>
  <c r="AD20" i="396"/>
  <c r="AD21" i="396"/>
  <c r="AD22" i="396"/>
  <c r="AD23" i="396"/>
  <c r="AD24" i="396"/>
  <c r="AD25" i="396"/>
  <c r="AD26" i="396"/>
  <c r="AD27" i="396"/>
  <c r="AD28" i="396"/>
  <c r="AD29" i="396"/>
  <c r="AD30" i="396"/>
  <c r="AD31" i="396"/>
  <c r="AD32" i="396"/>
  <c r="AD33" i="396"/>
  <c r="AD34" i="396"/>
  <c r="AD35" i="396"/>
  <c r="AD36" i="396"/>
  <c r="AD37" i="396"/>
  <c r="AD38" i="396"/>
  <c r="AD39" i="396"/>
  <c r="AD40" i="396"/>
  <c r="AD41" i="396"/>
  <c r="AD42" i="396"/>
  <c r="AD43" i="396"/>
  <c r="AD44" i="396"/>
  <c r="AD45" i="396"/>
  <c r="AD46" i="396"/>
  <c r="AD47" i="396"/>
  <c r="AD48" i="396"/>
  <c r="AD49" i="396"/>
  <c r="AD50" i="396"/>
  <c r="AD51" i="396"/>
  <c r="AD52" i="396"/>
  <c r="AD53" i="396"/>
  <c r="AD54" i="396"/>
  <c r="AD55" i="396"/>
  <c r="AD16" i="396"/>
  <c r="X54" i="406"/>
  <c r="H54" i="406"/>
  <c r="I54" i="406" s="1"/>
  <c r="I81" i="412" s="1"/>
  <c r="E54" i="406"/>
  <c r="F54" i="406" s="1"/>
  <c r="G81" i="412" s="1"/>
  <c r="D54" i="406"/>
  <c r="C54" i="406"/>
  <c r="B54" i="406"/>
  <c r="X53" i="406"/>
  <c r="H53" i="406"/>
  <c r="I53" i="406" s="1"/>
  <c r="I79" i="412" s="1"/>
  <c r="E53" i="406"/>
  <c r="F53" i="406" s="1"/>
  <c r="G79" i="412" s="1"/>
  <c r="D53" i="406"/>
  <c r="C53" i="406"/>
  <c r="B53" i="406"/>
  <c r="X52" i="406"/>
  <c r="H52" i="406"/>
  <c r="I52" i="406" s="1"/>
  <c r="I77" i="412" s="1"/>
  <c r="E52" i="406"/>
  <c r="F52" i="406" s="1"/>
  <c r="G77" i="412" s="1"/>
  <c r="D52" i="406"/>
  <c r="C52" i="406"/>
  <c r="B52" i="406"/>
  <c r="X51" i="406"/>
  <c r="H51" i="406"/>
  <c r="I51" i="406" s="1"/>
  <c r="I75" i="412" s="1"/>
  <c r="E51" i="406"/>
  <c r="F51" i="406" s="1"/>
  <c r="G75" i="412" s="1"/>
  <c r="D51" i="406"/>
  <c r="C51" i="406"/>
  <c r="B51" i="406"/>
  <c r="X50" i="406"/>
  <c r="H50" i="406"/>
  <c r="I50" i="406" s="1"/>
  <c r="I73" i="412" s="1"/>
  <c r="E50" i="406"/>
  <c r="F50" i="406" s="1"/>
  <c r="G73" i="412" s="1"/>
  <c r="D50" i="406"/>
  <c r="C50" i="406"/>
  <c r="B50" i="406"/>
  <c r="X49" i="406"/>
  <c r="H49" i="406"/>
  <c r="I49" i="406" s="1"/>
  <c r="I71" i="412" s="1"/>
  <c r="E49" i="406"/>
  <c r="F49" i="406" s="1"/>
  <c r="G71" i="412" s="1"/>
  <c r="D49" i="406"/>
  <c r="C49" i="406"/>
  <c r="B49" i="406"/>
  <c r="X48" i="406"/>
  <c r="H48" i="406"/>
  <c r="I48" i="406" s="1"/>
  <c r="I69" i="412" s="1"/>
  <c r="E48" i="406"/>
  <c r="F48" i="406" s="1"/>
  <c r="G69" i="412" s="1"/>
  <c r="D48" i="406"/>
  <c r="C48" i="406"/>
  <c r="B48" i="406"/>
  <c r="X47" i="406"/>
  <c r="H47" i="406"/>
  <c r="I47" i="406" s="1"/>
  <c r="I67" i="412" s="1"/>
  <c r="E47" i="406"/>
  <c r="F47" i="406" s="1"/>
  <c r="G67" i="412" s="1"/>
  <c r="D47" i="406"/>
  <c r="C47" i="406"/>
  <c r="B47" i="406"/>
  <c r="X46" i="406"/>
  <c r="H46" i="406"/>
  <c r="I46" i="406" s="1"/>
  <c r="I65" i="412" s="1"/>
  <c r="E46" i="406"/>
  <c r="F46" i="406" s="1"/>
  <c r="G65" i="412" s="1"/>
  <c r="D46" i="406"/>
  <c r="C46" i="406"/>
  <c r="B46" i="406"/>
  <c r="X45" i="406"/>
  <c r="H45" i="406"/>
  <c r="I45" i="406" s="1"/>
  <c r="I63" i="412" s="1"/>
  <c r="E45" i="406"/>
  <c r="F45" i="406" s="1"/>
  <c r="G63" i="412" s="1"/>
  <c r="D45" i="406"/>
  <c r="C45" i="406"/>
  <c r="B45" i="406"/>
  <c r="X44" i="406"/>
  <c r="H44" i="406"/>
  <c r="I44" i="406" s="1"/>
  <c r="I61" i="412" s="1"/>
  <c r="E44" i="406"/>
  <c r="F44" i="406" s="1"/>
  <c r="G61" i="412" s="1"/>
  <c r="D44" i="406"/>
  <c r="C44" i="406"/>
  <c r="B44" i="406"/>
  <c r="X43" i="406"/>
  <c r="H43" i="406"/>
  <c r="I43" i="406" s="1"/>
  <c r="I59" i="412" s="1"/>
  <c r="E43" i="406"/>
  <c r="F43" i="406" s="1"/>
  <c r="G59" i="412" s="1"/>
  <c r="D43" i="406"/>
  <c r="C43" i="406"/>
  <c r="B43" i="406"/>
  <c r="X42" i="406"/>
  <c r="H42" i="406"/>
  <c r="I42" i="406" s="1"/>
  <c r="I57" i="412" s="1"/>
  <c r="E42" i="406"/>
  <c r="F42" i="406" s="1"/>
  <c r="G57" i="412" s="1"/>
  <c r="D42" i="406"/>
  <c r="C42" i="406"/>
  <c r="B42" i="406"/>
  <c r="X41" i="406"/>
  <c r="H41" i="406"/>
  <c r="I41" i="406" s="1"/>
  <c r="I55" i="412" s="1"/>
  <c r="E41" i="406"/>
  <c r="F41" i="406" s="1"/>
  <c r="G55" i="412" s="1"/>
  <c r="D41" i="406"/>
  <c r="C41" i="406"/>
  <c r="B41" i="406"/>
  <c r="X40" i="406"/>
  <c r="H40" i="406"/>
  <c r="I40" i="406" s="1"/>
  <c r="I53" i="412" s="1"/>
  <c r="E40" i="406"/>
  <c r="F40" i="406" s="1"/>
  <c r="G53" i="412" s="1"/>
  <c r="D40" i="406"/>
  <c r="C40" i="406"/>
  <c r="B40" i="406"/>
  <c r="X39" i="406"/>
  <c r="H39" i="406"/>
  <c r="I39" i="406" s="1"/>
  <c r="I51" i="412" s="1"/>
  <c r="E39" i="406"/>
  <c r="F39" i="406" s="1"/>
  <c r="G51" i="412" s="1"/>
  <c r="D39" i="406"/>
  <c r="C39" i="406"/>
  <c r="B39" i="406"/>
  <c r="X38" i="406"/>
  <c r="H38" i="406"/>
  <c r="I38" i="406" s="1"/>
  <c r="I49" i="412" s="1"/>
  <c r="E38" i="406"/>
  <c r="F38" i="406" s="1"/>
  <c r="G49" i="412" s="1"/>
  <c r="D38" i="406"/>
  <c r="C38" i="406"/>
  <c r="B38" i="406"/>
  <c r="X37" i="406"/>
  <c r="H37" i="406"/>
  <c r="I37" i="406" s="1"/>
  <c r="I47" i="412" s="1"/>
  <c r="E37" i="406"/>
  <c r="F37" i="406" s="1"/>
  <c r="G47" i="412" s="1"/>
  <c r="D37" i="406"/>
  <c r="C37" i="406"/>
  <c r="B37" i="406"/>
  <c r="X36" i="406"/>
  <c r="H36" i="406"/>
  <c r="I36" i="406" s="1"/>
  <c r="I45" i="412" s="1"/>
  <c r="E36" i="406"/>
  <c r="F36" i="406" s="1"/>
  <c r="G45" i="412" s="1"/>
  <c r="D36" i="406"/>
  <c r="C36" i="406"/>
  <c r="B36" i="406"/>
  <c r="X35" i="406"/>
  <c r="H35" i="406"/>
  <c r="I35" i="406" s="1"/>
  <c r="I43" i="412" s="1"/>
  <c r="E35" i="406"/>
  <c r="F35" i="406" s="1"/>
  <c r="G43" i="412" s="1"/>
  <c r="D35" i="406"/>
  <c r="C35" i="406"/>
  <c r="B35" i="406"/>
  <c r="X34" i="406"/>
  <c r="H34" i="406"/>
  <c r="I34" i="406" s="1"/>
  <c r="I41" i="412" s="1"/>
  <c r="E34" i="406"/>
  <c r="F34" i="406" s="1"/>
  <c r="G41" i="412" s="1"/>
  <c r="D34" i="406"/>
  <c r="C34" i="406"/>
  <c r="B34" i="406"/>
  <c r="X33" i="406"/>
  <c r="H33" i="406"/>
  <c r="I33" i="406" s="1"/>
  <c r="I39" i="412" s="1"/>
  <c r="E33" i="406"/>
  <c r="F33" i="406" s="1"/>
  <c r="G39" i="412" s="1"/>
  <c r="D33" i="406"/>
  <c r="C33" i="406"/>
  <c r="B33" i="406"/>
  <c r="X32" i="406"/>
  <c r="H32" i="406"/>
  <c r="I32" i="406" s="1"/>
  <c r="I37" i="412" s="1"/>
  <c r="E32" i="406"/>
  <c r="F32" i="406" s="1"/>
  <c r="G37" i="412" s="1"/>
  <c r="D32" i="406"/>
  <c r="C32" i="406"/>
  <c r="B32" i="406"/>
  <c r="X31" i="406"/>
  <c r="H31" i="406"/>
  <c r="I31" i="406" s="1"/>
  <c r="I35" i="412" s="1"/>
  <c r="E31" i="406"/>
  <c r="F31" i="406" s="1"/>
  <c r="G35" i="412" s="1"/>
  <c r="D31" i="406"/>
  <c r="C31" i="406"/>
  <c r="B31" i="406"/>
  <c r="X30" i="406"/>
  <c r="H30" i="406"/>
  <c r="I30" i="406" s="1"/>
  <c r="I33" i="412" s="1"/>
  <c r="E30" i="406"/>
  <c r="F30" i="406" s="1"/>
  <c r="G33" i="412" s="1"/>
  <c r="D30" i="406"/>
  <c r="C30" i="406"/>
  <c r="B30" i="406"/>
  <c r="X29" i="406"/>
  <c r="H29" i="406"/>
  <c r="I29" i="406" s="1"/>
  <c r="I31" i="412" s="1"/>
  <c r="E29" i="406"/>
  <c r="F29" i="406" s="1"/>
  <c r="G31" i="412" s="1"/>
  <c r="D29" i="406"/>
  <c r="C29" i="406"/>
  <c r="B29" i="406"/>
  <c r="AE28" i="406"/>
  <c r="AD28" i="406"/>
  <c r="AC28" i="406"/>
  <c r="AB28" i="406"/>
  <c r="AF28" i="406" s="1"/>
  <c r="X28" i="406"/>
  <c r="H28" i="406"/>
  <c r="I28" i="406" s="1"/>
  <c r="I29" i="412" s="1"/>
  <c r="E28" i="406"/>
  <c r="F28" i="406" s="1"/>
  <c r="G29" i="412" s="1"/>
  <c r="D28" i="406"/>
  <c r="C28" i="406"/>
  <c r="B28" i="406"/>
  <c r="X27" i="406"/>
  <c r="H27" i="406"/>
  <c r="I27" i="406" s="1"/>
  <c r="I27" i="412" s="1"/>
  <c r="E27" i="406"/>
  <c r="F27" i="406" s="1"/>
  <c r="G27" i="412" s="1"/>
  <c r="D27" i="406"/>
  <c r="C27" i="406"/>
  <c r="B27" i="406"/>
  <c r="X26" i="406"/>
  <c r="H26" i="406"/>
  <c r="I26" i="406" s="1"/>
  <c r="I25" i="412" s="1"/>
  <c r="E26" i="406"/>
  <c r="F26" i="406" s="1"/>
  <c r="G25" i="412" s="1"/>
  <c r="D26" i="406"/>
  <c r="C26" i="406"/>
  <c r="B26" i="406"/>
  <c r="X25" i="406"/>
  <c r="H25" i="406"/>
  <c r="I25" i="406" s="1"/>
  <c r="I23" i="412" s="1"/>
  <c r="E25" i="406"/>
  <c r="F25" i="406" s="1"/>
  <c r="G23" i="412" s="1"/>
  <c r="D25" i="406"/>
  <c r="C25" i="406"/>
  <c r="B25" i="406"/>
  <c r="X24" i="406"/>
  <c r="H24" i="406"/>
  <c r="I24" i="406" s="1"/>
  <c r="I21" i="412" s="1"/>
  <c r="E24" i="406"/>
  <c r="F24" i="406" s="1"/>
  <c r="G21" i="412" s="1"/>
  <c r="D24" i="406"/>
  <c r="C24" i="406"/>
  <c r="B24" i="406"/>
  <c r="AE23" i="406"/>
  <c r="AD23" i="406"/>
  <c r="AC23" i="406"/>
  <c r="AB23" i="406"/>
  <c r="AF23" i="406" s="1"/>
  <c r="X23" i="406"/>
  <c r="H23" i="406"/>
  <c r="I23" i="406" s="1"/>
  <c r="I19" i="412" s="1"/>
  <c r="E23" i="406"/>
  <c r="F23" i="406" s="1"/>
  <c r="G19" i="412" s="1"/>
  <c r="D23" i="406"/>
  <c r="C23" i="406"/>
  <c r="B23" i="406"/>
  <c r="X22" i="406"/>
  <c r="H22" i="406"/>
  <c r="I22" i="406" s="1"/>
  <c r="I17" i="412" s="1"/>
  <c r="E22" i="406"/>
  <c r="F22" i="406" s="1"/>
  <c r="G17" i="412" s="1"/>
  <c r="D22" i="406"/>
  <c r="C22" i="406"/>
  <c r="B22" i="406"/>
  <c r="X21" i="406"/>
  <c r="H21" i="406"/>
  <c r="I21" i="406" s="1"/>
  <c r="I15" i="412" s="1"/>
  <c r="E21" i="406"/>
  <c r="F21" i="406" s="1"/>
  <c r="G15" i="412" s="1"/>
  <c r="D21" i="406"/>
  <c r="C21" i="406"/>
  <c r="B21" i="406"/>
  <c r="X20" i="406"/>
  <c r="H20" i="406"/>
  <c r="I20" i="406" s="1"/>
  <c r="I13" i="412" s="1"/>
  <c r="E20" i="406"/>
  <c r="F20" i="406" s="1"/>
  <c r="G13" i="412" s="1"/>
  <c r="D20" i="406"/>
  <c r="C20" i="406"/>
  <c r="B20" i="406"/>
  <c r="X19" i="406"/>
  <c r="H19" i="406"/>
  <c r="I19" i="406" s="1"/>
  <c r="I11" i="412" s="1"/>
  <c r="E19" i="406"/>
  <c r="F19" i="406" s="1"/>
  <c r="G11" i="412" s="1"/>
  <c r="D19" i="406"/>
  <c r="C19" i="406"/>
  <c r="B19" i="406"/>
  <c r="AE18" i="406"/>
  <c r="AD18" i="406"/>
  <c r="AC18" i="406"/>
  <c r="AB18" i="406"/>
  <c r="AF18" i="406" s="1"/>
  <c r="X18" i="406"/>
  <c r="H18" i="406"/>
  <c r="I18" i="406" s="1"/>
  <c r="I9" i="412" s="1"/>
  <c r="E18" i="406"/>
  <c r="F18" i="406" s="1"/>
  <c r="G9" i="412" s="1"/>
  <c r="D18" i="406"/>
  <c r="C18" i="406"/>
  <c r="B18" i="406"/>
  <c r="X17" i="406"/>
  <c r="H17" i="406"/>
  <c r="I17" i="406" s="1"/>
  <c r="I7" i="412" s="1"/>
  <c r="E17" i="406"/>
  <c r="F17" i="406" s="1"/>
  <c r="G7" i="412" s="1"/>
  <c r="D17" i="406"/>
  <c r="C17" i="406"/>
  <c r="B17" i="406"/>
  <c r="X16" i="406"/>
  <c r="H16" i="406"/>
  <c r="I16" i="406" s="1"/>
  <c r="I5" i="412" s="1"/>
  <c r="E16" i="406"/>
  <c r="F16" i="406" s="1"/>
  <c r="G5" i="412" s="1"/>
  <c r="D16" i="406"/>
  <c r="C16" i="406"/>
  <c r="B16" i="406"/>
  <c r="X15" i="406"/>
  <c r="H15" i="406"/>
  <c r="I15" i="406" s="1"/>
  <c r="I3" i="412" s="1"/>
  <c r="E15" i="406"/>
  <c r="F15" i="406" s="1"/>
  <c r="G3" i="412" s="1"/>
  <c r="D15" i="406"/>
  <c r="C15" i="406"/>
  <c r="B15" i="406"/>
  <c r="AA15" i="1"/>
  <c r="AG15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H16" i="405"/>
  <c r="I16" i="405" s="1"/>
  <c r="I5" i="411" s="1"/>
  <c r="H17" i="405"/>
  <c r="I17" i="405" s="1"/>
  <c r="I7" i="411" s="1"/>
  <c r="H18" i="405"/>
  <c r="I18" i="405" s="1"/>
  <c r="I9" i="411" s="1"/>
  <c r="H19" i="405"/>
  <c r="I19" i="405" s="1"/>
  <c r="I11" i="411" s="1"/>
  <c r="H20" i="405"/>
  <c r="I20" i="405" s="1"/>
  <c r="I13" i="411" s="1"/>
  <c r="H21" i="405"/>
  <c r="I21" i="405" s="1"/>
  <c r="I15" i="411" s="1"/>
  <c r="H22" i="405"/>
  <c r="I22" i="405" s="1"/>
  <c r="I17" i="411" s="1"/>
  <c r="H23" i="405"/>
  <c r="I23" i="405" s="1"/>
  <c r="I19" i="411" s="1"/>
  <c r="H24" i="405"/>
  <c r="I24" i="405" s="1"/>
  <c r="I21" i="411" s="1"/>
  <c r="H25" i="405"/>
  <c r="I25" i="405" s="1"/>
  <c r="I23" i="411" s="1"/>
  <c r="H26" i="405"/>
  <c r="I26" i="405" s="1"/>
  <c r="I25" i="411" s="1"/>
  <c r="H27" i="405"/>
  <c r="I27" i="405" s="1"/>
  <c r="I27" i="411" s="1"/>
  <c r="H28" i="405"/>
  <c r="I28" i="405" s="1"/>
  <c r="I29" i="411" s="1"/>
  <c r="H29" i="405"/>
  <c r="I29" i="405" s="1"/>
  <c r="I31" i="411" s="1"/>
  <c r="H30" i="405"/>
  <c r="I30" i="405" s="1"/>
  <c r="I33" i="411" s="1"/>
  <c r="H31" i="405"/>
  <c r="I31" i="405" s="1"/>
  <c r="I35" i="411" s="1"/>
  <c r="H32" i="405"/>
  <c r="I32" i="405" s="1"/>
  <c r="I37" i="411" s="1"/>
  <c r="H33" i="405"/>
  <c r="I33" i="405" s="1"/>
  <c r="I39" i="411" s="1"/>
  <c r="H34" i="405"/>
  <c r="I34" i="405" s="1"/>
  <c r="I41" i="411" s="1"/>
  <c r="H35" i="405"/>
  <c r="I35" i="405" s="1"/>
  <c r="I43" i="411" s="1"/>
  <c r="H36" i="405"/>
  <c r="I36" i="405" s="1"/>
  <c r="I45" i="411" s="1"/>
  <c r="H37" i="405"/>
  <c r="I37" i="405" s="1"/>
  <c r="I47" i="411" s="1"/>
  <c r="H38" i="405"/>
  <c r="I38" i="405" s="1"/>
  <c r="I49" i="411" s="1"/>
  <c r="H39" i="405"/>
  <c r="I39" i="405" s="1"/>
  <c r="I51" i="411" s="1"/>
  <c r="H40" i="405"/>
  <c r="I40" i="405" s="1"/>
  <c r="I53" i="411" s="1"/>
  <c r="H41" i="405"/>
  <c r="I41" i="405" s="1"/>
  <c r="I55" i="411" s="1"/>
  <c r="H42" i="405"/>
  <c r="I42" i="405" s="1"/>
  <c r="I57" i="411" s="1"/>
  <c r="H43" i="405"/>
  <c r="I43" i="405" s="1"/>
  <c r="I59" i="411" s="1"/>
  <c r="H44" i="405"/>
  <c r="I44" i="405" s="1"/>
  <c r="I61" i="411" s="1"/>
  <c r="H45" i="405"/>
  <c r="I45" i="405" s="1"/>
  <c r="I63" i="411" s="1"/>
  <c r="H46" i="405"/>
  <c r="I46" i="405" s="1"/>
  <c r="I65" i="411" s="1"/>
  <c r="H47" i="405"/>
  <c r="I47" i="405" s="1"/>
  <c r="I67" i="411" s="1"/>
  <c r="H48" i="405"/>
  <c r="I48" i="405" s="1"/>
  <c r="I69" i="411" s="1"/>
  <c r="H49" i="405"/>
  <c r="I49" i="405" s="1"/>
  <c r="I71" i="411" s="1"/>
  <c r="H50" i="405"/>
  <c r="I50" i="405" s="1"/>
  <c r="I73" i="411" s="1"/>
  <c r="H51" i="405"/>
  <c r="I51" i="405" s="1"/>
  <c r="I75" i="411" s="1"/>
  <c r="H52" i="405"/>
  <c r="I52" i="405" s="1"/>
  <c r="I77" i="411" s="1"/>
  <c r="H53" i="405"/>
  <c r="I53" i="405" s="1"/>
  <c r="I79" i="411" s="1"/>
  <c r="H54" i="405"/>
  <c r="I54" i="405" s="1"/>
  <c r="I81" i="411" s="1"/>
  <c r="H15" i="405"/>
  <c r="I15" i="405" s="1"/>
  <c r="I3" i="411" s="1"/>
  <c r="E16" i="405"/>
  <c r="F16" i="405" s="1"/>
  <c r="G5" i="411" s="1"/>
  <c r="E17" i="405"/>
  <c r="F17" i="405" s="1"/>
  <c r="G7" i="411" s="1"/>
  <c r="E18" i="405"/>
  <c r="F18" i="405" s="1"/>
  <c r="G9" i="411" s="1"/>
  <c r="E19" i="405"/>
  <c r="F19" i="405" s="1"/>
  <c r="G11" i="411" s="1"/>
  <c r="E20" i="405"/>
  <c r="F20" i="405" s="1"/>
  <c r="G13" i="411" s="1"/>
  <c r="E21" i="405"/>
  <c r="F21" i="405" s="1"/>
  <c r="G15" i="411" s="1"/>
  <c r="E22" i="405"/>
  <c r="F22" i="405" s="1"/>
  <c r="G17" i="411" s="1"/>
  <c r="E23" i="405"/>
  <c r="F23" i="405" s="1"/>
  <c r="G19" i="411" s="1"/>
  <c r="E24" i="405"/>
  <c r="F24" i="405" s="1"/>
  <c r="G21" i="411" s="1"/>
  <c r="E25" i="405"/>
  <c r="F25" i="405" s="1"/>
  <c r="G23" i="411" s="1"/>
  <c r="E26" i="405"/>
  <c r="F26" i="405" s="1"/>
  <c r="G25" i="411" s="1"/>
  <c r="E27" i="405"/>
  <c r="F27" i="405" s="1"/>
  <c r="G27" i="411" s="1"/>
  <c r="E28" i="405"/>
  <c r="F28" i="405" s="1"/>
  <c r="G29" i="411" s="1"/>
  <c r="E29" i="405"/>
  <c r="F29" i="405" s="1"/>
  <c r="G31" i="411" s="1"/>
  <c r="E30" i="405"/>
  <c r="F30" i="405" s="1"/>
  <c r="G33" i="411" s="1"/>
  <c r="E31" i="405"/>
  <c r="F31" i="405" s="1"/>
  <c r="G35" i="411" s="1"/>
  <c r="E32" i="405"/>
  <c r="F32" i="405" s="1"/>
  <c r="G37" i="411" s="1"/>
  <c r="E33" i="405"/>
  <c r="F33" i="405" s="1"/>
  <c r="G39" i="411" s="1"/>
  <c r="E34" i="405"/>
  <c r="F34" i="405" s="1"/>
  <c r="G41" i="411" s="1"/>
  <c r="E35" i="405"/>
  <c r="F35" i="405" s="1"/>
  <c r="G43" i="411" s="1"/>
  <c r="E36" i="405"/>
  <c r="F36" i="405" s="1"/>
  <c r="G45" i="411" s="1"/>
  <c r="E37" i="405"/>
  <c r="F37" i="405" s="1"/>
  <c r="G47" i="411" s="1"/>
  <c r="E38" i="405"/>
  <c r="F38" i="405" s="1"/>
  <c r="G49" i="411" s="1"/>
  <c r="E39" i="405"/>
  <c r="F39" i="405" s="1"/>
  <c r="G51" i="411" s="1"/>
  <c r="E40" i="405"/>
  <c r="F40" i="405" s="1"/>
  <c r="G53" i="411" s="1"/>
  <c r="E41" i="405"/>
  <c r="F41" i="405" s="1"/>
  <c r="G55" i="411" s="1"/>
  <c r="E42" i="405"/>
  <c r="F42" i="405" s="1"/>
  <c r="G57" i="411" s="1"/>
  <c r="E43" i="405"/>
  <c r="F43" i="405" s="1"/>
  <c r="G59" i="411" s="1"/>
  <c r="E44" i="405"/>
  <c r="F44" i="405" s="1"/>
  <c r="G61" i="411" s="1"/>
  <c r="E45" i="405"/>
  <c r="E46" i="405"/>
  <c r="F46" i="405" s="1"/>
  <c r="G65" i="411" s="1"/>
  <c r="E47" i="405"/>
  <c r="E48" i="405"/>
  <c r="F48" i="405" s="1"/>
  <c r="G69" i="411" s="1"/>
  <c r="E49" i="405"/>
  <c r="F49" i="405" s="1"/>
  <c r="G71" i="411" s="1"/>
  <c r="E50" i="405"/>
  <c r="F50" i="405" s="1"/>
  <c r="G73" i="411" s="1"/>
  <c r="E51" i="405"/>
  <c r="F51" i="405" s="1"/>
  <c r="G75" i="411" s="1"/>
  <c r="E52" i="405"/>
  <c r="F52" i="405" s="1"/>
  <c r="G77" i="411" s="1"/>
  <c r="E53" i="405"/>
  <c r="F53" i="405" s="1"/>
  <c r="G79" i="411" s="1"/>
  <c r="E54" i="405"/>
  <c r="F54" i="405" s="1"/>
  <c r="G81" i="411" s="1"/>
  <c r="E15" i="405"/>
  <c r="F15" i="405" s="1"/>
  <c r="G3" i="411" s="1"/>
  <c r="F45" i="405"/>
  <c r="G63" i="411" s="1"/>
  <c r="F47" i="405"/>
  <c r="G67" i="411" s="1"/>
  <c r="X54" i="405"/>
  <c r="D54" i="405"/>
  <c r="C54" i="405"/>
  <c r="B54" i="405"/>
  <c r="X53" i="405"/>
  <c r="D53" i="405"/>
  <c r="C53" i="405"/>
  <c r="B53" i="405"/>
  <c r="X52" i="405"/>
  <c r="D52" i="405"/>
  <c r="C52" i="405"/>
  <c r="B52" i="405"/>
  <c r="X51" i="405"/>
  <c r="D51" i="405"/>
  <c r="C51" i="405"/>
  <c r="B51" i="405"/>
  <c r="X50" i="405"/>
  <c r="D50" i="405"/>
  <c r="C50" i="405"/>
  <c r="B50" i="405"/>
  <c r="X49" i="405"/>
  <c r="D49" i="405"/>
  <c r="C49" i="405"/>
  <c r="B49" i="405"/>
  <c r="X48" i="405"/>
  <c r="D48" i="405"/>
  <c r="C48" i="405"/>
  <c r="B48" i="405"/>
  <c r="X47" i="405"/>
  <c r="D47" i="405"/>
  <c r="C47" i="405"/>
  <c r="B47" i="405"/>
  <c r="X46" i="405"/>
  <c r="D46" i="405"/>
  <c r="C46" i="405"/>
  <c r="B46" i="405"/>
  <c r="X45" i="405"/>
  <c r="D45" i="405"/>
  <c r="C45" i="405"/>
  <c r="B45" i="405"/>
  <c r="X44" i="405"/>
  <c r="D44" i="405"/>
  <c r="C44" i="405"/>
  <c r="B44" i="405"/>
  <c r="X43" i="405"/>
  <c r="D43" i="405"/>
  <c r="C43" i="405"/>
  <c r="B43" i="405"/>
  <c r="X42" i="405"/>
  <c r="D42" i="405"/>
  <c r="C42" i="405"/>
  <c r="B42" i="405"/>
  <c r="X41" i="405"/>
  <c r="D41" i="405"/>
  <c r="C41" i="405"/>
  <c r="B41" i="405"/>
  <c r="X40" i="405"/>
  <c r="D40" i="405"/>
  <c r="C40" i="405"/>
  <c r="B40" i="405"/>
  <c r="X39" i="405"/>
  <c r="D39" i="405"/>
  <c r="C39" i="405"/>
  <c r="B39" i="405"/>
  <c r="X38" i="405"/>
  <c r="D38" i="405"/>
  <c r="C38" i="405"/>
  <c r="B38" i="405"/>
  <c r="X37" i="405"/>
  <c r="D37" i="405"/>
  <c r="C37" i="405"/>
  <c r="B37" i="405"/>
  <c r="X36" i="405"/>
  <c r="D36" i="405"/>
  <c r="C36" i="405"/>
  <c r="B36" i="405"/>
  <c r="X35" i="405"/>
  <c r="D35" i="405"/>
  <c r="C35" i="405"/>
  <c r="B35" i="405"/>
  <c r="X34" i="405"/>
  <c r="D34" i="405"/>
  <c r="C34" i="405"/>
  <c r="B34" i="405"/>
  <c r="X33" i="405"/>
  <c r="D33" i="405"/>
  <c r="C33" i="405"/>
  <c r="B33" i="405"/>
  <c r="X32" i="405"/>
  <c r="D32" i="405"/>
  <c r="C32" i="405"/>
  <c r="B32" i="405"/>
  <c r="X31" i="405"/>
  <c r="D31" i="405"/>
  <c r="C31" i="405"/>
  <c r="B31" i="405"/>
  <c r="X30" i="405"/>
  <c r="D30" i="405"/>
  <c r="C30" i="405"/>
  <c r="B30" i="405"/>
  <c r="X29" i="405"/>
  <c r="D29" i="405"/>
  <c r="C29" i="405"/>
  <c r="B29" i="405"/>
  <c r="X28" i="405"/>
  <c r="D28" i="405"/>
  <c r="C28" i="405"/>
  <c r="B28" i="405"/>
  <c r="X27" i="405"/>
  <c r="D27" i="405"/>
  <c r="C27" i="405"/>
  <c r="B27" i="405"/>
  <c r="X26" i="405"/>
  <c r="D26" i="405"/>
  <c r="C26" i="405"/>
  <c r="B26" i="405"/>
  <c r="X25" i="405"/>
  <c r="D25" i="405"/>
  <c r="C25" i="405"/>
  <c r="B25" i="405"/>
  <c r="X24" i="405"/>
  <c r="D24" i="405"/>
  <c r="C24" i="405"/>
  <c r="B24" i="405"/>
  <c r="X23" i="405"/>
  <c r="D23" i="405"/>
  <c r="C23" i="405"/>
  <c r="B23" i="405"/>
  <c r="X22" i="405"/>
  <c r="D22" i="405"/>
  <c r="C22" i="405"/>
  <c r="B22" i="405"/>
  <c r="X21" i="405"/>
  <c r="D21" i="405"/>
  <c r="C21" i="405"/>
  <c r="B21" i="405"/>
  <c r="X20" i="405"/>
  <c r="D20" i="405"/>
  <c r="C20" i="405"/>
  <c r="B20" i="405"/>
  <c r="X19" i="405"/>
  <c r="D19" i="405"/>
  <c r="C19" i="405"/>
  <c r="B19" i="405"/>
  <c r="X18" i="405"/>
  <c r="D18" i="405"/>
  <c r="C18" i="405"/>
  <c r="B18" i="405"/>
  <c r="X17" i="405"/>
  <c r="AC23" i="405"/>
  <c r="D17" i="405"/>
  <c r="C17" i="405"/>
  <c r="B17" i="405"/>
  <c r="X16" i="405"/>
  <c r="D16" i="405"/>
  <c r="C16" i="405"/>
  <c r="B16" i="405"/>
  <c r="X15" i="405"/>
  <c r="D15" i="405"/>
  <c r="C15" i="405"/>
  <c r="B15" i="405"/>
  <c r="E9" i="405"/>
  <c r="E8" i="405"/>
  <c r="E7" i="405"/>
  <c r="E6" i="405"/>
  <c r="E5" i="405"/>
  <c r="E4" i="405"/>
  <c r="E3" i="405"/>
  <c r="E17" i="396"/>
  <c r="F17" i="396"/>
  <c r="G17" i="396"/>
  <c r="H17" i="396"/>
  <c r="I17" i="396"/>
  <c r="J17" i="396"/>
  <c r="E18" i="396"/>
  <c r="F18" i="396"/>
  <c r="G18" i="396"/>
  <c r="H18" i="396"/>
  <c r="I18" i="396"/>
  <c r="J18" i="396"/>
  <c r="E19" i="396"/>
  <c r="F19" i="396"/>
  <c r="G19" i="396"/>
  <c r="H19" i="396"/>
  <c r="I19" i="396"/>
  <c r="J19" i="396"/>
  <c r="E20" i="396"/>
  <c r="F20" i="396"/>
  <c r="G20" i="396"/>
  <c r="H20" i="396"/>
  <c r="I20" i="396"/>
  <c r="J20" i="396"/>
  <c r="E21" i="396"/>
  <c r="F21" i="396"/>
  <c r="G21" i="396"/>
  <c r="H21" i="396"/>
  <c r="I21" i="396"/>
  <c r="J21" i="396"/>
  <c r="E22" i="396"/>
  <c r="F22" i="396"/>
  <c r="G22" i="396"/>
  <c r="H22" i="396"/>
  <c r="I22" i="396"/>
  <c r="J22" i="396"/>
  <c r="E23" i="396"/>
  <c r="F23" i="396"/>
  <c r="G23" i="396"/>
  <c r="H23" i="396"/>
  <c r="I23" i="396"/>
  <c r="J23" i="396"/>
  <c r="E24" i="396"/>
  <c r="F24" i="396"/>
  <c r="G24" i="396"/>
  <c r="H24" i="396"/>
  <c r="I24" i="396"/>
  <c r="J24" i="396"/>
  <c r="E25" i="396"/>
  <c r="F25" i="396"/>
  <c r="G25" i="396"/>
  <c r="H25" i="396"/>
  <c r="I25" i="396"/>
  <c r="J25" i="396"/>
  <c r="E26" i="396"/>
  <c r="F26" i="396"/>
  <c r="G26" i="396"/>
  <c r="H26" i="396"/>
  <c r="I26" i="396"/>
  <c r="J26" i="396"/>
  <c r="E27" i="396"/>
  <c r="F27" i="396"/>
  <c r="G27" i="396"/>
  <c r="H27" i="396"/>
  <c r="I27" i="396"/>
  <c r="J27" i="396"/>
  <c r="E28" i="396"/>
  <c r="F28" i="396"/>
  <c r="G28" i="396"/>
  <c r="H28" i="396"/>
  <c r="I28" i="396"/>
  <c r="J28" i="396"/>
  <c r="E29" i="396"/>
  <c r="F29" i="396"/>
  <c r="G29" i="396"/>
  <c r="H29" i="396"/>
  <c r="I29" i="396"/>
  <c r="J29" i="396"/>
  <c r="E30" i="396"/>
  <c r="F30" i="396"/>
  <c r="G30" i="396"/>
  <c r="H30" i="396"/>
  <c r="I30" i="396"/>
  <c r="J30" i="396"/>
  <c r="E31" i="396"/>
  <c r="F31" i="396"/>
  <c r="G31" i="396"/>
  <c r="H31" i="396"/>
  <c r="I31" i="396"/>
  <c r="J31" i="396"/>
  <c r="E32" i="396"/>
  <c r="F32" i="396"/>
  <c r="G32" i="396"/>
  <c r="H32" i="396"/>
  <c r="I32" i="396"/>
  <c r="J32" i="396"/>
  <c r="E33" i="396"/>
  <c r="F33" i="396"/>
  <c r="G33" i="396"/>
  <c r="H33" i="396"/>
  <c r="I33" i="396"/>
  <c r="J33" i="396"/>
  <c r="E34" i="396"/>
  <c r="F34" i="396"/>
  <c r="G34" i="396"/>
  <c r="H34" i="396"/>
  <c r="I34" i="396"/>
  <c r="J34" i="396"/>
  <c r="E35" i="396"/>
  <c r="F35" i="396"/>
  <c r="G35" i="396"/>
  <c r="H35" i="396"/>
  <c r="I35" i="396"/>
  <c r="J35" i="396"/>
  <c r="E36" i="396"/>
  <c r="F36" i="396"/>
  <c r="G36" i="396"/>
  <c r="H36" i="396"/>
  <c r="I36" i="396"/>
  <c r="J36" i="396"/>
  <c r="E37" i="396"/>
  <c r="F37" i="396"/>
  <c r="G37" i="396"/>
  <c r="H37" i="396"/>
  <c r="I37" i="396"/>
  <c r="E38" i="396"/>
  <c r="F38" i="396"/>
  <c r="G38" i="396"/>
  <c r="H38" i="396"/>
  <c r="I38" i="396"/>
  <c r="J38" i="396"/>
  <c r="E39" i="396"/>
  <c r="F39" i="396"/>
  <c r="G39" i="396"/>
  <c r="H39" i="396"/>
  <c r="I39" i="396"/>
  <c r="J39" i="396"/>
  <c r="E40" i="396"/>
  <c r="F40" i="396"/>
  <c r="G40" i="396"/>
  <c r="H40" i="396"/>
  <c r="I40" i="396"/>
  <c r="J40" i="396"/>
  <c r="E41" i="396"/>
  <c r="F41" i="396"/>
  <c r="G41" i="396"/>
  <c r="H41" i="396"/>
  <c r="I41" i="396"/>
  <c r="J41" i="396"/>
  <c r="E42" i="396"/>
  <c r="F42" i="396"/>
  <c r="G42" i="396"/>
  <c r="H42" i="396"/>
  <c r="I42" i="396"/>
  <c r="J42" i="396"/>
  <c r="E43" i="396"/>
  <c r="F43" i="396"/>
  <c r="G43" i="396"/>
  <c r="H43" i="396"/>
  <c r="I43" i="396"/>
  <c r="J43" i="396"/>
  <c r="E44" i="396"/>
  <c r="F44" i="396"/>
  <c r="G44" i="396"/>
  <c r="H44" i="396"/>
  <c r="I44" i="396"/>
  <c r="J44" i="396"/>
  <c r="E45" i="396"/>
  <c r="F45" i="396"/>
  <c r="G45" i="396"/>
  <c r="H45" i="396"/>
  <c r="I45" i="396"/>
  <c r="J45" i="396"/>
  <c r="E46" i="396"/>
  <c r="F46" i="396"/>
  <c r="G46" i="396"/>
  <c r="H46" i="396"/>
  <c r="I46" i="396"/>
  <c r="J46" i="396"/>
  <c r="E47" i="396"/>
  <c r="F47" i="396"/>
  <c r="G47" i="396"/>
  <c r="H47" i="396"/>
  <c r="I47" i="396"/>
  <c r="J47" i="396"/>
  <c r="E48" i="396"/>
  <c r="F48" i="396"/>
  <c r="G48" i="396"/>
  <c r="H48" i="396"/>
  <c r="I48" i="396"/>
  <c r="J48" i="396"/>
  <c r="E49" i="396"/>
  <c r="F49" i="396"/>
  <c r="G49" i="396"/>
  <c r="H49" i="396"/>
  <c r="I49" i="396"/>
  <c r="J49" i="396"/>
  <c r="K49" i="396"/>
  <c r="L49" i="396"/>
  <c r="M49" i="396"/>
  <c r="N49" i="396"/>
  <c r="O49" i="396"/>
  <c r="P49" i="396"/>
  <c r="Q49" i="396"/>
  <c r="R49" i="396"/>
  <c r="S49" i="396"/>
  <c r="T49" i="396"/>
  <c r="U49" i="396"/>
  <c r="V49" i="396"/>
  <c r="W49" i="396"/>
  <c r="X49" i="396"/>
  <c r="E50" i="396"/>
  <c r="F50" i="396"/>
  <c r="G50" i="396"/>
  <c r="H50" i="396"/>
  <c r="I50" i="396"/>
  <c r="J50" i="396"/>
  <c r="K50" i="396"/>
  <c r="L50" i="396"/>
  <c r="M50" i="396"/>
  <c r="N50" i="396"/>
  <c r="O50" i="396"/>
  <c r="P50" i="396"/>
  <c r="Q50" i="396"/>
  <c r="R50" i="396"/>
  <c r="S50" i="396"/>
  <c r="T50" i="396"/>
  <c r="U50" i="396"/>
  <c r="V50" i="396"/>
  <c r="W50" i="396"/>
  <c r="X50" i="396"/>
  <c r="E51" i="396"/>
  <c r="F51" i="396"/>
  <c r="G51" i="396"/>
  <c r="H51" i="396"/>
  <c r="I51" i="396"/>
  <c r="J51" i="396"/>
  <c r="K51" i="396"/>
  <c r="L51" i="396"/>
  <c r="M51" i="396"/>
  <c r="N51" i="396"/>
  <c r="O51" i="396"/>
  <c r="P51" i="396"/>
  <c r="Q51" i="396"/>
  <c r="R51" i="396"/>
  <c r="S51" i="396"/>
  <c r="T51" i="396"/>
  <c r="U51" i="396"/>
  <c r="V51" i="396"/>
  <c r="W51" i="396"/>
  <c r="X51" i="396"/>
  <c r="E52" i="396"/>
  <c r="F52" i="396"/>
  <c r="G52" i="396"/>
  <c r="H52" i="396"/>
  <c r="I52" i="396"/>
  <c r="J52" i="396"/>
  <c r="K52" i="396"/>
  <c r="L52" i="396"/>
  <c r="M52" i="396"/>
  <c r="N52" i="396"/>
  <c r="O52" i="396"/>
  <c r="P52" i="396"/>
  <c r="Q52" i="396"/>
  <c r="R52" i="396"/>
  <c r="S52" i="396"/>
  <c r="T52" i="396"/>
  <c r="U52" i="396"/>
  <c r="V52" i="396"/>
  <c r="W52" i="396"/>
  <c r="X52" i="396"/>
  <c r="E53" i="396"/>
  <c r="F53" i="396"/>
  <c r="G53" i="396"/>
  <c r="H53" i="396"/>
  <c r="I53" i="396"/>
  <c r="J53" i="396"/>
  <c r="K53" i="396"/>
  <c r="L53" i="396"/>
  <c r="M53" i="396"/>
  <c r="N53" i="396"/>
  <c r="O53" i="396"/>
  <c r="P53" i="396"/>
  <c r="Q53" i="396"/>
  <c r="R53" i="396"/>
  <c r="S53" i="396"/>
  <c r="T53" i="396"/>
  <c r="U53" i="396"/>
  <c r="V53" i="396"/>
  <c r="W53" i="396"/>
  <c r="X53" i="396"/>
  <c r="E54" i="396"/>
  <c r="F54" i="396"/>
  <c r="G54" i="396"/>
  <c r="H54" i="396"/>
  <c r="I54" i="396"/>
  <c r="J54" i="396"/>
  <c r="K54" i="396"/>
  <c r="L54" i="396"/>
  <c r="M54" i="396"/>
  <c r="N54" i="396"/>
  <c r="O54" i="396"/>
  <c r="P54" i="396"/>
  <c r="Q54" i="396"/>
  <c r="R54" i="396"/>
  <c r="S54" i="396"/>
  <c r="T54" i="396"/>
  <c r="U54" i="396"/>
  <c r="V54" i="396"/>
  <c r="W54" i="396"/>
  <c r="X54" i="396"/>
  <c r="E55" i="396"/>
  <c r="F55" i="396"/>
  <c r="G55" i="396"/>
  <c r="H55" i="396"/>
  <c r="I55" i="396"/>
  <c r="J55" i="396"/>
  <c r="K55" i="396"/>
  <c r="L55" i="396"/>
  <c r="M55" i="396"/>
  <c r="N55" i="396"/>
  <c r="O55" i="396"/>
  <c r="P55" i="396"/>
  <c r="Q55" i="396"/>
  <c r="R55" i="396"/>
  <c r="S55" i="396"/>
  <c r="T55" i="396"/>
  <c r="U55" i="396"/>
  <c r="V55" i="396"/>
  <c r="W55" i="396"/>
  <c r="X55" i="396"/>
  <c r="F16" i="396"/>
  <c r="G16" i="396"/>
  <c r="H16" i="396"/>
  <c r="I16" i="396"/>
  <c r="J16" i="396"/>
  <c r="E16" i="396"/>
  <c r="I18" i="399" s="1"/>
  <c r="J18" i="399" s="1"/>
  <c r="D55" i="404"/>
  <c r="C55" i="404"/>
  <c r="B55" i="404"/>
  <c r="D54" i="404"/>
  <c r="C54" i="404"/>
  <c r="B54" i="404"/>
  <c r="D53" i="404"/>
  <c r="C53" i="404"/>
  <c r="B53" i="404"/>
  <c r="D52" i="404"/>
  <c r="C52" i="404"/>
  <c r="B52" i="404"/>
  <c r="D51" i="404"/>
  <c r="C51" i="404"/>
  <c r="B51" i="404"/>
  <c r="D50" i="404"/>
  <c r="C50" i="404"/>
  <c r="B50" i="404"/>
  <c r="D49" i="404"/>
  <c r="C49" i="404"/>
  <c r="B49" i="404"/>
  <c r="D48" i="404"/>
  <c r="C48" i="404"/>
  <c r="B48" i="404"/>
  <c r="D47" i="404"/>
  <c r="C47" i="404"/>
  <c r="B47" i="404"/>
  <c r="D46" i="404"/>
  <c r="C46" i="404"/>
  <c r="B46" i="404"/>
  <c r="D45" i="404"/>
  <c r="C45" i="404"/>
  <c r="B45" i="404"/>
  <c r="D44" i="404"/>
  <c r="C44" i="404"/>
  <c r="B44" i="404"/>
  <c r="D43" i="404"/>
  <c r="C43" i="404"/>
  <c r="B43" i="404"/>
  <c r="D42" i="404"/>
  <c r="C42" i="404"/>
  <c r="B42" i="404"/>
  <c r="D41" i="404"/>
  <c r="C41" i="404"/>
  <c r="B41" i="404"/>
  <c r="D40" i="404"/>
  <c r="C40" i="404"/>
  <c r="B40" i="404"/>
  <c r="D39" i="404"/>
  <c r="C39" i="404"/>
  <c r="B39" i="404"/>
  <c r="D38" i="404"/>
  <c r="C38" i="404"/>
  <c r="B38" i="404"/>
  <c r="D37" i="404"/>
  <c r="C37" i="404"/>
  <c r="B37" i="404"/>
  <c r="D36" i="404"/>
  <c r="C36" i="404"/>
  <c r="B36" i="404"/>
  <c r="D35" i="404"/>
  <c r="C35" i="404"/>
  <c r="B35" i="404"/>
  <c r="D34" i="404"/>
  <c r="C34" i="404"/>
  <c r="B34" i="404"/>
  <c r="D33" i="404"/>
  <c r="C33" i="404"/>
  <c r="B33" i="404"/>
  <c r="D32" i="404"/>
  <c r="C32" i="404"/>
  <c r="B32" i="404"/>
  <c r="D31" i="404"/>
  <c r="C31" i="404"/>
  <c r="B31" i="404"/>
  <c r="D30" i="404"/>
  <c r="C30" i="404"/>
  <c r="B30" i="404"/>
  <c r="D29" i="404"/>
  <c r="C29" i="404"/>
  <c r="B29" i="404"/>
  <c r="D28" i="404"/>
  <c r="C28" i="404"/>
  <c r="B28" i="404"/>
  <c r="D27" i="404"/>
  <c r="C27" i="404"/>
  <c r="B27" i="404"/>
  <c r="D26" i="404"/>
  <c r="C26" i="404"/>
  <c r="B26" i="404"/>
  <c r="D25" i="404"/>
  <c r="C25" i="404"/>
  <c r="B25" i="404"/>
  <c r="D24" i="404"/>
  <c r="C24" i="404"/>
  <c r="B24" i="404"/>
  <c r="D23" i="404"/>
  <c r="C23" i="404"/>
  <c r="B23" i="404"/>
  <c r="D22" i="404"/>
  <c r="C22" i="404"/>
  <c r="B22" i="404"/>
  <c r="D21" i="404"/>
  <c r="C21" i="404"/>
  <c r="B21" i="404"/>
  <c r="D20" i="404"/>
  <c r="C20" i="404"/>
  <c r="B20" i="404"/>
  <c r="D19" i="404"/>
  <c r="C19" i="404"/>
  <c r="B19" i="404"/>
  <c r="D18" i="404"/>
  <c r="C18" i="404"/>
  <c r="B18" i="404"/>
  <c r="D17" i="404"/>
  <c r="C17" i="404"/>
  <c r="B17" i="404"/>
  <c r="D16" i="404"/>
  <c r="C16" i="404"/>
  <c r="B16" i="404"/>
  <c r="K6" i="399" l="1"/>
  <c r="K7" i="388"/>
  <c r="I10" i="388" s="1"/>
  <c r="C12" i="388"/>
  <c r="D12" i="388" s="1"/>
  <c r="B10" i="388"/>
  <c r="B10" i="399"/>
  <c r="X6" i="404"/>
  <c r="I35" i="407"/>
  <c r="AH36" i="1" s="1"/>
  <c r="I15" i="408"/>
  <c r="AH16" i="396" s="1"/>
  <c r="I54" i="408"/>
  <c r="AH55" i="396" s="1"/>
  <c r="K81" i="412" s="1"/>
  <c r="I16" i="408"/>
  <c r="AH17" i="396" s="1"/>
  <c r="I18" i="408"/>
  <c r="AH19" i="396" s="1"/>
  <c r="I20" i="408"/>
  <c r="AH21" i="396" s="1"/>
  <c r="I22" i="408"/>
  <c r="AH23" i="396" s="1"/>
  <c r="I24" i="408"/>
  <c r="AH25" i="396" s="1"/>
  <c r="I26" i="408"/>
  <c r="AH27" i="396" s="1"/>
  <c r="I28" i="408"/>
  <c r="AH29" i="396" s="1"/>
  <c r="K29" i="412" s="1"/>
  <c r="I30" i="408"/>
  <c r="AH31" i="396" s="1"/>
  <c r="K33" i="412" s="1"/>
  <c r="I32" i="408"/>
  <c r="AH33" i="396" s="1"/>
  <c r="K37" i="412" s="1"/>
  <c r="I34" i="408"/>
  <c r="AH35" i="396" s="1"/>
  <c r="K41" i="412" s="1"/>
  <c r="I36" i="408"/>
  <c r="AH37" i="396" s="1"/>
  <c r="K45" i="412" s="1"/>
  <c r="I38" i="408"/>
  <c r="AH39" i="396" s="1"/>
  <c r="K49" i="412" s="1"/>
  <c r="I40" i="408"/>
  <c r="AH41" i="396" s="1"/>
  <c r="K53" i="412" s="1"/>
  <c r="I42" i="408"/>
  <c r="AH43" i="396" s="1"/>
  <c r="K57" i="412" s="1"/>
  <c r="I44" i="408"/>
  <c r="AH45" i="396" s="1"/>
  <c r="K61" i="412" s="1"/>
  <c r="I46" i="408"/>
  <c r="AH47" i="396" s="1"/>
  <c r="K65" i="412" s="1"/>
  <c r="I48" i="408"/>
  <c r="AH49" i="396" s="1"/>
  <c r="K69" i="412" s="1"/>
  <c r="I50" i="408"/>
  <c r="AH51" i="396" s="1"/>
  <c r="K73" i="412" s="1"/>
  <c r="I52" i="408"/>
  <c r="AH53" i="396" s="1"/>
  <c r="K77" i="412" s="1"/>
  <c r="I17" i="408"/>
  <c r="AH18" i="396" s="1"/>
  <c r="I19" i="408"/>
  <c r="AH20" i="396" s="1"/>
  <c r="I21" i="408"/>
  <c r="AH22" i="396" s="1"/>
  <c r="I23" i="408"/>
  <c r="AH24" i="396" s="1"/>
  <c r="I25" i="408"/>
  <c r="AH26" i="396" s="1"/>
  <c r="I27" i="408"/>
  <c r="AH28" i="396" s="1"/>
  <c r="K27" i="412" s="1"/>
  <c r="I29" i="408"/>
  <c r="AH30" i="396" s="1"/>
  <c r="K31" i="412" s="1"/>
  <c r="I31" i="408"/>
  <c r="AH32" i="396" s="1"/>
  <c r="K35" i="412" s="1"/>
  <c r="I33" i="408"/>
  <c r="AH34" i="396" s="1"/>
  <c r="K39" i="412" s="1"/>
  <c r="I35" i="408"/>
  <c r="AH36" i="396" s="1"/>
  <c r="K43" i="412" s="1"/>
  <c r="I37" i="408"/>
  <c r="AH38" i="396" s="1"/>
  <c r="K47" i="412" s="1"/>
  <c r="I39" i="408"/>
  <c r="AH40" i="396" s="1"/>
  <c r="K51" i="412" s="1"/>
  <c r="I41" i="408"/>
  <c r="AH42" i="396" s="1"/>
  <c r="K55" i="412" s="1"/>
  <c r="I43" i="408"/>
  <c r="AH44" i="396" s="1"/>
  <c r="K59" i="412" s="1"/>
  <c r="I45" i="408"/>
  <c r="AH46" i="396" s="1"/>
  <c r="K63" i="412" s="1"/>
  <c r="I47" i="408"/>
  <c r="AH48" i="396" s="1"/>
  <c r="K67" i="412" s="1"/>
  <c r="I49" i="408"/>
  <c r="AH50" i="396" s="1"/>
  <c r="K71" i="412" s="1"/>
  <c r="I51" i="408"/>
  <c r="AH52" i="396" s="1"/>
  <c r="K75" i="412" s="1"/>
  <c r="I53" i="408"/>
  <c r="AH54" i="396" s="1"/>
  <c r="K79" i="412" s="1"/>
  <c r="K10" i="397"/>
  <c r="J3" i="397" s="1"/>
  <c r="AE28" i="405"/>
  <c r="AB18" i="405"/>
  <c r="AB28" i="405"/>
  <c r="AD23" i="405"/>
  <c r="AC28" i="405"/>
  <c r="AE23" i="405"/>
  <c r="AD28" i="405"/>
  <c r="AB23" i="405"/>
  <c r="G16" i="1"/>
  <c r="L5" i="391"/>
  <c r="L6" i="391"/>
  <c r="L7" i="391"/>
  <c r="L8" i="391"/>
  <c r="L9" i="391"/>
  <c r="L4" i="39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E21" i="1"/>
  <c r="F21" i="1"/>
  <c r="G21" i="1"/>
  <c r="H21" i="1"/>
  <c r="I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E17" i="1"/>
  <c r="F16" i="1"/>
  <c r="I19" i="388" s="1"/>
  <c r="J19" i="388" s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E16" i="1"/>
  <c r="I18" i="388" s="1"/>
  <c r="J18" i="388" s="1"/>
  <c r="D55" i="403"/>
  <c r="C55" i="403"/>
  <c r="B55" i="403"/>
  <c r="D54" i="403"/>
  <c r="C54" i="403"/>
  <c r="B54" i="403"/>
  <c r="D53" i="403"/>
  <c r="C53" i="403"/>
  <c r="B53" i="403"/>
  <c r="D52" i="403"/>
  <c r="C52" i="403"/>
  <c r="B52" i="403"/>
  <c r="D51" i="403"/>
  <c r="C51" i="403"/>
  <c r="B51" i="403"/>
  <c r="D50" i="403"/>
  <c r="C50" i="403"/>
  <c r="B50" i="403"/>
  <c r="D49" i="403"/>
  <c r="C49" i="403"/>
  <c r="B49" i="403"/>
  <c r="D48" i="403"/>
  <c r="C48" i="403"/>
  <c r="B48" i="403"/>
  <c r="D47" i="403"/>
  <c r="C47" i="403"/>
  <c r="B47" i="403"/>
  <c r="D46" i="403"/>
  <c r="C46" i="403"/>
  <c r="B46" i="403"/>
  <c r="D45" i="403"/>
  <c r="C45" i="403"/>
  <c r="B45" i="403"/>
  <c r="D44" i="403"/>
  <c r="C44" i="403"/>
  <c r="B44" i="403"/>
  <c r="D43" i="403"/>
  <c r="C43" i="403"/>
  <c r="B43" i="403"/>
  <c r="D42" i="403"/>
  <c r="C42" i="403"/>
  <c r="B42" i="403"/>
  <c r="D41" i="403"/>
  <c r="C41" i="403"/>
  <c r="B41" i="403"/>
  <c r="D40" i="403"/>
  <c r="C40" i="403"/>
  <c r="B40" i="403"/>
  <c r="D39" i="403"/>
  <c r="C39" i="403"/>
  <c r="B39" i="403"/>
  <c r="D38" i="403"/>
  <c r="C38" i="403"/>
  <c r="B38" i="403"/>
  <c r="D37" i="403"/>
  <c r="C37" i="403"/>
  <c r="B37" i="403"/>
  <c r="D36" i="403"/>
  <c r="C36" i="403"/>
  <c r="B36" i="403"/>
  <c r="D35" i="403"/>
  <c r="C35" i="403"/>
  <c r="B35" i="403"/>
  <c r="D34" i="403"/>
  <c r="C34" i="403"/>
  <c r="B34" i="403"/>
  <c r="D33" i="403"/>
  <c r="C33" i="403"/>
  <c r="B33" i="403"/>
  <c r="D32" i="403"/>
  <c r="C32" i="403"/>
  <c r="B32" i="403"/>
  <c r="D31" i="403"/>
  <c r="C31" i="403"/>
  <c r="B31" i="403"/>
  <c r="D30" i="403"/>
  <c r="C30" i="403"/>
  <c r="B30" i="403"/>
  <c r="D29" i="403"/>
  <c r="C29" i="403"/>
  <c r="B29" i="403"/>
  <c r="D28" i="403"/>
  <c r="C28" i="403"/>
  <c r="B28" i="403"/>
  <c r="D27" i="403"/>
  <c r="C27" i="403"/>
  <c r="B27" i="403"/>
  <c r="D26" i="403"/>
  <c r="C26" i="403"/>
  <c r="B26" i="403"/>
  <c r="D25" i="403"/>
  <c r="C25" i="403"/>
  <c r="B25" i="403"/>
  <c r="D24" i="403"/>
  <c r="C24" i="403"/>
  <c r="B24" i="403"/>
  <c r="D23" i="403"/>
  <c r="C23" i="403"/>
  <c r="B23" i="403"/>
  <c r="D22" i="403"/>
  <c r="C22" i="403"/>
  <c r="B22" i="403"/>
  <c r="D21" i="403"/>
  <c r="C21" i="403"/>
  <c r="B21" i="403"/>
  <c r="D20" i="403"/>
  <c r="C20" i="403"/>
  <c r="B20" i="403"/>
  <c r="D19" i="403"/>
  <c r="C19" i="403"/>
  <c r="B19" i="403"/>
  <c r="D18" i="403"/>
  <c r="C18" i="403"/>
  <c r="B18" i="403"/>
  <c r="D17" i="403"/>
  <c r="C17" i="403"/>
  <c r="B17" i="403"/>
  <c r="D16" i="403"/>
  <c r="C16" i="403"/>
  <c r="B16" i="403"/>
  <c r="E9" i="403"/>
  <c r="E8" i="403"/>
  <c r="E7" i="403"/>
  <c r="E6" i="403"/>
  <c r="X5" i="403"/>
  <c r="E5" i="403"/>
  <c r="E4" i="403"/>
  <c r="E3" i="403"/>
  <c r="C12" i="399" l="1"/>
  <c r="D12" i="399" s="1"/>
  <c r="AD18" i="405"/>
  <c r="AE18" i="405"/>
  <c r="AC18" i="405"/>
  <c r="AF18" i="405" s="1"/>
  <c r="AF28" i="405"/>
  <c r="AF23" i="405"/>
  <c r="K10" i="391"/>
  <c r="J3" i="391" s="1"/>
  <c r="X6" i="403"/>
  <c r="O27" i="402"/>
  <c r="N27" i="402"/>
  <c r="M27" i="402"/>
  <c r="L27" i="402"/>
  <c r="K27" i="402"/>
  <c r="J27" i="402"/>
  <c r="I27" i="402"/>
  <c r="H27" i="402"/>
  <c r="G27" i="402"/>
  <c r="E27" i="402"/>
  <c r="K9" i="402" s="1"/>
  <c r="K10" i="402" s="1"/>
  <c r="P26" i="402"/>
  <c r="F26" i="402"/>
  <c r="P25" i="402"/>
  <c r="F25" i="402"/>
  <c r="P24" i="402"/>
  <c r="F24" i="402"/>
  <c r="P23" i="402"/>
  <c r="F23" i="402"/>
  <c r="P22" i="402"/>
  <c r="P21" i="402"/>
  <c r="P20" i="402"/>
  <c r="P19" i="402"/>
  <c r="P18" i="402"/>
  <c r="P17" i="402"/>
  <c r="P16" i="402"/>
  <c r="P15" i="402"/>
  <c r="B10" i="402"/>
  <c r="B9" i="402"/>
  <c r="B8" i="402"/>
  <c r="B7" i="402"/>
  <c r="I6" i="402"/>
  <c r="B6" i="402"/>
  <c r="B5" i="402"/>
  <c r="B4" i="402"/>
  <c r="P15" i="401"/>
  <c r="P16" i="401"/>
  <c r="P17" i="401"/>
  <c r="P18" i="401"/>
  <c r="P19" i="401"/>
  <c r="P20" i="401"/>
  <c r="P21" i="401"/>
  <c r="P22" i="401"/>
  <c r="P23" i="401"/>
  <c r="P24" i="401"/>
  <c r="P25" i="401"/>
  <c r="P26" i="401"/>
  <c r="O27" i="401"/>
  <c r="P27" i="402" l="1"/>
  <c r="F15" i="402"/>
  <c r="F16" i="402"/>
  <c r="F17" i="402"/>
  <c r="F22" i="402"/>
  <c r="F20" i="402"/>
  <c r="F18" i="402"/>
  <c r="F19" i="402"/>
  <c r="F21" i="402"/>
  <c r="P27" i="401"/>
  <c r="E27" i="401"/>
  <c r="K9" i="401" s="1"/>
  <c r="K10" i="401" s="1"/>
  <c r="F23" i="401" s="1"/>
  <c r="G27" i="401"/>
  <c r="H27" i="401"/>
  <c r="I27" i="401"/>
  <c r="J27" i="401"/>
  <c r="K27" i="401"/>
  <c r="L27" i="401"/>
  <c r="M27" i="401"/>
  <c r="N27" i="401"/>
  <c r="F24" i="401"/>
  <c r="F25" i="401"/>
  <c r="F26" i="401"/>
  <c r="B5" i="401"/>
  <c r="B6" i="401"/>
  <c r="B7" i="401"/>
  <c r="B8" i="401"/>
  <c r="B9" i="401"/>
  <c r="B10" i="401"/>
  <c r="B4" i="401"/>
  <c r="I6" i="401"/>
  <c r="F17" i="401" l="1"/>
  <c r="F21" i="401"/>
  <c r="F20" i="401"/>
  <c r="F27" i="402"/>
  <c r="F22" i="401"/>
  <c r="F19" i="401"/>
  <c r="F15" i="401"/>
  <c r="F16" i="401"/>
  <c r="F18" i="401"/>
  <c r="F27" i="401" l="1"/>
  <c r="I37" i="399"/>
  <c r="J37" i="399" s="1"/>
  <c r="I36" i="399"/>
  <c r="I35" i="399"/>
  <c r="I34" i="399"/>
  <c r="I33" i="399"/>
  <c r="I32" i="399"/>
  <c r="J32" i="399" s="1"/>
  <c r="I31" i="399"/>
  <c r="I30" i="399"/>
  <c r="I29" i="399"/>
  <c r="J29" i="399" s="1"/>
  <c r="I28" i="399"/>
  <c r="J28" i="399" s="1"/>
  <c r="I27" i="399"/>
  <c r="I26" i="399"/>
  <c r="I25" i="399"/>
  <c r="I24" i="399"/>
  <c r="I23" i="399"/>
  <c r="I22" i="399"/>
  <c r="I21" i="399"/>
  <c r="I20" i="399"/>
  <c r="I19" i="399"/>
  <c r="H37" i="399"/>
  <c r="A37" i="399" s="1"/>
  <c r="H36" i="399"/>
  <c r="A36" i="399" s="1"/>
  <c r="H35" i="399"/>
  <c r="H34" i="399"/>
  <c r="H33" i="399"/>
  <c r="A33" i="399" s="1"/>
  <c r="H32" i="399"/>
  <c r="A32" i="399" s="1"/>
  <c r="H31" i="399"/>
  <c r="A31" i="399" s="1"/>
  <c r="H30" i="399"/>
  <c r="H29" i="399"/>
  <c r="A29" i="399" s="1"/>
  <c r="H28" i="399"/>
  <c r="A28" i="399" s="1"/>
  <c r="H27" i="399"/>
  <c r="A27" i="399" s="1"/>
  <c r="H26" i="399"/>
  <c r="A26" i="399" s="1"/>
  <c r="H25" i="399"/>
  <c r="A25" i="399" s="1"/>
  <c r="H24" i="399"/>
  <c r="A24" i="399" s="1"/>
  <c r="H23" i="399"/>
  <c r="A23" i="399" s="1"/>
  <c r="H22" i="399"/>
  <c r="A22" i="399" s="1"/>
  <c r="H21" i="399"/>
  <c r="A21" i="399" s="1"/>
  <c r="H20" i="399"/>
  <c r="A20" i="399" s="1"/>
  <c r="H19" i="399"/>
  <c r="A19" i="399" s="1"/>
  <c r="H18" i="399"/>
  <c r="A18" i="399" s="1"/>
  <c r="E69" i="400"/>
  <c r="E66" i="400"/>
  <c r="E63" i="400"/>
  <c r="E60" i="400"/>
  <c r="E57" i="400"/>
  <c r="E54" i="400"/>
  <c r="E51" i="400"/>
  <c r="E48" i="400"/>
  <c r="E45" i="400"/>
  <c r="E42" i="400"/>
  <c r="E39" i="400"/>
  <c r="E36" i="400"/>
  <c r="E33" i="400"/>
  <c r="E30" i="400"/>
  <c r="E27" i="400"/>
  <c r="E24" i="400"/>
  <c r="E21" i="400"/>
  <c r="E18" i="400"/>
  <c r="E15" i="400"/>
  <c r="E12" i="400"/>
  <c r="I37" i="388"/>
  <c r="I36" i="388"/>
  <c r="I35" i="388"/>
  <c r="I34" i="388"/>
  <c r="I33" i="388"/>
  <c r="I32" i="388"/>
  <c r="I31" i="388"/>
  <c r="I30" i="388"/>
  <c r="I29" i="388"/>
  <c r="I28" i="388"/>
  <c r="I27" i="388"/>
  <c r="I26" i="388"/>
  <c r="I25" i="388"/>
  <c r="I24" i="388"/>
  <c r="I23" i="388"/>
  <c r="I22" i="388"/>
  <c r="I21" i="388"/>
  <c r="I20" i="388"/>
  <c r="J20" i="388" s="1"/>
  <c r="A35" i="399"/>
  <c r="A34" i="399"/>
  <c r="A30" i="399"/>
  <c r="E7" i="399"/>
  <c r="B5" i="399"/>
  <c r="B4" i="399"/>
  <c r="A2" i="399"/>
  <c r="E8" i="400" l="1"/>
  <c r="X12" i="404" s="1"/>
  <c r="E10" i="400"/>
  <c r="T7" i="404" s="1"/>
  <c r="J24" i="399"/>
  <c r="E24" i="399" s="1"/>
  <c r="E28" i="399"/>
  <c r="E29" i="399"/>
  <c r="J20" i="399"/>
  <c r="E20" i="399" s="1"/>
  <c r="J25" i="399"/>
  <c r="E25" i="399" s="1"/>
  <c r="J26" i="399"/>
  <c r="E26" i="399" s="1"/>
  <c r="J33" i="399"/>
  <c r="E33" i="399" s="1"/>
  <c r="J34" i="399"/>
  <c r="E34" i="399" s="1"/>
  <c r="J21" i="399"/>
  <c r="E21" i="399" s="1"/>
  <c r="J22" i="399"/>
  <c r="E22" i="399" s="1"/>
  <c r="E32" i="399"/>
  <c r="J30" i="399"/>
  <c r="E30" i="399" s="1"/>
  <c r="E37" i="399"/>
  <c r="J19" i="399"/>
  <c r="E19" i="399" s="1"/>
  <c r="J23" i="399"/>
  <c r="E23" i="399" s="1"/>
  <c r="J27" i="399"/>
  <c r="E27" i="399" s="1"/>
  <c r="J31" i="399"/>
  <c r="E31" i="399" s="1"/>
  <c r="J35" i="399"/>
  <c r="E35" i="399" s="1"/>
  <c r="J36" i="399"/>
  <c r="E36" i="399" s="1"/>
  <c r="E7" i="394"/>
  <c r="Y20" i="404" l="1"/>
  <c r="Y16" i="404"/>
  <c r="Y18" i="404"/>
  <c r="Y19" i="404"/>
  <c r="Y17" i="404"/>
  <c r="Y48" i="404"/>
  <c r="Y40" i="404"/>
  <c r="Y35" i="404"/>
  <c r="Y29" i="404"/>
  <c r="Y24" i="404"/>
  <c r="Y50" i="404"/>
  <c r="Y42" i="404"/>
  <c r="Y31" i="404"/>
  <c r="Y39" i="404"/>
  <c r="Y52" i="404"/>
  <c r="Y44" i="404"/>
  <c r="Y54" i="404"/>
  <c r="Y46" i="404"/>
  <c r="Y22" i="404"/>
  <c r="Y30" i="404"/>
  <c r="Y43" i="404"/>
  <c r="Y51" i="404"/>
  <c r="Y34" i="404"/>
  <c r="Y25" i="404"/>
  <c r="Y38" i="404"/>
  <c r="Y21" i="404"/>
  <c r="Y33" i="404"/>
  <c r="Y45" i="404"/>
  <c r="Y53" i="404"/>
  <c r="Y37" i="404"/>
  <c r="Y27" i="404"/>
  <c r="Y23" i="404"/>
  <c r="Y36" i="404"/>
  <c r="Y47" i="404"/>
  <c r="Y55" i="404"/>
  <c r="Y32" i="404"/>
  <c r="Y28" i="404"/>
  <c r="Y41" i="404"/>
  <c r="Y49" i="404"/>
  <c r="Y26" i="404"/>
  <c r="I65" i="397"/>
  <c r="I64" i="397"/>
  <c r="I63" i="397"/>
  <c r="I62" i="397"/>
  <c r="I61" i="397"/>
  <c r="I60" i="397"/>
  <c r="I59" i="397"/>
  <c r="I58" i="397"/>
  <c r="I57" i="397"/>
  <c r="I56" i="397"/>
  <c r="I55" i="397"/>
  <c r="I54" i="397"/>
  <c r="I53" i="397"/>
  <c r="I52" i="397"/>
  <c r="I51" i="397"/>
  <c r="I50" i="397"/>
  <c r="I49" i="397"/>
  <c r="I48" i="397"/>
  <c r="I47" i="397"/>
  <c r="I46" i="397"/>
  <c r="I45" i="397"/>
  <c r="I44" i="397"/>
  <c r="I43" i="397"/>
  <c r="I42" i="397"/>
  <c r="I41" i="397"/>
  <c r="I40" i="397"/>
  <c r="I39" i="397"/>
  <c r="I38" i="397"/>
  <c r="I37" i="397"/>
  <c r="I36" i="397"/>
  <c r="I35" i="397"/>
  <c r="I34" i="397"/>
  <c r="I33" i="397"/>
  <c r="I32" i="397"/>
  <c r="I31" i="397"/>
  <c r="I30" i="397"/>
  <c r="I29" i="397"/>
  <c r="I28" i="397"/>
  <c r="I27" i="397"/>
  <c r="AA26" i="404" l="1"/>
  <c r="Y26" i="396"/>
  <c r="Z26" i="404"/>
  <c r="Z26" i="396" s="1"/>
  <c r="Y17" i="396"/>
  <c r="Z17" i="404"/>
  <c r="Z17" i="396" s="1"/>
  <c r="AA17" i="404"/>
  <c r="Z36" i="404"/>
  <c r="Z36" i="396" s="1"/>
  <c r="AA36" i="404"/>
  <c r="Y36" i="396"/>
  <c r="Y53" i="396"/>
  <c r="AA53" i="404"/>
  <c r="Z53" i="404"/>
  <c r="Z53" i="396" s="1"/>
  <c r="Y38" i="396"/>
  <c r="AA38" i="404"/>
  <c r="Z38" i="404"/>
  <c r="Z38" i="396" s="1"/>
  <c r="Y43" i="396"/>
  <c r="Z43" i="404"/>
  <c r="Z43" i="396" s="1"/>
  <c r="AA43" i="404"/>
  <c r="Y46" i="396"/>
  <c r="AA46" i="404"/>
  <c r="Z46" i="404"/>
  <c r="Z46" i="396" s="1"/>
  <c r="AA52" i="404"/>
  <c r="Z52" i="404"/>
  <c r="Z52" i="396" s="1"/>
  <c r="Y52" i="396"/>
  <c r="Z42" i="404"/>
  <c r="Z42" i="396" s="1"/>
  <c r="Y42" i="396"/>
  <c r="AA42" i="404"/>
  <c r="Z35" i="404"/>
  <c r="Z35" i="396" s="1"/>
  <c r="AA35" i="404"/>
  <c r="Y35" i="396"/>
  <c r="Y49" i="396"/>
  <c r="AA49" i="404"/>
  <c r="Z49" i="404"/>
  <c r="Z49" i="396" s="1"/>
  <c r="Z32" i="404"/>
  <c r="Z32" i="396" s="1"/>
  <c r="AA32" i="404"/>
  <c r="Y32" i="396"/>
  <c r="Y23" i="396"/>
  <c r="Z23" i="404"/>
  <c r="Z23" i="396" s="1"/>
  <c r="AA23" i="404"/>
  <c r="Y45" i="396"/>
  <c r="AA45" i="404"/>
  <c r="Z45" i="404"/>
  <c r="Z45" i="396" s="1"/>
  <c r="Y25" i="396"/>
  <c r="Z25" i="404"/>
  <c r="Z25" i="396" s="1"/>
  <c r="AA25" i="404"/>
  <c r="Y30" i="396"/>
  <c r="Z30" i="404"/>
  <c r="Z30" i="396" s="1"/>
  <c r="AA30" i="404"/>
  <c r="Z54" i="404"/>
  <c r="Z54" i="396" s="1"/>
  <c r="Y54" i="396"/>
  <c r="AA54" i="404"/>
  <c r="AA39" i="404"/>
  <c r="Z39" i="404"/>
  <c r="Z39" i="396" s="1"/>
  <c r="Y39" i="396"/>
  <c r="AA50" i="404"/>
  <c r="Z50" i="404"/>
  <c r="Z50" i="396" s="1"/>
  <c r="Y50" i="396"/>
  <c r="Z40" i="404"/>
  <c r="Z40" i="396" s="1"/>
  <c r="Y40" i="396"/>
  <c r="AA40" i="404"/>
  <c r="AA41" i="404"/>
  <c r="Y41" i="396"/>
  <c r="Z41" i="404"/>
  <c r="Z41" i="396" s="1"/>
  <c r="AA55" i="404"/>
  <c r="Y55" i="396"/>
  <c r="Z55" i="404"/>
  <c r="Z55" i="396" s="1"/>
  <c r="Z27" i="404"/>
  <c r="Z27" i="396" s="1"/>
  <c r="Y27" i="396"/>
  <c r="AA27" i="404"/>
  <c r="Z33" i="404"/>
  <c r="Z33" i="396" s="1"/>
  <c r="Y33" i="396"/>
  <c r="AA33" i="404"/>
  <c r="Z34" i="404"/>
  <c r="Z34" i="396" s="1"/>
  <c r="Y34" i="396"/>
  <c r="AA34" i="404"/>
  <c r="Y19" i="396"/>
  <c r="Z19" i="404"/>
  <c r="Z19" i="396" s="1"/>
  <c r="AA19" i="404"/>
  <c r="AA20" i="404"/>
  <c r="Z20" i="404"/>
  <c r="Z20" i="396" s="1"/>
  <c r="Y20" i="396"/>
  <c r="AA18" i="404"/>
  <c r="Z18" i="404"/>
  <c r="Z18" i="396" s="1"/>
  <c r="Y18" i="396"/>
  <c r="Z24" i="404"/>
  <c r="Z24" i="396" s="1"/>
  <c r="AA24" i="404"/>
  <c r="Y24" i="396"/>
  <c r="Y48" i="396"/>
  <c r="AA48" i="404"/>
  <c r="Z48" i="404"/>
  <c r="Z48" i="396" s="1"/>
  <c r="Y28" i="396"/>
  <c r="Z28" i="404"/>
  <c r="Z28" i="396" s="1"/>
  <c r="AA28" i="404"/>
  <c r="Y47" i="396"/>
  <c r="Z47" i="404"/>
  <c r="Z47" i="396" s="1"/>
  <c r="AA47" i="404"/>
  <c r="Y37" i="396"/>
  <c r="Z37" i="404"/>
  <c r="Z37" i="396" s="1"/>
  <c r="AA37" i="404"/>
  <c r="Y21" i="396"/>
  <c r="Z21" i="404"/>
  <c r="Z21" i="396" s="1"/>
  <c r="AA21" i="404"/>
  <c r="Y51" i="396"/>
  <c r="Z51" i="404"/>
  <c r="Z51" i="396" s="1"/>
  <c r="AA51" i="404"/>
  <c r="Z22" i="404"/>
  <c r="Z22" i="396" s="1"/>
  <c r="Y22" i="396"/>
  <c r="AA22" i="404"/>
  <c r="Z44" i="404"/>
  <c r="Z44" i="396" s="1"/>
  <c r="Y44" i="396"/>
  <c r="AA44" i="404"/>
  <c r="Y31" i="396"/>
  <c r="AA31" i="404"/>
  <c r="Z31" i="404"/>
  <c r="Z31" i="396" s="1"/>
  <c r="AA29" i="404"/>
  <c r="Z29" i="404"/>
  <c r="Z29" i="396" s="1"/>
  <c r="Y29" i="396"/>
  <c r="AA16" i="404"/>
  <c r="Y16" i="396"/>
  <c r="Z16" i="404"/>
  <c r="I26" i="397"/>
  <c r="D26" i="397" s="1"/>
  <c r="I25" i="397"/>
  <c r="D25" i="397" s="1"/>
  <c r="I24" i="397"/>
  <c r="D24" i="397" s="1"/>
  <c r="I23" i="397"/>
  <c r="D23" i="397" s="1"/>
  <c r="I22" i="397"/>
  <c r="D22" i="397" s="1"/>
  <c r="I21" i="397"/>
  <c r="D21" i="397" s="1"/>
  <c r="I20" i="397"/>
  <c r="D20" i="397" s="1"/>
  <c r="I19" i="397"/>
  <c r="D19" i="397" s="1"/>
  <c r="I18" i="397"/>
  <c r="D18" i="397" s="1"/>
  <c r="I17" i="397"/>
  <c r="D17" i="397" s="1"/>
  <c r="I16" i="397"/>
  <c r="D16" i="397" s="1"/>
  <c r="I15" i="397"/>
  <c r="D15" i="397" s="1"/>
  <c r="I14" i="397"/>
  <c r="D14" i="397" s="1"/>
  <c r="I13" i="397"/>
  <c r="D13" i="397" s="1"/>
  <c r="I11" i="397"/>
  <c r="D11" i="397" s="1"/>
  <c r="I12" i="397"/>
  <c r="D12" i="397" s="1"/>
  <c r="B65" i="397"/>
  <c r="B64" i="397"/>
  <c r="B63" i="397"/>
  <c r="B62" i="397"/>
  <c r="B61" i="397"/>
  <c r="B60" i="397"/>
  <c r="B59" i="397"/>
  <c r="B58" i="397"/>
  <c r="B57" i="397"/>
  <c r="B56" i="397"/>
  <c r="B55" i="397"/>
  <c r="B54" i="397"/>
  <c r="B53" i="397"/>
  <c r="B49" i="397"/>
  <c r="B52" i="397"/>
  <c r="B51" i="397"/>
  <c r="B50" i="397"/>
  <c r="B48" i="397"/>
  <c r="B47" i="397"/>
  <c r="B46" i="397"/>
  <c r="B44" i="397"/>
  <c r="B43" i="397"/>
  <c r="B42" i="397"/>
  <c r="B41" i="397"/>
  <c r="B40" i="397"/>
  <c r="B39" i="397"/>
  <c r="B38" i="397"/>
  <c r="B37" i="397"/>
  <c r="B36" i="397"/>
  <c r="B35" i="397"/>
  <c r="B34" i="397"/>
  <c r="B33" i="397"/>
  <c r="B32" i="397"/>
  <c r="B31" i="397"/>
  <c r="B30" i="397"/>
  <c r="B29" i="397"/>
  <c r="B28" i="397"/>
  <c r="B27" i="397"/>
  <c r="B26" i="397"/>
  <c r="B25" i="397"/>
  <c r="B24" i="397"/>
  <c r="B23" i="397"/>
  <c r="B22" i="397"/>
  <c r="B21" i="397"/>
  <c r="B20" i="397"/>
  <c r="B19" i="397"/>
  <c r="B18" i="397"/>
  <c r="B17" i="397"/>
  <c r="B16" i="397"/>
  <c r="B15" i="397"/>
  <c r="B13" i="397"/>
  <c r="B14" i="397"/>
  <c r="B11" i="397"/>
  <c r="B12" i="397"/>
  <c r="D27" i="397"/>
  <c r="D29" i="397"/>
  <c r="D30" i="397"/>
  <c r="D31" i="397"/>
  <c r="D33" i="397"/>
  <c r="D34" i="397"/>
  <c r="D35" i="397"/>
  <c r="D37" i="397"/>
  <c r="D38" i="397"/>
  <c r="D39" i="397"/>
  <c r="D42" i="397"/>
  <c r="D43" i="397"/>
  <c r="D45" i="397"/>
  <c r="D46" i="397"/>
  <c r="D47" i="397"/>
  <c r="D49" i="397"/>
  <c r="D50" i="397"/>
  <c r="D51" i="397"/>
  <c r="D52" i="397"/>
  <c r="D54" i="397"/>
  <c r="D55" i="397"/>
  <c r="D56" i="397"/>
  <c r="D57" i="397"/>
  <c r="D58" i="397"/>
  <c r="D59" i="397"/>
  <c r="D60" i="397"/>
  <c r="D61" i="397"/>
  <c r="D62" i="397"/>
  <c r="D63" i="397"/>
  <c r="D64" i="397"/>
  <c r="D65" i="397"/>
  <c r="B145" i="398"/>
  <c r="CK46" i="398"/>
  <c r="BV46" i="398" s="1"/>
  <c r="CJ46" i="398"/>
  <c r="BU46" i="398" s="1"/>
  <c r="CI46" i="398"/>
  <c r="BT46" i="398" s="1"/>
  <c r="CH46" i="398"/>
  <c r="BS46" i="398" s="1"/>
  <c r="CG46" i="398"/>
  <c r="CF46" i="398"/>
  <c r="BQ46" i="398" s="1"/>
  <c r="CE46" i="398"/>
  <c r="BP46" i="398" s="1"/>
  <c r="CD46" i="398"/>
  <c r="CC46" i="398"/>
  <c r="BN46" i="398" s="1"/>
  <c r="BR46" i="398"/>
  <c r="BO46" i="398"/>
  <c r="D46" i="398"/>
  <c r="C46" i="398"/>
  <c r="B46" i="398"/>
  <c r="CK45" i="398"/>
  <c r="CJ45" i="398"/>
  <c r="BU45" i="398" s="1"/>
  <c r="CI45" i="398"/>
  <c r="CH45" i="398"/>
  <c r="BS45" i="398" s="1"/>
  <c r="CG45" i="398"/>
  <c r="BR45" i="398" s="1"/>
  <c r="CF45" i="398"/>
  <c r="BQ45" i="398" s="1"/>
  <c r="CE45" i="398"/>
  <c r="BP45" i="398" s="1"/>
  <c r="CD45" i="398"/>
  <c r="BO45" i="398" s="1"/>
  <c r="CC45" i="398"/>
  <c r="G45" i="398" s="1"/>
  <c r="BV45" i="398"/>
  <c r="BT45" i="398"/>
  <c r="D45" i="398"/>
  <c r="C45" i="398"/>
  <c r="B45" i="398"/>
  <c r="CK44" i="398"/>
  <c r="BV44" i="398" s="1"/>
  <c r="CJ44" i="398"/>
  <c r="BU44" i="398" s="1"/>
  <c r="CI44" i="398"/>
  <c r="BT44" i="398" s="1"/>
  <c r="CH44" i="398"/>
  <c r="BS44" i="398" s="1"/>
  <c r="CG44" i="398"/>
  <c r="BR44" i="398" s="1"/>
  <c r="CF44" i="398"/>
  <c r="BQ44" i="398" s="1"/>
  <c r="CE44" i="398"/>
  <c r="H44" i="398" s="1"/>
  <c r="CD44" i="398"/>
  <c r="CC44" i="398"/>
  <c r="G44" i="398" s="1"/>
  <c r="BO44" i="398"/>
  <c r="D44" i="398"/>
  <c r="C44" i="398"/>
  <c r="B44" i="398"/>
  <c r="CK43" i="398"/>
  <c r="BV43" i="398" s="1"/>
  <c r="CJ43" i="398"/>
  <c r="BU43" i="398" s="1"/>
  <c r="CI43" i="398"/>
  <c r="BT43" i="398" s="1"/>
  <c r="CH43" i="398"/>
  <c r="BS43" i="398" s="1"/>
  <c r="CG43" i="398"/>
  <c r="BR43" i="398" s="1"/>
  <c r="CF43" i="398"/>
  <c r="BQ43" i="398" s="1"/>
  <c r="CE43" i="398"/>
  <c r="H43" i="398" s="1"/>
  <c r="CD43" i="398"/>
  <c r="BO43" i="398" s="1"/>
  <c r="CC43" i="398"/>
  <c r="G43" i="398" s="1"/>
  <c r="D43" i="398"/>
  <c r="C43" i="398"/>
  <c r="B43" i="398"/>
  <c r="CK42" i="398"/>
  <c r="BV42" i="398" s="1"/>
  <c r="CJ42" i="398"/>
  <c r="BU42" i="398" s="1"/>
  <c r="CI42" i="398"/>
  <c r="BT42" i="398" s="1"/>
  <c r="CH42" i="398"/>
  <c r="BS42" i="398" s="1"/>
  <c r="CG42" i="398"/>
  <c r="BR42" i="398" s="1"/>
  <c r="CF42" i="398"/>
  <c r="BQ42" i="398" s="1"/>
  <c r="CE42" i="398"/>
  <c r="H42" i="398" s="1"/>
  <c r="CD42" i="398"/>
  <c r="BO42" i="398" s="1"/>
  <c r="CC42" i="398"/>
  <c r="G42" i="398" s="1"/>
  <c r="D42" i="398"/>
  <c r="C42" i="398"/>
  <c r="B42" i="398"/>
  <c r="CK41" i="398"/>
  <c r="BV41" i="398" s="1"/>
  <c r="CJ41" i="398"/>
  <c r="BU41" i="398" s="1"/>
  <c r="CI41" i="398"/>
  <c r="BT41" i="398" s="1"/>
  <c r="CH41" i="398"/>
  <c r="BS41" i="398" s="1"/>
  <c r="CG41" i="398"/>
  <c r="BR41" i="398" s="1"/>
  <c r="CF41" i="398"/>
  <c r="BQ41" i="398" s="1"/>
  <c r="CE41" i="398"/>
  <c r="H41" i="398" s="1"/>
  <c r="CD41" i="398"/>
  <c r="CC41" i="398"/>
  <c r="BN41" i="398" s="1"/>
  <c r="BO41" i="398"/>
  <c r="G41" i="398"/>
  <c r="D41" i="398"/>
  <c r="C41" i="398"/>
  <c r="B41" i="398"/>
  <c r="CK40" i="398"/>
  <c r="BV40" i="398" s="1"/>
  <c r="CJ40" i="398"/>
  <c r="BU40" i="398" s="1"/>
  <c r="CI40" i="398"/>
  <c r="BT40" i="398" s="1"/>
  <c r="CH40" i="398"/>
  <c r="BS40" i="398" s="1"/>
  <c r="CG40" i="398"/>
  <c r="BR40" i="398" s="1"/>
  <c r="CF40" i="398"/>
  <c r="BQ40" i="398" s="1"/>
  <c r="CE40" i="398"/>
  <c r="BP40" i="398" s="1"/>
  <c r="CD40" i="398"/>
  <c r="BO40" i="398" s="1"/>
  <c r="CC40" i="398"/>
  <c r="G40" i="398" s="1"/>
  <c r="D40" i="398"/>
  <c r="C40" i="398"/>
  <c r="B40" i="398"/>
  <c r="CK39" i="398"/>
  <c r="BV39" i="398" s="1"/>
  <c r="CJ39" i="398"/>
  <c r="BU39" i="398" s="1"/>
  <c r="CI39" i="398"/>
  <c r="BT39" i="398" s="1"/>
  <c r="CH39" i="398"/>
  <c r="BS39" i="398" s="1"/>
  <c r="CG39" i="398"/>
  <c r="BR39" i="398" s="1"/>
  <c r="CF39" i="398"/>
  <c r="BQ39" i="398" s="1"/>
  <c r="CE39" i="398"/>
  <c r="BP39" i="398" s="1"/>
  <c r="CD39" i="398"/>
  <c r="BO39" i="398" s="1"/>
  <c r="CC39" i="398"/>
  <c r="G39" i="398" s="1"/>
  <c r="BN39" i="398"/>
  <c r="D39" i="398"/>
  <c r="C39" i="398"/>
  <c r="B39" i="398"/>
  <c r="CK38" i="398"/>
  <c r="BV38" i="398" s="1"/>
  <c r="CJ38" i="398"/>
  <c r="BU38" i="398" s="1"/>
  <c r="CI38" i="398"/>
  <c r="BT38" i="398" s="1"/>
  <c r="CH38" i="398"/>
  <c r="BS38" i="398" s="1"/>
  <c r="CG38" i="398"/>
  <c r="BR38" i="398" s="1"/>
  <c r="CF38" i="398"/>
  <c r="BQ38" i="398" s="1"/>
  <c r="CE38" i="398"/>
  <c r="H38" i="398" s="1"/>
  <c r="CD38" i="398"/>
  <c r="BO38" i="398" s="1"/>
  <c r="CC38" i="398"/>
  <c r="G38" i="398" s="1"/>
  <c r="D38" i="398"/>
  <c r="C38" i="398"/>
  <c r="B38" i="398"/>
  <c r="CK37" i="398"/>
  <c r="BV37" i="398" s="1"/>
  <c r="CJ37" i="398"/>
  <c r="BU37" i="398" s="1"/>
  <c r="CI37" i="398"/>
  <c r="BT37" i="398" s="1"/>
  <c r="CH37" i="398"/>
  <c r="BS37" i="398" s="1"/>
  <c r="CG37" i="398"/>
  <c r="CF37" i="398"/>
  <c r="BQ37" i="398" s="1"/>
  <c r="CE37" i="398"/>
  <c r="H37" i="398" s="1"/>
  <c r="CD37" i="398"/>
  <c r="CC37" i="398"/>
  <c r="BN37" i="398" s="1"/>
  <c r="BR37" i="398"/>
  <c r="BO37" i="398"/>
  <c r="D37" i="398"/>
  <c r="C37" i="398"/>
  <c r="B37" i="398"/>
  <c r="CK36" i="398"/>
  <c r="BV36" i="398" s="1"/>
  <c r="CJ36" i="398"/>
  <c r="BU36" i="398" s="1"/>
  <c r="CI36" i="398"/>
  <c r="BT36" i="398" s="1"/>
  <c r="CH36" i="398"/>
  <c r="BS36" i="398" s="1"/>
  <c r="CG36" i="398"/>
  <c r="BR36" i="398" s="1"/>
  <c r="CF36" i="398"/>
  <c r="BQ36" i="398" s="1"/>
  <c r="CE36" i="398"/>
  <c r="H36" i="398" s="1"/>
  <c r="CD36" i="398"/>
  <c r="BO36" i="398" s="1"/>
  <c r="CC36" i="398"/>
  <c r="G36" i="398" s="1"/>
  <c r="D36" i="398"/>
  <c r="C36" i="398"/>
  <c r="B36" i="398"/>
  <c r="CK35" i="398"/>
  <c r="BV35" i="398" s="1"/>
  <c r="CJ35" i="398"/>
  <c r="BU35" i="398" s="1"/>
  <c r="CI35" i="398"/>
  <c r="BT35" i="398" s="1"/>
  <c r="CH35" i="398"/>
  <c r="BS35" i="398" s="1"/>
  <c r="CG35" i="398"/>
  <c r="BR35" i="398" s="1"/>
  <c r="CF35" i="398"/>
  <c r="BQ35" i="398" s="1"/>
  <c r="CE35" i="398"/>
  <c r="BP35" i="398" s="1"/>
  <c r="CD35" i="398"/>
  <c r="BO35" i="398" s="1"/>
  <c r="CC35" i="398"/>
  <c r="G35" i="398" s="1"/>
  <c r="D35" i="398"/>
  <c r="C35" i="398"/>
  <c r="B35" i="398"/>
  <c r="CK34" i="398"/>
  <c r="BV34" i="398" s="1"/>
  <c r="CJ34" i="398"/>
  <c r="BU34" i="398" s="1"/>
  <c r="CI34" i="398"/>
  <c r="BT34" i="398" s="1"/>
  <c r="CH34" i="398"/>
  <c r="BS34" i="398" s="1"/>
  <c r="CG34" i="398"/>
  <c r="BR34" i="398" s="1"/>
  <c r="CF34" i="398"/>
  <c r="BQ34" i="398" s="1"/>
  <c r="CE34" i="398"/>
  <c r="H34" i="398" s="1"/>
  <c r="CD34" i="398"/>
  <c r="CC34" i="398"/>
  <c r="BN34" i="398" s="1"/>
  <c r="BO34" i="398"/>
  <c r="D34" i="398"/>
  <c r="C34" i="398"/>
  <c r="B34" i="398"/>
  <c r="CK33" i="398"/>
  <c r="BV33" i="398" s="1"/>
  <c r="CJ33" i="398"/>
  <c r="BU33" i="398" s="1"/>
  <c r="CI33" i="398"/>
  <c r="CH33" i="398"/>
  <c r="BS33" i="398" s="1"/>
  <c r="CG33" i="398"/>
  <c r="BR33" i="398" s="1"/>
  <c r="CF33" i="398"/>
  <c r="BQ33" i="398" s="1"/>
  <c r="CE33" i="398"/>
  <c r="H33" i="398" s="1"/>
  <c r="CD33" i="398"/>
  <c r="BO33" i="398" s="1"/>
  <c r="CC33" i="398"/>
  <c r="G33" i="398" s="1"/>
  <c r="BT33" i="398"/>
  <c r="D33" i="398"/>
  <c r="C33" i="398"/>
  <c r="B33" i="398"/>
  <c r="CK32" i="398"/>
  <c r="BV32" i="398" s="1"/>
  <c r="CJ32" i="398"/>
  <c r="BU32" i="398" s="1"/>
  <c r="CI32" i="398"/>
  <c r="BT32" i="398" s="1"/>
  <c r="CH32" i="398"/>
  <c r="BS32" i="398" s="1"/>
  <c r="CG32" i="398"/>
  <c r="BR32" i="398" s="1"/>
  <c r="CF32" i="398"/>
  <c r="BQ32" i="398" s="1"/>
  <c r="CE32" i="398"/>
  <c r="BP32" i="398" s="1"/>
  <c r="CD32" i="398"/>
  <c r="BO32" i="398" s="1"/>
  <c r="CC32" i="398"/>
  <c r="BN32" i="398" s="1"/>
  <c r="D32" i="398"/>
  <c r="C32" i="398"/>
  <c r="B32" i="398"/>
  <c r="CK31" i="398"/>
  <c r="BV31" i="398" s="1"/>
  <c r="CJ31" i="398"/>
  <c r="BU31" i="398" s="1"/>
  <c r="CI31" i="398"/>
  <c r="BT31" i="398" s="1"/>
  <c r="CH31" i="398"/>
  <c r="BS31" i="398" s="1"/>
  <c r="CG31" i="398"/>
  <c r="BR31" i="398" s="1"/>
  <c r="CF31" i="398"/>
  <c r="BQ31" i="398" s="1"/>
  <c r="CE31" i="398"/>
  <c r="BP31" i="398" s="1"/>
  <c r="CD31" i="398"/>
  <c r="BO31" i="398" s="1"/>
  <c r="CC31" i="398"/>
  <c r="G31" i="398" s="1"/>
  <c r="D31" i="398"/>
  <c r="C31" i="398"/>
  <c r="B31" i="398"/>
  <c r="CK30" i="398"/>
  <c r="BV30" i="398" s="1"/>
  <c r="CJ30" i="398"/>
  <c r="BU30" i="398" s="1"/>
  <c r="CI30" i="398"/>
  <c r="BT30" i="398" s="1"/>
  <c r="CH30" i="398"/>
  <c r="BS30" i="398" s="1"/>
  <c r="CG30" i="398"/>
  <c r="BR30" i="398" s="1"/>
  <c r="CF30" i="398"/>
  <c r="BQ30" i="398" s="1"/>
  <c r="CE30" i="398"/>
  <c r="H30" i="398" s="1"/>
  <c r="CD30" i="398"/>
  <c r="BO30" i="398" s="1"/>
  <c r="CC30" i="398"/>
  <c r="G30" i="398" s="1"/>
  <c r="D30" i="398"/>
  <c r="C30" i="398"/>
  <c r="B30" i="398"/>
  <c r="CK29" i="398"/>
  <c r="BV29" i="398" s="1"/>
  <c r="CJ29" i="398"/>
  <c r="BU29" i="398" s="1"/>
  <c r="CI29" i="398"/>
  <c r="BT29" i="398" s="1"/>
  <c r="CH29" i="398"/>
  <c r="BS29" i="398" s="1"/>
  <c r="CG29" i="398"/>
  <c r="BR29" i="398" s="1"/>
  <c r="CF29" i="398"/>
  <c r="BQ29" i="398" s="1"/>
  <c r="CE29" i="398"/>
  <c r="BP29" i="398" s="1"/>
  <c r="CD29" i="398"/>
  <c r="BO29" i="398" s="1"/>
  <c r="CC29" i="398"/>
  <c r="G29" i="398" s="1"/>
  <c r="D29" i="398"/>
  <c r="C29" i="398"/>
  <c r="B29" i="398"/>
  <c r="CK28" i="398"/>
  <c r="BV28" i="398" s="1"/>
  <c r="CJ28" i="398"/>
  <c r="BU28" i="398" s="1"/>
  <c r="CI28" i="398"/>
  <c r="BT28" i="398" s="1"/>
  <c r="CH28" i="398"/>
  <c r="BS28" i="398" s="1"/>
  <c r="CG28" i="398"/>
  <c r="BR28" i="398" s="1"/>
  <c r="CF28" i="398"/>
  <c r="BQ28" i="398" s="1"/>
  <c r="CE28" i="398"/>
  <c r="BP28" i="398" s="1"/>
  <c r="CD28" i="398"/>
  <c r="BO28" i="398" s="1"/>
  <c r="CC28" i="398"/>
  <c r="G28" i="398" s="1"/>
  <c r="D28" i="398"/>
  <c r="C28" i="398"/>
  <c r="B28" i="398"/>
  <c r="CK27" i="398"/>
  <c r="BV27" i="398" s="1"/>
  <c r="CJ27" i="398"/>
  <c r="BU27" i="398" s="1"/>
  <c r="CI27" i="398"/>
  <c r="BT27" i="398" s="1"/>
  <c r="CH27" i="398"/>
  <c r="BS27" i="398" s="1"/>
  <c r="CG27" i="398"/>
  <c r="BR27" i="398" s="1"/>
  <c r="CF27" i="398"/>
  <c r="BQ27" i="398" s="1"/>
  <c r="CE27" i="398"/>
  <c r="H27" i="398" s="1"/>
  <c r="CD27" i="398"/>
  <c r="BO27" i="398" s="1"/>
  <c r="CC27" i="398"/>
  <c r="G27" i="398" s="1"/>
  <c r="D27" i="398"/>
  <c r="C27" i="398"/>
  <c r="B27" i="398"/>
  <c r="CK26" i="398"/>
  <c r="BV26" i="398" s="1"/>
  <c r="CJ26" i="398"/>
  <c r="BU26" i="398" s="1"/>
  <c r="CI26" i="398"/>
  <c r="BT26" i="398" s="1"/>
  <c r="CH26" i="398"/>
  <c r="BS26" i="398" s="1"/>
  <c r="CG26" i="398"/>
  <c r="BR26" i="398" s="1"/>
  <c r="CF26" i="398"/>
  <c r="BQ26" i="398" s="1"/>
  <c r="CE26" i="398"/>
  <c r="BP26" i="398" s="1"/>
  <c r="CD26" i="398"/>
  <c r="BO26" i="398" s="1"/>
  <c r="CC26" i="398"/>
  <c r="G26" i="398" s="1"/>
  <c r="D26" i="398"/>
  <c r="C26" i="398"/>
  <c r="B26" i="398"/>
  <c r="CK25" i="398"/>
  <c r="BV25" i="398" s="1"/>
  <c r="CJ25" i="398"/>
  <c r="BU25" i="398" s="1"/>
  <c r="CI25" i="398"/>
  <c r="BT25" i="398" s="1"/>
  <c r="CH25" i="398"/>
  <c r="BS25" i="398" s="1"/>
  <c r="CG25" i="398"/>
  <c r="BR25" i="398" s="1"/>
  <c r="CF25" i="398"/>
  <c r="BQ25" i="398" s="1"/>
  <c r="CE25" i="398"/>
  <c r="BP25" i="398" s="1"/>
  <c r="CD25" i="398"/>
  <c r="BO25" i="398" s="1"/>
  <c r="CC25" i="398"/>
  <c r="G25" i="398" s="1"/>
  <c r="D25" i="398"/>
  <c r="C25" i="398"/>
  <c r="B25" i="398"/>
  <c r="CK24" i="398"/>
  <c r="BV24" i="398" s="1"/>
  <c r="CJ24" i="398"/>
  <c r="BU24" i="398" s="1"/>
  <c r="CI24" i="398"/>
  <c r="BT24" i="398" s="1"/>
  <c r="CH24" i="398"/>
  <c r="BS24" i="398" s="1"/>
  <c r="CG24" i="398"/>
  <c r="BR24" i="398" s="1"/>
  <c r="CF24" i="398"/>
  <c r="BQ24" i="398" s="1"/>
  <c r="CE24" i="398"/>
  <c r="H24" i="398" s="1"/>
  <c r="CD24" i="398"/>
  <c r="BO24" i="398" s="1"/>
  <c r="CC24" i="398"/>
  <c r="G24" i="398" s="1"/>
  <c r="D24" i="398"/>
  <c r="C24" i="398"/>
  <c r="B24" i="398"/>
  <c r="CK23" i="398"/>
  <c r="BV23" i="398" s="1"/>
  <c r="CJ23" i="398"/>
  <c r="BU23" i="398" s="1"/>
  <c r="CI23" i="398"/>
  <c r="BT23" i="398" s="1"/>
  <c r="CH23" i="398"/>
  <c r="BS23" i="398" s="1"/>
  <c r="CG23" i="398"/>
  <c r="BR23" i="398" s="1"/>
  <c r="CF23" i="398"/>
  <c r="BQ23" i="398" s="1"/>
  <c r="CE23" i="398"/>
  <c r="H23" i="398" s="1"/>
  <c r="CD23" i="398"/>
  <c r="BO23" i="398" s="1"/>
  <c r="CC23" i="398"/>
  <c r="G23" i="398" s="1"/>
  <c r="D23" i="398"/>
  <c r="C23" i="398"/>
  <c r="B23" i="398"/>
  <c r="CK22" i="398"/>
  <c r="BV22" i="398" s="1"/>
  <c r="CJ22" i="398"/>
  <c r="BU22" i="398" s="1"/>
  <c r="CI22" i="398"/>
  <c r="BT22" i="398" s="1"/>
  <c r="CH22" i="398"/>
  <c r="BS22" i="398" s="1"/>
  <c r="CG22" i="398"/>
  <c r="BR22" i="398" s="1"/>
  <c r="CF22" i="398"/>
  <c r="BQ22" i="398" s="1"/>
  <c r="CE22" i="398"/>
  <c r="H22" i="398" s="1"/>
  <c r="CD22" i="398"/>
  <c r="BO22" i="398" s="1"/>
  <c r="CC22" i="398"/>
  <c r="G22" i="398" s="1"/>
  <c r="D22" i="398"/>
  <c r="C22" i="398"/>
  <c r="B22" i="398"/>
  <c r="CK21" i="398"/>
  <c r="BV21" i="398" s="1"/>
  <c r="CJ21" i="398"/>
  <c r="BU21" i="398" s="1"/>
  <c r="CI21" i="398"/>
  <c r="BT21" i="398" s="1"/>
  <c r="CH21" i="398"/>
  <c r="BS21" i="398" s="1"/>
  <c r="CG21" i="398"/>
  <c r="BR21" i="398" s="1"/>
  <c r="CF21" i="398"/>
  <c r="BQ21" i="398" s="1"/>
  <c r="CE21" i="398"/>
  <c r="H21" i="398" s="1"/>
  <c r="CD21" i="398"/>
  <c r="BO21" i="398" s="1"/>
  <c r="CC21" i="398"/>
  <c r="D21" i="398"/>
  <c r="C21" i="398"/>
  <c r="B21" i="398"/>
  <c r="CK20" i="398"/>
  <c r="BV20" i="398" s="1"/>
  <c r="CJ20" i="398"/>
  <c r="BU20" i="398" s="1"/>
  <c r="CI20" i="398"/>
  <c r="BT20" i="398" s="1"/>
  <c r="CH20" i="398"/>
  <c r="BS20" i="398" s="1"/>
  <c r="CG20" i="398"/>
  <c r="BR20" i="398" s="1"/>
  <c r="CF20" i="398"/>
  <c r="BQ20" i="398" s="1"/>
  <c r="CE20" i="398"/>
  <c r="H20" i="398" s="1"/>
  <c r="CD20" i="398"/>
  <c r="BO20" i="398" s="1"/>
  <c r="CC20" i="398"/>
  <c r="G20" i="398" s="1"/>
  <c r="D20" i="398"/>
  <c r="C20" i="398"/>
  <c r="B20" i="398"/>
  <c r="CK19" i="398"/>
  <c r="BV19" i="398" s="1"/>
  <c r="CJ19" i="398"/>
  <c r="BU19" i="398" s="1"/>
  <c r="CI19" i="398"/>
  <c r="BT19" i="398" s="1"/>
  <c r="CH19" i="398"/>
  <c r="BS19" i="398" s="1"/>
  <c r="CG19" i="398"/>
  <c r="BR19" i="398" s="1"/>
  <c r="CF19" i="398"/>
  <c r="BQ19" i="398" s="1"/>
  <c r="CE19" i="398"/>
  <c r="BP19" i="398" s="1"/>
  <c r="CD19" i="398"/>
  <c r="BO19" i="398" s="1"/>
  <c r="CC19" i="398"/>
  <c r="G19" i="398" s="1"/>
  <c r="D19" i="398"/>
  <c r="C19" i="398"/>
  <c r="B19" i="398"/>
  <c r="CK18" i="398"/>
  <c r="BV18" i="398" s="1"/>
  <c r="CJ18" i="398"/>
  <c r="BU18" i="398" s="1"/>
  <c r="CI18" i="398"/>
  <c r="BT18" i="398" s="1"/>
  <c r="CH18" i="398"/>
  <c r="BS18" i="398" s="1"/>
  <c r="CG18" i="398"/>
  <c r="BR18" i="398" s="1"/>
  <c r="CF18" i="398"/>
  <c r="BQ18" i="398" s="1"/>
  <c r="CE18" i="398"/>
  <c r="H18" i="398" s="1"/>
  <c r="CD18" i="398"/>
  <c r="BO18" i="398" s="1"/>
  <c r="CC18" i="398"/>
  <c r="G18" i="398" s="1"/>
  <c r="D18" i="398"/>
  <c r="C18" i="398"/>
  <c r="B18" i="398"/>
  <c r="CK17" i="398"/>
  <c r="BV17" i="398" s="1"/>
  <c r="CJ17" i="398"/>
  <c r="BU17" i="398" s="1"/>
  <c r="CI17" i="398"/>
  <c r="BT17" i="398" s="1"/>
  <c r="CH17" i="398"/>
  <c r="BS17" i="398" s="1"/>
  <c r="CG17" i="398"/>
  <c r="BR17" i="398" s="1"/>
  <c r="CF17" i="398"/>
  <c r="BQ17" i="398" s="1"/>
  <c r="CE17" i="398"/>
  <c r="H17" i="398" s="1"/>
  <c r="CD17" i="398"/>
  <c r="BO17" i="398" s="1"/>
  <c r="CC17" i="398"/>
  <c r="G17" i="398" s="1"/>
  <c r="D17" i="398"/>
  <c r="C17" i="398"/>
  <c r="B17" i="398"/>
  <c r="CK16" i="398"/>
  <c r="BV16" i="398" s="1"/>
  <c r="CJ16" i="398"/>
  <c r="BU16" i="398" s="1"/>
  <c r="CI16" i="398"/>
  <c r="BT16" i="398" s="1"/>
  <c r="CH16" i="398"/>
  <c r="BS16" i="398" s="1"/>
  <c r="CG16" i="398"/>
  <c r="BR16" i="398" s="1"/>
  <c r="CF16" i="398"/>
  <c r="BQ16" i="398" s="1"/>
  <c r="CE16" i="398"/>
  <c r="BP16" i="398" s="1"/>
  <c r="CD16" i="398"/>
  <c r="BO16" i="398" s="1"/>
  <c r="CC16" i="398"/>
  <c r="G16" i="398" s="1"/>
  <c r="D16" i="398"/>
  <c r="C16" i="398"/>
  <c r="B16" i="398"/>
  <c r="CK15" i="398"/>
  <c r="BV15" i="398" s="1"/>
  <c r="CJ15" i="398"/>
  <c r="BU15" i="398" s="1"/>
  <c r="CI15" i="398"/>
  <c r="BT15" i="398" s="1"/>
  <c r="CH15" i="398"/>
  <c r="BS15" i="398" s="1"/>
  <c r="CG15" i="398"/>
  <c r="BR15" i="398" s="1"/>
  <c r="CF15" i="398"/>
  <c r="BQ15" i="398" s="1"/>
  <c r="CE15" i="398"/>
  <c r="BP15" i="398" s="1"/>
  <c r="CD15" i="398"/>
  <c r="BO15" i="398" s="1"/>
  <c r="CC15" i="398"/>
  <c r="G15" i="398" s="1"/>
  <c r="D15" i="398"/>
  <c r="C15" i="398"/>
  <c r="B15" i="398"/>
  <c r="CK14" i="398"/>
  <c r="BV14" i="398" s="1"/>
  <c r="CJ14" i="398"/>
  <c r="BU14" i="398" s="1"/>
  <c r="CI14" i="398"/>
  <c r="CH14" i="398"/>
  <c r="BS14" i="398" s="1"/>
  <c r="CG14" i="398"/>
  <c r="BR14" i="398" s="1"/>
  <c r="CF14" i="398"/>
  <c r="BQ14" i="398" s="1"/>
  <c r="CE14" i="398"/>
  <c r="H14" i="398" s="1"/>
  <c r="CD14" i="398"/>
  <c r="BO14" i="398" s="1"/>
  <c r="CC14" i="398"/>
  <c r="G14" i="398" s="1"/>
  <c r="BT14" i="398"/>
  <c r="D14" i="398"/>
  <c r="C14" i="398"/>
  <c r="B14" i="398"/>
  <c r="CK13" i="398"/>
  <c r="BV13" i="398" s="1"/>
  <c r="CJ13" i="398"/>
  <c r="BU13" i="398" s="1"/>
  <c r="CI13" i="398"/>
  <c r="BT13" i="398" s="1"/>
  <c r="CH13" i="398"/>
  <c r="BS13" i="398" s="1"/>
  <c r="CG13" i="398"/>
  <c r="BR13" i="398" s="1"/>
  <c r="CF13" i="398"/>
  <c r="BQ13" i="398" s="1"/>
  <c r="CE13" i="398"/>
  <c r="BP13" i="398" s="1"/>
  <c r="CD13" i="398"/>
  <c r="BO13" i="398" s="1"/>
  <c r="CC13" i="398"/>
  <c r="G13" i="398" s="1"/>
  <c r="D13" i="398"/>
  <c r="C13" i="398"/>
  <c r="B13" i="398"/>
  <c r="CK12" i="398"/>
  <c r="BV12" i="398" s="1"/>
  <c r="CJ12" i="398"/>
  <c r="BU12" i="398" s="1"/>
  <c r="CI12" i="398"/>
  <c r="BT12" i="398" s="1"/>
  <c r="CH12" i="398"/>
  <c r="BS12" i="398" s="1"/>
  <c r="CG12" i="398"/>
  <c r="BR12" i="398" s="1"/>
  <c r="CF12" i="398"/>
  <c r="BQ12" i="398" s="1"/>
  <c r="CE12" i="398"/>
  <c r="BP12" i="398" s="1"/>
  <c r="CD12" i="398"/>
  <c r="BO12" i="398" s="1"/>
  <c r="CC12" i="398"/>
  <c r="G12" i="398" s="1"/>
  <c r="D12" i="398"/>
  <c r="C12" i="398"/>
  <c r="B12" i="398"/>
  <c r="CK11" i="398"/>
  <c r="BV11" i="398" s="1"/>
  <c r="CJ11" i="398"/>
  <c r="BU11" i="398" s="1"/>
  <c r="CI11" i="398"/>
  <c r="BT11" i="398" s="1"/>
  <c r="CH11" i="398"/>
  <c r="BS11" i="398" s="1"/>
  <c r="CG11" i="398"/>
  <c r="BR11" i="398" s="1"/>
  <c r="CF11" i="398"/>
  <c r="BQ11" i="398" s="1"/>
  <c r="CE11" i="398"/>
  <c r="BP11" i="398" s="1"/>
  <c r="CD11" i="398"/>
  <c r="BO11" i="398" s="1"/>
  <c r="CC11" i="398"/>
  <c r="G11" i="398" s="1"/>
  <c r="D11" i="398"/>
  <c r="C11" i="398"/>
  <c r="B11" i="398"/>
  <c r="CK10" i="398"/>
  <c r="BV10" i="398" s="1"/>
  <c r="CJ10" i="398"/>
  <c r="BU10" i="398" s="1"/>
  <c r="CI10" i="398"/>
  <c r="BT10" i="398" s="1"/>
  <c r="CH10" i="398"/>
  <c r="BS10" i="398" s="1"/>
  <c r="CG10" i="398"/>
  <c r="BR10" i="398" s="1"/>
  <c r="CF10" i="398"/>
  <c r="BQ10" i="398" s="1"/>
  <c r="CE10" i="398"/>
  <c r="BP10" i="398" s="1"/>
  <c r="CD10" i="398"/>
  <c r="BO10" i="398" s="1"/>
  <c r="CC10" i="398"/>
  <c r="G10" i="398" s="1"/>
  <c r="D10" i="398"/>
  <c r="C10" i="398"/>
  <c r="B10" i="398"/>
  <c r="CK9" i="398"/>
  <c r="BV9" i="398" s="1"/>
  <c r="CJ9" i="398"/>
  <c r="BU9" i="398" s="1"/>
  <c r="CI9" i="398"/>
  <c r="BT9" i="398" s="1"/>
  <c r="CH9" i="398"/>
  <c r="BS9" i="398" s="1"/>
  <c r="CG9" i="398"/>
  <c r="BR9" i="398" s="1"/>
  <c r="CF9" i="398"/>
  <c r="BQ9" i="398" s="1"/>
  <c r="CE9" i="398"/>
  <c r="BP9" i="398" s="1"/>
  <c r="CD9" i="398"/>
  <c r="BO9" i="398" s="1"/>
  <c r="CC9" i="398"/>
  <c r="G9" i="398" s="1"/>
  <c r="D9" i="398"/>
  <c r="C9" i="398"/>
  <c r="B9" i="398"/>
  <c r="CK8" i="398"/>
  <c r="BV8" i="398" s="1"/>
  <c r="CJ8" i="398"/>
  <c r="BU8" i="398" s="1"/>
  <c r="CI8" i="398"/>
  <c r="BT8" i="398" s="1"/>
  <c r="CH8" i="398"/>
  <c r="BS8" i="398" s="1"/>
  <c r="CG8" i="398"/>
  <c r="BR8" i="398" s="1"/>
  <c r="CF8" i="398"/>
  <c r="BQ8" i="398" s="1"/>
  <c r="CE8" i="398"/>
  <c r="H8" i="398" s="1"/>
  <c r="CD8" i="398"/>
  <c r="BO8" i="398" s="1"/>
  <c r="CC8" i="398"/>
  <c r="G8" i="398" s="1"/>
  <c r="D8" i="398"/>
  <c r="C8" i="398"/>
  <c r="B8" i="398"/>
  <c r="CK7" i="398"/>
  <c r="BV7" i="398" s="1"/>
  <c r="CJ7" i="398"/>
  <c r="BU7" i="398" s="1"/>
  <c r="CI7" i="398"/>
  <c r="BT7" i="398" s="1"/>
  <c r="CH7" i="398"/>
  <c r="BS7" i="398" s="1"/>
  <c r="CG7" i="398"/>
  <c r="BR7" i="398" s="1"/>
  <c r="CF7" i="398"/>
  <c r="BQ7" i="398" s="1"/>
  <c r="CE7" i="398"/>
  <c r="BP7" i="398" s="1"/>
  <c r="CD7" i="398"/>
  <c r="BO7" i="398" s="1"/>
  <c r="CC7" i="398"/>
  <c r="G7" i="398" s="1"/>
  <c r="D7" i="398"/>
  <c r="C7" i="398"/>
  <c r="B7" i="398"/>
  <c r="N4" i="398"/>
  <c r="D53" i="397"/>
  <c r="D48" i="397"/>
  <c r="D44" i="397"/>
  <c r="D41" i="397"/>
  <c r="D40" i="397"/>
  <c r="D36" i="397"/>
  <c r="D32" i="397"/>
  <c r="D28" i="397"/>
  <c r="F7" i="397"/>
  <c r="C5" i="397"/>
  <c r="C4" i="397"/>
  <c r="B2" i="397"/>
  <c r="H29" i="398" l="1"/>
  <c r="H35" i="398"/>
  <c r="G32" i="398"/>
  <c r="BP36" i="398"/>
  <c r="BN42" i="398"/>
  <c r="G46" i="398"/>
  <c r="BN35" i="398"/>
  <c r="BN43" i="398"/>
  <c r="H45" i="398"/>
  <c r="H46" i="398"/>
  <c r="BP43" i="398"/>
  <c r="BP17" i="398"/>
  <c r="H26" i="398"/>
  <c r="G37" i="398"/>
  <c r="BP44" i="398"/>
  <c r="H39" i="398"/>
  <c r="H40" i="398"/>
  <c r="BP33" i="398"/>
  <c r="BP41" i="398"/>
  <c r="BW41" i="398" s="1"/>
  <c r="BX41" i="398" s="1"/>
  <c r="I41" i="398" s="1"/>
  <c r="BN33" i="398"/>
  <c r="BN38" i="398"/>
  <c r="H19" i="398"/>
  <c r="BP37" i="398"/>
  <c r="CL46" i="398"/>
  <c r="F46" i="398" s="1"/>
  <c r="H28" i="398"/>
  <c r="BP20" i="398"/>
  <c r="BP18" i="398"/>
  <c r="BP30" i="398"/>
  <c r="BP24" i="398"/>
  <c r="BP22" i="398"/>
  <c r="BN20" i="398"/>
  <c r="CL19" i="398"/>
  <c r="F19" i="398" s="1"/>
  <c r="H15" i="398"/>
  <c r="CL15" i="398"/>
  <c r="F15" i="398" s="1"/>
  <c r="H13" i="398"/>
  <c r="BP14" i="398"/>
  <c r="CL28" i="398"/>
  <c r="F28" i="398" s="1"/>
  <c r="H16" i="398"/>
  <c r="BP21" i="398"/>
  <c r="BP23" i="398"/>
  <c r="H25" i="398"/>
  <c r="BP27" i="398"/>
  <c r="H31" i="398"/>
  <c r="H32" i="398"/>
  <c r="G34" i="398"/>
  <c r="BP34" i="398"/>
  <c r="BW34" i="398" s="1"/>
  <c r="BX34" i="398" s="1"/>
  <c r="I34" i="398" s="1"/>
  <c r="CL34" i="398"/>
  <c r="F34" i="398" s="1"/>
  <c r="BN36" i="398"/>
  <c r="BW36" i="398" s="1"/>
  <c r="BP38" i="398"/>
  <c r="BW38" i="398" s="1"/>
  <c r="BX38" i="398" s="1"/>
  <c r="I38" i="398" s="1"/>
  <c r="CL38" i="398"/>
  <c r="F38" i="398" s="1"/>
  <c r="BN40" i="398"/>
  <c r="BW40" i="398" s="1"/>
  <c r="BX40" i="398" s="1"/>
  <c r="I40" i="398" s="1"/>
  <c r="BP42" i="398"/>
  <c r="BW42" i="398" s="1"/>
  <c r="BX42" i="398" s="1"/>
  <c r="I42" i="398" s="1"/>
  <c r="CL42" i="398"/>
  <c r="F42" i="398" s="1"/>
  <c r="BN44" i="398"/>
  <c r="BW44" i="398" s="1"/>
  <c r="CL20" i="398"/>
  <c r="F20" i="398" s="1"/>
  <c r="CL22" i="398"/>
  <c r="F22" i="398" s="1"/>
  <c r="CL24" i="398"/>
  <c r="F24" i="398" s="1"/>
  <c r="BW32" i="398"/>
  <c r="CL32" i="398"/>
  <c r="F32" i="398" s="1"/>
  <c r="CL36" i="398"/>
  <c r="F36" i="398" s="1"/>
  <c r="CL40" i="398"/>
  <c r="F40" i="398" s="1"/>
  <c r="CL44" i="398"/>
  <c r="F44" i="398" s="1"/>
  <c r="Z16" i="396"/>
  <c r="E15" i="412"/>
  <c r="AA22" i="396"/>
  <c r="E65" i="412"/>
  <c r="AA47" i="396"/>
  <c r="E37" i="412"/>
  <c r="AA33" i="396"/>
  <c r="E81" i="412"/>
  <c r="AA55" i="396"/>
  <c r="E51" i="412"/>
  <c r="AA40" i="396"/>
  <c r="E49" i="412"/>
  <c r="AA39" i="396"/>
  <c r="E31" i="412"/>
  <c r="AA30" i="396"/>
  <c r="E69" i="412"/>
  <c r="AA49" i="396"/>
  <c r="E63" i="412"/>
  <c r="AA46" i="396"/>
  <c r="E43" i="412"/>
  <c r="AA36" i="396"/>
  <c r="E29" i="412"/>
  <c r="AA29" i="396"/>
  <c r="E59" i="412"/>
  <c r="AA44" i="396"/>
  <c r="E45" i="412"/>
  <c r="AA37" i="396"/>
  <c r="E11" i="412"/>
  <c r="AA20" i="396"/>
  <c r="E39" i="412"/>
  <c r="AA34" i="396"/>
  <c r="E71" i="412"/>
  <c r="AA50" i="396"/>
  <c r="E79" i="412"/>
  <c r="AA54" i="396"/>
  <c r="E17" i="412"/>
  <c r="AA23" i="396"/>
  <c r="E35" i="412"/>
  <c r="AA32" i="396"/>
  <c r="E55" i="412"/>
  <c r="AA42" i="396"/>
  <c r="E77" i="412"/>
  <c r="AA53" i="396"/>
  <c r="E3" i="412"/>
  <c r="AA16" i="396"/>
  <c r="E13" i="412"/>
  <c r="AA21" i="396"/>
  <c r="E19" i="412"/>
  <c r="AA24" i="396"/>
  <c r="E7" i="412"/>
  <c r="AA18" i="396"/>
  <c r="E9" i="412"/>
  <c r="AA19" i="396"/>
  <c r="E75" i="412"/>
  <c r="AA52" i="396"/>
  <c r="E57" i="412"/>
  <c r="AA43" i="396"/>
  <c r="E47" i="412"/>
  <c r="AA38" i="396"/>
  <c r="AA17" i="396"/>
  <c r="E5" i="412"/>
  <c r="E33" i="412"/>
  <c r="AA31" i="396"/>
  <c r="E73" i="412"/>
  <c r="AA51" i="396"/>
  <c r="E27" i="412"/>
  <c r="AA28" i="396"/>
  <c r="E67" i="412"/>
  <c r="AA48" i="396"/>
  <c r="E25" i="412"/>
  <c r="AA27" i="396"/>
  <c r="E53" i="412"/>
  <c r="AA41" i="396"/>
  <c r="E21" i="412"/>
  <c r="AA25" i="396"/>
  <c r="E61" i="412"/>
  <c r="AA45" i="396"/>
  <c r="E41" i="412"/>
  <c r="AA35" i="396"/>
  <c r="E23" i="412"/>
  <c r="AA26" i="396"/>
  <c r="CL11" i="398"/>
  <c r="F11" i="398" s="1"/>
  <c r="CL10" i="398"/>
  <c r="F10" i="398" s="1"/>
  <c r="H12" i="398"/>
  <c r="BP8" i="398"/>
  <c r="H11" i="398"/>
  <c r="H10" i="398"/>
  <c r="H9" i="398"/>
  <c r="CL7" i="398"/>
  <c r="F7" i="398" s="1"/>
  <c r="H7" i="398"/>
  <c r="CL8" i="398"/>
  <c r="F8" i="398" s="1"/>
  <c r="CL12" i="398"/>
  <c r="F12" i="398" s="1"/>
  <c r="CL16" i="398"/>
  <c r="F16" i="398" s="1"/>
  <c r="CL9" i="398"/>
  <c r="F9" i="398" s="1"/>
  <c r="CL13" i="398"/>
  <c r="F13" i="398" s="1"/>
  <c r="CL17" i="398"/>
  <c r="F17" i="398" s="1"/>
  <c r="CL14" i="398"/>
  <c r="F14" i="398" s="1"/>
  <c r="CL18" i="398"/>
  <c r="F18" i="398" s="1"/>
  <c r="BN7" i="398"/>
  <c r="BW7" i="398" s="1"/>
  <c r="BX7" i="398" s="1"/>
  <c r="I7" i="398" s="1"/>
  <c r="BN8" i="398"/>
  <c r="BN9" i="398"/>
  <c r="BW9" i="398" s="1"/>
  <c r="BX9" i="398" s="1"/>
  <c r="I9" i="398" s="1"/>
  <c r="BN10" i="398"/>
  <c r="BW10" i="398" s="1"/>
  <c r="BX10" i="398" s="1"/>
  <c r="I10" i="398" s="1"/>
  <c r="BN11" i="398"/>
  <c r="BW11" i="398" s="1"/>
  <c r="BX11" i="398" s="1"/>
  <c r="I11" i="398" s="1"/>
  <c r="BN12" i="398"/>
  <c r="BW12" i="398" s="1"/>
  <c r="BX12" i="398" s="1"/>
  <c r="I12" i="398" s="1"/>
  <c r="BN13" i="398"/>
  <c r="BW13" i="398" s="1"/>
  <c r="BX13" i="398" s="1"/>
  <c r="I13" i="398" s="1"/>
  <c r="BN14" i="398"/>
  <c r="BN15" i="398"/>
  <c r="BW15" i="398" s="1"/>
  <c r="BX15" i="398" s="1"/>
  <c r="I15" i="398" s="1"/>
  <c r="BN16" i="398"/>
  <c r="BW16" i="398" s="1"/>
  <c r="BX16" i="398" s="1"/>
  <c r="I16" i="398" s="1"/>
  <c r="BN17" i="398"/>
  <c r="BW17" i="398" s="1"/>
  <c r="BX17" i="398" s="1"/>
  <c r="I17" i="398" s="1"/>
  <c r="BN18" i="398"/>
  <c r="BN19" i="398"/>
  <c r="BW19" i="398" s="1"/>
  <c r="BX19" i="398" s="1"/>
  <c r="I19" i="398" s="1"/>
  <c r="BW20" i="398"/>
  <c r="BX20" i="398" s="1"/>
  <c r="I20" i="398" s="1"/>
  <c r="CL33" i="398"/>
  <c r="F33" i="398" s="1"/>
  <c r="CL35" i="398"/>
  <c r="F35" i="398" s="1"/>
  <c r="CL37" i="398"/>
  <c r="F37" i="398" s="1"/>
  <c r="CL39" i="398"/>
  <c r="F39" i="398" s="1"/>
  <c r="CL41" i="398"/>
  <c r="F41" i="398" s="1"/>
  <c r="CL43" i="398"/>
  <c r="F43" i="398" s="1"/>
  <c r="CL26" i="398"/>
  <c r="F26" i="398" s="1"/>
  <c r="CL21" i="398"/>
  <c r="F21" i="398" s="1"/>
  <c r="CL23" i="398"/>
  <c r="F23" i="398" s="1"/>
  <c r="CL25" i="398"/>
  <c r="F25" i="398" s="1"/>
  <c r="CL27" i="398"/>
  <c r="F27" i="398" s="1"/>
  <c r="CL30" i="398"/>
  <c r="F30" i="398" s="1"/>
  <c r="CL31" i="398"/>
  <c r="F31" i="398" s="1"/>
  <c r="BW33" i="398"/>
  <c r="BX33" i="398" s="1"/>
  <c r="I33" i="398" s="1"/>
  <c r="BW35" i="398"/>
  <c r="BX35" i="398" s="1"/>
  <c r="I35" i="398" s="1"/>
  <c r="BW37" i="398"/>
  <c r="BX37" i="398" s="1"/>
  <c r="I37" i="398" s="1"/>
  <c r="BW39" i="398"/>
  <c r="BX39" i="398" s="1"/>
  <c r="I39" i="398" s="1"/>
  <c r="BW43" i="398"/>
  <c r="BX43" i="398" s="1"/>
  <c r="I43" i="398" s="1"/>
  <c r="BW46" i="398"/>
  <c r="BX46" i="398" s="1"/>
  <c r="I46" i="398" s="1"/>
  <c r="G21" i="398"/>
  <c r="BN21" i="398"/>
  <c r="CL29" i="398"/>
  <c r="F29" i="398" s="1"/>
  <c r="BX32" i="398"/>
  <c r="I32" i="398" s="1"/>
  <c r="BX36" i="398"/>
  <c r="I36" i="398" s="1"/>
  <c r="BX44" i="398"/>
  <c r="I44" i="398" s="1"/>
  <c r="CL45" i="398"/>
  <c r="F45" i="398" s="1"/>
  <c r="BN22" i="398"/>
  <c r="BW22" i="398" s="1"/>
  <c r="BX22" i="398" s="1"/>
  <c r="I22" i="398" s="1"/>
  <c r="BN23" i="398"/>
  <c r="BN24" i="398"/>
  <c r="BN25" i="398"/>
  <c r="BW25" i="398" s="1"/>
  <c r="BX25" i="398" s="1"/>
  <c r="I25" i="398" s="1"/>
  <c r="BN26" i="398"/>
  <c r="BW26" i="398" s="1"/>
  <c r="BX26" i="398" s="1"/>
  <c r="I26" i="398" s="1"/>
  <c r="BN27" i="398"/>
  <c r="BW27" i="398" s="1"/>
  <c r="BX27" i="398" s="1"/>
  <c r="I27" i="398" s="1"/>
  <c r="BN28" i="398"/>
  <c r="BW28" i="398" s="1"/>
  <c r="BX28" i="398" s="1"/>
  <c r="I28" i="398" s="1"/>
  <c r="BN29" i="398"/>
  <c r="BW29" i="398" s="1"/>
  <c r="BX29" i="398" s="1"/>
  <c r="I29" i="398" s="1"/>
  <c r="BN30" i="398"/>
  <c r="BW30" i="398" s="1"/>
  <c r="BX30" i="398" s="1"/>
  <c r="I30" i="398" s="1"/>
  <c r="BN31" i="398"/>
  <c r="BW31" i="398" s="1"/>
  <c r="BX31" i="398" s="1"/>
  <c r="I31" i="398" s="1"/>
  <c r="BN45" i="398"/>
  <c r="BW45" i="398" s="1"/>
  <c r="BX45" i="398" s="1"/>
  <c r="I45" i="398" s="1"/>
  <c r="AB16" i="396"/>
  <c r="AC16" i="396" s="1"/>
  <c r="AK55" i="396"/>
  <c r="AE55" i="396"/>
  <c r="AF55" i="396" s="1"/>
  <c r="AB55" i="396"/>
  <c r="AC55" i="396" s="1"/>
  <c r="D55" i="396"/>
  <c r="C55" i="396"/>
  <c r="B55" i="396"/>
  <c r="AK54" i="396"/>
  <c r="AE54" i="396"/>
  <c r="AF54" i="396" s="1"/>
  <c r="AB54" i="396"/>
  <c r="AC54" i="396" s="1"/>
  <c r="D54" i="396"/>
  <c r="C54" i="396"/>
  <c r="B54" i="396"/>
  <c r="AK53" i="396"/>
  <c r="AE53" i="396"/>
  <c r="AF53" i="396" s="1"/>
  <c r="AB53" i="396"/>
  <c r="AC53" i="396" s="1"/>
  <c r="D53" i="396"/>
  <c r="C53" i="396"/>
  <c r="B53" i="396"/>
  <c r="AK52" i="396"/>
  <c r="AE52" i="396"/>
  <c r="AF52" i="396" s="1"/>
  <c r="AB52" i="396"/>
  <c r="AC52" i="396" s="1"/>
  <c r="D52" i="396"/>
  <c r="C52" i="396"/>
  <c r="B52" i="396"/>
  <c r="AK51" i="396"/>
  <c r="AE51" i="396"/>
  <c r="AF51" i="396" s="1"/>
  <c r="AB51" i="396"/>
  <c r="AC51" i="396" s="1"/>
  <c r="D51" i="396"/>
  <c r="C51" i="396"/>
  <c r="B51" i="396"/>
  <c r="AK50" i="396"/>
  <c r="AE50" i="396"/>
  <c r="AF50" i="396" s="1"/>
  <c r="AB50" i="396"/>
  <c r="AC50" i="396" s="1"/>
  <c r="D50" i="396"/>
  <c r="C50" i="396"/>
  <c r="B50" i="396"/>
  <c r="AK49" i="396"/>
  <c r="AE49" i="396"/>
  <c r="AF49" i="396" s="1"/>
  <c r="AB49" i="396"/>
  <c r="AC49" i="396" s="1"/>
  <c r="D49" i="396"/>
  <c r="C49" i="396"/>
  <c r="B49" i="396"/>
  <c r="AK48" i="396"/>
  <c r="AE48" i="396"/>
  <c r="AF48" i="396" s="1"/>
  <c r="AB48" i="396"/>
  <c r="AC48" i="396" s="1"/>
  <c r="D48" i="396"/>
  <c r="C48" i="396"/>
  <c r="B48" i="396"/>
  <c r="AK47" i="396"/>
  <c r="AE47" i="396"/>
  <c r="AF47" i="396" s="1"/>
  <c r="AB47" i="396"/>
  <c r="AC47" i="396" s="1"/>
  <c r="D47" i="396"/>
  <c r="C47" i="396"/>
  <c r="B47" i="396"/>
  <c r="AK46" i="396"/>
  <c r="AE46" i="396"/>
  <c r="AF46" i="396" s="1"/>
  <c r="AB46" i="396"/>
  <c r="AC46" i="396" s="1"/>
  <c r="D46" i="396"/>
  <c r="C46" i="396"/>
  <c r="B46" i="396"/>
  <c r="AK45" i="396"/>
  <c r="AE45" i="396"/>
  <c r="AF45" i="396" s="1"/>
  <c r="AB45" i="396"/>
  <c r="AC45" i="396" s="1"/>
  <c r="D45" i="396"/>
  <c r="C45" i="396"/>
  <c r="B45" i="396"/>
  <c r="AK44" i="396"/>
  <c r="AE44" i="396"/>
  <c r="AF44" i="396" s="1"/>
  <c r="AB44" i="396"/>
  <c r="AC44" i="396" s="1"/>
  <c r="D44" i="396"/>
  <c r="C44" i="396"/>
  <c r="B44" i="396"/>
  <c r="AK43" i="396"/>
  <c r="AE43" i="396"/>
  <c r="AF43" i="396" s="1"/>
  <c r="AB43" i="396"/>
  <c r="AC43" i="396" s="1"/>
  <c r="D43" i="396"/>
  <c r="C43" i="396"/>
  <c r="B43" i="396"/>
  <c r="AK42" i="396"/>
  <c r="AE42" i="396"/>
  <c r="AF42" i="396" s="1"/>
  <c r="AB42" i="396"/>
  <c r="AC42" i="396" s="1"/>
  <c r="D42" i="396"/>
  <c r="C42" i="396"/>
  <c r="B42" i="396"/>
  <c r="AK41" i="396"/>
  <c r="AE41" i="396"/>
  <c r="AF41" i="396" s="1"/>
  <c r="AB41" i="396"/>
  <c r="AC41" i="396" s="1"/>
  <c r="D41" i="396"/>
  <c r="C41" i="396"/>
  <c r="B41" i="396"/>
  <c r="AK40" i="396"/>
  <c r="AE40" i="396"/>
  <c r="AF40" i="396" s="1"/>
  <c r="AB40" i="396"/>
  <c r="AC40" i="396" s="1"/>
  <c r="D40" i="396"/>
  <c r="C40" i="396"/>
  <c r="B40" i="396"/>
  <c r="AK39" i="396"/>
  <c r="AE39" i="396"/>
  <c r="AF39" i="396" s="1"/>
  <c r="AB39" i="396"/>
  <c r="AC39" i="396" s="1"/>
  <c r="D39" i="396"/>
  <c r="C39" i="396"/>
  <c r="B39" i="396"/>
  <c r="AK38" i="396"/>
  <c r="AE38" i="396"/>
  <c r="AF38" i="396" s="1"/>
  <c r="AB38" i="396"/>
  <c r="AC38" i="396" s="1"/>
  <c r="D38" i="396"/>
  <c r="C38" i="396"/>
  <c r="B38" i="396"/>
  <c r="AK37" i="396"/>
  <c r="AE37" i="396"/>
  <c r="AF37" i="396" s="1"/>
  <c r="AB37" i="396"/>
  <c r="AC37" i="396" s="1"/>
  <c r="D37" i="396"/>
  <c r="C37" i="396"/>
  <c r="B37" i="396"/>
  <c r="AK36" i="396"/>
  <c r="AE36" i="396"/>
  <c r="AF36" i="396" s="1"/>
  <c r="AB36" i="396"/>
  <c r="AC36" i="396" s="1"/>
  <c r="D36" i="396"/>
  <c r="C36" i="396"/>
  <c r="B36" i="396"/>
  <c r="AK35" i="396"/>
  <c r="AE35" i="396"/>
  <c r="AF35" i="396" s="1"/>
  <c r="AB35" i="396"/>
  <c r="AC35" i="396" s="1"/>
  <c r="D35" i="396"/>
  <c r="C35" i="396"/>
  <c r="B35" i="396"/>
  <c r="AK34" i="396"/>
  <c r="AE34" i="396"/>
  <c r="AF34" i="396" s="1"/>
  <c r="AB34" i="396"/>
  <c r="AC34" i="396" s="1"/>
  <c r="D34" i="396"/>
  <c r="C34" i="396"/>
  <c r="B34" i="396"/>
  <c r="AK33" i="396"/>
  <c r="AE33" i="396"/>
  <c r="AF33" i="396" s="1"/>
  <c r="AB33" i="396"/>
  <c r="AC33" i="396" s="1"/>
  <c r="D33" i="396"/>
  <c r="C33" i="396"/>
  <c r="B33" i="396"/>
  <c r="AK32" i="396"/>
  <c r="AE32" i="396"/>
  <c r="AF32" i="396" s="1"/>
  <c r="AB32" i="396"/>
  <c r="AC32" i="396" s="1"/>
  <c r="D32" i="396"/>
  <c r="C32" i="396"/>
  <c r="B32" i="396"/>
  <c r="AK31" i="396"/>
  <c r="AE31" i="396"/>
  <c r="AF31" i="396" s="1"/>
  <c r="AB31" i="396"/>
  <c r="AC31" i="396" s="1"/>
  <c r="D31" i="396"/>
  <c r="C31" i="396"/>
  <c r="B31" i="396"/>
  <c r="AK30" i="396"/>
  <c r="AE30" i="396"/>
  <c r="AF30" i="396" s="1"/>
  <c r="AB30" i="396"/>
  <c r="AC30" i="396" s="1"/>
  <c r="D30" i="396"/>
  <c r="C30" i="396"/>
  <c r="B30" i="396"/>
  <c r="AK29" i="396"/>
  <c r="AE29" i="396"/>
  <c r="AF29" i="396" s="1"/>
  <c r="AB29" i="396"/>
  <c r="AC29" i="396" s="1"/>
  <c r="D29" i="396"/>
  <c r="C29" i="396"/>
  <c r="B29" i="396"/>
  <c r="AK28" i="396"/>
  <c r="AE28" i="396"/>
  <c r="AF28" i="396" s="1"/>
  <c r="AB28" i="396"/>
  <c r="AC28" i="396" s="1"/>
  <c r="D28" i="396"/>
  <c r="C28" i="396"/>
  <c r="B28" i="396"/>
  <c r="AK27" i="396"/>
  <c r="AE27" i="396"/>
  <c r="AF27" i="396" s="1"/>
  <c r="AB27" i="396"/>
  <c r="AC27" i="396" s="1"/>
  <c r="D27" i="396"/>
  <c r="C27" i="396"/>
  <c r="B27" i="396"/>
  <c r="AK26" i="396"/>
  <c r="AE26" i="396"/>
  <c r="AF26" i="396" s="1"/>
  <c r="AB26" i="396"/>
  <c r="AC26" i="396" s="1"/>
  <c r="D26" i="396"/>
  <c r="C26" i="396"/>
  <c r="B26" i="396"/>
  <c r="AK25" i="396"/>
  <c r="K21" i="412"/>
  <c r="AE25" i="396"/>
  <c r="AF25" i="396" s="1"/>
  <c r="AB25" i="396"/>
  <c r="AC25" i="396" s="1"/>
  <c r="D25" i="396"/>
  <c r="C25" i="396"/>
  <c r="B25" i="396"/>
  <c r="AK24" i="396"/>
  <c r="AE24" i="396"/>
  <c r="AF24" i="396" s="1"/>
  <c r="AB24" i="396"/>
  <c r="AC24" i="396" s="1"/>
  <c r="D24" i="396"/>
  <c r="C24" i="396"/>
  <c r="B24" i="396"/>
  <c r="AK23" i="396"/>
  <c r="AE23" i="396"/>
  <c r="AF23" i="396" s="1"/>
  <c r="AB23" i="396"/>
  <c r="AC23" i="396" s="1"/>
  <c r="D23" i="396"/>
  <c r="C23" i="396"/>
  <c r="B23" i="396"/>
  <c r="AK22" i="396"/>
  <c r="AE22" i="396"/>
  <c r="AF22" i="396" s="1"/>
  <c r="AB22" i="396"/>
  <c r="AC22" i="396" s="1"/>
  <c r="D22" i="396"/>
  <c r="C22" i="396"/>
  <c r="B22" i="396"/>
  <c r="AK21" i="396"/>
  <c r="AE21" i="396"/>
  <c r="AF21" i="396" s="1"/>
  <c r="AB21" i="396"/>
  <c r="AC21" i="396" s="1"/>
  <c r="D21" i="396"/>
  <c r="C21" i="396"/>
  <c r="B21" i="396"/>
  <c r="AK20" i="396"/>
  <c r="AE20" i="396"/>
  <c r="AF20" i="396" s="1"/>
  <c r="AB20" i="396"/>
  <c r="AC20" i="396" s="1"/>
  <c r="D20" i="396"/>
  <c r="C20" i="396"/>
  <c r="B20" i="396"/>
  <c r="AK19" i="396"/>
  <c r="AE19" i="396"/>
  <c r="AF19" i="396" s="1"/>
  <c r="AB19" i="396"/>
  <c r="AC19" i="396" s="1"/>
  <c r="D19" i="396"/>
  <c r="C19" i="396"/>
  <c r="B19" i="396"/>
  <c r="AK18" i="396"/>
  <c r="AE18" i="396"/>
  <c r="AF18" i="396" s="1"/>
  <c r="AB18" i="396"/>
  <c r="AC18" i="396" s="1"/>
  <c r="D18" i="396"/>
  <c r="C18" i="396"/>
  <c r="B18" i="396"/>
  <c r="AK17" i="396"/>
  <c r="AE17" i="396"/>
  <c r="AF17" i="396" s="1"/>
  <c r="AB17" i="396"/>
  <c r="AC17" i="396" s="1"/>
  <c r="D17" i="396"/>
  <c r="C17" i="396"/>
  <c r="B17" i="396"/>
  <c r="AK16" i="396"/>
  <c r="AE16" i="396"/>
  <c r="AF16" i="396" s="1"/>
  <c r="C14" i="399" s="1"/>
  <c r="E14" i="399" s="1"/>
  <c r="D16" i="396"/>
  <c r="C16" i="396"/>
  <c r="B16" i="396"/>
  <c r="E9" i="396"/>
  <c r="E8" i="396"/>
  <c r="E7" i="396"/>
  <c r="E6" i="396"/>
  <c r="X5" i="396"/>
  <c r="E5" i="396"/>
  <c r="E4" i="396"/>
  <c r="E3" i="396"/>
  <c r="AR29" i="396" l="1"/>
  <c r="K13" i="417" s="1"/>
  <c r="AQ24" i="396"/>
  <c r="I12" i="417" s="1"/>
  <c r="AP19" i="396"/>
  <c r="AO24" i="396"/>
  <c r="E12" i="417" s="1"/>
  <c r="AR24" i="396"/>
  <c r="AQ19" i="396"/>
  <c r="AO29" i="396"/>
  <c r="E13" i="417" s="1"/>
  <c r="AP29" i="396"/>
  <c r="G13" i="417" s="1"/>
  <c r="AR19" i="396"/>
  <c r="AQ29" i="396"/>
  <c r="I13" i="417" s="1"/>
  <c r="AP24" i="396"/>
  <c r="G12" i="417" s="1"/>
  <c r="AO19" i="396"/>
  <c r="BW18" i="398"/>
  <c r="BX18" i="398" s="1"/>
  <c r="I18" i="398" s="1"/>
  <c r="BW14" i="398"/>
  <c r="BX14" i="398" s="1"/>
  <c r="I14" i="398" s="1"/>
  <c r="M17" i="412" s="1"/>
  <c r="BW23" i="398"/>
  <c r="BX23" i="398" s="1"/>
  <c r="I23" i="398" s="1"/>
  <c r="M35" i="412" s="1"/>
  <c r="BW24" i="398"/>
  <c r="BX24" i="398" s="1"/>
  <c r="I24" i="398" s="1"/>
  <c r="M37" i="412" s="1"/>
  <c r="BW8" i="398"/>
  <c r="BX8" i="398" s="1"/>
  <c r="I8" i="398" s="1"/>
  <c r="AI17" i="396" s="1"/>
  <c r="AJ17" i="396" s="1"/>
  <c r="M81" i="412"/>
  <c r="AI55" i="396"/>
  <c r="M29" i="412"/>
  <c r="AI29" i="396"/>
  <c r="AJ29" i="396" s="1"/>
  <c r="M79" i="412"/>
  <c r="AI54" i="396"/>
  <c r="M73" i="412"/>
  <c r="AI51" i="396"/>
  <c r="AJ51" i="396" s="1"/>
  <c r="M69" i="412"/>
  <c r="AI49" i="396"/>
  <c r="M57" i="412"/>
  <c r="AI43" i="396"/>
  <c r="AI23" i="396"/>
  <c r="AJ23" i="396" s="1"/>
  <c r="M39" i="412"/>
  <c r="AI34" i="396"/>
  <c r="AJ34" i="396" s="1"/>
  <c r="M63" i="412"/>
  <c r="AI46" i="396"/>
  <c r="AJ46" i="396" s="1"/>
  <c r="M45" i="412"/>
  <c r="AI37" i="396"/>
  <c r="AJ37" i="396" s="1"/>
  <c r="M77" i="412"/>
  <c r="AI53" i="396"/>
  <c r="AJ53" i="396" s="1"/>
  <c r="M61" i="412"/>
  <c r="AI45" i="396"/>
  <c r="AJ45" i="396" s="1"/>
  <c r="BW21" i="398"/>
  <c r="BX21" i="398" s="1"/>
  <c r="I21" i="398" s="1"/>
  <c r="M21" i="412"/>
  <c r="O21" i="412" s="1"/>
  <c r="AI25" i="396"/>
  <c r="AJ25" i="396" s="1"/>
  <c r="M75" i="412"/>
  <c r="AI52" i="396"/>
  <c r="M59" i="412"/>
  <c r="AI44" i="396"/>
  <c r="M23" i="412"/>
  <c r="AI26" i="396"/>
  <c r="AJ26" i="396" s="1"/>
  <c r="M15" i="412"/>
  <c r="AI22" i="396"/>
  <c r="M47" i="412"/>
  <c r="AI38" i="396"/>
  <c r="AJ38" i="396" s="1"/>
  <c r="M25" i="412"/>
  <c r="AI27" i="396"/>
  <c r="AJ27" i="396" s="1"/>
  <c r="M51" i="412"/>
  <c r="AI40" i="396"/>
  <c r="AJ40" i="396" s="1"/>
  <c r="M43" i="412"/>
  <c r="AI36" i="396"/>
  <c r="AJ36" i="396" s="1"/>
  <c r="AI32" i="396"/>
  <c r="AJ32" i="396" s="1"/>
  <c r="M19" i="412"/>
  <c r="AI24" i="396"/>
  <c r="M71" i="412"/>
  <c r="AI50" i="396"/>
  <c r="AJ50" i="396" s="1"/>
  <c r="M55" i="412"/>
  <c r="AI42" i="396"/>
  <c r="AJ42" i="396" s="1"/>
  <c r="M13" i="412"/>
  <c r="AI21" i="396"/>
  <c r="AJ21" i="396" s="1"/>
  <c r="M65" i="412"/>
  <c r="AI47" i="396"/>
  <c r="M49" i="412"/>
  <c r="AI39" i="396"/>
  <c r="AJ39" i="396" s="1"/>
  <c r="M41" i="412"/>
  <c r="AI35" i="396"/>
  <c r="AJ35" i="396" s="1"/>
  <c r="M33" i="412"/>
  <c r="AI31" i="396"/>
  <c r="AJ31" i="396" s="1"/>
  <c r="M53" i="412"/>
  <c r="AI41" i="396"/>
  <c r="AJ41" i="396" s="1"/>
  <c r="M27" i="412"/>
  <c r="AI28" i="396"/>
  <c r="AJ28" i="396" s="1"/>
  <c r="M67" i="412"/>
  <c r="AI48" i="396"/>
  <c r="M11" i="412"/>
  <c r="AI20" i="396"/>
  <c r="AJ20" i="396" s="1"/>
  <c r="M3" i="412"/>
  <c r="AI16" i="396"/>
  <c r="M9" i="412"/>
  <c r="AI19" i="396"/>
  <c r="AJ19" i="396" s="1"/>
  <c r="M7" i="412"/>
  <c r="AI18" i="396"/>
  <c r="AJ18" i="396" s="1"/>
  <c r="D9" i="397"/>
  <c r="M5" i="412"/>
  <c r="C13" i="399"/>
  <c r="E13" i="399" s="1"/>
  <c r="C10" i="399"/>
  <c r="AJ52" i="396"/>
  <c r="AJ54" i="396"/>
  <c r="AJ22" i="396"/>
  <c r="AJ48" i="396"/>
  <c r="AJ43" i="396"/>
  <c r="AJ24" i="396"/>
  <c r="AJ44" i="396"/>
  <c r="AJ49" i="396"/>
  <c r="AJ55" i="396"/>
  <c r="AJ47" i="396"/>
  <c r="K3" i="412"/>
  <c r="K7" i="412"/>
  <c r="K17" i="412"/>
  <c r="K15" i="412"/>
  <c r="K11" i="412"/>
  <c r="K23" i="412"/>
  <c r="X6" i="396"/>
  <c r="K5" i="412"/>
  <c r="K13" i="412"/>
  <c r="K9" i="412"/>
  <c r="K19" i="412"/>
  <c r="K12" i="417"/>
  <c r="K25" i="412"/>
  <c r="E6" i="394"/>
  <c r="E3" i="394"/>
  <c r="E2" i="394"/>
  <c r="C10" i="392"/>
  <c r="C9" i="392"/>
  <c r="B5" i="388"/>
  <c r="B4" i="388"/>
  <c r="A2" i="388"/>
  <c r="E5" i="395"/>
  <c r="E4" i="395"/>
  <c r="C1" i="395"/>
  <c r="X5" i="1"/>
  <c r="E7" i="417" s="1"/>
  <c r="O15" i="412" l="1"/>
  <c r="G17" i="417"/>
  <c r="D16" i="417"/>
  <c r="G16" i="417"/>
  <c r="D17" i="417"/>
  <c r="O7" i="412"/>
  <c r="O3" i="412"/>
  <c r="O5" i="412"/>
  <c r="O9" i="412"/>
  <c r="O13" i="412"/>
  <c r="O25" i="412"/>
  <c r="O11" i="412"/>
  <c r="O19" i="412"/>
  <c r="O27" i="412"/>
  <c r="O23" i="412"/>
  <c r="O17" i="412"/>
  <c r="C11" i="399"/>
  <c r="D11" i="399" s="1"/>
  <c r="AI33" i="396"/>
  <c r="AJ33" i="396" s="1"/>
  <c r="M31" i="412"/>
  <c r="AI30" i="396"/>
  <c r="AJ30" i="396" s="1"/>
  <c r="E14" i="417" s="1"/>
  <c r="AJ16" i="396"/>
  <c r="D10" i="399"/>
  <c r="G10" i="387"/>
  <c r="G10" i="410"/>
  <c r="E6" i="395"/>
  <c r="AS24" i="396"/>
  <c r="D12" i="417" s="1"/>
  <c r="F12" i="417" s="1"/>
  <c r="AS29" i="396"/>
  <c r="B8" i="399"/>
  <c r="C8" i="397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16" i="1"/>
  <c r="B2" i="391"/>
  <c r="I61" i="391"/>
  <c r="D61" i="391" s="1"/>
  <c r="B31" i="391"/>
  <c r="B30" i="391"/>
  <c r="B27" i="391"/>
  <c r="B29" i="391"/>
  <c r="AR29" i="1" l="1"/>
  <c r="AQ24" i="1"/>
  <c r="AP19" i="1"/>
  <c r="AO24" i="1"/>
  <c r="AR24" i="1"/>
  <c r="AQ19" i="1"/>
  <c r="AO29" i="1"/>
  <c r="AP29" i="1"/>
  <c r="AQ29" i="1"/>
  <c r="AP24" i="1"/>
  <c r="AO19" i="1"/>
  <c r="AR19" i="1"/>
  <c r="J12" i="417"/>
  <c r="E16" i="417"/>
  <c r="L12" i="417"/>
  <c r="H12" i="417"/>
  <c r="E17" i="417"/>
  <c r="C15" i="399"/>
  <c r="B40" i="391"/>
  <c r="B39" i="391"/>
  <c r="B27" i="390"/>
  <c r="C27" i="390"/>
  <c r="D26" i="390"/>
  <c r="D27" i="390"/>
  <c r="D28" i="390"/>
  <c r="D29" i="390"/>
  <c r="D30" i="390"/>
  <c r="D31" i="390"/>
  <c r="CC9" i="390"/>
  <c r="G9" i="390" s="1"/>
  <c r="CD9" i="390"/>
  <c r="BO9" i="390" s="1"/>
  <c r="CE9" i="390"/>
  <c r="H9" i="390" s="1"/>
  <c r="CF9" i="390"/>
  <c r="BQ9" i="390" s="1"/>
  <c r="CG9" i="390"/>
  <c r="BR9" i="390" s="1"/>
  <c r="CH9" i="390"/>
  <c r="BS9" i="390" s="1"/>
  <c r="CI9" i="390"/>
  <c r="BT9" i="390" s="1"/>
  <c r="CJ9" i="390"/>
  <c r="BU9" i="390" s="1"/>
  <c r="CK9" i="390"/>
  <c r="BV9" i="390" s="1"/>
  <c r="CC10" i="390"/>
  <c r="G10" i="390" s="1"/>
  <c r="CD10" i="390"/>
  <c r="BO10" i="390" s="1"/>
  <c r="CE10" i="390"/>
  <c r="H10" i="390" s="1"/>
  <c r="CF10" i="390"/>
  <c r="BQ10" i="390" s="1"/>
  <c r="CG10" i="390"/>
  <c r="BR10" i="390" s="1"/>
  <c r="CH10" i="390"/>
  <c r="BS10" i="390" s="1"/>
  <c r="CI10" i="390"/>
  <c r="BT10" i="390" s="1"/>
  <c r="CJ10" i="390"/>
  <c r="BU10" i="390" s="1"/>
  <c r="CK10" i="390"/>
  <c r="BV10" i="390" s="1"/>
  <c r="CC11" i="390"/>
  <c r="BN11" i="390" s="1"/>
  <c r="CD11" i="390"/>
  <c r="BO11" i="390" s="1"/>
  <c r="CE11" i="390"/>
  <c r="H11" i="390" s="1"/>
  <c r="CF11" i="390"/>
  <c r="BQ11" i="390" s="1"/>
  <c r="CG11" i="390"/>
  <c r="BR11" i="390" s="1"/>
  <c r="CH11" i="390"/>
  <c r="BS11" i="390" s="1"/>
  <c r="CI11" i="390"/>
  <c r="BT11" i="390" s="1"/>
  <c r="CJ11" i="390"/>
  <c r="BU11" i="390" s="1"/>
  <c r="CK11" i="390"/>
  <c r="BV11" i="390" s="1"/>
  <c r="CC12" i="390"/>
  <c r="G12" i="390" s="1"/>
  <c r="CD12" i="390"/>
  <c r="BO12" i="390" s="1"/>
  <c r="CE12" i="390"/>
  <c r="H12" i="390" s="1"/>
  <c r="CF12" i="390"/>
  <c r="BQ12" i="390" s="1"/>
  <c r="CG12" i="390"/>
  <c r="BR12" i="390" s="1"/>
  <c r="CH12" i="390"/>
  <c r="BS12" i="390" s="1"/>
  <c r="CI12" i="390"/>
  <c r="BT12" i="390" s="1"/>
  <c r="CJ12" i="390"/>
  <c r="BU12" i="390" s="1"/>
  <c r="CK12" i="390"/>
  <c r="BV12" i="390" s="1"/>
  <c r="CC13" i="390"/>
  <c r="G13" i="390" s="1"/>
  <c r="CD13" i="390"/>
  <c r="BO13" i="390" s="1"/>
  <c r="CE13" i="390"/>
  <c r="H13" i="390" s="1"/>
  <c r="CF13" i="390"/>
  <c r="BQ13" i="390" s="1"/>
  <c r="CG13" i="390"/>
  <c r="BR13" i="390" s="1"/>
  <c r="CH13" i="390"/>
  <c r="BS13" i="390" s="1"/>
  <c r="CI13" i="390"/>
  <c r="BT13" i="390" s="1"/>
  <c r="CJ13" i="390"/>
  <c r="BU13" i="390" s="1"/>
  <c r="CK13" i="390"/>
  <c r="BV13" i="390" s="1"/>
  <c r="CC14" i="390"/>
  <c r="BN14" i="390" s="1"/>
  <c r="CD14" i="390"/>
  <c r="BO14" i="390" s="1"/>
  <c r="CE14" i="390"/>
  <c r="H14" i="390" s="1"/>
  <c r="CF14" i="390"/>
  <c r="BQ14" i="390" s="1"/>
  <c r="CG14" i="390"/>
  <c r="BR14" i="390" s="1"/>
  <c r="CH14" i="390"/>
  <c r="BS14" i="390" s="1"/>
  <c r="CI14" i="390"/>
  <c r="BT14" i="390" s="1"/>
  <c r="CJ14" i="390"/>
  <c r="BU14" i="390" s="1"/>
  <c r="CK14" i="390"/>
  <c r="BV14" i="390" s="1"/>
  <c r="CC15" i="390"/>
  <c r="G15" i="390" s="1"/>
  <c r="CD15" i="390"/>
  <c r="BO15" i="390" s="1"/>
  <c r="CE15" i="390"/>
  <c r="H15" i="390" s="1"/>
  <c r="CF15" i="390"/>
  <c r="BQ15" i="390" s="1"/>
  <c r="CG15" i="390"/>
  <c r="BR15" i="390" s="1"/>
  <c r="CH15" i="390"/>
  <c r="BS15" i="390" s="1"/>
  <c r="CI15" i="390"/>
  <c r="BT15" i="390" s="1"/>
  <c r="CJ15" i="390"/>
  <c r="BU15" i="390" s="1"/>
  <c r="CK15" i="390"/>
  <c r="BV15" i="390" s="1"/>
  <c r="CC16" i="390"/>
  <c r="G16" i="390" s="1"/>
  <c r="CD16" i="390"/>
  <c r="BO16" i="390" s="1"/>
  <c r="CE16" i="390"/>
  <c r="H16" i="390" s="1"/>
  <c r="CF16" i="390"/>
  <c r="BQ16" i="390" s="1"/>
  <c r="CG16" i="390"/>
  <c r="BR16" i="390" s="1"/>
  <c r="CH16" i="390"/>
  <c r="BS16" i="390" s="1"/>
  <c r="CI16" i="390"/>
  <c r="BT16" i="390" s="1"/>
  <c r="CJ16" i="390"/>
  <c r="BU16" i="390" s="1"/>
  <c r="CK16" i="390"/>
  <c r="BV16" i="390" s="1"/>
  <c r="CC17" i="390"/>
  <c r="BN17" i="390" s="1"/>
  <c r="CD17" i="390"/>
  <c r="BO17" i="390" s="1"/>
  <c r="CE17" i="390"/>
  <c r="H17" i="390" s="1"/>
  <c r="CF17" i="390"/>
  <c r="BQ17" i="390" s="1"/>
  <c r="CG17" i="390"/>
  <c r="BR17" i="390" s="1"/>
  <c r="CH17" i="390"/>
  <c r="BS17" i="390" s="1"/>
  <c r="CI17" i="390"/>
  <c r="BT17" i="390" s="1"/>
  <c r="CJ17" i="390"/>
  <c r="BU17" i="390" s="1"/>
  <c r="CK17" i="390"/>
  <c r="BV17" i="390" s="1"/>
  <c r="CC18" i="390"/>
  <c r="G18" i="390" s="1"/>
  <c r="CD18" i="390"/>
  <c r="BO18" i="390" s="1"/>
  <c r="CE18" i="390"/>
  <c r="H18" i="390" s="1"/>
  <c r="CF18" i="390"/>
  <c r="BQ18" i="390" s="1"/>
  <c r="CG18" i="390"/>
  <c r="BR18" i="390" s="1"/>
  <c r="CH18" i="390"/>
  <c r="BS18" i="390" s="1"/>
  <c r="CI18" i="390"/>
  <c r="BT18" i="390" s="1"/>
  <c r="CJ18" i="390"/>
  <c r="BU18" i="390" s="1"/>
  <c r="CK18" i="390"/>
  <c r="BV18" i="390" s="1"/>
  <c r="CC19" i="390"/>
  <c r="G19" i="390" s="1"/>
  <c r="CD19" i="390"/>
  <c r="BO19" i="390" s="1"/>
  <c r="CE19" i="390"/>
  <c r="H19" i="390" s="1"/>
  <c r="CF19" i="390"/>
  <c r="BQ19" i="390" s="1"/>
  <c r="CG19" i="390"/>
  <c r="BR19" i="390" s="1"/>
  <c r="CH19" i="390"/>
  <c r="BS19" i="390" s="1"/>
  <c r="CI19" i="390"/>
  <c r="BT19" i="390" s="1"/>
  <c r="CJ19" i="390"/>
  <c r="BU19" i="390" s="1"/>
  <c r="CK19" i="390"/>
  <c r="BV19" i="390" s="1"/>
  <c r="CC20" i="390"/>
  <c r="G20" i="390" s="1"/>
  <c r="CD20" i="390"/>
  <c r="BO20" i="390" s="1"/>
  <c r="CE20" i="390"/>
  <c r="H20" i="390" s="1"/>
  <c r="CF20" i="390"/>
  <c r="BQ20" i="390" s="1"/>
  <c r="CG20" i="390"/>
  <c r="BR20" i="390" s="1"/>
  <c r="CH20" i="390"/>
  <c r="BS20" i="390" s="1"/>
  <c r="CI20" i="390"/>
  <c r="BT20" i="390" s="1"/>
  <c r="CJ20" i="390"/>
  <c r="BU20" i="390" s="1"/>
  <c r="CK20" i="390"/>
  <c r="BV20" i="390" s="1"/>
  <c r="CC21" i="390"/>
  <c r="G21" i="390" s="1"/>
  <c r="CD21" i="390"/>
  <c r="BO21" i="390" s="1"/>
  <c r="CE21" i="390"/>
  <c r="H21" i="390" s="1"/>
  <c r="CF21" i="390"/>
  <c r="BQ21" i="390" s="1"/>
  <c r="CG21" i="390"/>
  <c r="BR21" i="390" s="1"/>
  <c r="CH21" i="390"/>
  <c r="BS21" i="390" s="1"/>
  <c r="CI21" i="390"/>
  <c r="BT21" i="390" s="1"/>
  <c r="CJ21" i="390"/>
  <c r="BU21" i="390" s="1"/>
  <c r="CK21" i="390"/>
  <c r="BV21" i="390" s="1"/>
  <c r="CC22" i="390"/>
  <c r="BN22" i="390" s="1"/>
  <c r="CD22" i="390"/>
  <c r="BO22" i="390" s="1"/>
  <c r="CE22" i="390"/>
  <c r="H22" i="390" s="1"/>
  <c r="CF22" i="390"/>
  <c r="BQ22" i="390" s="1"/>
  <c r="CG22" i="390"/>
  <c r="BR22" i="390" s="1"/>
  <c r="CH22" i="390"/>
  <c r="BS22" i="390" s="1"/>
  <c r="CI22" i="390"/>
  <c r="BT22" i="390" s="1"/>
  <c r="CJ22" i="390"/>
  <c r="BU22" i="390" s="1"/>
  <c r="CK22" i="390"/>
  <c r="BV22" i="390" s="1"/>
  <c r="CC23" i="390"/>
  <c r="G23" i="390" s="1"/>
  <c r="CD23" i="390"/>
  <c r="BO23" i="390" s="1"/>
  <c r="CE23" i="390"/>
  <c r="BP23" i="390" s="1"/>
  <c r="CF23" i="390"/>
  <c r="BQ23" i="390" s="1"/>
  <c r="CG23" i="390"/>
  <c r="BR23" i="390" s="1"/>
  <c r="CH23" i="390"/>
  <c r="BS23" i="390" s="1"/>
  <c r="CI23" i="390"/>
  <c r="BT23" i="390" s="1"/>
  <c r="CJ23" i="390"/>
  <c r="BU23" i="390" s="1"/>
  <c r="CK23" i="390"/>
  <c r="BV23" i="390" s="1"/>
  <c r="CC24" i="390"/>
  <c r="G24" i="390" s="1"/>
  <c r="CD24" i="390"/>
  <c r="BO24" i="390" s="1"/>
  <c r="CE24" i="390"/>
  <c r="H24" i="390" s="1"/>
  <c r="CF24" i="390"/>
  <c r="BQ24" i="390" s="1"/>
  <c r="CG24" i="390"/>
  <c r="BR24" i="390" s="1"/>
  <c r="CH24" i="390"/>
  <c r="BS24" i="390" s="1"/>
  <c r="CI24" i="390"/>
  <c r="BT24" i="390" s="1"/>
  <c r="CJ24" i="390"/>
  <c r="BU24" i="390" s="1"/>
  <c r="CK24" i="390"/>
  <c r="BV24" i="390" s="1"/>
  <c r="CC25" i="390"/>
  <c r="G25" i="390" s="1"/>
  <c r="CD25" i="390"/>
  <c r="BO25" i="390" s="1"/>
  <c r="CE25" i="390"/>
  <c r="BP25" i="390" s="1"/>
  <c r="CF25" i="390"/>
  <c r="BQ25" i="390" s="1"/>
  <c r="CG25" i="390"/>
  <c r="BR25" i="390" s="1"/>
  <c r="CH25" i="390"/>
  <c r="BS25" i="390" s="1"/>
  <c r="CI25" i="390"/>
  <c r="BT25" i="390" s="1"/>
  <c r="CJ25" i="390"/>
  <c r="BU25" i="390" s="1"/>
  <c r="CK25" i="390"/>
  <c r="BV25" i="390" s="1"/>
  <c r="CC26" i="390"/>
  <c r="G26" i="390" s="1"/>
  <c r="CD26" i="390"/>
  <c r="BO26" i="390" s="1"/>
  <c r="CE26" i="390"/>
  <c r="H26" i="390" s="1"/>
  <c r="CF26" i="390"/>
  <c r="BQ26" i="390" s="1"/>
  <c r="CG26" i="390"/>
  <c r="BR26" i="390" s="1"/>
  <c r="CH26" i="390"/>
  <c r="BS26" i="390" s="1"/>
  <c r="CI26" i="390"/>
  <c r="BT26" i="390" s="1"/>
  <c r="CJ26" i="390"/>
  <c r="CK26" i="390"/>
  <c r="BV26" i="390" s="1"/>
  <c r="CC27" i="390"/>
  <c r="G27" i="390" s="1"/>
  <c r="CD27" i="390"/>
  <c r="BO27" i="390" s="1"/>
  <c r="CE27" i="390"/>
  <c r="BP27" i="390" s="1"/>
  <c r="CF27" i="390"/>
  <c r="BQ27" i="390" s="1"/>
  <c r="CG27" i="390"/>
  <c r="CH27" i="390"/>
  <c r="BS27" i="390" s="1"/>
  <c r="CI27" i="390"/>
  <c r="CJ27" i="390"/>
  <c r="BU27" i="390" s="1"/>
  <c r="CK27" i="390"/>
  <c r="BV27" i="390" s="1"/>
  <c r="CC28" i="390"/>
  <c r="G28" i="390" s="1"/>
  <c r="CD28" i="390"/>
  <c r="BO28" i="390" s="1"/>
  <c r="CE28" i="390"/>
  <c r="H28" i="390" s="1"/>
  <c r="CF28" i="390"/>
  <c r="BQ28" i="390" s="1"/>
  <c r="CG28" i="390"/>
  <c r="BR28" i="390" s="1"/>
  <c r="CH28" i="390"/>
  <c r="BS28" i="390" s="1"/>
  <c r="CI28" i="390"/>
  <c r="BT28" i="390" s="1"/>
  <c r="CJ28" i="390"/>
  <c r="BU28" i="390" s="1"/>
  <c r="CK28" i="390"/>
  <c r="BV28" i="390" s="1"/>
  <c r="CC29" i="390"/>
  <c r="G29" i="390" s="1"/>
  <c r="CD29" i="390"/>
  <c r="BO29" i="390" s="1"/>
  <c r="CE29" i="390"/>
  <c r="H29" i="390" s="1"/>
  <c r="CF29" i="390"/>
  <c r="BQ29" i="390" s="1"/>
  <c r="CG29" i="390"/>
  <c r="BR29" i="390" s="1"/>
  <c r="CH29" i="390"/>
  <c r="BS29" i="390" s="1"/>
  <c r="CI29" i="390"/>
  <c r="CJ29" i="390"/>
  <c r="BU29" i="390" s="1"/>
  <c r="CK29" i="390"/>
  <c r="BV29" i="390" s="1"/>
  <c r="CC30" i="390"/>
  <c r="G30" i="390" s="1"/>
  <c r="CD30" i="390"/>
  <c r="BO30" i="390" s="1"/>
  <c r="CE30" i="390"/>
  <c r="H30" i="390" s="1"/>
  <c r="CF30" i="390"/>
  <c r="BQ30" i="390" s="1"/>
  <c r="CG30" i="390"/>
  <c r="BR30" i="390" s="1"/>
  <c r="CH30" i="390"/>
  <c r="BS30" i="390" s="1"/>
  <c r="CI30" i="390"/>
  <c r="BT30" i="390" s="1"/>
  <c r="CJ30" i="390"/>
  <c r="BU30" i="390" s="1"/>
  <c r="CK30" i="390"/>
  <c r="BV30" i="390" s="1"/>
  <c r="CC31" i="390"/>
  <c r="G31" i="390" s="1"/>
  <c r="CD31" i="390"/>
  <c r="BO31" i="390" s="1"/>
  <c r="CE31" i="390"/>
  <c r="H31" i="390" s="1"/>
  <c r="CF31" i="390"/>
  <c r="BQ31" i="390" s="1"/>
  <c r="CG31" i="390"/>
  <c r="BR31" i="390" s="1"/>
  <c r="CH31" i="390"/>
  <c r="BS31" i="390" s="1"/>
  <c r="CI31" i="390"/>
  <c r="BT31" i="390" s="1"/>
  <c r="CJ31" i="390"/>
  <c r="BU31" i="390" s="1"/>
  <c r="CK31" i="390"/>
  <c r="BV31" i="390" s="1"/>
  <c r="CC32" i="390"/>
  <c r="G32" i="390" s="1"/>
  <c r="CD32" i="390"/>
  <c r="BO32" i="390" s="1"/>
  <c r="CE32" i="390"/>
  <c r="H32" i="390" s="1"/>
  <c r="CF32" i="390"/>
  <c r="CG32" i="390"/>
  <c r="BR32" i="390" s="1"/>
  <c r="CH32" i="390"/>
  <c r="BS32" i="390" s="1"/>
  <c r="CI32" i="390"/>
  <c r="BT32" i="390" s="1"/>
  <c r="CJ32" i="390"/>
  <c r="CK32" i="390"/>
  <c r="BV32" i="390" s="1"/>
  <c r="CC33" i="390"/>
  <c r="G33" i="390" s="1"/>
  <c r="CD33" i="390"/>
  <c r="BO33" i="390" s="1"/>
  <c r="CE33" i="390"/>
  <c r="H33" i="390" s="1"/>
  <c r="CF33" i="390"/>
  <c r="BQ33" i="390" s="1"/>
  <c r="CG33" i="390"/>
  <c r="BR33" i="390" s="1"/>
  <c r="CH33" i="390"/>
  <c r="BS33" i="390" s="1"/>
  <c r="CI33" i="390"/>
  <c r="BT33" i="390" s="1"/>
  <c r="CJ33" i="390"/>
  <c r="BU33" i="390" s="1"/>
  <c r="CK33" i="390"/>
  <c r="CC34" i="390"/>
  <c r="BN34" i="390" s="1"/>
  <c r="CD34" i="390"/>
  <c r="BO34" i="390" s="1"/>
  <c r="CE34" i="390"/>
  <c r="H34" i="390" s="1"/>
  <c r="CF34" i="390"/>
  <c r="BQ34" i="390" s="1"/>
  <c r="CG34" i="390"/>
  <c r="BR34" i="390" s="1"/>
  <c r="CH34" i="390"/>
  <c r="BS34" i="390" s="1"/>
  <c r="CI34" i="390"/>
  <c r="BT34" i="390" s="1"/>
  <c r="CJ34" i="390"/>
  <c r="CK34" i="390"/>
  <c r="BV34" i="390" s="1"/>
  <c r="CC35" i="390"/>
  <c r="BN35" i="390" s="1"/>
  <c r="CD35" i="390"/>
  <c r="BO35" i="390" s="1"/>
  <c r="CE35" i="390"/>
  <c r="H35" i="390" s="1"/>
  <c r="CF35" i="390"/>
  <c r="BQ35" i="390" s="1"/>
  <c r="CG35" i="390"/>
  <c r="BR35" i="390" s="1"/>
  <c r="CH35" i="390"/>
  <c r="BS35" i="390" s="1"/>
  <c r="CI35" i="390"/>
  <c r="BT35" i="390" s="1"/>
  <c r="CJ35" i="390"/>
  <c r="BU35" i="390" s="1"/>
  <c r="CK35" i="390"/>
  <c r="BV35" i="390" s="1"/>
  <c r="CC36" i="390"/>
  <c r="G36" i="390" s="1"/>
  <c r="CD36" i="390"/>
  <c r="BO36" i="390" s="1"/>
  <c r="CE36" i="390"/>
  <c r="H36" i="390" s="1"/>
  <c r="CF36" i="390"/>
  <c r="CG36" i="390"/>
  <c r="BR36" i="390" s="1"/>
  <c r="CH36" i="390"/>
  <c r="BS36" i="390" s="1"/>
  <c r="CI36" i="390"/>
  <c r="BT36" i="390" s="1"/>
  <c r="CJ36" i="390"/>
  <c r="BU36" i="390" s="1"/>
  <c r="CK36" i="390"/>
  <c r="BV36" i="390" s="1"/>
  <c r="CC37" i="390"/>
  <c r="G37" i="390" s="1"/>
  <c r="CD37" i="390"/>
  <c r="BO37" i="390" s="1"/>
  <c r="CE37" i="390"/>
  <c r="H37" i="390" s="1"/>
  <c r="CF37" i="390"/>
  <c r="BQ37" i="390" s="1"/>
  <c r="CG37" i="390"/>
  <c r="BR37" i="390" s="1"/>
  <c r="CH37" i="390"/>
  <c r="BS37" i="390" s="1"/>
  <c r="CI37" i="390"/>
  <c r="CJ37" i="390"/>
  <c r="BU37" i="390" s="1"/>
  <c r="CK37" i="390"/>
  <c r="BV37" i="390" s="1"/>
  <c r="CC38" i="390"/>
  <c r="G38" i="390" s="1"/>
  <c r="CD38" i="390"/>
  <c r="BO38" i="390" s="1"/>
  <c r="CE38" i="390"/>
  <c r="H38" i="390" s="1"/>
  <c r="CF38" i="390"/>
  <c r="CG38" i="390"/>
  <c r="BR38" i="390" s="1"/>
  <c r="CH38" i="390"/>
  <c r="BS38" i="390" s="1"/>
  <c r="CI38" i="390"/>
  <c r="BT38" i="390" s="1"/>
  <c r="CJ38" i="390"/>
  <c r="BU38" i="390" s="1"/>
  <c r="CK38" i="390"/>
  <c r="BV38" i="390" s="1"/>
  <c r="CC39" i="390"/>
  <c r="G39" i="390" s="1"/>
  <c r="CD39" i="390"/>
  <c r="BO39" i="390" s="1"/>
  <c r="CE39" i="390"/>
  <c r="H39" i="390" s="1"/>
  <c r="CF39" i="390"/>
  <c r="BQ39" i="390" s="1"/>
  <c r="CG39" i="390"/>
  <c r="BR39" i="390" s="1"/>
  <c r="CH39" i="390"/>
  <c r="BS39" i="390" s="1"/>
  <c r="CI39" i="390"/>
  <c r="BT39" i="390" s="1"/>
  <c r="CJ39" i="390"/>
  <c r="BU39" i="390" s="1"/>
  <c r="CK39" i="390"/>
  <c r="BV39" i="390" s="1"/>
  <c r="CC40" i="390"/>
  <c r="G40" i="390" s="1"/>
  <c r="CD40" i="390"/>
  <c r="BO40" i="390" s="1"/>
  <c r="CE40" i="390"/>
  <c r="H40" i="390" s="1"/>
  <c r="CF40" i="390"/>
  <c r="BQ40" i="390" s="1"/>
  <c r="CG40" i="390"/>
  <c r="BR40" i="390" s="1"/>
  <c r="CH40" i="390"/>
  <c r="BS40" i="390" s="1"/>
  <c r="CI40" i="390"/>
  <c r="CJ40" i="390"/>
  <c r="BU40" i="390" s="1"/>
  <c r="CK40" i="390"/>
  <c r="BV40" i="390" s="1"/>
  <c r="CC41" i="390"/>
  <c r="G41" i="390" s="1"/>
  <c r="CD41" i="390"/>
  <c r="BO41" i="390" s="1"/>
  <c r="CE41" i="390"/>
  <c r="H41" i="390" s="1"/>
  <c r="CF41" i="390"/>
  <c r="BQ41" i="390" s="1"/>
  <c r="CG41" i="390"/>
  <c r="BR41" i="390" s="1"/>
  <c r="CH41" i="390"/>
  <c r="BS41" i="390" s="1"/>
  <c r="CI41" i="390"/>
  <c r="BT41" i="390" s="1"/>
  <c r="CJ41" i="390"/>
  <c r="BU41" i="390" s="1"/>
  <c r="CK41" i="390"/>
  <c r="BV41" i="390" s="1"/>
  <c r="CC42" i="390"/>
  <c r="G42" i="390" s="1"/>
  <c r="CD42" i="390"/>
  <c r="BO42" i="390" s="1"/>
  <c r="CE42" i="390"/>
  <c r="H42" i="390" s="1"/>
  <c r="CF42" i="390"/>
  <c r="BQ42" i="390" s="1"/>
  <c r="CG42" i="390"/>
  <c r="BR42" i="390" s="1"/>
  <c r="CH42" i="390"/>
  <c r="BS42" i="390" s="1"/>
  <c r="CI42" i="390"/>
  <c r="BT42" i="390" s="1"/>
  <c r="CJ42" i="390"/>
  <c r="CK42" i="390"/>
  <c r="CC43" i="390"/>
  <c r="G43" i="390" s="1"/>
  <c r="CD43" i="390"/>
  <c r="BO43" i="390" s="1"/>
  <c r="CE43" i="390"/>
  <c r="H43" i="390" s="1"/>
  <c r="CF43" i="390"/>
  <c r="BQ43" i="390" s="1"/>
  <c r="CG43" i="390"/>
  <c r="BR43" i="390" s="1"/>
  <c r="CH43" i="390"/>
  <c r="BS43" i="390" s="1"/>
  <c r="CI43" i="390"/>
  <c r="CJ43" i="390"/>
  <c r="BU43" i="390" s="1"/>
  <c r="CK43" i="390"/>
  <c r="BV43" i="390" s="1"/>
  <c r="CC44" i="390"/>
  <c r="G44" i="390" s="1"/>
  <c r="CD44" i="390"/>
  <c r="BO44" i="390" s="1"/>
  <c r="CE44" i="390"/>
  <c r="H44" i="390" s="1"/>
  <c r="CF44" i="390"/>
  <c r="BQ44" i="390" s="1"/>
  <c r="CG44" i="390"/>
  <c r="BR44" i="390" s="1"/>
  <c r="CH44" i="390"/>
  <c r="BS44" i="390" s="1"/>
  <c r="CI44" i="390"/>
  <c r="CJ44" i="390"/>
  <c r="BU44" i="390" s="1"/>
  <c r="CK44" i="390"/>
  <c r="BV44" i="390" s="1"/>
  <c r="CC45" i="390"/>
  <c r="G45" i="390" s="1"/>
  <c r="CD45" i="390"/>
  <c r="CE45" i="390"/>
  <c r="H45" i="390" s="1"/>
  <c r="CF45" i="390"/>
  <c r="BQ45" i="390" s="1"/>
  <c r="CG45" i="390"/>
  <c r="CH45" i="390"/>
  <c r="CI45" i="390"/>
  <c r="CJ45" i="390"/>
  <c r="BU45" i="390" s="1"/>
  <c r="CK45" i="390"/>
  <c r="BV45" i="390" s="1"/>
  <c r="CC46" i="390"/>
  <c r="G46" i="390" s="1"/>
  <c r="CD46" i="390"/>
  <c r="BO46" i="390" s="1"/>
  <c r="CE46" i="390"/>
  <c r="H46" i="390" s="1"/>
  <c r="CF46" i="390"/>
  <c r="BQ46" i="390" s="1"/>
  <c r="CG46" i="390"/>
  <c r="CH46" i="390"/>
  <c r="BS46" i="390" s="1"/>
  <c r="CI46" i="390"/>
  <c r="BT46" i="390" s="1"/>
  <c r="CJ46" i="390"/>
  <c r="BU46" i="390" s="1"/>
  <c r="CK46" i="390"/>
  <c r="BV46" i="390" s="1"/>
  <c r="CC47" i="390"/>
  <c r="G47" i="390" s="1"/>
  <c r="CD47" i="390"/>
  <c r="BO47" i="390" s="1"/>
  <c r="CE47" i="390"/>
  <c r="H47" i="390" s="1"/>
  <c r="CF47" i="390"/>
  <c r="BQ47" i="390" s="1"/>
  <c r="CG47" i="390"/>
  <c r="BR47" i="390" s="1"/>
  <c r="CH47" i="390"/>
  <c r="BS47" i="390" s="1"/>
  <c r="CI47" i="390"/>
  <c r="BT47" i="390" s="1"/>
  <c r="CJ47" i="390"/>
  <c r="BU47" i="390" s="1"/>
  <c r="CK47" i="390"/>
  <c r="BV47" i="390" s="1"/>
  <c r="BP13" i="390"/>
  <c r="BU26" i="390"/>
  <c r="BR27" i="390"/>
  <c r="BT27" i="390"/>
  <c r="BP29" i="390"/>
  <c r="BT29" i="390"/>
  <c r="BP31" i="390"/>
  <c r="BQ32" i="390"/>
  <c r="BU32" i="390"/>
  <c r="BV33" i="390"/>
  <c r="BU34" i="390"/>
  <c r="BQ36" i="390"/>
  <c r="BP37" i="390"/>
  <c r="BT37" i="390"/>
  <c r="BQ38" i="390"/>
  <c r="BP39" i="390"/>
  <c r="BT40" i="390"/>
  <c r="BP41" i="390"/>
  <c r="BU42" i="390"/>
  <c r="BV42" i="390"/>
  <c r="BP43" i="390"/>
  <c r="BT43" i="390"/>
  <c r="BP44" i="390"/>
  <c r="BT44" i="390"/>
  <c r="BO45" i="390"/>
  <c r="BR45" i="390"/>
  <c r="BS45" i="390"/>
  <c r="BT45" i="390"/>
  <c r="BR46" i="390"/>
  <c r="BN33" i="390"/>
  <c r="BN41" i="390"/>
  <c r="BN46" i="390"/>
  <c r="C5" i="391"/>
  <c r="C4" i="391"/>
  <c r="I65" i="391"/>
  <c r="D65" i="391" s="1"/>
  <c r="I64" i="391"/>
  <c r="D64" i="391" s="1"/>
  <c r="I63" i="391"/>
  <c r="D63" i="391" s="1"/>
  <c r="I62" i="391"/>
  <c r="D62" i="391" s="1"/>
  <c r="I60" i="391"/>
  <c r="D60" i="391" s="1"/>
  <c r="I59" i="391"/>
  <c r="D59" i="391" s="1"/>
  <c r="I58" i="391"/>
  <c r="D58" i="391" s="1"/>
  <c r="I57" i="391"/>
  <c r="D57" i="391" s="1"/>
  <c r="I56" i="391"/>
  <c r="D56" i="391" s="1"/>
  <c r="I55" i="391"/>
  <c r="D55" i="391" s="1"/>
  <c r="I54" i="391"/>
  <c r="D54" i="391" s="1"/>
  <c r="I53" i="391"/>
  <c r="D53" i="391" s="1"/>
  <c r="I52" i="391"/>
  <c r="D52" i="391" s="1"/>
  <c r="I51" i="391"/>
  <c r="D51" i="391" s="1"/>
  <c r="I50" i="391"/>
  <c r="D50" i="391" s="1"/>
  <c r="I49" i="391"/>
  <c r="D49" i="391" s="1"/>
  <c r="I48" i="391"/>
  <c r="D48" i="391" s="1"/>
  <c r="I47" i="391"/>
  <c r="D47" i="391" s="1"/>
  <c r="I46" i="391"/>
  <c r="D46" i="391" s="1"/>
  <c r="I45" i="391"/>
  <c r="D45" i="391" s="1"/>
  <c r="I44" i="391"/>
  <c r="D44" i="391" s="1"/>
  <c r="I43" i="391"/>
  <c r="D43" i="391" s="1"/>
  <c r="I42" i="391"/>
  <c r="D42" i="391" s="1"/>
  <c r="I41" i="391"/>
  <c r="D41" i="391" s="1"/>
  <c r="I40" i="391"/>
  <c r="D40" i="391" s="1"/>
  <c r="I39" i="391"/>
  <c r="D39" i="391" s="1"/>
  <c r="I38" i="391"/>
  <c r="D38" i="391" s="1"/>
  <c r="I37" i="391"/>
  <c r="D37" i="391" s="1"/>
  <c r="I36" i="391"/>
  <c r="D36" i="391" s="1"/>
  <c r="I35" i="391"/>
  <c r="D35" i="391" s="1"/>
  <c r="I34" i="391"/>
  <c r="D34" i="391" s="1"/>
  <c r="I33" i="391"/>
  <c r="D33" i="391" s="1"/>
  <c r="I32" i="391"/>
  <c r="D32" i="391" s="1"/>
  <c r="I31" i="391"/>
  <c r="D31" i="391" s="1"/>
  <c r="I30" i="391"/>
  <c r="D30" i="391" s="1"/>
  <c r="I29" i="391"/>
  <c r="D29" i="391" s="1"/>
  <c r="I28" i="391"/>
  <c r="D28" i="391" s="1"/>
  <c r="I27" i="391"/>
  <c r="D27" i="391" s="1"/>
  <c r="I26" i="391"/>
  <c r="D26" i="391" s="1"/>
  <c r="I25" i="391"/>
  <c r="D25" i="391" s="1"/>
  <c r="I24" i="391"/>
  <c r="D24" i="391" s="1"/>
  <c r="I23" i="391"/>
  <c r="D23" i="391" s="1"/>
  <c r="I22" i="391"/>
  <c r="D22" i="391" s="1"/>
  <c r="I21" i="391"/>
  <c r="D21" i="391" s="1"/>
  <c r="I20" i="391"/>
  <c r="D20" i="391" s="1"/>
  <c r="I19" i="391"/>
  <c r="D19" i="391" s="1"/>
  <c r="I18" i="391"/>
  <c r="D18" i="391" s="1"/>
  <c r="I17" i="391"/>
  <c r="D17" i="391" s="1"/>
  <c r="I16" i="391"/>
  <c r="D16" i="391" s="1"/>
  <c r="I15" i="391"/>
  <c r="D15" i="391" s="1"/>
  <c r="I14" i="391"/>
  <c r="D14" i="391" s="1"/>
  <c r="I13" i="391"/>
  <c r="D13" i="391" s="1"/>
  <c r="I12" i="391"/>
  <c r="D12" i="391" s="1"/>
  <c r="I11" i="391"/>
  <c r="D11" i="391" s="1"/>
  <c r="L6" i="108"/>
  <c r="L5" i="108"/>
  <c r="CF8" i="390"/>
  <c r="BQ8" i="390" s="1"/>
  <c r="CK8" i="390"/>
  <c r="CJ8" i="390"/>
  <c r="CI8" i="390"/>
  <c r="BT8" i="390" s="1"/>
  <c r="CH8" i="390"/>
  <c r="BS8" i="390" s="1"/>
  <c r="CG8" i="390"/>
  <c r="BR8" i="390" s="1"/>
  <c r="CE8" i="390"/>
  <c r="BP8" i="390" s="1"/>
  <c r="CD8" i="390"/>
  <c r="BO8" i="390" s="1"/>
  <c r="CC8" i="390"/>
  <c r="BN8" i="390" s="1"/>
  <c r="BP17" i="390" l="1"/>
  <c r="BN15" i="390"/>
  <c r="BN43" i="390"/>
  <c r="BN42" i="390"/>
  <c r="BP22" i="390"/>
  <c r="BW22" i="390" s="1"/>
  <c r="BN37" i="390"/>
  <c r="BW37" i="390" s="1"/>
  <c r="BN45" i="390"/>
  <c r="BN39" i="390"/>
  <c r="BN47" i="390"/>
  <c r="BP47" i="390"/>
  <c r="BP45" i="390"/>
  <c r="BP35" i="390"/>
  <c r="BW35" i="390" s="1"/>
  <c r="BP33" i="390"/>
  <c r="BW33" i="390" s="1"/>
  <c r="BN27" i="390"/>
  <c r="BW27" i="390" s="1"/>
  <c r="BP46" i="390"/>
  <c r="BP42" i="390"/>
  <c r="BW42" i="390" s="1"/>
  <c r="BP34" i="390"/>
  <c r="BP38" i="390"/>
  <c r="BN44" i="390"/>
  <c r="BN40" i="390"/>
  <c r="BN32" i="390"/>
  <c r="BN31" i="390"/>
  <c r="BW31" i="390" s="1"/>
  <c r="BP26" i="390"/>
  <c r="BP11" i="390"/>
  <c r="BW11" i="390" s="1"/>
  <c r="BP9" i="390"/>
  <c r="CL44" i="390"/>
  <c r="F44" i="390" s="1"/>
  <c r="CL45" i="390"/>
  <c r="F45" i="390" s="1"/>
  <c r="CL46" i="390"/>
  <c r="F46" i="390" s="1"/>
  <c r="CL42" i="390"/>
  <c r="F42" i="390" s="1"/>
  <c r="BN13" i="390"/>
  <c r="BW13" i="390" s="1"/>
  <c r="BN19" i="390"/>
  <c r="BN18" i="390"/>
  <c r="BP24" i="390"/>
  <c r="BP16" i="390"/>
  <c r="BP12" i="390"/>
  <c r="CL40" i="390"/>
  <c r="F40" i="390" s="1"/>
  <c r="BN38" i="390"/>
  <c r="CL37" i="390"/>
  <c r="F37" i="390" s="1"/>
  <c r="BP40" i="390"/>
  <c r="CL38" i="390"/>
  <c r="F38" i="390" s="1"/>
  <c r="BN9" i="390"/>
  <c r="BW9" i="390" s="1"/>
  <c r="BN12" i="390"/>
  <c r="BN36" i="390"/>
  <c r="CL36" i="390"/>
  <c r="F36" i="390" s="1"/>
  <c r="BP36" i="390"/>
  <c r="G35" i="390"/>
  <c r="G34" i="390"/>
  <c r="CL34" i="390"/>
  <c r="F34" i="390" s="1"/>
  <c r="BN28" i="390"/>
  <c r="BN23" i="390"/>
  <c r="BW23" i="390" s="1"/>
  <c r="BP21" i="390"/>
  <c r="BP18" i="390"/>
  <c r="BN16" i="390"/>
  <c r="BP14" i="390"/>
  <c r="BW14" i="390" s="1"/>
  <c r="BN26" i="390"/>
  <c r="BW26" i="390" s="1"/>
  <c r="BP28" i="390"/>
  <c r="CL32" i="390"/>
  <c r="F32" i="390" s="1"/>
  <c r="CL28" i="390"/>
  <c r="F28" i="390" s="1"/>
  <c r="BN30" i="390"/>
  <c r="BP32" i="390"/>
  <c r="CL33" i="390"/>
  <c r="F33" i="390" s="1"/>
  <c r="G14" i="390"/>
  <c r="CL24" i="390"/>
  <c r="F24" i="390" s="1"/>
  <c r="H23" i="390"/>
  <c r="BN21" i="390"/>
  <c r="BP19" i="390"/>
  <c r="BN25" i="390"/>
  <c r="BW25" i="390" s="1"/>
  <c r="BN20" i="390"/>
  <c r="CL18" i="390"/>
  <c r="F18" i="390" s="1"/>
  <c r="H25" i="390"/>
  <c r="BN24" i="390"/>
  <c r="BP15" i="390"/>
  <c r="BP30" i="390"/>
  <c r="CL30" i="390"/>
  <c r="F30" i="390" s="1"/>
  <c r="BN29" i="390"/>
  <c r="BW29" i="390" s="1"/>
  <c r="H27" i="390"/>
  <c r="CL26" i="390"/>
  <c r="F26" i="390" s="1"/>
  <c r="G22" i="390"/>
  <c r="CL22" i="390"/>
  <c r="F22" i="390" s="1"/>
  <c r="BP20" i="390"/>
  <c r="CL20" i="390"/>
  <c r="F20" i="390" s="1"/>
  <c r="G17" i="390"/>
  <c r="CL16" i="390"/>
  <c r="F16" i="390" s="1"/>
  <c r="CL14" i="390"/>
  <c r="F14" i="390" s="1"/>
  <c r="CL12" i="390"/>
  <c r="F12" i="390" s="1"/>
  <c r="G11" i="390"/>
  <c r="BN10" i="390"/>
  <c r="CL10" i="390"/>
  <c r="F10" i="390" s="1"/>
  <c r="BP10" i="390"/>
  <c r="CL29" i="390"/>
  <c r="F29" i="390" s="1"/>
  <c r="CL25" i="390"/>
  <c r="F25" i="390" s="1"/>
  <c r="CL21" i="390"/>
  <c r="F21" i="390" s="1"/>
  <c r="CL17" i="390"/>
  <c r="F17" i="390" s="1"/>
  <c r="CL13" i="390"/>
  <c r="F13" i="390" s="1"/>
  <c r="CL9" i="390"/>
  <c r="F9" i="390" s="1"/>
  <c r="BW41" i="390"/>
  <c r="CL41" i="390"/>
  <c r="F41" i="390" s="1"/>
  <c r="CL47" i="390"/>
  <c r="F47" i="390" s="1"/>
  <c r="CL43" i="390"/>
  <c r="F43" i="390" s="1"/>
  <c r="BW39" i="390"/>
  <c r="CL39" i="390"/>
  <c r="F39" i="390" s="1"/>
  <c r="CL35" i="390"/>
  <c r="F35" i="390" s="1"/>
  <c r="CL31" i="390"/>
  <c r="F31" i="390" s="1"/>
  <c r="CL27" i="390"/>
  <c r="F27" i="390" s="1"/>
  <c r="CL23" i="390"/>
  <c r="F23" i="390" s="1"/>
  <c r="CL19" i="390"/>
  <c r="F19" i="390" s="1"/>
  <c r="CL15" i="390"/>
  <c r="F15" i="390" s="1"/>
  <c r="CL11" i="390"/>
  <c r="F11" i="390" s="1"/>
  <c r="BW46" i="390"/>
  <c r="BW44" i="390"/>
  <c r="BW34" i="390"/>
  <c r="BW47" i="390"/>
  <c r="BW45" i="390"/>
  <c r="BW17" i="390"/>
  <c r="BW43" i="390"/>
  <c r="H8" i="390"/>
  <c r="G8" i="390"/>
  <c r="E15" i="34"/>
  <c r="E18" i="34"/>
  <c r="E21" i="34"/>
  <c r="E24" i="34"/>
  <c r="E27" i="34"/>
  <c r="E30" i="34"/>
  <c r="E33" i="34"/>
  <c r="E36" i="34"/>
  <c r="E39" i="34"/>
  <c r="E42" i="34"/>
  <c r="E45" i="34"/>
  <c r="E48" i="34"/>
  <c r="E51" i="34"/>
  <c r="E54" i="34"/>
  <c r="E57" i="34"/>
  <c r="E60" i="34"/>
  <c r="E63" i="34"/>
  <c r="E66" i="34"/>
  <c r="E69" i="34"/>
  <c r="E12" i="34"/>
  <c r="E9" i="1"/>
  <c r="E8" i="1"/>
  <c r="E7" i="1"/>
  <c r="E6" i="1"/>
  <c r="E5" i="1"/>
  <c r="E4" i="1"/>
  <c r="E3" i="1"/>
  <c r="D9" i="34"/>
  <c r="D8" i="34"/>
  <c r="D7" i="34"/>
  <c r="D6" i="34"/>
  <c r="A4" i="34"/>
  <c r="BW15" i="390" l="1"/>
  <c r="BW24" i="390"/>
  <c r="BW38" i="390"/>
  <c r="BW20" i="390"/>
  <c r="BW40" i="390"/>
  <c r="BW32" i="390"/>
  <c r="BW28" i="390"/>
  <c r="BW18" i="390"/>
  <c r="BW16" i="390"/>
  <c r="BW12" i="390"/>
  <c r="BW30" i="390"/>
  <c r="BW21" i="390"/>
  <c r="E8" i="34"/>
  <c r="X12" i="403" s="1"/>
  <c r="BW19" i="390"/>
  <c r="BW36" i="390"/>
  <c r="BW10" i="390"/>
  <c r="L7" i="108"/>
  <c r="D35" i="1" l="1"/>
  <c r="I19" i="108" l="1"/>
  <c r="E4" i="394" l="1"/>
  <c r="B13" i="387" l="1"/>
  <c r="C13" i="387" s="1"/>
  <c r="D13" i="387" s="1"/>
  <c r="E13" i="387" s="1"/>
  <c r="B14" i="387"/>
  <c r="C14" i="387" s="1"/>
  <c r="D14" i="387" s="1"/>
  <c r="E14" i="387" s="1"/>
  <c r="B15" i="387"/>
  <c r="C15" i="387" s="1"/>
  <c r="D15" i="387" s="1"/>
  <c r="E15" i="387" s="1"/>
  <c r="B16" i="387"/>
  <c r="C16" i="387" s="1"/>
  <c r="D16" i="387" s="1"/>
  <c r="E16" i="387" s="1"/>
  <c r="B17" i="387"/>
  <c r="C17" i="387" s="1"/>
  <c r="D17" i="387" s="1"/>
  <c r="E17" i="387" s="1"/>
  <c r="B18" i="387"/>
  <c r="C18" i="387" s="1"/>
  <c r="D18" i="387" s="1"/>
  <c r="E18" i="387" s="1"/>
  <c r="B19" i="387"/>
  <c r="C19" i="387" s="1"/>
  <c r="D19" i="387" s="1"/>
  <c r="E19" i="387" s="1"/>
  <c r="B20" i="387"/>
  <c r="C20" i="387" s="1"/>
  <c r="D20" i="387" s="1"/>
  <c r="E20" i="387" s="1"/>
  <c r="B21" i="387"/>
  <c r="C21" i="387" s="1"/>
  <c r="D21" i="387" s="1"/>
  <c r="E21" i="387" s="1"/>
  <c r="B22" i="387"/>
  <c r="C22" i="387" s="1"/>
  <c r="D22" i="387" s="1"/>
  <c r="E22" i="387" s="1"/>
  <c r="B23" i="387"/>
  <c r="C23" i="387" s="1"/>
  <c r="D23" i="387" s="1"/>
  <c r="E23" i="387" s="1"/>
  <c r="B24" i="387"/>
  <c r="C24" i="387" s="1"/>
  <c r="D24" i="387" s="1"/>
  <c r="E24" i="387" s="1"/>
  <c r="B25" i="387"/>
  <c r="C25" i="387" s="1"/>
  <c r="D25" i="387" s="1"/>
  <c r="E25" i="387" s="1"/>
  <c r="B26" i="387"/>
  <c r="C26" i="387" s="1"/>
  <c r="D26" i="387" s="1"/>
  <c r="E26" i="387" s="1"/>
  <c r="B27" i="387"/>
  <c r="C27" i="387" s="1"/>
  <c r="D27" i="387" s="1"/>
  <c r="E27" i="387" s="1"/>
  <c r="B28" i="387"/>
  <c r="C28" i="387" s="1"/>
  <c r="D28" i="387" s="1"/>
  <c r="E28" i="387" s="1"/>
  <c r="B29" i="387"/>
  <c r="C29" i="387" s="1"/>
  <c r="D29" i="387" s="1"/>
  <c r="E29" i="387" s="1"/>
  <c r="B30" i="387"/>
  <c r="C30" i="387" s="1"/>
  <c r="D30" i="387" s="1"/>
  <c r="E30" i="387" s="1"/>
  <c r="B31" i="387"/>
  <c r="C31" i="387" s="1"/>
  <c r="D31" i="387" s="1"/>
  <c r="E31" i="387" s="1"/>
  <c r="B32" i="387"/>
  <c r="C32" i="387" s="1"/>
  <c r="D32" i="387" s="1"/>
  <c r="E32" i="387" s="1"/>
  <c r="B33" i="387"/>
  <c r="C33" i="387" s="1"/>
  <c r="D33" i="387" s="1"/>
  <c r="E33" i="387" s="1"/>
  <c r="B34" i="387"/>
  <c r="C34" i="387" s="1"/>
  <c r="D34" i="387" s="1"/>
  <c r="E34" i="387" s="1"/>
  <c r="B35" i="387"/>
  <c r="C35" i="387" s="1"/>
  <c r="D35" i="387" s="1"/>
  <c r="E35" i="387" s="1"/>
  <c r="B36" i="387"/>
  <c r="C36" i="387" s="1"/>
  <c r="D36" i="387" s="1"/>
  <c r="E36" i="387" s="1"/>
  <c r="B37" i="387"/>
  <c r="C37" i="387" s="1"/>
  <c r="D37" i="387" s="1"/>
  <c r="E37" i="387" s="1"/>
  <c r="B38" i="387"/>
  <c r="C38" i="387" s="1"/>
  <c r="D38" i="387" s="1"/>
  <c r="E38" i="387" s="1"/>
  <c r="B39" i="387"/>
  <c r="C39" i="387" s="1"/>
  <c r="D39" i="387" s="1"/>
  <c r="E39" i="387" s="1"/>
  <c r="B40" i="387"/>
  <c r="C40" i="387" s="1"/>
  <c r="D40" i="387" s="1"/>
  <c r="E40" i="387" s="1"/>
  <c r="B41" i="387"/>
  <c r="C41" i="387" s="1"/>
  <c r="D41" i="387" s="1"/>
  <c r="E41" i="387" s="1"/>
  <c r="B42" i="387"/>
  <c r="C42" i="387" s="1"/>
  <c r="D42" i="387" s="1"/>
  <c r="E42" i="387" s="1"/>
  <c r="B43" i="387"/>
  <c r="C43" i="387" s="1"/>
  <c r="D43" i="387" s="1"/>
  <c r="E43" i="387" s="1"/>
  <c r="B44" i="387"/>
  <c r="C44" i="387" s="1"/>
  <c r="D44" i="387" s="1"/>
  <c r="E44" i="387" s="1"/>
  <c r="B45" i="387"/>
  <c r="C45" i="387" s="1"/>
  <c r="D45" i="387" s="1"/>
  <c r="E45" i="387" s="1"/>
  <c r="B46" i="387"/>
  <c r="C46" i="387" s="1"/>
  <c r="D46" i="387" s="1"/>
  <c r="E46" i="387" s="1"/>
  <c r="B47" i="387"/>
  <c r="C47" i="387" s="1"/>
  <c r="D47" i="387" s="1"/>
  <c r="E47" i="387" s="1"/>
  <c r="B48" i="387"/>
  <c r="C48" i="387" s="1"/>
  <c r="D48" i="387" s="1"/>
  <c r="E48" i="387" s="1"/>
  <c r="B49" i="387"/>
  <c r="C49" i="387" s="1"/>
  <c r="D49" i="387" s="1"/>
  <c r="E49" i="387" s="1"/>
  <c r="B50" i="387"/>
  <c r="C50" i="387" s="1"/>
  <c r="D50" i="387" s="1"/>
  <c r="E50" i="387" s="1"/>
  <c r="B51" i="387"/>
  <c r="C51" i="387" s="1"/>
  <c r="D51" i="387" s="1"/>
  <c r="E51" i="387" s="1"/>
  <c r="B12" i="387"/>
  <c r="C12" i="387" s="1"/>
  <c r="D12" i="387" s="1"/>
  <c r="E12" i="387" s="1"/>
  <c r="B13" i="392"/>
  <c r="C13" i="392" s="1"/>
  <c r="D13" i="392" s="1"/>
  <c r="E13" i="392" s="1"/>
  <c r="B14" i="392"/>
  <c r="C14" i="392" s="1"/>
  <c r="D14" i="392" s="1"/>
  <c r="E14" i="392" s="1"/>
  <c r="B15" i="392"/>
  <c r="C15" i="392" s="1"/>
  <c r="D15" i="392" s="1"/>
  <c r="E15" i="392" s="1"/>
  <c r="B16" i="392"/>
  <c r="C16" i="392" s="1"/>
  <c r="D16" i="392" s="1"/>
  <c r="E16" i="392" s="1"/>
  <c r="B17" i="392"/>
  <c r="C17" i="392" s="1"/>
  <c r="D17" i="392" s="1"/>
  <c r="E17" i="392" s="1"/>
  <c r="B18" i="392"/>
  <c r="C18" i="392" s="1"/>
  <c r="D18" i="392" s="1"/>
  <c r="E18" i="392" s="1"/>
  <c r="B19" i="392"/>
  <c r="C19" i="392" s="1"/>
  <c r="D19" i="392" s="1"/>
  <c r="E19" i="392" s="1"/>
  <c r="B20" i="392"/>
  <c r="C20" i="392" s="1"/>
  <c r="D20" i="392" s="1"/>
  <c r="E20" i="392" s="1"/>
  <c r="B21" i="392"/>
  <c r="C21" i="392" s="1"/>
  <c r="D21" i="392" s="1"/>
  <c r="E21" i="392" s="1"/>
  <c r="B22" i="392"/>
  <c r="C22" i="392" s="1"/>
  <c r="D22" i="392" s="1"/>
  <c r="E22" i="392" s="1"/>
  <c r="B23" i="392"/>
  <c r="C23" i="392" s="1"/>
  <c r="D23" i="392" s="1"/>
  <c r="E23" i="392" s="1"/>
  <c r="B24" i="392"/>
  <c r="C24" i="392" s="1"/>
  <c r="D24" i="392" s="1"/>
  <c r="E24" i="392" s="1"/>
  <c r="B25" i="392"/>
  <c r="C25" i="392" s="1"/>
  <c r="D25" i="392" s="1"/>
  <c r="E25" i="392" s="1"/>
  <c r="B26" i="392"/>
  <c r="C26" i="392" s="1"/>
  <c r="D26" i="392" s="1"/>
  <c r="E26" i="392" s="1"/>
  <c r="B27" i="392"/>
  <c r="C27" i="392" s="1"/>
  <c r="D27" i="392" s="1"/>
  <c r="E27" i="392" s="1"/>
  <c r="B28" i="392"/>
  <c r="C28" i="392" s="1"/>
  <c r="D28" i="392" s="1"/>
  <c r="E28" i="392" s="1"/>
  <c r="B29" i="392"/>
  <c r="C29" i="392" s="1"/>
  <c r="D29" i="392" s="1"/>
  <c r="E29" i="392" s="1"/>
  <c r="B30" i="392"/>
  <c r="C30" i="392" s="1"/>
  <c r="D30" i="392" s="1"/>
  <c r="E30" i="392" s="1"/>
  <c r="B31" i="392"/>
  <c r="C31" i="392" s="1"/>
  <c r="D31" i="392" s="1"/>
  <c r="E31" i="392" s="1"/>
  <c r="B32" i="392"/>
  <c r="C32" i="392" s="1"/>
  <c r="D32" i="392" s="1"/>
  <c r="E32" i="392" s="1"/>
  <c r="B33" i="392"/>
  <c r="C33" i="392" s="1"/>
  <c r="D33" i="392" s="1"/>
  <c r="E33" i="392" s="1"/>
  <c r="B34" i="392"/>
  <c r="C34" i="392" s="1"/>
  <c r="D34" i="392" s="1"/>
  <c r="E34" i="392" s="1"/>
  <c r="B35" i="392"/>
  <c r="C35" i="392" s="1"/>
  <c r="D35" i="392" s="1"/>
  <c r="E35" i="392" s="1"/>
  <c r="B36" i="392"/>
  <c r="C36" i="392" s="1"/>
  <c r="D36" i="392" s="1"/>
  <c r="E36" i="392" s="1"/>
  <c r="B37" i="392"/>
  <c r="C37" i="392" s="1"/>
  <c r="D37" i="392" s="1"/>
  <c r="E37" i="392" s="1"/>
  <c r="B38" i="392"/>
  <c r="C38" i="392" s="1"/>
  <c r="D38" i="392" s="1"/>
  <c r="E38" i="392" s="1"/>
  <c r="B39" i="392"/>
  <c r="C39" i="392" s="1"/>
  <c r="D39" i="392" s="1"/>
  <c r="E39" i="392" s="1"/>
  <c r="B40" i="392"/>
  <c r="C40" i="392" s="1"/>
  <c r="D40" i="392" s="1"/>
  <c r="E40" i="392" s="1"/>
  <c r="B41" i="392"/>
  <c r="C41" i="392" s="1"/>
  <c r="D41" i="392" s="1"/>
  <c r="E41" i="392" s="1"/>
  <c r="B42" i="392"/>
  <c r="C42" i="392" s="1"/>
  <c r="D42" i="392" s="1"/>
  <c r="E42" i="392" s="1"/>
  <c r="B43" i="392"/>
  <c r="C43" i="392" s="1"/>
  <c r="D43" i="392" s="1"/>
  <c r="E43" i="392" s="1"/>
  <c r="B44" i="392"/>
  <c r="C44" i="392" s="1"/>
  <c r="D44" i="392" s="1"/>
  <c r="E44" i="392" s="1"/>
  <c r="B45" i="392"/>
  <c r="C45" i="392" s="1"/>
  <c r="D45" i="392" s="1"/>
  <c r="E45" i="392" s="1"/>
  <c r="B46" i="392"/>
  <c r="C46" i="392" s="1"/>
  <c r="D46" i="392" s="1"/>
  <c r="E46" i="392" s="1"/>
  <c r="B47" i="392"/>
  <c r="C47" i="392" s="1"/>
  <c r="D47" i="392" s="1"/>
  <c r="E47" i="392" s="1"/>
  <c r="B48" i="392"/>
  <c r="C48" i="392" s="1"/>
  <c r="D48" i="392" s="1"/>
  <c r="E48" i="392" s="1"/>
  <c r="B49" i="392"/>
  <c r="C49" i="392" s="1"/>
  <c r="D49" i="392" s="1"/>
  <c r="E49" i="392" s="1"/>
  <c r="B50" i="392"/>
  <c r="C50" i="392" s="1"/>
  <c r="D50" i="392" s="1"/>
  <c r="E50" i="392" s="1"/>
  <c r="B51" i="392"/>
  <c r="C51" i="392" s="1"/>
  <c r="D51" i="392" s="1"/>
  <c r="E51" i="392" s="1"/>
  <c r="B12" i="392"/>
  <c r="C12" i="392" s="1"/>
  <c r="D12" i="392" s="1"/>
  <c r="E12" i="392" s="1"/>
  <c r="C11" i="394"/>
  <c r="D11" i="394" s="1"/>
  <c r="E11" i="394" s="1"/>
  <c r="F11" i="394" s="1"/>
  <c r="C12" i="394"/>
  <c r="D12" i="394" s="1"/>
  <c r="E12" i="394" s="1"/>
  <c r="F12" i="394" s="1"/>
  <c r="C13" i="394"/>
  <c r="D13" i="394" s="1"/>
  <c r="E13" i="394" s="1"/>
  <c r="F13" i="394" s="1"/>
  <c r="C14" i="394"/>
  <c r="D14" i="394" s="1"/>
  <c r="E14" i="394" s="1"/>
  <c r="F14" i="394" s="1"/>
  <c r="C15" i="394"/>
  <c r="D15" i="394" s="1"/>
  <c r="E15" i="394" s="1"/>
  <c r="F15" i="394" s="1"/>
  <c r="C16" i="394"/>
  <c r="D16" i="394" s="1"/>
  <c r="E16" i="394" s="1"/>
  <c r="F16" i="394" s="1"/>
  <c r="C17" i="394"/>
  <c r="D17" i="394" s="1"/>
  <c r="E17" i="394" s="1"/>
  <c r="F17" i="394" s="1"/>
  <c r="C18" i="394"/>
  <c r="D18" i="394" s="1"/>
  <c r="E18" i="394" s="1"/>
  <c r="F18" i="394" s="1"/>
  <c r="C19" i="394"/>
  <c r="D19" i="394" s="1"/>
  <c r="E19" i="394" s="1"/>
  <c r="F19" i="394" s="1"/>
  <c r="C20" i="394"/>
  <c r="D20" i="394" s="1"/>
  <c r="E20" i="394" s="1"/>
  <c r="F20" i="394" s="1"/>
  <c r="C21" i="394"/>
  <c r="D21" i="394" s="1"/>
  <c r="E21" i="394" s="1"/>
  <c r="F21" i="394" s="1"/>
  <c r="C22" i="394"/>
  <c r="D22" i="394" s="1"/>
  <c r="E22" i="394" s="1"/>
  <c r="F22" i="394" s="1"/>
  <c r="C23" i="394"/>
  <c r="D23" i="394" s="1"/>
  <c r="E23" i="394" s="1"/>
  <c r="F23" i="394" s="1"/>
  <c r="C24" i="394"/>
  <c r="D24" i="394" s="1"/>
  <c r="E24" i="394" s="1"/>
  <c r="F24" i="394" s="1"/>
  <c r="C25" i="394"/>
  <c r="D25" i="394" s="1"/>
  <c r="E25" i="394" s="1"/>
  <c r="F25" i="394" s="1"/>
  <c r="C26" i="394"/>
  <c r="D26" i="394" s="1"/>
  <c r="E26" i="394" s="1"/>
  <c r="F26" i="394" s="1"/>
  <c r="C27" i="394"/>
  <c r="D27" i="394" s="1"/>
  <c r="E27" i="394" s="1"/>
  <c r="F27" i="394" s="1"/>
  <c r="C28" i="394"/>
  <c r="D28" i="394" s="1"/>
  <c r="E28" i="394" s="1"/>
  <c r="F28" i="394" s="1"/>
  <c r="C29" i="394"/>
  <c r="D29" i="394" s="1"/>
  <c r="E29" i="394" s="1"/>
  <c r="F29" i="394" s="1"/>
  <c r="C30" i="394"/>
  <c r="D30" i="394" s="1"/>
  <c r="E30" i="394" s="1"/>
  <c r="F30" i="394" s="1"/>
  <c r="C31" i="394"/>
  <c r="D31" i="394" s="1"/>
  <c r="E31" i="394" s="1"/>
  <c r="F31" i="394" s="1"/>
  <c r="C32" i="394"/>
  <c r="D32" i="394" s="1"/>
  <c r="E32" i="394" s="1"/>
  <c r="F32" i="394" s="1"/>
  <c r="C33" i="394"/>
  <c r="D33" i="394" s="1"/>
  <c r="E33" i="394" s="1"/>
  <c r="F33" i="394" s="1"/>
  <c r="C34" i="394"/>
  <c r="D34" i="394" s="1"/>
  <c r="E34" i="394" s="1"/>
  <c r="F34" i="394" s="1"/>
  <c r="C35" i="394"/>
  <c r="D35" i="394" s="1"/>
  <c r="E35" i="394" s="1"/>
  <c r="F35" i="394" s="1"/>
  <c r="C36" i="394"/>
  <c r="D36" i="394" s="1"/>
  <c r="E36" i="394" s="1"/>
  <c r="F36" i="394" s="1"/>
  <c r="C37" i="394"/>
  <c r="D37" i="394" s="1"/>
  <c r="E37" i="394" s="1"/>
  <c r="F37" i="394" s="1"/>
  <c r="C38" i="394"/>
  <c r="D38" i="394" s="1"/>
  <c r="E38" i="394" s="1"/>
  <c r="F38" i="394" s="1"/>
  <c r="C39" i="394"/>
  <c r="D39" i="394" s="1"/>
  <c r="E39" i="394" s="1"/>
  <c r="F39" i="394" s="1"/>
  <c r="C40" i="394"/>
  <c r="D40" i="394" s="1"/>
  <c r="E40" i="394" s="1"/>
  <c r="F40" i="394" s="1"/>
  <c r="C41" i="394"/>
  <c r="D41" i="394" s="1"/>
  <c r="E41" i="394" s="1"/>
  <c r="F41" i="394" s="1"/>
  <c r="C42" i="394"/>
  <c r="D42" i="394" s="1"/>
  <c r="E42" i="394" s="1"/>
  <c r="F42" i="394" s="1"/>
  <c r="C43" i="394"/>
  <c r="D43" i="394" s="1"/>
  <c r="E43" i="394" s="1"/>
  <c r="F43" i="394" s="1"/>
  <c r="C44" i="394"/>
  <c r="D44" i="394" s="1"/>
  <c r="E44" i="394" s="1"/>
  <c r="F44" i="394" s="1"/>
  <c r="C45" i="394"/>
  <c r="D45" i="394" s="1"/>
  <c r="E45" i="394" s="1"/>
  <c r="F45" i="394" s="1"/>
  <c r="C46" i="394"/>
  <c r="D46" i="394" s="1"/>
  <c r="E46" i="394" s="1"/>
  <c r="F46" i="394" s="1"/>
  <c r="C47" i="394"/>
  <c r="D47" i="394" s="1"/>
  <c r="E47" i="394" s="1"/>
  <c r="F47" i="394" s="1"/>
  <c r="C48" i="394"/>
  <c r="D48" i="394" s="1"/>
  <c r="E48" i="394" s="1"/>
  <c r="F48" i="394" s="1"/>
  <c r="C49" i="394"/>
  <c r="D49" i="394" s="1"/>
  <c r="E49" i="394" s="1"/>
  <c r="F49" i="394" s="1"/>
  <c r="C10" i="394"/>
  <c r="D10" i="394" l="1"/>
  <c r="E10" i="394" s="1"/>
  <c r="F10" i="394" s="1"/>
  <c r="K9" i="411"/>
  <c r="K11" i="411"/>
  <c r="L67" i="412" l="1"/>
  <c r="K67" i="411"/>
  <c r="O67" i="412"/>
  <c r="L67" i="411"/>
  <c r="L35" i="412"/>
  <c r="K35" i="411"/>
  <c r="O35" i="412"/>
  <c r="L35" i="411"/>
  <c r="L81" i="412"/>
  <c r="O81" i="412"/>
  <c r="K81" i="411"/>
  <c r="L81" i="411"/>
  <c r="O73" i="412"/>
  <c r="K73" i="411"/>
  <c r="L73" i="412"/>
  <c r="L73" i="411"/>
  <c r="L51" i="412"/>
  <c r="K51" i="411"/>
  <c r="O51" i="412"/>
  <c r="L51" i="411"/>
  <c r="O33" i="412"/>
  <c r="L33" i="412"/>
  <c r="K33" i="411"/>
  <c r="L33" i="411"/>
  <c r="L79" i="412"/>
  <c r="K79" i="411"/>
  <c r="O79" i="412"/>
  <c r="L79" i="411"/>
  <c r="K63" i="411"/>
  <c r="L63" i="412"/>
  <c r="O63" i="412"/>
  <c r="L63" i="411"/>
  <c r="O49" i="412"/>
  <c r="L49" i="412"/>
  <c r="K49" i="411"/>
  <c r="L49" i="411"/>
  <c r="K31" i="411"/>
  <c r="L31" i="412"/>
  <c r="O31" i="412"/>
  <c r="L31" i="411"/>
  <c r="L55" i="412"/>
  <c r="O55" i="412"/>
  <c r="K55" i="411"/>
  <c r="L55" i="411"/>
  <c r="L17" i="412"/>
  <c r="K17" i="411"/>
  <c r="L17" i="411"/>
  <c r="O65" i="412"/>
  <c r="K65" i="411"/>
  <c r="L65" i="412"/>
  <c r="L65" i="411"/>
  <c r="L71" i="412"/>
  <c r="K71" i="411"/>
  <c r="O71" i="412"/>
  <c r="L71" i="411"/>
  <c r="L77" i="412"/>
  <c r="K77" i="411"/>
  <c r="O77" i="412"/>
  <c r="L77" i="411"/>
  <c r="O69" i="412"/>
  <c r="K69" i="411"/>
  <c r="L69" i="412"/>
  <c r="L69" i="411"/>
  <c r="O57" i="412"/>
  <c r="K57" i="411"/>
  <c r="L57" i="412"/>
  <c r="L57" i="411"/>
  <c r="O41" i="412"/>
  <c r="K41" i="411"/>
  <c r="L41" i="412"/>
  <c r="L41" i="411"/>
  <c r="L27" i="412"/>
  <c r="K27" i="411"/>
  <c r="L27" i="411"/>
  <c r="L75" i="412"/>
  <c r="K75" i="411"/>
  <c r="O75" i="412"/>
  <c r="L75" i="411"/>
  <c r="K13" i="411"/>
  <c r="K7" i="411"/>
  <c r="K5" i="411"/>
  <c r="K3" i="411"/>
  <c r="L15" i="412" l="1"/>
  <c r="K15" i="411"/>
  <c r="L15" i="411"/>
  <c r="L39" i="412"/>
  <c r="O39" i="412"/>
  <c r="K39" i="411"/>
  <c r="L39" i="411"/>
  <c r="L59" i="412"/>
  <c r="K59" i="411"/>
  <c r="O59" i="412"/>
  <c r="L59" i="411"/>
  <c r="L19" i="412"/>
  <c r="K19" i="411"/>
  <c r="L19" i="411"/>
  <c r="L47" i="412"/>
  <c r="K47" i="411"/>
  <c r="O47" i="412"/>
  <c r="L47" i="411"/>
  <c r="O45" i="412"/>
  <c r="K45" i="411"/>
  <c r="L45" i="412"/>
  <c r="L45" i="411"/>
  <c r="O61" i="412"/>
  <c r="K61" i="411"/>
  <c r="L61" i="412"/>
  <c r="L61" i="411"/>
  <c r="O29" i="412"/>
  <c r="K29" i="411"/>
  <c r="L29" i="412"/>
  <c r="L29" i="411"/>
  <c r="L23" i="412"/>
  <c r="K23" i="411"/>
  <c r="L23" i="411"/>
  <c r="L43" i="412"/>
  <c r="K43" i="411"/>
  <c r="O43" i="412"/>
  <c r="L43" i="411"/>
  <c r="O53" i="412"/>
  <c r="K53" i="411"/>
  <c r="L53" i="412"/>
  <c r="L53" i="411"/>
  <c r="O37" i="412"/>
  <c r="K37" i="411"/>
  <c r="L37" i="412"/>
  <c r="L37" i="411"/>
  <c r="L21" i="412"/>
  <c r="K21" i="411"/>
  <c r="L21" i="411"/>
  <c r="L25" i="412"/>
  <c r="K25" i="411"/>
  <c r="L25" i="411"/>
  <c r="K53" i="392"/>
  <c r="K10" i="392"/>
  <c r="A10" i="392"/>
  <c r="A9" i="392"/>
  <c r="C7" i="397"/>
  <c r="C7" i="391" l="1"/>
  <c r="B7" i="399"/>
  <c r="B7" i="388"/>
  <c r="B16" i="1"/>
  <c r="C16" i="1"/>
  <c r="D16" i="1"/>
  <c r="B17" i="1"/>
  <c r="C17" i="1"/>
  <c r="D17" i="1"/>
  <c r="B18" i="1"/>
  <c r="C18" i="1"/>
  <c r="D18" i="1"/>
  <c r="C6" i="397" l="1"/>
  <c r="F6" i="397"/>
  <c r="E6" i="397"/>
  <c r="B146" i="390"/>
  <c r="B65" i="391"/>
  <c r="B64" i="391"/>
  <c r="B63" i="391"/>
  <c r="B62" i="391"/>
  <c r="B61" i="391"/>
  <c r="B60" i="391"/>
  <c r="B59" i="391"/>
  <c r="B58" i="391"/>
  <c r="B57" i="391"/>
  <c r="B56" i="391"/>
  <c r="B55" i="391"/>
  <c r="B54" i="391"/>
  <c r="B53" i="391"/>
  <c r="B52" i="391"/>
  <c r="B51" i="391"/>
  <c r="B50" i="391"/>
  <c r="B49" i="391"/>
  <c r="B48" i="391"/>
  <c r="B47" i="391"/>
  <c r="B46" i="391"/>
  <c r="B45" i="391"/>
  <c r="B44" i="391"/>
  <c r="B43" i="391"/>
  <c r="B38" i="391"/>
  <c r="B37" i="391"/>
  <c r="B36" i="391"/>
  <c r="B35" i="391"/>
  <c r="B34" i="391"/>
  <c r="B33" i="391"/>
  <c r="B32" i="391"/>
  <c r="B42" i="391"/>
  <c r="B41" i="391"/>
  <c r="B26" i="391"/>
  <c r="B25" i="391"/>
  <c r="B24" i="391"/>
  <c r="B23" i="391"/>
  <c r="B22" i="391"/>
  <c r="B21" i="391"/>
  <c r="B20" i="391"/>
  <c r="B19" i="391"/>
  <c r="B18" i="391"/>
  <c r="N5" i="390" l="1"/>
  <c r="BX13" i="390" l="1"/>
  <c r="I13" i="390" s="1"/>
  <c r="M13" i="411" s="1"/>
  <c r="BX47" i="390"/>
  <c r="I47" i="390" s="1"/>
  <c r="AI55" i="1" s="1"/>
  <c r="BX23" i="390"/>
  <c r="I23" i="390" s="1"/>
  <c r="AI31" i="1" s="1"/>
  <c r="BX39" i="390"/>
  <c r="I39" i="390" s="1"/>
  <c r="AI47" i="1" s="1"/>
  <c r="BX37" i="390"/>
  <c r="I37" i="390" s="1"/>
  <c r="AI45" i="1" s="1"/>
  <c r="BX25" i="390"/>
  <c r="I25" i="390" s="1"/>
  <c r="AI33" i="1" s="1"/>
  <c r="BX40" i="390"/>
  <c r="I40" i="390" s="1"/>
  <c r="AI48" i="1" s="1"/>
  <c r="BX43" i="390"/>
  <c r="I43" i="390" s="1"/>
  <c r="AI51" i="1" s="1"/>
  <c r="BX34" i="390"/>
  <c r="I34" i="390" s="1"/>
  <c r="AI42" i="1" s="1"/>
  <c r="BX9" i="390"/>
  <c r="I9" i="390" s="1"/>
  <c r="M5" i="411" s="1"/>
  <c r="BX42" i="390"/>
  <c r="I42" i="390" s="1"/>
  <c r="AI50" i="1" s="1"/>
  <c r="BX35" i="390"/>
  <c r="I35" i="390" s="1"/>
  <c r="AI43" i="1" s="1"/>
  <c r="BX41" i="390"/>
  <c r="I41" i="390" s="1"/>
  <c r="AI49" i="1" s="1"/>
  <c r="BX38" i="390"/>
  <c r="I38" i="390" s="1"/>
  <c r="AI46" i="1" s="1"/>
  <c r="BX18" i="390"/>
  <c r="I18" i="390" s="1"/>
  <c r="AI26" i="1" s="1"/>
  <c r="BX15" i="390"/>
  <c r="I15" i="390" s="1"/>
  <c r="BX44" i="390"/>
  <c r="I44" i="390" s="1"/>
  <c r="M75" i="411" s="1"/>
  <c r="BX17" i="390"/>
  <c r="I17" i="390" s="1"/>
  <c r="AI25" i="1" s="1"/>
  <c r="BX46" i="390"/>
  <c r="I46" i="390" s="1"/>
  <c r="AI54" i="1" s="1"/>
  <c r="BX16" i="390"/>
  <c r="I16" i="390" s="1"/>
  <c r="BX32" i="390"/>
  <c r="I32" i="390" s="1"/>
  <c r="AI40" i="1" s="1"/>
  <c r="BX29" i="390"/>
  <c r="I29" i="390" s="1"/>
  <c r="AI37" i="1" s="1"/>
  <c r="BX26" i="390"/>
  <c r="I26" i="390" s="1"/>
  <c r="AI34" i="1" s="1"/>
  <c r="BX27" i="390"/>
  <c r="I27" i="390" s="1"/>
  <c r="AI35" i="1" s="1"/>
  <c r="BX31" i="390"/>
  <c r="I31" i="390" s="1"/>
  <c r="AI39" i="1" s="1"/>
  <c r="BX14" i="390"/>
  <c r="I14" i="390" s="1"/>
  <c r="BX33" i="390"/>
  <c r="I33" i="390" s="1"/>
  <c r="AI41" i="1" s="1"/>
  <c r="BX11" i="390"/>
  <c r="I11" i="390" s="1"/>
  <c r="M9" i="411" s="1"/>
  <c r="BX20" i="390"/>
  <c r="I20" i="390" s="1"/>
  <c r="AI28" i="1" s="1"/>
  <c r="BX28" i="390"/>
  <c r="I28" i="390" s="1"/>
  <c r="AI36" i="1" s="1"/>
  <c r="BX24" i="390"/>
  <c r="I24" i="390" s="1"/>
  <c r="AI32" i="1" s="1"/>
  <c r="BX22" i="390"/>
  <c r="I22" i="390" s="1"/>
  <c r="AI30" i="1" s="1"/>
  <c r="BX45" i="390"/>
  <c r="I45" i="390" s="1"/>
  <c r="AI53" i="1" s="1"/>
  <c r="BX12" i="390"/>
  <c r="I12" i="390" s="1"/>
  <c r="M11" i="411" s="1"/>
  <c r="BX21" i="390"/>
  <c r="I21" i="390" s="1"/>
  <c r="BX19" i="390"/>
  <c r="I19" i="390" s="1"/>
  <c r="AI27" i="1" s="1"/>
  <c r="BX10" i="390"/>
  <c r="I10" i="390" s="1"/>
  <c r="M7" i="411" s="1"/>
  <c r="BX36" i="390"/>
  <c r="I36" i="390" s="1"/>
  <c r="AI44" i="1" s="1"/>
  <c r="BX30" i="390"/>
  <c r="I30" i="390" s="1"/>
  <c r="AI38" i="1" s="1"/>
  <c r="D9" i="390"/>
  <c r="D10" i="390"/>
  <c r="D11" i="390"/>
  <c r="D12" i="390"/>
  <c r="D13" i="390"/>
  <c r="D14" i="390"/>
  <c r="D15" i="390"/>
  <c r="D16" i="390"/>
  <c r="D17" i="390"/>
  <c r="D18" i="390"/>
  <c r="D19" i="390"/>
  <c r="D20" i="390"/>
  <c r="D21" i="390"/>
  <c r="D22" i="390"/>
  <c r="D23" i="390"/>
  <c r="D24" i="390"/>
  <c r="D25" i="390"/>
  <c r="D32" i="390"/>
  <c r="D33" i="390"/>
  <c r="D34" i="390"/>
  <c r="D35" i="390"/>
  <c r="D36" i="390"/>
  <c r="D37" i="390"/>
  <c r="D38" i="390"/>
  <c r="D39" i="390"/>
  <c r="D40" i="390"/>
  <c r="D41" i="390"/>
  <c r="D42" i="390"/>
  <c r="D43" i="390"/>
  <c r="D44" i="390"/>
  <c r="D45" i="390"/>
  <c r="D46" i="390"/>
  <c r="D47" i="390"/>
  <c r="C9" i="390"/>
  <c r="C10" i="390"/>
  <c r="C11" i="390"/>
  <c r="C12" i="390"/>
  <c r="C13" i="390"/>
  <c r="C14" i="390"/>
  <c r="C15" i="390"/>
  <c r="C16" i="390"/>
  <c r="C17" i="390"/>
  <c r="C18" i="390"/>
  <c r="C19" i="390"/>
  <c r="C20" i="390"/>
  <c r="C21" i="390"/>
  <c r="C22" i="390"/>
  <c r="C23" i="390"/>
  <c r="C24" i="390"/>
  <c r="C25" i="390"/>
  <c r="C26" i="390"/>
  <c r="C28" i="390"/>
  <c r="C29" i="390"/>
  <c r="C30" i="390"/>
  <c r="C31" i="390"/>
  <c r="C32" i="390"/>
  <c r="C33" i="390"/>
  <c r="C34" i="390"/>
  <c r="C35" i="390"/>
  <c r="C36" i="390"/>
  <c r="C37" i="390"/>
  <c r="C38" i="390"/>
  <c r="C39" i="390"/>
  <c r="C40" i="390"/>
  <c r="C41" i="390"/>
  <c r="C42" i="390"/>
  <c r="C43" i="390"/>
  <c r="C44" i="390"/>
  <c r="C45" i="390"/>
  <c r="C46" i="390"/>
  <c r="C47" i="390"/>
  <c r="B9" i="390"/>
  <c r="B10" i="390"/>
  <c r="B11" i="390"/>
  <c r="B12" i="390"/>
  <c r="B13" i="390"/>
  <c r="B14" i="390"/>
  <c r="B15" i="390"/>
  <c r="B16" i="390"/>
  <c r="B17" i="390"/>
  <c r="B18" i="390"/>
  <c r="B19" i="390"/>
  <c r="B20" i="390"/>
  <c r="B21" i="390"/>
  <c r="B22" i="390"/>
  <c r="B23" i="390"/>
  <c r="B24" i="390"/>
  <c r="B25" i="390"/>
  <c r="B26" i="390"/>
  <c r="B28" i="390"/>
  <c r="B29" i="390"/>
  <c r="B30" i="390"/>
  <c r="B31" i="390"/>
  <c r="B32" i="390"/>
  <c r="B33" i="390"/>
  <c r="B34" i="390"/>
  <c r="B35" i="390"/>
  <c r="B36" i="390"/>
  <c r="B37" i="390"/>
  <c r="B38" i="390"/>
  <c r="B39" i="390"/>
  <c r="B40" i="390"/>
  <c r="B41" i="390"/>
  <c r="B42" i="390"/>
  <c r="B43" i="390"/>
  <c r="B44" i="390"/>
  <c r="B45" i="390"/>
  <c r="B46" i="390"/>
  <c r="B47" i="390"/>
  <c r="D8" i="390"/>
  <c r="C8" i="390"/>
  <c r="B8" i="390"/>
  <c r="AI52" i="1" l="1"/>
  <c r="N25" i="412"/>
  <c r="M25" i="411"/>
  <c r="N25" i="411"/>
  <c r="N31" i="412"/>
  <c r="M31" i="411"/>
  <c r="N31" i="411"/>
  <c r="N41" i="412"/>
  <c r="M41" i="411"/>
  <c r="N41" i="411"/>
  <c r="M19" i="411"/>
  <c r="N19" i="412"/>
  <c r="N19" i="411"/>
  <c r="N17" i="412"/>
  <c r="M17" i="411"/>
  <c r="N17" i="411"/>
  <c r="M57" i="411"/>
  <c r="N57" i="412"/>
  <c r="N57" i="411"/>
  <c r="N73" i="412"/>
  <c r="M73" i="411"/>
  <c r="N73" i="411"/>
  <c r="N65" i="412"/>
  <c r="M65" i="411"/>
  <c r="N65" i="411"/>
  <c r="N47" i="412"/>
  <c r="M47" i="411"/>
  <c r="N47" i="411"/>
  <c r="N29" i="412"/>
  <c r="M29" i="411"/>
  <c r="N29" i="411"/>
  <c r="M35" i="411"/>
  <c r="N35" i="412"/>
  <c r="N35" i="411"/>
  <c r="N53" i="412"/>
  <c r="M53" i="411"/>
  <c r="N53" i="411"/>
  <c r="N39" i="412"/>
  <c r="M39" i="411"/>
  <c r="N39" i="411"/>
  <c r="N79" i="412"/>
  <c r="M79" i="411"/>
  <c r="N79" i="411"/>
  <c r="M23" i="411"/>
  <c r="N23" i="412"/>
  <c r="N23" i="411"/>
  <c r="N71" i="412"/>
  <c r="M71" i="411"/>
  <c r="N71" i="411"/>
  <c r="M67" i="411"/>
  <c r="N67" i="412"/>
  <c r="N67" i="411"/>
  <c r="M33" i="411"/>
  <c r="N33" i="412"/>
  <c r="N33" i="411"/>
  <c r="M59" i="411"/>
  <c r="N59" i="412"/>
  <c r="N59" i="411"/>
  <c r="M43" i="411"/>
  <c r="N43" i="412"/>
  <c r="N43" i="411"/>
  <c r="M15" i="411"/>
  <c r="N15" i="412"/>
  <c r="N15" i="411"/>
  <c r="N45" i="412"/>
  <c r="M45" i="411"/>
  <c r="N45" i="411"/>
  <c r="N21" i="412"/>
  <c r="M21" i="411"/>
  <c r="N21" i="411"/>
  <c r="N63" i="412"/>
  <c r="M63" i="411"/>
  <c r="N63" i="411"/>
  <c r="N37" i="412"/>
  <c r="M37" i="411"/>
  <c r="N37" i="411"/>
  <c r="M81" i="411"/>
  <c r="N81" i="412"/>
  <c r="N81" i="411"/>
  <c r="AI29" i="1"/>
  <c r="N77" i="412"/>
  <c r="M77" i="411"/>
  <c r="N77" i="411"/>
  <c r="M27" i="411"/>
  <c r="N27" i="412"/>
  <c r="N27" i="411"/>
  <c r="N49" i="412"/>
  <c r="M49" i="411"/>
  <c r="N49" i="411"/>
  <c r="M51" i="411"/>
  <c r="N51" i="412"/>
  <c r="N51" i="411"/>
  <c r="N69" i="412"/>
  <c r="M69" i="411"/>
  <c r="N69" i="411"/>
  <c r="N55" i="412"/>
  <c r="M55" i="411"/>
  <c r="N55" i="411"/>
  <c r="N61" i="412"/>
  <c r="M61" i="411"/>
  <c r="N61" i="411"/>
  <c r="AI17" i="1"/>
  <c r="AI23" i="1"/>
  <c r="AI24" i="1"/>
  <c r="B17" i="391"/>
  <c r="B16" i="391"/>
  <c r="B15" i="391"/>
  <c r="B14" i="391"/>
  <c r="B13" i="391"/>
  <c r="B12" i="391"/>
  <c r="B11" i="391"/>
  <c r="C8" i="391"/>
  <c r="F7" i="391"/>
  <c r="AE17" i="1"/>
  <c r="AF17" i="1" s="1"/>
  <c r="AE18" i="1"/>
  <c r="AE19" i="1"/>
  <c r="AF19" i="1" s="1"/>
  <c r="AE20" i="1"/>
  <c r="AF20" i="1" s="1"/>
  <c r="AE21" i="1"/>
  <c r="AF21" i="1" s="1"/>
  <c r="AE22" i="1"/>
  <c r="AF22" i="1" s="1"/>
  <c r="AE23" i="1"/>
  <c r="AF23" i="1" s="1"/>
  <c r="AE24" i="1"/>
  <c r="AF24" i="1" s="1"/>
  <c r="AE25" i="1"/>
  <c r="AF25" i="1" s="1"/>
  <c r="AE26" i="1"/>
  <c r="AF26" i="1" s="1"/>
  <c r="AE27" i="1"/>
  <c r="AF27" i="1" s="1"/>
  <c r="AE28" i="1"/>
  <c r="AF28" i="1" s="1"/>
  <c r="AE29" i="1"/>
  <c r="AF29" i="1" s="1"/>
  <c r="AE30" i="1"/>
  <c r="AF30" i="1" s="1"/>
  <c r="AE31" i="1"/>
  <c r="AF31" i="1" s="1"/>
  <c r="AE32" i="1"/>
  <c r="AF32" i="1" s="1"/>
  <c r="AE33" i="1"/>
  <c r="AF33" i="1" s="1"/>
  <c r="AE34" i="1"/>
  <c r="AF34" i="1" s="1"/>
  <c r="AE35" i="1"/>
  <c r="AF35" i="1" s="1"/>
  <c r="AE36" i="1"/>
  <c r="AF36" i="1" s="1"/>
  <c r="AE37" i="1"/>
  <c r="AF37" i="1" s="1"/>
  <c r="AE38" i="1"/>
  <c r="AF38" i="1" s="1"/>
  <c r="AE39" i="1"/>
  <c r="AF39" i="1" s="1"/>
  <c r="AE40" i="1"/>
  <c r="AF40" i="1" s="1"/>
  <c r="AE41" i="1"/>
  <c r="AF41" i="1" s="1"/>
  <c r="AE42" i="1"/>
  <c r="AF42" i="1" s="1"/>
  <c r="AE43" i="1"/>
  <c r="AF43" i="1" s="1"/>
  <c r="AE44" i="1"/>
  <c r="AF44" i="1" s="1"/>
  <c r="AE45" i="1"/>
  <c r="AF45" i="1" s="1"/>
  <c r="AE46" i="1"/>
  <c r="AF46" i="1" s="1"/>
  <c r="AE47" i="1"/>
  <c r="AF47" i="1" s="1"/>
  <c r="AE48" i="1"/>
  <c r="AF48" i="1" s="1"/>
  <c r="AE49" i="1"/>
  <c r="AF49" i="1" s="1"/>
  <c r="AE50" i="1"/>
  <c r="AF50" i="1" s="1"/>
  <c r="AE51" i="1"/>
  <c r="AF51" i="1" s="1"/>
  <c r="AE52" i="1"/>
  <c r="AF52" i="1" s="1"/>
  <c r="AE53" i="1"/>
  <c r="AF53" i="1" s="1"/>
  <c r="AE54" i="1"/>
  <c r="AF54" i="1" s="1"/>
  <c r="AE55" i="1"/>
  <c r="AF55" i="1" s="1"/>
  <c r="AE16" i="1"/>
  <c r="AB17" i="1"/>
  <c r="AC17" i="1" s="1"/>
  <c r="AB18" i="1"/>
  <c r="AB19" i="1"/>
  <c r="AC19" i="1" s="1"/>
  <c r="AB20" i="1"/>
  <c r="AC20" i="1" s="1"/>
  <c r="AB21" i="1"/>
  <c r="AC21" i="1" s="1"/>
  <c r="AB22" i="1"/>
  <c r="AC22" i="1" s="1"/>
  <c r="AB23" i="1"/>
  <c r="AC23" i="1" s="1"/>
  <c r="AB24" i="1"/>
  <c r="AC24" i="1" s="1"/>
  <c r="AB25" i="1"/>
  <c r="AC25" i="1" s="1"/>
  <c r="AB26" i="1"/>
  <c r="AC26" i="1" s="1"/>
  <c r="AB27" i="1"/>
  <c r="AC27" i="1" s="1"/>
  <c r="AB28" i="1"/>
  <c r="AC28" i="1" s="1"/>
  <c r="AB29" i="1"/>
  <c r="AC29" i="1" s="1"/>
  <c r="AB30" i="1"/>
  <c r="AC30" i="1" s="1"/>
  <c r="AB31" i="1"/>
  <c r="AC31" i="1" s="1"/>
  <c r="AB32" i="1"/>
  <c r="AC32" i="1" s="1"/>
  <c r="AB33" i="1"/>
  <c r="AC33" i="1" s="1"/>
  <c r="AB34" i="1"/>
  <c r="AC34" i="1" s="1"/>
  <c r="AB35" i="1"/>
  <c r="AC35" i="1" s="1"/>
  <c r="AB36" i="1"/>
  <c r="AC36" i="1" s="1"/>
  <c r="AB37" i="1"/>
  <c r="AC37" i="1" s="1"/>
  <c r="AB38" i="1"/>
  <c r="AC38" i="1" s="1"/>
  <c r="AB39" i="1"/>
  <c r="AC39" i="1" s="1"/>
  <c r="AB40" i="1"/>
  <c r="AC40" i="1" s="1"/>
  <c r="AB41" i="1"/>
  <c r="AC41" i="1" s="1"/>
  <c r="AB42" i="1"/>
  <c r="AC42" i="1" s="1"/>
  <c r="AB43" i="1"/>
  <c r="AC43" i="1" s="1"/>
  <c r="AB44" i="1"/>
  <c r="AC44" i="1" s="1"/>
  <c r="AB45" i="1"/>
  <c r="AC45" i="1" s="1"/>
  <c r="AB46" i="1"/>
  <c r="AC46" i="1" s="1"/>
  <c r="AB47" i="1"/>
  <c r="AC47" i="1" s="1"/>
  <c r="AB48" i="1"/>
  <c r="AC48" i="1" s="1"/>
  <c r="AB49" i="1"/>
  <c r="AC49" i="1" s="1"/>
  <c r="AB50" i="1"/>
  <c r="AC50" i="1" s="1"/>
  <c r="AB51" i="1"/>
  <c r="AC51" i="1" s="1"/>
  <c r="AB52" i="1"/>
  <c r="AC52" i="1" s="1"/>
  <c r="AB53" i="1"/>
  <c r="AC53" i="1" s="1"/>
  <c r="AB54" i="1"/>
  <c r="AC54" i="1" s="1"/>
  <c r="AB55" i="1"/>
  <c r="AC55" i="1" s="1"/>
  <c r="AB16" i="1"/>
  <c r="AF18" i="1" l="1"/>
  <c r="G13" i="395"/>
  <c r="E13" i="395"/>
  <c r="AF16" i="1"/>
  <c r="C14" i="388" s="1"/>
  <c r="E14" i="388" s="1"/>
  <c r="K13" i="395"/>
  <c r="AC18" i="1"/>
  <c r="G12" i="395"/>
  <c r="E12" i="395"/>
  <c r="K12" i="395"/>
  <c r="I12" i="395"/>
  <c r="AC16" i="1"/>
  <c r="AI21" i="1"/>
  <c r="AI20" i="1"/>
  <c r="AI19" i="1"/>
  <c r="AI18" i="1"/>
  <c r="D38" i="1"/>
  <c r="D16" i="395" l="1"/>
  <c r="C13" i="388"/>
  <c r="E13" i="388" s="1"/>
  <c r="G16" i="395"/>
  <c r="AS24" i="1"/>
  <c r="D12" i="395" s="1"/>
  <c r="F12" i="395" s="1"/>
  <c r="I13" i="395"/>
  <c r="AS29" i="1"/>
  <c r="D13" i="395" s="1"/>
  <c r="B19" i="1"/>
  <c r="C6" i="399" s="1"/>
  <c r="C19" i="1"/>
  <c r="D6" i="399" s="1"/>
  <c r="D19" i="1"/>
  <c r="B6" i="399" s="1"/>
  <c r="B20" i="1"/>
  <c r="C20" i="1"/>
  <c r="D20" i="1"/>
  <c r="B21" i="1"/>
  <c r="C21" i="1"/>
  <c r="D21" i="1"/>
  <c r="B22" i="1"/>
  <c r="C22" i="1"/>
  <c r="D22" i="1"/>
  <c r="B23" i="1"/>
  <c r="C23" i="1"/>
  <c r="D23" i="1"/>
  <c r="B24" i="1"/>
  <c r="C24" i="1"/>
  <c r="D24" i="1"/>
  <c r="B25" i="1"/>
  <c r="C25" i="1"/>
  <c r="D25" i="1"/>
  <c r="B26" i="1"/>
  <c r="C26" i="1"/>
  <c r="D26" i="1"/>
  <c r="B27" i="1"/>
  <c r="C27" i="1"/>
  <c r="D27" i="1"/>
  <c r="B28" i="1"/>
  <c r="C28" i="1"/>
  <c r="D28" i="1"/>
  <c r="B29" i="1"/>
  <c r="C29" i="1"/>
  <c r="D29" i="1"/>
  <c r="B30" i="1"/>
  <c r="C30" i="1"/>
  <c r="D30" i="1"/>
  <c r="B31" i="1"/>
  <c r="C31" i="1"/>
  <c r="D31" i="1"/>
  <c r="B32" i="1"/>
  <c r="C32" i="1"/>
  <c r="D32" i="1"/>
  <c r="B33" i="1"/>
  <c r="C33" i="1"/>
  <c r="D33" i="1"/>
  <c r="B34" i="1"/>
  <c r="C34" i="1"/>
  <c r="D34" i="1"/>
  <c r="B35" i="1"/>
  <c r="C35" i="1"/>
  <c r="B36" i="1"/>
  <c r="C36" i="1"/>
  <c r="D36" i="1"/>
  <c r="B37" i="1"/>
  <c r="C37" i="1"/>
  <c r="D37" i="1"/>
  <c r="B38" i="1"/>
  <c r="C38" i="1"/>
  <c r="B39" i="1"/>
  <c r="C39" i="1"/>
  <c r="D39" i="1"/>
  <c r="B40" i="1"/>
  <c r="C40" i="1"/>
  <c r="D40" i="1"/>
  <c r="B41" i="1"/>
  <c r="C41" i="1"/>
  <c r="D41" i="1"/>
  <c r="B42" i="1"/>
  <c r="C42" i="1"/>
  <c r="D42" i="1"/>
  <c r="B43" i="1"/>
  <c r="C43" i="1"/>
  <c r="D43" i="1"/>
  <c r="B44" i="1"/>
  <c r="C44" i="1"/>
  <c r="D44" i="1"/>
  <c r="B45" i="1"/>
  <c r="C45" i="1"/>
  <c r="D45" i="1"/>
  <c r="B46" i="1"/>
  <c r="C46" i="1"/>
  <c r="D46" i="1"/>
  <c r="B47" i="1"/>
  <c r="C47" i="1"/>
  <c r="D47" i="1"/>
  <c r="B48" i="1"/>
  <c r="C48" i="1"/>
  <c r="D48" i="1"/>
  <c r="B49" i="1"/>
  <c r="C49" i="1"/>
  <c r="D49" i="1"/>
  <c r="B50" i="1"/>
  <c r="C50" i="1"/>
  <c r="D50" i="1"/>
  <c r="B51" i="1"/>
  <c r="C51" i="1"/>
  <c r="D51" i="1"/>
  <c r="B52" i="1"/>
  <c r="C52" i="1"/>
  <c r="D52" i="1"/>
  <c r="B53" i="1"/>
  <c r="C53" i="1"/>
  <c r="D53" i="1"/>
  <c r="B54" i="1"/>
  <c r="C54" i="1"/>
  <c r="D54" i="1"/>
  <c r="B55" i="1"/>
  <c r="C55" i="1"/>
  <c r="D55" i="1"/>
  <c r="H12" i="395" l="1"/>
  <c r="J12" i="395"/>
  <c r="L12" i="395"/>
  <c r="E16" i="395"/>
  <c r="H16" i="395"/>
  <c r="G17" i="395"/>
  <c r="H17" i="395" s="1"/>
  <c r="D17" i="395"/>
  <c r="X6" i="1"/>
  <c r="B8" i="388"/>
  <c r="E7" i="388"/>
  <c r="E17" i="395" l="1"/>
  <c r="D6" i="391"/>
  <c r="C6" i="391" l="1"/>
  <c r="E6" i="391"/>
  <c r="D6" i="388"/>
  <c r="H20" i="388"/>
  <c r="A20" i="388" s="1"/>
  <c r="H19" i="388"/>
  <c r="A19" i="388" s="1"/>
  <c r="J37" i="388"/>
  <c r="J35" i="388"/>
  <c r="J33" i="388"/>
  <c r="J31" i="388"/>
  <c r="J29" i="388"/>
  <c r="J27" i="388"/>
  <c r="J25" i="388"/>
  <c r="J23" i="388"/>
  <c r="J21" i="388"/>
  <c r="J24" i="388" l="1"/>
  <c r="E24" i="388" s="1"/>
  <c r="J28" i="388"/>
  <c r="E28" i="388" s="1"/>
  <c r="J32" i="388"/>
  <c r="E32" i="388" s="1"/>
  <c r="E36" i="388"/>
  <c r="J36" i="388"/>
  <c r="J22" i="388"/>
  <c r="E22" i="388" s="1"/>
  <c r="J26" i="388"/>
  <c r="E26" i="388" s="1"/>
  <c r="J30" i="388"/>
  <c r="E30" i="388" s="1"/>
  <c r="J34" i="388"/>
  <c r="E34" i="388" s="1"/>
  <c r="E20" i="388"/>
  <c r="E21" i="388"/>
  <c r="E25" i="388"/>
  <c r="E33" i="388"/>
  <c r="E19" i="388"/>
  <c r="E29" i="388"/>
  <c r="E37" i="388"/>
  <c r="E18" i="388"/>
  <c r="E23" i="388"/>
  <c r="E27" i="388"/>
  <c r="E31" i="388"/>
  <c r="E35" i="388"/>
  <c r="H37" i="388"/>
  <c r="A37" i="388" s="1"/>
  <c r="H36" i="388"/>
  <c r="A36" i="388" s="1"/>
  <c r="H35" i="388"/>
  <c r="A35" i="388" s="1"/>
  <c r="H34" i="388"/>
  <c r="A34" i="388" s="1"/>
  <c r="H33" i="388"/>
  <c r="A33" i="388" s="1"/>
  <c r="H32" i="388"/>
  <c r="A32" i="388" s="1"/>
  <c r="H31" i="388"/>
  <c r="A31" i="388" s="1"/>
  <c r="H30" i="388"/>
  <c r="A30" i="388" s="1"/>
  <c r="H29" i="388"/>
  <c r="A29" i="388" s="1"/>
  <c r="H28" i="388"/>
  <c r="A28" i="388" s="1"/>
  <c r="H27" i="388"/>
  <c r="A27" i="388" s="1"/>
  <c r="H26" i="388"/>
  <c r="A26" i="388" s="1"/>
  <c r="H25" i="388"/>
  <c r="A25" i="388" s="1"/>
  <c r="H24" i="388"/>
  <c r="A24" i="388" s="1"/>
  <c r="H23" i="388"/>
  <c r="A23" i="388" s="1"/>
  <c r="H22" i="388"/>
  <c r="A22" i="388" s="1"/>
  <c r="H21" i="388"/>
  <c r="A21" i="388" s="1"/>
  <c r="H18" i="388"/>
  <c r="A18" i="388" s="1"/>
  <c r="E10" i="34" l="1"/>
  <c r="T7" i="403" s="1"/>
  <c r="Y16" i="403" s="1"/>
  <c r="Z16" i="403" l="1"/>
  <c r="Y12" i="403" s="1"/>
  <c r="Y20" i="403"/>
  <c r="Z20" i="403" s="1"/>
  <c r="Y24" i="403"/>
  <c r="Z24" i="403" s="1"/>
  <c r="Z24" i="1" s="1"/>
  <c r="Y28" i="403"/>
  <c r="Z28" i="403" s="1"/>
  <c r="Y32" i="403"/>
  <c r="Z32" i="403" s="1"/>
  <c r="Z32" i="1" s="1"/>
  <c r="Y36" i="403"/>
  <c r="Z36" i="403" s="1"/>
  <c r="Z36" i="1" s="1"/>
  <c r="Y40" i="403"/>
  <c r="Z40" i="403" s="1"/>
  <c r="Y44" i="403"/>
  <c r="Z44" i="403" s="1"/>
  <c r="Y48" i="403"/>
  <c r="Z48" i="403" s="1"/>
  <c r="Y52" i="403"/>
  <c r="Z52" i="403" s="1"/>
  <c r="Y23" i="403"/>
  <c r="Z23" i="403" s="1"/>
  <c r="Y47" i="403"/>
  <c r="Z47" i="403" s="1"/>
  <c r="Y17" i="403"/>
  <c r="Z17" i="403" s="1"/>
  <c r="Y21" i="403"/>
  <c r="Z21" i="403" s="1"/>
  <c r="Y25" i="403"/>
  <c r="Z25" i="403" s="1"/>
  <c r="Y29" i="403"/>
  <c r="Z29" i="403" s="1"/>
  <c r="Y33" i="403"/>
  <c r="Z33" i="403" s="1"/>
  <c r="Z33" i="1" s="1"/>
  <c r="Y37" i="403"/>
  <c r="Z37" i="403" s="1"/>
  <c r="Y41" i="403"/>
  <c r="Z41" i="403" s="1"/>
  <c r="Y45" i="403"/>
  <c r="Z45" i="403" s="1"/>
  <c r="Y49" i="403"/>
  <c r="Z49" i="403" s="1"/>
  <c r="Y53" i="403"/>
  <c r="Z53" i="403" s="1"/>
  <c r="Y27" i="403"/>
  <c r="Z27" i="403" s="1"/>
  <c r="Z27" i="1" s="1"/>
  <c r="Y35" i="403"/>
  <c r="Z35" i="403" s="1"/>
  <c r="Y43" i="403"/>
  <c r="Z43" i="403" s="1"/>
  <c r="Y55" i="403"/>
  <c r="Z55" i="403" s="1"/>
  <c r="Y18" i="403"/>
  <c r="Z18" i="403" s="1"/>
  <c r="Y22" i="403"/>
  <c r="Z22" i="403" s="1"/>
  <c r="Y26" i="403"/>
  <c r="Z26" i="403" s="1"/>
  <c r="Y30" i="403"/>
  <c r="Z30" i="403" s="1"/>
  <c r="Y34" i="403"/>
  <c r="Z34" i="403" s="1"/>
  <c r="Z34" i="1" s="1"/>
  <c r="Y38" i="403"/>
  <c r="Z38" i="403" s="1"/>
  <c r="Y42" i="403"/>
  <c r="Z42" i="403" s="1"/>
  <c r="Y46" i="403"/>
  <c r="Z46" i="403" s="1"/>
  <c r="Y50" i="403"/>
  <c r="Z50" i="403" s="1"/>
  <c r="Y54" i="403"/>
  <c r="Z54" i="403" s="1"/>
  <c r="Y19" i="403"/>
  <c r="Z19" i="403" s="1"/>
  <c r="Y31" i="403"/>
  <c r="Z31" i="403" s="1"/>
  <c r="Z31" i="1" s="1"/>
  <c r="Y39" i="403"/>
  <c r="Z39" i="403" s="1"/>
  <c r="Z39" i="1" s="1"/>
  <c r="Y51" i="403"/>
  <c r="Z51" i="403" s="1"/>
  <c r="Y54" i="1" l="1"/>
  <c r="Z54" i="1"/>
  <c r="AA54" i="403"/>
  <c r="Y35" i="1"/>
  <c r="Z35" i="1"/>
  <c r="AA35" i="403"/>
  <c r="Y16" i="1"/>
  <c r="AA16" i="403"/>
  <c r="Y32" i="1"/>
  <c r="AA32" i="403"/>
  <c r="Y39" i="1"/>
  <c r="AA39" i="403"/>
  <c r="Y50" i="1"/>
  <c r="Z50" i="1"/>
  <c r="AA50" i="403"/>
  <c r="Y34" i="1"/>
  <c r="AA34" i="403"/>
  <c r="Y18" i="1"/>
  <c r="Z18" i="1"/>
  <c r="AA18" i="403"/>
  <c r="Y27" i="1"/>
  <c r="AA27" i="403"/>
  <c r="Y41" i="1"/>
  <c r="Z41" i="1"/>
  <c r="AA41" i="403"/>
  <c r="Y25" i="1"/>
  <c r="Z25" i="1"/>
  <c r="AA25" i="403"/>
  <c r="Y47" i="1"/>
  <c r="Z47" i="1"/>
  <c r="AA47" i="403"/>
  <c r="Y44" i="1"/>
  <c r="Z44" i="1"/>
  <c r="AA44" i="403"/>
  <c r="Y28" i="1"/>
  <c r="AA28" i="403"/>
  <c r="Z28" i="1"/>
  <c r="Y51" i="1"/>
  <c r="Z51" i="1"/>
  <c r="AA51" i="403"/>
  <c r="Y22" i="1"/>
  <c r="Z22" i="1"/>
  <c r="AA22" i="403"/>
  <c r="Y29" i="1"/>
  <c r="AA29" i="403"/>
  <c r="Z29" i="1"/>
  <c r="Y31" i="1"/>
  <c r="AA31" i="403"/>
  <c r="Y30" i="1"/>
  <c r="Z30" i="1"/>
  <c r="AA30" i="403"/>
  <c r="Y55" i="1"/>
  <c r="Z55" i="1"/>
  <c r="AA55" i="403"/>
  <c r="Y53" i="1"/>
  <c r="Z53" i="1"/>
  <c r="AA53" i="403"/>
  <c r="Y37" i="1"/>
  <c r="Z37" i="1"/>
  <c r="AA37" i="403"/>
  <c r="Y21" i="1"/>
  <c r="Z21" i="1"/>
  <c r="AA21" i="403"/>
  <c r="Y23" i="1"/>
  <c r="Z23" i="1"/>
  <c r="AA23" i="403"/>
  <c r="Y40" i="1"/>
  <c r="Z40" i="1"/>
  <c r="AA40" i="403"/>
  <c r="Y24" i="1"/>
  <c r="AA24" i="403"/>
  <c r="Y38" i="1"/>
  <c r="Z38" i="1"/>
  <c r="AA38" i="403"/>
  <c r="Y45" i="1"/>
  <c r="Z45" i="1"/>
  <c r="AA45" i="403"/>
  <c r="Y48" i="1"/>
  <c r="Z48" i="1"/>
  <c r="AA48" i="403"/>
  <c r="Y46" i="1"/>
  <c r="Z46" i="1"/>
  <c r="AA46" i="403"/>
  <c r="Y19" i="1"/>
  <c r="Z19" i="1"/>
  <c r="AA19" i="403"/>
  <c r="Y42" i="1"/>
  <c r="Z42" i="1"/>
  <c r="AA42" i="403"/>
  <c r="Y26" i="1"/>
  <c r="Z26" i="1"/>
  <c r="AA26" i="403"/>
  <c r="Y43" i="1"/>
  <c r="Z43" i="1"/>
  <c r="AA43" i="403"/>
  <c r="Y49" i="1"/>
  <c r="Z49" i="1"/>
  <c r="AA49" i="403"/>
  <c r="Y33" i="1"/>
  <c r="AA33" i="403"/>
  <c r="Y17" i="1"/>
  <c r="Z17" i="1"/>
  <c r="AA17" i="403"/>
  <c r="Y52" i="1"/>
  <c r="Z52" i="1"/>
  <c r="AA52" i="403"/>
  <c r="Y36" i="1"/>
  <c r="AA36" i="403"/>
  <c r="Y20" i="1"/>
  <c r="Z20" i="1"/>
  <c r="AA20" i="403"/>
  <c r="Z16" i="1" l="1"/>
  <c r="H27" i="392"/>
  <c r="I27" i="392" s="1"/>
  <c r="F27" i="410"/>
  <c r="G27" i="410" s="1"/>
  <c r="H29" i="392"/>
  <c r="I29" i="392" s="1"/>
  <c r="F29" i="410"/>
  <c r="G29" i="410" s="1"/>
  <c r="H20" i="392"/>
  <c r="I20" i="392" s="1"/>
  <c r="F20" i="410"/>
  <c r="G20" i="410" s="1"/>
  <c r="H28" i="392"/>
  <c r="I28" i="392" s="1"/>
  <c r="F28" i="410"/>
  <c r="G28" i="410" s="1"/>
  <c r="H32" i="392"/>
  <c r="I32" i="392" s="1"/>
  <c r="F32" i="410"/>
  <c r="G32" i="410" s="1"/>
  <c r="H30" i="392"/>
  <c r="I30" i="392" s="1"/>
  <c r="F30" i="410"/>
  <c r="G30" i="410" s="1"/>
  <c r="H23" i="392"/>
  <c r="I23" i="392" s="1"/>
  <c r="F23" i="410"/>
  <c r="G23" i="410" s="1"/>
  <c r="H35" i="392"/>
  <c r="I35" i="392" s="1"/>
  <c r="F35" i="410"/>
  <c r="G35" i="410" s="1"/>
  <c r="AA30" i="1"/>
  <c r="AJ30" i="1" s="1"/>
  <c r="F26" i="392" s="1"/>
  <c r="G26" i="392" s="1"/>
  <c r="E31" i="411"/>
  <c r="O31" i="411" s="1"/>
  <c r="AA22" i="1"/>
  <c r="E15" i="411"/>
  <c r="O15" i="411" s="1"/>
  <c r="AA47" i="1"/>
  <c r="E65" i="411"/>
  <c r="O65" i="411" s="1"/>
  <c r="AA52" i="1"/>
  <c r="E75" i="411"/>
  <c r="O75" i="411" s="1"/>
  <c r="AA49" i="1"/>
  <c r="E69" i="411"/>
  <c r="O69" i="411" s="1"/>
  <c r="AA19" i="1"/>
  <c r="AJ19" i="1" s="1"/>
  <c r="E9" i="411"/>
  <c r="O9" i="411" s="1"/>
  <c r="AA38" i="1"/>
  <c r="AJ38" i="1" s="1"/>
  <c r="F34" i="387" s="1"/>
  <c r="G34" i="387" s="1"/>
  <c r="E47" i="411"/>
  <c r="O47" i="411" s="1"/>
  <c r="AA23" i="1"/>
  <c r="E17" i="411"/>
  <c r="O17" i="411" s="1"/>
  <c r="AA55" i="1"/>
  <c r="AJ55" i="1" s="1"/>
  <c r="F51" i="392" s="1"/>
  <c r="G51" i="392" s="1"/>
  <c r="E81" i="411"/>
  <c r="O81" i="411" s="1"/>
  <c r="AA44" i="1"/>
  <c r="E59" i="411"/>
  <c r="O59" i="411" s="1"/>
  <c r="AA27" i="1"/>
  <c r="AJ27" i="1" s="1"/>
  <c r="F23" i="387" s="1"/>
  <c r="G23" i="387" s="1"/>
  <c r="E25" i="411"/>
  <c r="O25" i="411" s="1"/>
  <c r="AA32" i="1"/>
  <c r="E35" i="411"/>
  <c r="O35" i="411" s="1"/>
  <c r="AA54" i="1"/>
  <c r="E79" i="411"/>
  <c r="O79" i="411" s="1"/>
  <c r="AA20" i="1"/>
  <c r="E11" i="411"/>
  <c r="O11" i="411" s="1"/>
  <c r="AA17" i="1"/>
  <c r="E5" i="411"/>
  <c r="O5" i="411" s="1"/>
  <c r="AA43" i="1"/>
  <c r="E57" i="411"/>
  <c r="O57" i="411" s="1"/>
  <c r="AA50" i="1"/>
  <c r="AJ50" i="1" s="1"/>
  <c r="F46" i="392" s="1"/>
  <c r="G46" i="392" s="1"/>
  <c r="E71" i="411"/>
  <c r="O71" i="411" s="1"/>
  <c r="AA42" i="1"/>
  <c r="E55" i="411"/>
  <c r="O55" i="411" s="1"/>
  <c r="AA45" i="1"/>
  <c r="AJ45" i="1" s="1"/>
  <c r="F41" i="392" s="1"/>
  <c r="G41" i="392" s="1"/>
  <c r="E61" i="411"/>
  <c r="O61" i="411" s="1"/>
  <c r="AA40" i="1"/>
  <c r="E51" i="411"/>
  <c r="O51" i="411" s="1"/>
  <c r="AA53" i="1"/>
  <c r="AJ53" i="1" s="1"/>
  <c r="F49" i="392" s="1"/>
  <c r="G49" i="392" s="1"/>
  <c r="E77" i="411"/>
  <c r="O77" i="411" s="1"/>
  <c r="AA29" i="1"/>
  <c r="E29" i="411"/>
  <c r="O29" i="411" s="1"/>
  <c r="AA41" i="1"/>
  <c r="AJ41" i="1" s="1"/>
  <c r="F37" i="387" s="1"/>
  <c r="G37" i="387" s="1"/>
  <c r="E53" i="411"/>
  <c r="O53" i="411" s="1"/>
  <c r="AA34" i="1"/>
  <c r="E39" i="411"/>
  <c r="O39" i="411" s="1"/>
  <c r="AA35" i="1"/>
  <c r="E41" i="411"/>
  <c r="O41" i="411" s="1"/>
  <c r="AA46" i="1"/>
  <c r="E63" i="411"/>
  <c r="O63" i="411" s="1"/>
  <c r="AA24" i="1"/>
  <c r="AJ24" i="1" s="1"/>
  <c r="F20" i="387" s="1"/>
  <c r="G20" i="387" s="1"/>
  <c r="E19" i="411"/>
  <c r="O19" i="411" s="1"/>
  <c r="AA21" i="1"/>
  <c r="E13" i="411"/>
  <c r="O13" i="411" s="1"/>
  <c r="AA36" i="1"/>
  <c r="AJ36" i="1" s="1"/>
  <c r="F32" i="392" s="1"/>
  <c r="E43" i="411"/>
  <c r="O43" i="411" s="1"/>
  <c r="AA33" i="1"/>
  <c r="E37" i="411"/>
  <c r="O37" i="411" s="1"/>
  <c r="AA26" i="1"/>
  <c r="AJ26" i="1" s="1"/>
  <c r="F22" i="392" s="1"/>
  <c r="G22" i="392" s="1"/>
  <c r="E23" i="411"/>
  <c r="O23" i="411" s="1"/>
  <c r="AA48" i="1"/>
  <c r="E67" i="411"/>
  <c r="O67" i="411" s="1"/>
  <c r="AA37" i="1"/>
  <c r="AJ37" i="1" s="1"/>
  <c r="F33" i="392" s="1"/>
  <c r="G33" i="392" s="1"/>
  <c r="E45" i="411"/>
  <c r="O45" i="411" s="1"/>
  <c r="AA31" i="1"/>
  <c r="E33" i="411"/>
  <c r="O33" i="411" s="1"/>
  <c r="AA51" i="1"/>
  <c r="AJ51" i="1" s="1"/>
  <c r="F47" i="392" s="1"/>
  <c r="G47" i="392" s="1"/>
  <c r="E73" i="411"/>
  <c r="O73" i="411" s="1"/>
  <c r="AA28" i="1"/>
  <c r="E27" i="411"/>
  <c r="O27" i="411" s="1"/>
  <c r="AA25" i="1"/>
  <c r="AJ25" i="1" s="1"/>
  <c r="F21" i="392" s="1"/>
  <c r="G21" i="392" s="1"/>
  <c r="E21" i="411"/>
  <c r="O21" i="411" s="1"/>
  <c r="AA18" i="1"/>
  <c r="E7" i="411"/>
  <c r="O7" i="411" s="1"/>
  <c r="AA39" i="1"/>
  <c r="AJ39" i="1" s="1"/>
  <c r="F35" i="392" s="1"/>
  <c r="G35" i="392" s="1"/>
  <c r="E49" i="411"/>
  <c r="O49" i="411" s="1"/>
  <c r="AA16" i="1"/>
  <c r="C10" i="388" s="1"/>
  <c r="D10" i="388" s="1"/>
  <c r="E3" i="411"/>
  <c r="F16" i="410"/>
  <c r="G16" i="410" s="1"/>
  <c r="F15" i="410"/>
  <c r="G15" i="410" s="1"/>
  <c r="F14" i="410"/>
  <c r="G14" i="410" s="1"/>
  <c r="J35" i="392" l="1"/>
  <c r="K35" i="392" s="1"/>
  <c r="G32" i="392"/>
  <c r="J32" i="392" s="1"/>
  <c r="K32" i="392" s="1"/>
  <c r="F34" i="392"/>
  <c r="G34" i="392" s="1"/>
  <c r="F23" i="392"/>
  <c r="F32" i="387"/>
  <c r="G32" i="387" s="1"/>
  <c r="F20" i="392"/>
  <c r="F35" i="387"/>
  <c r="G35" i="387" s="1"/>
  <c r="F22" i="387"/>
  <c r="G22" i="387" s="1"/>
  <c r="AJ18" i="1"/>
  <c r="F14" i="392" s="1"/>
  <c r="G14" i="392" s="1"/>
  <c r="AJ28" i="1"/>
  <c r="F24" i="387" s="1"/>
  <c r="G24" i="387" s="1"/>
  <c r="AJ31" i="1"/>
  <c r="F27" i="392" s="1"/>
  <c r="AJ48" i="1"/>
  <c r="F44" i="392" s="1"/>
  <c r="G44" i="392" s="1"/>
  <c r="AJ33" i="1"/>
  <c r="F29" i="387" s="1"/>
  <c r="G29" i="387" s="1"/>
  <c r="AJ46" i="1"/>
  <c r="F42" i="387" s="1"/>
  <c r="G42" i="387" s="1"/>
  <c r="AJ34" i="1"/>
  <c r="F30" i="387" s="1"/>
  <c r="G30" i="387" s="1"/>
  <c r="AJ29" i="1"/>
  <c r="F25" i="387" s="1"/>
  <c r="G25" i="387" s="1"/>
  <c r="AJ40" i="1"/>
  <c r="F36" i="387" s="1"/>
  <c r="G36" i="387" s="1"/>
  <c r="AJ42" i="1"/>
  <c r="F38" i="387" s="1"/>
  <c r="G38" i="387" s="1"/>
  <c r="AJ43" i="1"/>
  <c r="F39" i="392" s="1"/>
  <c r="G39" i="392" s="1"/>
  <c r="AJ20" i="1"/>
  <c r="F16" i="392" s="1"/>
  <c r="G16" i="392" s="1"/>
  <c r="AJ32" i="1"/>
  <c r="F28" i="387" s="1"/>
  <c r="G28" i="387" s="1"/>
  <c r="AJ44" i="1"/>
  <c r="F40" i="392" s="1"/>
  <c r="G40" i="392" s="1"/>
  <c r="AJ23" i="1"/>
  <c r="F19" i="387" s="1"/>
  <c r="G19" i="387" s="1"/>
  <c r="AJ52" i="1"/>
  <c r="F48" i="387" s="1"/>
  <c r="G48" i="387" s="1"/>
  <c r="AJ35" i="1"/>
  <c r="F31" i="387" s="1"/>
  <c r="G31" i="387" s="1"/>
  <c r="AJ17" i="1"/>
  <c r="F13" i="387" s="1"/>
  <c r="G13" i="387" s="1"/>
  <c r="AJ54" i="1"/>
  <c r="F50" i="387" s="1"/>
  <c r="G50" i="387" s="1"/>
  <c r="AJ49" i="1"/>
  <c r="F45" i="387" s="1"/>
  <c r="G45" i="387" s="1"/>
  <c r="AJ47" i="1"/>
  <c r="F43" i="387" s="1"/>
  <c r="G43" i="387" s="1"/>
  <c r="AJ21" i="1"/>
  <c r="F17" i="387" s="1"/>
  <c r="G17" i="387" s="1"/>
  <c r="H34" i="392"/>
  <c r="I34" i="392" s="1"/>
  <c r="F34" i="410"/>
  <c r="G34" i="410" s="1"/>
  <c r="H38" i="392"/>
  <c r="I38" i="392" s="1"/>
  <c r="F38" i="410"/>
  <c r="G38" i="410" s="1"/>
  <c r="H33" i="392"/>
  <c r="F33" i="410"/>
  <c r="G33" i="410" s="1"/>
  <c r="H46" i="392"/>
  <c r="I46" i="392" s="1"/>
  <c r="J46" i="392" s="1"/>
  <c r="K46" i="392" s="1"/>
  <c r="F46" i="410"/>
  <c r="G46" i="410" s="1"/>
  <c r="H31" i="392"/>
  <c r="I31" i="392" s="1"/>
  <c r="F31" i="410"/>
  <c r="G31" i="410" s="1"/>
  <c r="H13" i="392"/>
  <c r="I13" i="392" s="1"/>
  <c r="F13" i="410"/>
  <c r="G13" i="410" s="1"/>
  <c r="H22" i="392"/>
  <c r="F22" i="410"/>
  <c r="G22" i="410" s="1"/>
  <c r="H18" i="392"/>
  <c r="I18" i="392" s="1"/>
  <c r="F18" i="410"/>
  <c r="G18" i="410" s="1"/>
  <c r="H44" i="392"/>
  <c r="I44" i="392" s="1"/>
  <c r="F44" i="410"/>
  <c r="G44" i="410" s="1"/>
  <c r="H37" i="392"/>
  <c r="I37" i="392" s="1"/>
  <c r="F37" i="410"/>
  <c r="G37" i="410" s="1"/>
  <c r="H39" i="392"/>
  <c r="I39" i="392" s="1"/>
  <c r="F39" i="410"/>
  <c r="G39" i="410" s="1"/>
  <c r="H41" i="392"/>
  <c r="I41" i="392" s="1"/>
  <c r="J41" i="392" s="1"/>
  <c r="K41" i="392" s="1"/>
  <c r="F41" i="410"/>
  <c r="G41" i="410" s="1"/>
  <c r="H50" i="392"/>
  <c r="I50" i="392" s="1"/>
  <c r="F50" i="410"/>
  <c r="G50" i="410" s="1"/>
  <c r="H36" i="392"/>
  <c r="I36" i="392" s="1"/>
  <c r="F36" i="410"/>
  <c r="G36" i="410" s="1"/>
  <c r="H48" i="392"/>
  <c r="I48" i="392" s="1"/>
  <c r="F48" i="410"/>
  <c r="G48" i="410" s="1"/>
  <c r="H40" i="392"/>
  <c r="I40" i="392" s="1"/>
  <c r="F40" i="410"/>
  <c r="G40" i="410" s="1"/>
  <c r="H43" i="392"/>
  <c r="I43" i="392" s="1"/>
  <c r="F43" i="410"/>
  <c r="G43" i="410" s="1"/>
  <c r="H26" i="392"/>
  <c r="F26" i="410"/>
  <c r="G26" i="410" s="1"/>
  <c r="H42" i="392"/>
  <c r="I42" i="392" s="1"/>
  <c r="F42" i="410"/>
  <c r="G42" i="410" s="1"/>
  <c r="H51" i="392"/>
  <c r="I51" i="392" s="1"/>
  <c r="J51" i="392" s="1"/>
  <c r="K51" i="392" s="1"/>
  <c r="F51" i="410"/>
  <c r="G51" i="410" s="1"/>
  <c r="H47" i="392"/>
  <c r="I47" i="392" s="1"/>
  <c r="J47" i="392" s="1"/>
  <c r="K47" i="392" s="1"/>
  <c r="F47" i="410"/>
  <c r="G47" i="410" s="1"/>
  <c r="H24" i="392"/>
  <c r="I24" i="392" s="1"/>
  <c r="F24" i="410"/>
  <c r="G24" i="410" s="1"/>
  <c r="H21" i="392"/>
  <c r="F21" i="410"/>
  <c r="G21" i="410" s="1"/>
  <c r="H49" i="392"/>
  <c r="I49" i="392" s="1"/>
  <c r="J49" i="392" s="1"/>
  <c r="K49" i="392" s="1"/>
  <c r="F49" i="410"/>
  <c r="G49" i="410" s="1"/>
  <c r="H17" i="392"/>
  <c r="I17" i="392" s="1"/>
  <c r="F17" i="410"/>
  <c r="G17" i="410" s="1"/>
  <c r="H45" i="392"/>
  <c r="I45" i="392" s="1"/>
  <c r="F45" i="410"/>
  <c r="G45" i="410" s="1"/>
  <c r="H25" i="392"/>
  <c r="I25" i="392" s="1"/>
  <c r="F25" i="410"/>
  <c r="G25" i="410" s="1"/>
  <c r="H19" i="392"/>
  <c r="I19" i="392" s="1"/>
  <c r="F19" i="410"/>
  <c r="G19" i="410" s="1"/>
  <c r="F15" i="392"/>
  <c r="G15" i="392" s="1"/>
  <c r="F15" i="387"/>
  <c r="G15" i="387" s="1"/>
  <c r="F49" i="387"/>
  <c r="G49" i="387" s="1"/>
  <c r="F41" i="387"/>
  <c r="G41" i="387" s="1"/>
  <c r="F51" i="387"/>
  <c r="G51" i="387" s="1"/>
  <c r="D8" i="388"/>
  <c r="D8" i="399"/>
  <c r="F37" i="392"/>
  <c r="G37" i="392" s="1"/>
  <c r="F47" i="387"/>
  <c r="G47" i="387" s="1"/>
  <c r="F46" i="387"/>
  <c r="G46" i="387" s="1"/>
  <c r="F21" i="387"/>
  <c r="G21" i="387" s="1"/>
  <c r="F26" i="387"/>
  <c r="G26" i="387" s="1"/>
  <c r="F33" i="387"/>
  <c r="G33" i="387" s="1"/>
  <c r="H14" i="392"/>
  <c r="I14" i="392" s="1"/>
  <c r="H15" i="392"/>
  <c r="I15" i="392" s="1"/>
  <c r="I14" i="417"/>
  <c r="K14" i="417"/>
  <c r="H16" i="392"/>
  <c r="I16" i="392" s="1"/>
  <c r="E6" i="388"/>
  <c r="B6" i="388"/>
  <c r="J39" i="392" l="1"/>
  <c r="K39" i="392" s="1"/>
  <c r="J16" i="392"/>
  <c r="K16" i="392" s="1"/>
  <c r="J40" i="392"/>
  <c r="K40" i="392" s="1"/>
  <c r="J34" i="392"/>
  <c r="K34" i="392" s="1"/>
  <c r="J44" i="392"/>
  <c r="K44" i="392" s="1"/>
  <c r="G20" i="392"/>
  <c r="J20" i="392" s="1"/>
  <c r="K20" i="392" s="1"/>
  <c r="J14" i="392"/>
  <c r="K14" i="392" s="1"/>
  <c r="G23" i="392"/>
  <c r="J23" i="392" s="1"/>
  <c r="K23" i="392" s="1"/>
  <c r="J15" i="392"/>
  <c r="K15" i="392" s="1"/>
  <c r="G27" i="392"/>
  <c r="J27" i="392" s="1"/>
  <c r="K27" i="392" s="1"/>
  <c r="J37" i="392"/>
  <c r="K37" i="392" s="1"/>
  <c r="I26" i="392"/>
  <c r="J26" i="392" s="1"/>
  <c r="K26" i="392" s="1"/>
  <c r="I21" i="392"/>
  <c r="J21" i="392" s="1"/>
  <c r="K21" i="392" s="1"/>
  <c r="I22" i="392"/>
  <c r="J22" i="392" s="1"/>
  <c r="K22" i="392" s="1"/>
  <c r="I33" i="392"/>
  <c r="J33" i="392" s="1"/>
  <c r="K33" i="392" s="1"/>
  <c r="J17" i="417"/>
  <c r="F44" i="387"/>
  <c r="G44" i="387" s="1"/>
  <c r="F36" i="392"/>
  <c r="F29" i="392"/>
  <c r="F14" i="387"/>
  <c r="G14" i="387" s="1"/>
  <c r="F38" i="392"/>
  <c r="G38" i="392" s="1"/>
  <c r="J38" i="392" s="1"/>
  <c r="K38" i="392" s="1"/>
  <c r="F19" i="392"/>
  <c r="F24" i="392"/>
  <c r="F30" i="392"/>
  <c r="F13" i="392"/>
  <c r="F48" i="392"/>
  <c r="G48" i="392" s="1"/>
  <c r="J48" i="392" s="1"/>
  <c r="K48" i="392" s="1"/>
  <c r="F42" i="392"/>
  <c r="G42" i="392" s="1"/>
  <c r="J42" i="392" s="1"/>
  <c r="K42" i="392" s="1"/>
  <c r="F39" i="387"/>
  <c r="G39" i="387" s="1"/>
  <c r="F27" i="387"/>
  <c r="G27" i="387" s="1"/>
  <c r="F45" i="392"/>
  <c r="G45" i="392" s="1"/>
  <c r="J45" i="392" s="1"/>
  <c r="K45" i="392" s="1"/>
  <c r="F40" i="387"/>
  <c r="G40" i="387" s="1"/>
  <c r="F25" i="392"/>
  <c r="F16" i="387"/>
  <c r="G16" i="387" s="1"/>
  <c r="F43" i="392"/>
  <c r="G43" i="392" s="1"/>
  <c r="J43" i="392" s="1"/>
  <c r="K43" i="392" s="1"/>
  <c r="F50" i="392"/>
  <c r="G50" i="392" s="1"/>
  <c r="J50" i="392" s="1"/>
  <c r="K50" i="392" s="1"/>
  <c r="F31" i="392"/>
  <c r="F28" i="392"/>
  <c r="F17" i="392"/>
  <c r="I51" i="108"/>
  <c r="I52" i="108"/>
  <c r="I46" i="108"/>
  <c r="I47" i="108"/>
  <c r="I48" i="108"/>
  <c r="I49" i="108"/>
  <c r="I50" i="108"/>
  <c r="G13" i="392" l="1"/>
  <c r="J13" i="392" s="1"/>
  <c r="K13" i="392" s="1"/>
  <c r="G17" i="392"/>
  <c r="J17" i="392" s="1"/>
  <c r="K17" i="392" s="1"/>
  <c r="G30" i="392"/>
  <c r="J30" i="392" s="1"/>
  <c r="K30" i="392" s="1"/>
  <c r="G24" i="392"/>
  <c r="J24" i="392" s="1"/>
  <c r="K24" i="392" s="1"/>
  <c r="G19" i="392"/>
  <c r="J19" i="392" s="1"/>
  <c r="K19" i="392" s="1"/>
  <c r="G36" i="392"/>
  <c r="J36" i="392" s="1"/>
  <c r="K36" i="392" s="1"/>
  <c r="G25" i="392"/>
  <c r="J25" i="392" s="1"/>
  <c r="K25" i="392" s="1"/>
  <c r="G28" i="392"/>
  <c r="J28" i="392" s="1"/>
  <c r="K28" i="392" s="1"/>
  <c r="G31" i="392"/>
  <c r="J31" i="392" s="1"/>
  <c r="K31" i="392" s="1"/>
  <c r="G29" i="392"/>
  <c r="J29" i="392" s="1"/>
  <c r="K29" i="392" s="1"/>
  <c r="AG77" i="384"/>
  <c r="AF77" i="384"/>
  <c r="AG74" i="384"/>
  <c r="AF74" i="384"/>
  <c r="AG71" i="384"/>
  <c r="AF71" i="384"/>
  <c r="AG68" i="384"/>
  <c r="AF68" i="384"/>
  <c r="AG65" i="384"/>
  <c r="AF65" i="384"/>
  <c r="AG62" i="384"/>
  <c r="AF62" i="384"/>
  <c r="AG59" i="384"/>
  <c r="AF59" i="384"/>
  <c r="AG56" i="384"/>
  <c r="AF56" i="384"/>
  <c r="E55" i="384"/>
  <c r="D55" i="384"/>
  <c r="C55" i="384"/>
  <c r="B55" i="384"/>
  <c r="E54" i="384"/>
  <c r="D54" i="384"/>
  <c r="C54" i="384"/>
  <c r="B54" i="384"/>
  <c r="AG53" i="384"/>
  <c r="AF53" i="384"/>
  <c r="E53" i="384"/>
  <c r="D53" i="384"/>
  <c r="C53" i="384"/>
  <c r="B53" i="384"/>
  <c r="E52" i="384"/>
  <c r="D52" i="384"/>
  <c r="C52" i="384"/>
  <c r="B52" i="384"/>
  <c r="E51" i="384"/>
  <c r="D51" i="384"/>
  <c r="C51" i="384"/>
  <c r="B51" i="384"/>
  <c r="AG50" i="384"/>
  <c r="AF50" i="384"/>
  <c r="E50" i="384"/>
  <c r="D50" i="384"/>
  <c r="C50" i="384"/>
  <c r="B50" i="384"/>
  <c r="E49" i="384"/>
  <c r="D49" i="384"/>
  <c r="C49" i="384"/>
  <c r="B49" i="384"/>
  <c r="D48" i="384"/>
  <c r="C48" i="384"/>
  <c r="B48" i="384"/>
  <c r="AG47" i="384"/>
  <c r="AF47" i="384"/>
  <c r="D47" i="384"/>
  <c r="C47" i="384"/>
  <c r="B47" i="384"/>
  <c r="D46" i="384"/>
  <c r="C46" i="384"/>
  <c r="B46" i="384"/>
  <c r="D45" i="384"/>
  <c r="C45" i="384"/>
  <c r="B45" i="384"/>
  <c r="AG44" i="384"/>
  <c r="AF44" i="384"/>
  <c r="D44" i="384"/>
  <c r="C44" i="384"/>
  <c r="B44" i="384"/>
  <c r="D43" i="384"/>
  <c r="C43" i="384"/>
  <c r="B43" i="384"/>
  <c r="D42" i="384"/>
  <c r="C42" i="384"/>
  <c r="B42" i="384"/>
  <c r="AG41" i="384"/>
  <c r="AF41" i="384"/>
  <c r="D41" i="384"/>
  <c r="C41" i="384"/>
  <c r="B41" i="384"/>
  <c r="D40" i="384"/>
  <c r="C40" i="384"/>
  <c r="B40" i="384"/>
  <c r="D39" i="384"/>
  <c r="C39" i="384"/>
  <c r="B39" i="384"/>
  <c r="AG38" i="384"/>
  <c r="AF38" i="384"/>
  <c r="D38" i="384"/>
  <c r="C38" i="384"/>
  <c r="B38" i="384"/>
  <c r="D37" i="384"/>
  <c r="C37" i="384"/>
  <c r="B37" i="384"/>
  <c r="D36" i="384"/>
  <c r="C36" i="384"/>
  <c r="B36" i="384"/>
  <c r="AG35" i="384"/>
  <c r="AF35" i="384"/>
  <c r="D35" i="384"/>
  <c r="C35" i="384"/>
  <c r="B35" i="384"/>
  <c r="D34" i="384"/>
  <c r="C34" i="384"/>
  <c r="B34" i="384"/>
  <c r="D33" i="384"/>
  <c r="C33" i="384"/>
  <c r="B33" i="384"/>
  <c r="AG32" i="384"/>
  <c r="AF32" i="384"/>
  <c r="D32" i="384"/>
  <c r="C32" i="384"/>
  <c r="B32" i="384"/>
  <c r="D31" i="384"/>
  <c r="C31" i="384"/>
  <c r="B31" i="384"/>
  <c r="D30" i="384"/>
  <c r="C30" i="384"/>
  <c r="B30" i="384"/>
  <c r="AG29" i="384"/>
  <c r="AF29" i="384"/>
  <c r="D29" i="384"/>
  <c r="C29" i="384"/>
  <c r="B29" i="384"/>
  <c r="D28" i="384"/>
  <c r="C28" i="384"/>
  <c r="B28" i="384"/>
  <c r="D27" i="384"/>
  <c r="C27" i="384"/>
  <c r="B27" i="384"/>
  <c r="AG26" i="384"/>
  <c r="AF26" i="384"/>
  <c r="D26" i="384"/>
  <c r="C26" i="384"/>
  <c r="B26" i="384"/>
  <c r="D25" i="384"/>
  <c r="C25" i="384"/>
  <c r="B25" i="384"/>
  <c r="D24" i="384"/>
  <c r="C24" i="384"/>
  <c r="B24" i="384"/>
  <c r="AG23" i="384"/>
  <c r="AF23" i="384"/>
  <c r="D23" i="384"/>
  <c r="C23" i="384"/>
  <c r="B23" i="384"/>
  <c r="D22" i="384"/>
  <c r="C22" i="384"/>
  <c r="B22" i="384"/>
  <c r="D21" i="384"/>
  <c r="C21" i="384"/>
  <c r="B21" i="384"/>
  <c r="AG20" i="384"/>
  <c r="AF20" i="384"/>
  <c r="D20" i="384"/>
  <c r="C20" i="384"/>
  <c r="B20" i="384"/>
  <c r="D19" i="384"/>
  <c r="C19" i="384"/>
  <c r="B19" i="384"/>
  <c r="D18" i="384"/>
  <c r="C18" i="384"/>
  <c r="B18" i="384"/>
  <c r="D17" i="384"/>
  <c r="C17" i="384"/>
  <c r="B17" i="384"/>
  <c r="AM16" i="384"/>
  <c r="Z55" i="384" s="1"/>
  <c r="D16" i="384"/>
  <c r="C16" i="384"/>
  <c r="B16" i="384"/>
  <c r="AC13" i="384"/>
  <c r="AB13" i="384"/>
  <c r="AA13" i="384"/>
  <c r="E16" i="384" l="1"/>
  <c r="Z44" i="384"/>
  <c r="Z46" i="384"/>
  <c r="Z48" i="384"/>
  <c r="Z47" i="384"/>
  <c r="Z49" i="384"/>
  <c r="Z51" i="384"/>
  <c r="Z40" i="384"/>
  <c r="Z42" i="384"/>
  <c r="Z50" i="384"/>
  <c r="Z52" i="384"/>
  <c r="Z54" i="384"/>
  <c r="Z20" i="384"/>
  <c r="Z22" i="384"/>
  <c r="Z24" i="384"/>
  <c r="Z32" i="384"/>
  <c r="Z34" i="384"/>
  <c r="Z36" i="384"/>
  <c r="Z17" i="384"/>
  <c r="Z23" i="384"/>
  <c r="Z25" i="384"/>
  <c r="Z27" i="384"/>
  <c r="Z35" i="384"/>
  <c r="Z37" i="384"/>
  <c r="Z39" i="384"/>
  <c r="Z18" i="384"/>
  <c r="Z26" i="384"/>
  <c r="Z28" i="384"/>
  <c r="Z30" i="384"/>
  <c r="Z38" i="384"/>
  <c r="Z16" i="384"/>
  <c r="Z19" i="384"/>
  <c r="Z21" i="384"/>
  <c r="Z29" i="384"/>
  <c r="Z31" i="384"/>
  <c r="Z33" i="384"/>
  <c r="Z41" i="384"/>
  <c r="Z43" i="384"/>
  <c r="Z45" i="384"/>
  <c r="Z53" i="384"/>
  <c r="E22" i="384" l="1"/>
  <c r="I20" i="108" l="1"/>
  <c r="I21" i="108"/>
  <c r="I22" i="108"/>
  <c r="I23" i="108"/>
  <c r="I24" i="108"/>
  <c r="I25" i="108"/>
  <c r="I26" i="108"/>
  <c r="I33" i="108"/>
  <c r="I34" i="108"/>
  <c r="I35" i="108"/>
  <c r="I36" i="108"/>
  <c r="I37" i="108"/>
  <c r="I39" i="108"/>
  <c r="I40" i="108"/>
  <c r="I41" i="108"/>
  <c r="I42" i="108"/>
  <c r="I43" i="108"/>
  <c r="I44" i="108"/>
  <c r="I45" i="108"/>
  <c r="E47" i="384" l="1"/>
  <c r="E43" i="384"/>
  <c r="E39" i="384"/>
  <c r="E35" i="384"/>
  <c r="E31" i="384"/>
  <c r="E27" i="384"/>
  <c r="E23" i="384"/>
  <c r="E19" i="384"/>
  <c r="E42" i="384"/>
  <c r="E38" i="384"/>
  <c r="E34" i="384"/>
  <c r="E30" i="384"/>
  <c r="E26" i="384"/>
  <c r="E18" i="384"/>
  <c r="E45" i="384"/>
  <c r="E41" i="384"/>
  <c r="E37" i="384"/>
  <c r="E33" i="384"/>
  <c r="E29" i="384"/>
  <c r="E25" i="384"/>
  <c r="E21" i="384"/>
  <c r="E17" i="384"/>
  <c r="E46" i="384"/>
  <c r="E48" i="384"/>
  <c r="E44" i="384"/>
  <c r="E40" i="384"/>
  <c r="E36" i="384"/>
  <c r="E32" i="384"/>
  <c r="E28" i="384"/>
  <c r="E24" i="384"/>
  <c r="E20" i="384"/>
  <c r="Y5" i="384" l="1"/>
  <c r="AI22" i="1" l="1"/>
  <c r="BV8" i="390"/>
  <c r="BU8" i="390"/>
  <c r="AJ22" i="1" l="1"/>
  <c r="F18" i="392" s="1"/>
  <c r="CL8" i="390"/>
  <c r="BW8" i="390"/>
  <c r="G18" i="392" l="1"/>
  <c r="J18" i="392" s="1"/>
  <c r="K18" i="392" s="1"/>
  <c r="F18" i="387"/>
  <c r="G18" i="387" s="1"/>
  <c r="F8" i="390"/>
  <c r="BX8" i="390"/>
  <c r="I8" i="390" s="1"/>
  <c r="M3" i="411" s="1"/>
  <c r="O3" i="411" s="1"/>
  <c r="F12" i="410" l="1"/>
  <c r="G12" i="410" s="1"/>
  <c r="H12" i="392" l="1"/>
  <c r="I12" i="392" s="1"/>
  <c r="G14" i="417"/>
  <c r="AI16" i="1"/>
  <c r="C11" i="388" s="1"/>
  <c r="D9" i="391"/>
  <c r="J16" i="417" l="1"/>
  <c r="D11" i="388"/>
  <c r="C15" i="388"/>
  <c r="AJ16" i="1"/>
  <c r="G14" i="395" s="1"/>
  <c r="AS19" i="396"/>
  <c r="I14" i="395"/>
  <c r="K14" i="395"/>
  <c r="D13" i="417" l="1"/>
  <c r="D14" i="417"/>
  <c r="E14" i="395"/>
  <c r="F12" i="392"/>
  <c r="J16" i="395"/>
  <c r="F12" i="387"/>
  <c r="G12" i="387" s="1"/>
  <c r="G12" i="392" l="1"/>
  <c r="J12" i="392" s="1"/>
  <c r="K12" i="392" s="1"/>
  <c r="F14" i="417"/>
  <c r="J14" i="417"/>
  <c r="L14" i="417"/>
  <c r="K17" i="417"/>
  <c r="H14" i="417"/>
  <c r="K16" i="417"/>
  <c r="F13" i="417"/>
  <c r="L13" i="417"/>
  <c r="H13" i="417"/>
  <c r="J13" i="417"/>
  <c r="H16" i="417"/>
  <c r="H17" i="417"/>
  <c r="AS19" i="1"/>
  <c r="D14" i="395" s="1"/>
  <c r="K16" i="395" s="1"/>
  <c r="J17" i="395"/>
  <c r="F13" i="395"/>
  <c r="J13" i="395"/>
  <c r="H13" i="395"/>
  <c r="L13" i="395"/>
  <c r="F14" i="395" l="1"/>
  <c r="J14" i="395"/>
  <c r="K17" i="395"/>
  <c r="H14" i="395"/>
  <c r="L14" i="395"/>
  <c r="E18" i="399"/>
  <c r="I10" i="399"/>
</calcChain>
</file>

<file path=xl/sharedStrings.xml><?xml version="1.0" encoding="utf-8"?>
<sst xmlns="http://schemas.openxmlformats.org/spreadsheetml/2006/main" count="3898" uniqueCount="363">
  <si>
    <t xml:space="preserve">Total Puntos: </t>
  </si>
  <si>
    <t xml:space="preserve">Sección: </t>
  </si>
  <si>
    <t>Indicadores</t>
  </si>
  <si>
    <t>1. Uso de tecnología y conectividad</t>
  </si>
  <si>
    <t>2. Uso de tecnologia y concetividad limitada</t>
  </si>
  <si>
    <t>4. Ausencia de tecnología</t>
  </si>
  <si>
    <t>INFORME DESCRIPTIVO DE LOGRO I PERIODO 2020</t>
  </si>
  <si>
    <t>DIRECCION REGIONAL DE EDUCACIÓN</t>
  </si>
  <si>
    <t>CIRCUITO ESCOLAR:</t>
  </si>
  <si>
    <t>DOCENTE:</t>
  </si>
  <si>
    <t>Total:</t>
  </si>
  <si>
    <t>ASIGNATURA:</t>
  </si>
  <si>
    <t>3. Uso de tecnologia, sin conectividad</t>
  </si>
  <si>
    <t>ESCENARIOS</t>
  </si>
  <si>
    <t>EVIDENCIAS</t>
  </si>
  <si>
    <t>OBSERVACIONES</t>
  </si>
  <si>
    <t>NOTA</t>
  </si>
  <si>
    <t>ESTUDIANTES</t>
  </si>
  <si>
    <t>INDICADORES</t>
  </si>
  <si>
    <t>INDICADORES Y SU NIVEL DE DESEMPEÑO</t>
  </si>
  <si>
    <t>NIVEL DE DESEMPEÑO</t>
  </si>
  <si>
    <t xml:space="preserve">                    CIRCUITO ESCOLAR:</t>
  </si>
  <si>
    <t xml:space="preserve">                    DOCENTE:</t>
  </si>
  <si>
    <t xml:space="preserve">                    ASIGNATURA:</t>
  </si>
  <si>
    <t>Heredia</t>
  </si>
  <si>
    <t>Apellido</t>
  </si>
  <si>
    <t>Nombre</t>
  </si>
  <si>
    <t>Correo</t>
  </si>
  <si>
    <t>Generar Informes</t>
  </si>
  <si>
    <t>Eliminar Informes</t>
  </si>
  <si>
    <t>Informe Individual</t>
  </si>
  <si>
    <t>Enviar Informes y pdf</t>
  </si>
  <si>
    <t>Inicial (1)</t>
  </si>
  <si>
    <t>Intermedio (2)</t>
  </si>
  <si>
    <t>Avanzado (3)</t>
  </si>
  <si>
    <t>#</t>
  </si>
  <si>
    <t>NOMBRE</t>
  </si>
  <si>
    <t>N</t>
  </si>
  <si>
    <t>1ER APELLIDO</t>
  </si>
  <si>
    <t>2DO APELLIDO</t>
  </si>
  <si>
    <t>Dra Carmen Castro Sancho</t>
  </si>
  <si>
    <t>est.mep.go.cr</t>
  </si>
  <si>
    <t>@</t>
  </si>
  <si>
    <t>7-7</t>
  </si>
  <si>
    <t>DIRECTOR (A):</t>
  </si>
  <si>
    <r>
      <rPr>
        <b/>
        <sz val="18"/>
        <rFont val="Times New Roman"/>
        <family val="1"/>
      </rPr>
      <t>Liceo Ing. Samuel Sáenz Flores</t>
    </r>
    <r>
      <rPr>
        <b/>
        <sz val="14"/>
        <rFont val="Times New Roman"/>
        <family val="1"/>
      </rPr>
      <t xml:space="preserve"> </t>
    </r>
  </si>
  <si>
    <t>Escriba el nombre</t>
  </si>
  <si>
    <t>EScriba el nombre</t>
  </si>
  <si>
    <t>Hola</t>
  </si>
  <si>
    <t>Adios</t>
  </si>
  <si>
    <t>Siiiiiiiiii</t>
  </si>
  <si>
    <t>Puedo</t>
  </si>
  <si>
    <t>Fecha</t>
  </si>
  <si>
    <t>Firma del Docente___________________________________________</t>
  </si>
  <si>
    <t>TOTAL</t>
  </si>
  <si>
    <t xml:space="preserve">CONDICIÓN </t>
  </si>
  <si>
    <t xml:space="preserve">NOTA FINAL </t>
  </si>
  <si>
    <t xml:space="preserve">SECCIÓN </t>
  </si>
  <si>
    <t>APELLIDO</t>
  </si>
  <si>
    <t>CÉDULA</t>
  </si>
  <si>
    <t xml:space="preserve">
</t>
  </si>
  <si>
    <t>VALORACIÓN</t>
  </si>
  <si>
    <t>Docente:</t>
  </si>
  <si>
    <t>Estudiante:</t>
  </si>
  <si>
    <t xml:space="preserve">Correo: </t>
  </si>
  <si>
    <t xml:space="preserve">Materia: </t>
  </si>
  <si>
    <t>Fecha de envío:</t>
  </si>
  <si>
    <t>Sección:</t>
  </si>
  <si>
    <t>-</t>
  </si>
  <si>
    <t>COTIDIANO</t>
  </si>
  <si>
    <t>ASISTENCIA</t>
  </si>
  <si>
    <t>I EXAMEN</t>
  </si>
  <si>
    <t>POSICIÓN EN LISTA</t>
  </si>
  <si>
    <t>% OBTENIDO</t>
  </si>
  <si>
    <t>ESTRUCTURA</t>
  </si>
  <si>
    <t>CORREO</t>
  </si>
  <si>
    <t xml:space="preserve">FECHAS DE LA CLASE </t>
  </si>
  <si>
    <t>CONDICIÓN</t>
  </si>
  <si>
    <t>1 INICIAL</t>
  </si>
  <si>
    <t>2 INTERMEDIO</t>
  </si>
  <si>
    <t>3 AVANZADO</t>
  </si>
  <si>
    <t>INDICADORES VALORADOS EN TRABAJO COTIDIANO</t>
  </si>
  <si>
    <t>TAREA 1</t>
  </si>
  <si>
    <t>TAREA 2</t>
  </si>
  <si>
    <t>APROBADOS</t>
  </si>
  <si>
    <t>APLAZADOS</t>
  </si>
  <si>
    <t>TAREA</t>
  </si>
  <si>
    <t>CÉDULA - SIN GUIONES</t>
  </si>
  <si>
    <t>OBSERVACIÓN POR ESTUDIANTE</t>
  </si>
  <si>
    <t>PTS</t>
  </si>
  <si>
    <t>I %</t>
  </si>
  <si>
    <t xml:space="preserve">II % </t>
  </si>
  <si>
    <t>NOTA COT.</t>
  </si>
  <si>
    <t xml:space="preserve">Valor </t>
  </si>
  <si>
    <t xml:space="preserve">FECHAS </t>
  </si>
  <si>
    <t>LECCIONES TOTALES</t>
  </si>
  <si>
    <t>Observación</t>
  </si>
  <si>
    <t xml:space="preserve">VALOR </t>
  </si>
  <si>
    <t>INDICADORES EVALUADOS EN EL COTIDIANO</t>
  </si>
  <si>
    <t>Acta de Anual</t>
  </si>
  <si>
    <t>NOTA I SEMESTRE</t>
  </si>
  <si>
    <t>NOTA II SEMESTRE</t>
  </si>
  <si>
    <t>PROMEDIO ANUAL</t>
  </si>
  <si>
    <t>NOTA MÁXIMA APLAZADO</t>
  </si>
  <si>
    <t>I Examen</t>
  </si>
  <si>
    <t>Tareas</t>
  </si>
  <si>
    <t>Asistencia</t>
  </si>
  <si>
    <t>ALERTA TEMPRANA</t>
  </si>
  <si>
    <t>UPRE</t>
  </si>
  <si>
    <t>REGULAR</t>
  </si>
  <si>
    <t>Centro Educativo:</t>
  </si>
  <si>
    <t>Dirección Regional:</t>
  </si>
  <si>
    <t>SITUACIÓN DETECTADA</t>
  </si>
  <si>
    <t>Bajo rendimiento académico</t>
  </si>
  <si>
    <t>Ausentismo</t>
  </si>
  <si>
    <t>Falta de recursos económicos</t>
  </si>
  <si>
    <t>Problemas familiarias</t>
  </si>
  <si>
    <t>Violencia</t>
  </si>
  <si>
    <t>Adicciones</t>
  </si>
  <si>
    <t>Desmo-tivación</t>
  </si>
  <si>
    <t>Gran cantidad   de llegadas tardías</t>
  </si>
  <si>
    <t xml:space="preserve">Problemas de disciplina </t>
  </si>
  <si>
    <t>OTROS (ampliar cualquier otro motivo)</t>
  </si>
  <si>
    <r>
      <t xml:space="preserve">Estado de la situación </t>
    </r>
    <r>
      <rPr>
        <sz val="9"/>
        <color theme="1"/>
        <rFont val="Calibri"/>
        <family val="2"/>
        <scheme val="minor"/>
      </rPr>
      <t>(recibida, en trámite, finalizada)</t>
    </r>
  </si>
  <si>
    <t>Acciones Realizadas</t>
  </si>
  <si>
    <t xml:space="preserve">TIPO </t>
  </si>
  <si>
    <t>X</t>
  </si>
  <si>
    <t># estudiantes en alerta</t>
  </si>
  <si>
    <t>II SEMESTRE</t>
  </si>
  <si>
    <t>I SEMESTRE</t>
  </si>
  <si>
    <t>HOMBRES</t>
  </si>
  <si>
    <t>MUJERES</t>
  </si>
  <si>
    <t>REGISTRO DE INDICADORES DEL PRIMER SEMESTRE</t>
  </si>
  <si>
    <t>T</t>
  </si>
  <si>
    <t>P</t>
  </si>
  <si>
    <t>A</t>
  </si>
  <si>
    <t>J</t>
  </si>
  <si>
    <t>2A</t>
  </si>
  <si>
    <t>3A</t>
  </si>
  <si>
    <t>4A</t>
  </si>
  <si>
    <t>5A</t>
  </si>
  <si>
    <t>6A</t>
  </si>
  <si>
    <t>TOTAL A</t>
  </si>
  <si>
    <t>CANTIDAD DE AUSENCIAS</t>
  </si>
  <si>
    <t>DETALLE DEL AUSENTISMO</t>
  </si>
  <si>
    <t>CANTIDAD AUSENCIAS JUSTIFICADAS</t>
  </si>
  <si>
    <t>%</t>
  </si>
  <si>
    <t>ASISTENCIA (10%)</t>
  </si>
  <si>
    <t>% OBTENIDO:</t>
  </si>
  <si>
    <t>CANTIDAD DE TARDÍAS</t>
  </si>
  <si>
    <t>INFORME ESTADÍSTICO DE RENDIMIENTO ACADÉMICO</t>
  </si>
  <si>
    <t>Sección</t>
  </si>
  <si>
    <t>EXAMEN I</t>
  </si>
  <si>
    <t>EXAMEN II</t>
  </si>
  <si>
    <t>SEMESTRE</t>
  </si>
  <si>
    <t>&gt;70</t>
  </si>
  <si>
    <t>&lt;70</t>
  </si>
  <si>
    <t xml:space="preserve">SEMESTRE I </t>
  </si>
  <si>
    <t>EXAMEN 2</t>
  </si>
  <si>
    <t>INFORME DE PROGRESO SEMESTRE I</t>
  </si>
  <si>
    <t>ACTA DE SEMESTRE I</t>
  </si>
  <si>
    <t>Profesor(a):</t>
  </si>
  <si>
    <t>RECIBIDA</t>
  </si>
  <si>
    <t>EN TRAMITE</t>
  </si>
  <si>
    <t>FINALIZADA</t>
  </si>
  <si>
    <t>ENVIO CORREO</t>
  </si>
  <si>
    <t>CORREO, LLAMADA</t>
  </si>
  <si>
    <t xml:space="preserve">CORREO, LLAMADA, CITA </t>
  </si>
  <si>
    <t>FECHA</t>
  </si>
  <si>
    <t>INFORME DE PROGRESO SEMESTRE II</t>
  </si>
  <si>
    <t>Lecciones Totales</t>
  </si>
  <si>
    <t>Constante</t>
  </si>
  <si>
    <t xml:space="preserve">Aprendizajes esperados </t>
  </si>
  <si>
    <t>Tipo de Item</t>
  </si>
  <si>
    <t xml:space="preserve">Indicadores </t>
  </si>
  <si>
    <t xml:space="preserve">Lecciones </t>
  </si>
  <si>
    <t>Selección de respuestas</t>
  </si>
  <si>
    <t>Correspondencia</t>
  </si>
  <si>
    <t>Identificación</t>
  </si>
  <si>
    <t>Respuesta Construida</t>
  </si>
  <si>
    <t>RC</t>
  </si>
  <si>
    <t>RR</t>
  </si>
  <si>
    <t>RP</t>
  </si>
  <si>
    <t xml:space="preserve">TOTAL </t>
  </si>
  <si>
    <t>Puntos para asignar</t>
  </si>
  <si>
    <r>
      <rPr>
        <b/>
        <sz val="11"/>
        <color theme="1"/>
        <rFont val="Arial"/>
        <family val="2"/>
      </rPr>
      <t>RE:</t>
    </r>
    <r>
      <rPr>
        <sz val="11"/>
        <color theme="1"/>
        <rFont val="Arial"/>
        <family val="2"/>
      </rPr>
      <t xml:space="preserve"> Resolución de Ejercicios</t>
    </r>
  </si>
  <si>
    <r>
      <rPr>
        <b/>
        <sz val="11"/>
        <color theme="1"/>
        <rFont val="Arial"/>
        <family val="2"/>
      </rPr>
      <t>RR:</t>
    </r>
    <r>
      <rPr>
        <sz val="11"/>
        <color theme="1"/>
        <rFont val="Arial"/>
        <family val="2"/>
      </rPr>
      <t xml:space="preserve"> Respuesta Restringida</t>
    </r>
  </si>
  <si>
    <r>
      <rPr>
        <b/>
        <sz val="11"/>
        <color theme="1"/>
        <rFont val="Arial"/>
        <family val="2"/>
      </rPr>
      <t xml:space="preserve">RP: </t>
    </r>
    <r>
      <rPr>
        <sz val="11"/>
        <color theme="1"/>
        <rFont val="Arial"/>
        <family val="2"/>
      </rPr>
      <t>Resolución de Problemas</t>
    </r>
  </si>
  <si>
    <t>Items objetivos</t>
  </si>
  <si>
    <t>RE</t>
  </si>
  <si>
    <r>
      <rPr>
        <b/>
        <sz val="11"/>
        <color theme="1"/>
        <rFont val="Arial"/>
        <family val="2"/>
      </rPr>
      <t>RC:</t>
    </r>
    <r>
      <rPr>
        <sz val="11"/>
        <color theme="1"/>
        <rFont val="Arial"/>
        <family val="2"/>
      </rPr>
      <t xml:space="preserve"> Desarrollo</t>
    </r>
  </si>
  <si>
    <t>Resolución  de Casos</t>
  </si>
  <si>
    <t>PT</t>
  </si>
  <si>
    <t xml:space="preserve">PT: </t>
  </si>
  <si>
    <t>Producción Textual</t>
  </si>
  <si>
    <r>
      <t xml:space="preserve">RC: </t>
    </r>
    <r>
      <rPr>
        <sz val="11"/>
        <color theme="1"/>
        <rFont val="Arial"/>
        <family val="2"/>
      </rPr>
      <t>Respuesta Corta</t>
    </r>
  </si>
  <si>
    <t>ORDEN DE INDICADORES</t>
  </si>
  <si>
    <t>FEBRERO</t>
  </si>
  <si>
    <t>MARZO</t>
  </si>
  <si>
    <t>ABRIL</t>
  </si>
  <si>
    <t>MAYO</t>
  </si>
  <si>
    <t xml:space="preserve">JUNIO </t>
  </si>
  <si>
    <t xml:space="preserve">JULIO </t>
  </si>
  <si>
    <t>PROGRESO DE REPORTES</t>
  </si>
  <si>
    <t xml:space="preserve">SEMESTRE II </t>
  </si>
  <si>
    <t>AVANCE DEL SEMESTRE</t>
  </si>
  <si>
    <t xml:space="preserve">TAREAS </t>
  </si>
  <si>
    <t>SEMESTRE I</t>
  </si>
  <si>
    <t>SEMESTRE II</t>
  </si>
  <si>
    <t xml:space="preserve">%               </t>
  </si>
  <si>
    <t xml:space="preserve">%            </t>
  </si>
  <si>
    <t xml:space="preserve">%             </t>
  </si>
  <si>
    <t xml:space="preserve">%    </t>
  </si>
  <si>
    <t xml:space="preserve">%              </t>
  </si>
  <si>
    <t>NUMERO TOTAL DE INDICADORES PARA EVALUAR</t>
  </si>
  <si>
    <t>Dirección Regional</t>
  </si>
  <si>
    <t xml:space="preserve">Institución </t>
  </si>
  <si>
    <t>Circuito Escolar</t>
  </si>
  <si>
    <t>Asignatura.</t>
  </si>
  <si>
    <t>Director(a):</t>
  </si>
  <si>
    <t>Correo docente:</t>
  </si>
  <si>
    <t>TELÉFONO (OPCIONAL)</t>
  </si>
  <si>
    <t>Cantidad de estudiantes</t>
  </si>
  <si>
    <t>Hombre (H)</t>
  </si>
  <si>
    <t>Mujeres (M)</t>
  </si>
  <si>
    <t xml:space="preserve"> INDICADORES</t>
  </si>
  <si>
    <t>Institución</t>
  </si>
  <si>
    <t>Docente</t>
  </si>
  <si>
    <t>Asignatura</t>
  </si>
  <si>
    <t>NÚMERO TOTAL DE INDICADORES EVALUADOS</t>
  </si>
  <si>
    <t xml:space="preserve">NOTA </t>
  </si>
  <si>
    <t>Observación para cada estudiante</t>
  </si>
  <si>
    <t xml:space="preserve">Estudiantes: </t>
  </si>
  <si>
    <t>% Cotidiano</t>
  </si>
  <si>
    <t xml:space="preserve">REGISTRO DE COTIDIANO I SEMESTRE  </t>
  </si>
  <si>
    <t>REGISTRO DE ASISTENCIA DE I SEMESTRE</t>
  </si>
  <si>
    <t xml:space="preserve">REGISTRO DE TAREAS DE I SEMESTRE  </t>
  </si>
  <si>
    <t>Observaciones</t>
  </si>
  <si>
    <t xml:space="preserve">Tarea 1 </t>
  </si>
  <si>
    <t>OPCIONAL</t>
  </si>
  <si>
    <t xml:space="preserve">Tarea 2 </t>
  </si>
  <si>
    <t xml:space="preserve">DIRECCIÓN REGIONAL </t>
  </si>
  <si>
    <t xml:space="preserve">INSTITUCIÓN </t>
  </si>
  <si>
    <t xml:space="preserve">DIRECTOR (A): </t>
  </si>
  <si>
    <t>CORREO :</t>
  </si>
  <si>
    <t>TABLA DE ESPECIFICACIONES II SEMESTRE</t>
  </si>
  <si>
    <t xml:space="preserve">Indicadores evaluados </t>
  </si>
  <si>
    <t>Prueba:</t>
  </si>
  <si>
    <t>(     ) Primera   (     ) Segunda</t>
  </si>
  <si>
    <t>Porcentaje de la Prueba</t>
  </si>
  <si>
    <t>Puntuación total</t>
  </si>
  <si>
    <t>REGISTRO DE INDICADORES DEL SEGUNDO SEMESTRE</t>
  </si>
  <si>
    <t>REPORTE DE ASISTENCIA DEL I SEMESTRE</t>
  </si>
  <si>
    <t>REPORTE DE ASISTENCIA DEL II SEMESTRE</t>
  </si>
  <si>
    <t>Fecha:</t>
  </si>
  <si>
    <t>Identifique</t>
  </si>
  <si>
    <t>TABLA DE ESPECIFICACIONES DE I SEMESTRE</t>
  </si>
  <si>
    <t xml:space="preserve">Puntos totales asignados </t>
  </si>
  <si>
    <t>CIRCUITO:</t>
  </si>
  <si>
    <t>CORREO:</t>
  </si>
  <si>
    <t xml:space="preserve">REGISTRO GENERAL DEL I SEMESTRE </t>
  </si>
  <si>
    <t>DIRECCIÓN REGIONAL</t>
  </si>
  <si>
    <t xml:space="preserve">REGISTRO GENERAL DEL II SEMESTRE </t>
  </si>
  <si>
    <t>DESGLOSE DE NOTA</t>
  </si>
  <si>
    <t xml:space="preserve">REGISTRO DE TAREAS DE II SEMESTRE  </t>
  </si>
  <si>
    <t>Diirector(a)</t>
  </si>
  <si>
    <t xml:space="preserve">REGISTRO DE COTIDIANO II SEMESTRE  </t>
  </si>
  <si>
    <t xml:space="preserve">     DIRECCION REGIONAL :</t>
  </si>
  <si>
    <t>Asignatura:</t>
  </si>
  <si>
    <t>Evaluaciones</t>
  </si>
  <si>
    <t xml:space="preserve">Cantidad de estudiantes evaluados </t>
  </si>
  <si>
    <t>DETALLE</t>
  </si>
  <si>
    <t>Cotidiano</t>
  </si>
  <si>
    <t xml:space="preserve">Nota </t>
  </si>
  <si>
    <t>Calificación:</t>
  </si>
  <si>
    <t>AVANCES DEL SEMESTRE</t>
  </si>
  <si>
    <t>Dirección Regional de Educación de Heredia</t>
  </si>
  <si>
    <t>Ministerio de Educación Pública</t>
  </si>
  <si>
    <t>ACTA DE SEMESTRE II</t>
  </si>
  <si>
    <t>EVALUADO EL DÍA</t>
  </si>
  <si>
    <t>Incumplimien-to de tareas</t>
  </si>
  <si>
    <t>REGISTRO DE ASISTENCIA DE II SEMESTRE</t>
  </si>
  <si>
    <t>NIVEL DE DESEMPEÑO (OPCIONAL)</t>
  </si>
  <si>
    <t>EVALUADO EL DÍA  (OPCIONAL)</t>
  </si>
  <si>
    <t>INDICADORES (OBLIGATORIO)</t>
  </si>
  <si>
    <t>Director (a)</t>
  </si>
  <si>
    <t>Indicadores a evaluar  (opcional)</t>
  </si>
  <si>
    <t>TAREAS</t>
  </si>
  <si>
    <t xml:space="preserve">Total asignado </t>
  </si>
  <si>
    <r>
      <t xml:space="preserve">COLOQUE        </t>
    </r>
    <r>
      <rPr>
        <sz val="14"/>
        <color theme="0"/>
        <rFont val="Arial Unicode MS"/>
        <family val="2"/>
      </rPr>
      <t>H / M</t>
    </r>
  </si>
  <si>
    <t>x</t>
  </si>
  <si>
    <t>JULIO 17 (2)</t>
  </si>
  <si>
    <t xml:space="preserve">aquí se agregan los indicadores </t>
  </si>
  <si>
    <t>ETAPA 1</t>
  </si>
  <si>
    <t>ETAPA 2</t>
  </si>
  <si>
    <t>ETAPA 3</t>
  </si>
  <si>
    <t xml:space="preserve">PTS </t>
  </si>
  <si>
    <t xml:space="preserve">TEMA Y JUSTIFICACIÓN </t>
  </si>
  <si>
    <t xml:space="preserve">PREGUNTA </t>
  </si>
  <si>
    <t>OBJETIVO ESPECÍFICO</t>
  </si>
  <si>
    <t>OBJETIVO GENERAL</t>
  </si>
  <si>
    <t>ASPECTO 1</t>
  </si>
  <si>
    <t>ASPECTO 2</t>
  </si>
  <si>
    <t>ASPECTO 3</t>
  </si>
  <si>
    <t>ASPECTO 4</t>
  </si>
  <si>
    <t>ASPECTO 5</t>
  </si>
  <si>
    <t>PROYECTO</t>
  </si>
  <si>
    <t>no se toma en cuenta</t>
  </si>
  <si>
    <t>AVANCE DE PROYECTO IIS</t>
  </si>
  <si>
    <t>AVANCE DE PROYECTO IS</t>
  </si>
  <si>
    <t>(   x  ) Primera   (    ) Segunda</t>
  </si>
  <si>
    <t>ASPECTO 6</t>
  </si>
  <si>
    <t>AGOSTO</t>
  </si>
  <si>
    <t>SETIEMBRE</t>
  </si>
  <si>
    <t>OCTUBRE</t>
  </si>
  <si>
    <t>NOVIEMBRE</t>
  </si>
  <si>
    <t>DICIEMBRE</t>
  </si>
  <si>
    <t>JUNIO</t>
  </si>
  <si>
    <t>JULIO</t>
  </si>
  <si>
    <t>PRUEBA</t>
  </si>
  <si>
    <t xml:space="preserve">I % </t>
  </si>
  <si>
    <t>I%</t>
  </si>
  <si>
    <t>REGISTRO DE EXAMEN</t>
  </si>
  <si>
    <t>COTO</t>
  </si>
  <si>
    <t>06</t>
  </si>
  <si>
    <t>CAMINAR</t>
  </si>
  <si>
    <t>MARIANELA</t>
  </si>
  <si>
    <t>GENESIS</t>
  </si>
  <si>
    <t>EILEEN</t>
  </si>
  <si>
    <t>CINDEL</t>
  </si>
  <si>
    <t>NANCY</t>
  </si>
  <si>
    <t>MARIANA</t>
  </si>
  <si>
    <t xml:space="preserve">GONZALEZ </t>
  </si>
  <si>
    <t>CHAVARRIA</t>
  </si>
  <si>
    <t>STEPHANIE</t>
  </si>
  <si>
    <t>YASCINI</t>
  </si>
  <si>
    <t xml:space="preserve">DYLAN </t>
  </si>
  <si>
    <t>CUBILLO</t>
  </si>
  <si>
    <t>KATTYA</t>
  </si>
  <si>
    <t>FABIOLA</t>
  </si>
  <si>
    <t>DARIANA</t>
  </si>
  <si>
    <t>BRIZUELA</t>
  </si>
  <si>
    <t>JENIFER</t>
  </si>
  <si>
    <t>GABRIELA</t>
  </si>
  <si>
    <t>p</t>
  </si>
  <si>
    <t>4a</t>
  </si>
  <si>
    <t xml:space="preserve">SERRANO </t>
  </si>
  <si>
    <t>VILLEGAS</t>
  </si>
  <si>
    <t>FEBRERO 27</t>
  </si>
  <si>
    <t>MARZO 6</t>
  </si>
  <si>
    <t>ANA</t>
  </si>
  <si>
    <t>QUIROS</t>
  </si>
  <si>
    <t>ANDY</t>
  </si>
  <si>
    <t>MARZO 13</t>
  </si>
  <si>
    <t>marzo 20</t>
  </si>
  <si>
    <t>RIVER</t>
  </si>
  <si>
    <t>abril 10</t>
  </si>
  <si>
    <t>abril 17</t>
  </si>
  <si>
    <t>abril 24</t>
  </si>
  <si>
    <t>FABIAN</t>
  </si>
  <si>
    <t>EMILIN</t>
  </si>
  <si>
    <t>abril 15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</si>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</sst>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&gt;69]&quot;😋&quot;* ;[&lt;70]&quot;🚫&quot;"/>
    <numFmt numFmtId="166" formatCode="[=1]&quot;🧑&quot;* ;[=0]&quot;👧&quot;"/>
    <numFmt numFmtId="167" formatCode="[=1]&quot;👨&quot;* ;[=0]&quot;👧&quot;"/>
    <numFmt numFmtId="168" formatCode=";;;"/>
  </numFmts>
  <fonts count="19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Arial"/>
      <family val="2"/>
    </font>
    <font>
      <b/>
      <sz val="12"/>
      <name val="Calibri"/>
      <family val="2"/>
      <scheme val="minor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name val="Arial"/>
      <family val="2"/>
    </font>
    <font>
      <sz val="18"/>
      <color theme="1"/>
      <name val="Calibri"/>
      <family val="2"/>
      <scheme val="minor"/>
    </font>
    <font>
      <sz val="12"/>
      <color theme="1"/>
      <name val="Arial"/>
      <family val="2"/>
    </font>
    <font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name val="Arial"/>
      <family val="2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18"/>
      <color theme="1"/>
      <name val="Times New Roman"/>
      <family val="1"/>
    </font>
    <font>
      <b/>
      <sz val="14"/>
      <name val="Times New Roman"/>
      <family val="1"/>
    </font>
    <font>
      <b/>
      <sz val="18"/>
      <name val="Times New Roman"/>
      <family val="1"/>
    </font>
    <font>
      <b/>
      <sz val="14"/>
      <color theme="1"/>
      <name val="Times New Roman"/>
      <family val="1"/>
    </font>
    <font>
      <b/>
      <sz val="12"/>
      <name val="Times New Roman"/>
      <family val="1"/>
    </font>
    <font>
      <sz val="11"/>
      <color theme="1"/>
      <name val="Times New Roman"/>
      <family val="1"/>
    </font>
    <font>
      <u/>
      <sz val="12"/>
      <color rgb="FFFF0000"/>
      <name val="Times New Roman"/>
      <family val="1"/>
    </font>
    <font>
      <b/>
      <sz val="11"/>
      <name val="Times New Roman"/>
      <family val="1"/>
    </font>
    <font>
      <b/>
      <sz val="12"/>
      <color rgb="FFFF0000"/>
      <name val="Times New Roman"/>
      <family val="1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b/>
      <sz val="18"/>
      <color theme="1"/>
      <name val="Arial Narrow"/>
      <family val="2"/>
    </font>
    <font>
      <b/>
      <sz val="14"/>
      <name val="Arial Narrow"/>
      <family val="2"/>
    </font>
    <font>
      <b/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Black"/>
      <family val="2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Arial Narrow"/>
      <family val="2"/>
    </font>
    <font>
      <b/>
      <i/>
      <sz val="12"/>
      <color theme="1"/>
      <name val="Arial Narrow"/>
      <family val="2"/>
    </font>
    <font>
      <i/>
      <sz val="10"/>
      <color theme="1"/>
      <name val="Arial Narrow"/>
      <family val="2"/>
    </font>
    <font>
      <sz val="11"/>
      <color theme="1"/>
      <name val="Calibri"/>
      <family val="2"/>
      <scheme val="minor"/>
    </font>
    <font>
      <b/>
      <sz val="9"/>
      <name val="Arial Black"/>
      <family val="2"/>
    </font>
    <font>
      <sz val="11"/>
      <name val="Calibri"/>
      <family val="2"/>
      <scheme val="minor"/>
    </font>
    <font>
      <sz val="12"/>
      <color theme="1"/>
      <name val="Arial Rounded MT Bold"/>
      <family val="2"/>
    </font>
    <font>
      <sz val="12"/>
      <name val="Arial Narrow"/>
      <family val="2"/>
    </font>
    <font>
      <sz val="12"/>
      <color theme="0"/>
      <name val="Arial Narrow"/>
      <family val="2"/>
    </font>
    <font>
      <sz val="14"/>
      <name val="Arial"/>
      <family val="2"/>
    </font>
    <font>
      <b/>
      <sz val="20"/>
      <color theme="1"/>
      <name val="Calibri"/>
      <family val="2"/>
      <scheme val="minor"/>
    </font>
    <font>
      <b/>
      <sz val="12"/>
      <name val="Arial Narrow"/>
      <family val="2"/>
    </font>
    <font>
      <b/>
      <sz val="16"/>
      <color theme="1"/>
      <name val="Times New Roman"/>
      <family val="1"/>
    </font>
    <font>
      <b/>
      <sz val="16"/>
      <name val="Times New Roman"/>
      <family val="1"/>
    </font>
    <font>
      <sz val="16"/>
      <color theme="1"/>
      <name val="Times New Roman"/>
      <family val="1"/>
    </font>
    <font>
      <b/>
      <sz val="36"/>
      <color theme="1"/>
      <name val="Arial Narrow"/>
      <family val="2"/>
    </font>
    <font>
      <b/>
      <sz val="14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22"/>
      <color theme="1"/>
      <name val="Arial Narrow"/>
      <family val="2"/>
    </font>
    <font>
      <b/>
      <sz val="24"/>
      <color theme="1"/>
      <name val="Arial Narrow"/>
      <family val="2"/>
    </font>
    <font>
      <b/>
      <sz val="18"/>
      <color theme="0"/>
      <name val="Calibri"/>
      <family val="2"/>
      <scheme val="minor"/>
    </font>
    <font>
      <sz val="14"/>
      <color theme="1"/>
      <name val="Arial"/>
      <family val="2"/>
    </font>
    <font>
      <b/>
      <sz val="14"/>
      <color theme="0"/>
      <name val="Arial"/>
      <family val="2"/>
    </font>
    <font>
      <b/>
      <sz val="14"/>
      <color theme="1"/>
      <name val="Arial"/>
      <family val="2"/>
    </font>
    <font>
      <sz val="14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0"/>
      <name val="Arial"/>
      <family val="2"/>
    </font>
    <font>
      <b/>
      <u/>
      <sz val="24"/>
      <color theme="1"/>
      <name val="Calibri"/>
      <family val="2"/>
      <scheme val="minor"/>
    </font>
    <font>
      <sz val="12"/>
      <name val="Cooper Black"/>
      <family val="1"/>
    </font>
    <font>
      <i/>
      <sz val="10"/>
      <name val="Arial Narrow"/>
      <family val="2"/>
    </font>
    <font>
      <b/>
      <i/>
      <sz val="12"/>
      <name val="Arial Narrow"/>
      <family val="2"/>
    </font>
    <font>
      <b/>
      <sz val="9"/>
      <color theme="0"/>
      <name val="Arial"/>
      <family val="2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6"/>
      <color theme="0"/>
      <name val="Times New Roman"/>
      <family val="1"/>
    </font>
    <font>
      <sz val="16"/>
      <color theme="0"/>
      <name val="Times New Roman"/>
      <family val="1"/>
    </font>
    <font>
      <sz val="18"/>
      <color theme="1"/>
      <name val="Luckiest Guy"/>
    </font>
    <font>
      <u/>
      <sz val="12"/>
      <color theme="10"/>
      <name val="Calibri"/>
      <family val="2"/>
      <scheme val="minor"/>
    </font>
    <font>
      <sz val="11"/>
      <name val="Arial Narrow"/>
      <family val="2"/>
    </font>
    <font>
      <sz val="11"/>
      <color rgb="FF92D05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sz val="16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sz val="28"/>
      <color theme="1"/>
      <name val="Calibri"/>
      <family val="2"/>
      <scheme val="minor"/>
    </font>
    <font>
      <b/>
      <sz val="11"/>
      <name val="Arial"/>
      <family val="2"/>
    </font>
    <font>
      <b/>
      <sz val="10"/>
      <color theme="1"/>
      <name val="Arial Narrow"/>
      <family val="2"/>
    </font>
    <font>
      <b/>
      <sz val="16"/>
      <color theme="0"/>
      <name val="Calibri"/>
      <family val="2"/>
      <scheme val="minor"/>
    </font>
    <font>
      <sz val="8"/>
      <color theme="1"/>
      <name val="Arial"/>
      <family val="2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u/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u/>
      <sz val="22"/>
      <color theme="1"/>
      <name val="Calibri"/>
      <family val="2"/>
      <scheme val="minor"/>
    </font>
    <font>
      <b/>
      <sz val="12"/>
      <color theme="0"/>
      <name val="Arial"/>
      <family val="2"/>
    </font>
    <font>
      <sz val="18"/>
      <name val="Calibri"/>
      <family val="2"/>
      <scheme val="minor"/>
    </font>
    <font>
      <sz val="18"/>
      <color theme="1"/>
      <name val="Arial"/>
      <family val="2"/>
    </font>
    <font>
      <b/>
      <u/>
      <sz val="12"/>
      <color rgb="FFFF0000"/>
      <name val="Calibri"/>
      <family val="2"/>
      <scheme val="minor"/>
    </font>
    <font>
      <b/>
      <sz val="18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1"/>
      <name val="Arial Unicode MS"/>
      <family val="2"/>
    </font>
    <font>
      <sz val="14"/>
      <color theme="1"/>
      <name val="Arial Unicode MS"/>
      <family val="2"/>
    </font>
    <font>
      <u/>
      <sz val="14"/>
      <color theme="10"/>
      <name val="Arial Unicode MS"/>
      <family val="2"/>
    </font>
    <font>
      <b/>
      <sz val="18"/>
      <color theme="1"/>
      <name val="Arial Unicode MS"/>
      <family val="2"/>
    </font>
    <font>
      <u/>
      <sz val="14"/>
      <color theme="1"/>
      <name val="Arial Unicode MS"/>
      <family val="2"/>
    </font>
    <font>
      <b/>
      <sz val="14"/>
      <color theme="1"/>
      <name val="Arial Unicode MS"/>
      <family val="2"/>
    </font>
    <font>
      <b/>
      <sz val="20"/>
      <color theme="1"/>
      <name val="Arial Unicode MS"/>
      <family val="2"/>
    </font>
    <font>
      <sz val="20"/>
      <color theme="1"/>
      <name val="Arial Unicode MS"/>
      <family val="2"/>
    </font>
    <font>
      <b/>
      <sz val="11"/>
      <color theme="1"/>
      <name val="Arial Unicode MS"/>
      <family val="2"/>
    </font>
    <font>
      <b/>
      <sz val="11"/>
      <color theme="0"/>
      <name val="Arial Unicode MS"/>
      <family val="2"/>
    </font>
    <font>
      <b/>
      <sz val="12"/>
      <color theme="0"/>
      <name val="Arial Unicode MS"/>
      <family val="2"/>
    </font>
    <font>
      <b/>
      <sz val="10"/>
      <color theme="0"/>
      <name val="Arial Unicode MS"/>
      <family val="2"/>
    </font>
    <font>
      <sz val="12"/>
      <color theme="1"/>
      <name val="Arial Unicode MS"/>
      <family val="2"/>
    </font>
    <font>
      <sz val="12"/>
      <name val="Arial Unicode MS"/>
      <family val="2"/>
    </font>
    <font>
      <sz val="14"/>
      <name val="Arial Unicode MS"/>
      <family val="2"/>
    </font>
    <font>
      <sz val="12"/>
      <color theme="0"/>
      <name val="Arial Unicode MS"/>
      <family val="2"/>
    </font>
    <font>
      <b/>
      <sz val="11"/>
      <color theme="0"/>
      <name val="Arial"/>
      <family val="2"/>
    </font>
    <font>
      <b/>
      <sz val="12"/>
      <color theme="1"/>
      <name val="Arial Unicode MS"/>
      <family val="2"/>
    </font>
    <font>
      <b/>
      <sz val="12"/>
      <name val="Arial Unicode MS"/>
      <family val="2"/>
    </font>
    <font>
      <sz val="14"/>
      <color theme="0"/>
      <name val="Calibri"/>
      <family val="2"/>
      <scheme val="minor"/>
    </font>
    <font>
      <b/>
      <sz val="18"/>
      <color theme="0"/>
      <name val="Arial Unicode MS"/>
      <family val="2"/>
    </font>
    <font>
      <sz val="14"/>
      <color theme="0"/>
      <name val="Arial Unicode MS"/>
      <family val="2"/>
    </font>
    <font>
      <b/>
      <u/>
      <sz val="12"/>
      <color theme="0"/>
      <name val="Arial Unicode MS"/>
      <family val="2"/>
    </font>
    <font>
      <b/>
      <sz val="26"/>
      <color theme="8" tint="-0.249977111117893"/>
      <name val="Arial Black"/>
      <family val="2"/>
    </font>
    <font>
      <b/>
      <sz val="26"/>
      <color theme="8" tint="-0.249977111117893"/>
      <name val="Arial Narrow"/>
      <family val="2"/>
    </font>
    <font>
      <b/>
      <sz val="22"/>
      <color rgb="FF00CCFF"/>
      <name val="Arial Unicode MS"/>
      <family val="2"/>
    </font>
    <font>
      <b/>
      <u/>
      <sz val="14"/>
      <color theme="0"/>
      <name val="Calibri"/>
      <family val="2"/>
      <scheme val="minor"/>
    </font>
    <font>
      <b/>
      <sz val="18"/>
      <color theme="1"/>
      <name val="Ink Free"/>
      <family val="4"/>
    </font>
    <font>
      <b/>
      <sz val="16"/>
      <name val="Calibri"/>
      <family val="2"/>
      <scheme val="minor"/>
    </font>
    <font>
      <b/>
      <sz val="20"/>
      <name val="Calibri"/>
      <family val="2"/>
      <scheme val="minor"/>
    </font>
    <font>
      <sz val="12"/>
      <color theme="0"/>
      <name val="Arial Black"/>
      <family val="2"/>
    </font>
    <font>
      <sz val="22"/>
      <color rgb="FF00CC66"/>
      <name val="Arial Black"/>
      <family val="2"/>
    </font>
    <font>
      <sz val="12"/>
      <color rgb="FF00FF99"/>
      <name val="Calibri"/>
      <family val="2"/>
      <scheme val="minor"/>
    </font>
    <font>
      <b/>
      <sz val="26"/>
      <color rgb="FF5FC048"/>
      <name val="Arial Narrow"/>
      <family val="2"/>
    </font>
    <font>
      <b/>
      <u/>
      <sz val="24"/>
      <name val="Calibri"/>
      <family val="2"/>
      <scheme val="minor"/>
    </font>
    <font>
      <sz val="10"/>
      <color theme="1"/>
      <name val="Arial Unicode MS"/>
      <family val="2"/>
    </font>
    <font>
      <sz val="16"/>
      <color theme="0"/>
      <name val="Cooper Black"/>
      <family val="1"/>
    </font>
    <font>
      <b/>
      <sz val="9"/>
      <color theme="0"/>
      <name val="Arial Black"/>
      <family val="2"/>
    </font>
    <font>
      <b/>
      <sz val="10"/>
      <color theme="1"/>
      <name val="Arial Unicode MS"/>
      <family val="2"/>
    </font>
    <font>
      <b/>
      <sz val="9"/>
      <color theme="1"/>
      <name val="Arial Unicode MS"/>
      <family val="2"/>
    </font>
    <font>
      <b/>
      <sz val="10"/>
      <name val="Arial Unicode MS"/>
      <family val="2"/>
    </font>
    <font>
      <b/>
      <sz val="8"/>
      <color theme="1"/>
      <name val="Arial Unicode MS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name val="Arial Unicode MS"/>
      <family val="2"/>
    </font>
    <font>
      <i/>
      <sz val="14"/>
      <name val="Arial Unicode MS"/>
      <family val="2"/>
    </font>
    <font>
      <b/>
      <sz val="36"/>
      <color rgb="FFFFC000"/>
      <name val="Arial Narrow"/>
      <family val="2"/>
    </font>
    <font>
      <b/>
      <sz val="36"/>
      <color rgb="FF0070C0"/>
      <name val="Arial Narrow"/>
      <family val="2"/>
    </font>
    <font>
      <b/>
      <i/>
      <sz val="11"/>
      <color theme="1"/>
      <name val="Calibri"/>
      <family val="2"/>
      <scheme val="minor"/>
    </font>
    <font>
      <sz val="11"/>
      <color rgb="FFFCA904"/>
      <name val="Calibri"/>
      <family val="2"/>
      <scheme val="minor"/>
    </font>
    <font>
      <b/>
      <sz val="24"/>
      <color rgb="FFFCA904"/>
      <name val="Arial Narrow"/>
      <family val="2"/>
    </font>
    <font>
      <b/>
      <sz val="26"/>
      <color rgb="FFFCA904"/>
      <name val="Arial Black"/>
      <family val="2"/>
    </font>
    <font>
      <b/>
      <sz val="26"/>
      <color rgb="FFFCA904"/>
      <name val="Arial Narrow"/>
      <family val="2"/>
    </font>
    <font>
      <b/>
      <sz val="36"/>
      <color rgb="FFFCA904"/>
      <name val="Arial Narrow"/>
      <family val="2"/>
    </font>
    <font>
      <b/>
      <sz val="22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8"/>
      <name val="Arial Unicode MS"/>
      <family val="2"/>
    </font>
    <font>
      <sz val="18"/>
      <color theme="1"/>
      <name val="Arial Unicode MS"/>
      <family val="2"/>
    </font>
    <font>
      <sz val="16"/>
      <color theme="1"/>
      <name val="Cooper Black"/>
      <family val="1"/>
    </font>
    <font>
      <i/>
      <sz val="10"/>
      <color theme="1"/>
      <name val="Arial Unicode MS"/>
      <family val="2"/>
    </font>
    <font>
      <b/>
      <i/>
      <sz val="12"/>
      <color theme="1"/>
      <name val="Arial Unicode MS"/>
      <family val="2"/>
    </font>
    <font>
      <b/>
      <sz val="22"/>
      <color theme="1"/>
      <name val="Arial Unicode MS"/>
      <family val="2"/>
    </font>
    <font>
      <sz val="18"/>
      <color theme="1"/>
      <name val="Cooper Black"/>
      <family val="1"/>
    </font>
    <font>
      <sz val="9"/>
      <color theme="1"/>
      <name val="Arial Unicode MS"/>
      <family val="2"/>
    </font>
    <font>
      <sz val="8"/>
      <color theme="1"/>
      <name val="Arial Unicode MS"/>
      <family val="2"/>
    </font>
    <font>
      <sz val="18"/>
      <color theme="0"/>
      <name val="Arial Unicode MS"/>
      <family val="2"/>
    </font>
    <font>
      <sz val="20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24"/>
      <color theme="0"/>
      <name val="Arial"/>
      <family val="2"/>
    </font>
    <font>
      <b/>
      <sz val="8"/>
      <color theme="0"/>
      <name val="Arial"/>
      <family val="2"/>
    </font>
    <font>
      <b/>
      <sz val="14"/>
      <name val="Arial"/>
      <family val="2"/>
    </font>
    <font>
      <b/>
      <sz val="16"/>
      <color theme="1"/>
      <name val="Arial Unicode MS"/>
      <family val="2"/>
    </font>
    <font>
      <sz val="10"/>
      <name val="Arial"/>
      <family val="2"/>
    </font>
    <font>
      <b/>
      <sz val="14"/>
      <color theme="0"/>
      <name val="Arial Unicode MS"/>
      <family val="2"/>
    </font>
    <font>
      <b/>
      <sz val="14"/>
      <color theme="1"/>
      <name val="Arial Narrow"/>
      <family val="2"/>
    </font>
    <font>
      <sz val="12"/>
      <color theme="0"/>
      <name val="Arial Rounded MT Bold"/>
      <family val="2"/>
    </font>
    <font>
      <b/>
      <sz val="18"/>
      <name val="Arial Narrow"/>
      <family val="2"/>
    </font>
    <font>
      <b/>
      <u/>
      <sz val="20"/>
      <color theme="0"/>
      <name val="Calibri"/>
      <family val="2"/>
      <scheme val="minor"/>
    </font>
    <font>
      <sz val="12"/>
      <name val="Arial Rounded MT Bold"/>
      <family val="2"/>
    </font>
    <font>
      <sz val="14"/>
      <name val="Arial Rounded MT Bold"/>
      <family val="2"/>
    </font>
    <font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CA904"/>
        <bgColor indexed="64"/>
      </patternFill>
    </fill>
    <fill>
      <patternFill patternType="solid">
        <fgColor rgb="FF5FC04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1" tint="0.34998626667073579"/>
        <bgColor indexed="64"/>
      </patternFill>
    </fill>
  </fills>
  <borders count="1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  <border>
      <left style="thin">
        <color theme="8" tint="-0.499984740745262"/>
      </left>
      <right/>
      <top/>
      <bottom style="thin">
        <color theme="8" tint="-0.499984740745262"/>
      </bottom>
      <diagonal/>
    </border>
    <border>
      <left/>
      <right/>
      <top style="thin">
        <color theme="8" tint="-0.499984740745262"/>
      </top>
      <bottom/>
      <diagonal/>
    </border>
    <border>
      <left style="thin">
        <color theme="8" tint="-0.499984740745262"/>
      </left>
      <right style="thin">
        <color theme="8" tint="-0.499984740745262"/>
      </right>
      <top/>
      <bottom/>
      <diagonal/>
    </border>
    <border>
      <left/>
      <right style="thin">
        <color theme="8" tint="-0.499984740745262"/>
      </right>
      <top style="thin">
        <color theme="8" tint="-0.499984740745262"/>
      </top>
      <bottom/>
      <diagonal/>
    </border>
    <border>
      <left style="thin">
        <color theme="8" tint="-0.499984740745262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8" tint="-0.499984740745262"/>
      </right>
      <top/>
      <bottom style="thin">
        <color indexed="64"/>
      </bottom>
      <diagonal/>
    </border>
    <border>
      <left style="thin">
        <color theme="8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8" tint="-0.499984740745262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thin">
        <color indexed="64"/>
      </right>
      <top style="thin">
        <color indexed="64"/>
      </top>
      <bottom style="thin">
        <color theme="8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8" tint="-0.499984740745262"/>
      </bottom>
      <diagonal/>
    </border>
    <border>
      <left style="medium">
        <color indexed="64"/>
      </left>
      <right style="thin">
        <color theme="8" tint="-0.499984740745262"/>
      </right>
      <top style="medium">
        <color indexed="64"/>
      </top>
      <bottom style="thin">
        <color theme="8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medium">
        <color indexed="64"/>
      </top>
      <bottom style="thin">
        <color theme="8" tint="-0.499984740745262"/>
      </bottom>
      <diagonal/>
    </border>
    <border>
      <left style="medium">
        <color indexed="64"/>
      </left>
      <right style="thin">
        <color theme="8" tint="-0.499984740745262"/>
      </right>
      <top style="thin">
        <color theme="8" tint="-0.499984740745262"/>
      </top>
      <bottom style="medium">
        <color indexed="64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8" tint="-0.499984740745262"/>
      </left>
      <right style="thin">
        <color theme="8" tint="-0.499984740745262"/>
      </right>
      <top/>
      <bottom style="thin">
        <color theme="8" tint="-0.4999847407452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double">
        <color indexed="64"/>
      </bottom>
      <diagonal/>
    </border>
    <border>
      <left style="thick">
        <color indexed="64"/>
      </left>
      <right style="thick">
        <color indexed="64"/>
      </right>
      <top/>
      <bottom style="double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thick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 style="double">
        <color indexed="64"/>
      </bottom>
      <diagonal/>
    </border>
    <border>
      <left/>
      <right style="thick">
        <color indexed="64"/>
      </right>
      <top style="thick">
        <color indexed="64"/>
      </top>
      <bottom style="double">
        <color indexed="64"/>
      </bottom>
      <diagonal/>
    </border>
    <border>
      <left/>
      <right/>
      <top/>
      <bottom style="dashDotDot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double">
        <color indexed="64"/>
      </bottom>
      <diagonal/>
    </border>
    <border>
      <left style="thin">
        <color theme="8" tint="-0.499984740745262"/>
      </left>
      <right style="medium">
        <color indexed="64"/>
      </right>
      <top style="medium">
        <color indexed="64"/>
      </top>
      <bottom style="thin">
        <color theme="8" tint="-0.499984740745262"/>
      </bottom>
      <diagonal/>
    </border>
    <border>
      <left style="thin">
        <color theme="8" tint="-0.499984740745262"/>
      </left>
      <right style="medium">
        <color indexed="64"/>
      </right>
      <top style="thin">
        <color theme="8" tint="-0.499984740745262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8" tint="-0.499984740745262"/>
      </bottom>
      <diagonal/>
    </border>
    <border>
      <left style="medium">
        <color indexed="64"/>
      </left>
      <right/>
      <top style="thin">
        <color theme="8" tint="-0.499984740745262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thin">
        <color theme="8" tint="-0.499984740745262"/>
      </right>
      <top style="medium">
        <color indexed="64"/>
      </top>
      <bottom/>
      <diagonal/>
    </border>
    <border>
      <left/>
      <right style="thin">
        <color theme="8" tint="-0.499984740745262"/>
      </right>
      <top style="medium">
        <color indexed="64"/>
      </top>
      <bottom style="thin">
        <color theme="8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/>
      <bottom style="medium">
        <color indexed="64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8" tint="-0.499984740745262"/>
      </bottom>
      <diagonal/>
    </border>
    <border>
      <left style="medium">
        <color indexed="64"/>
      </left>
      <right style="medium">
        <color indexed="64"/>
      </right>
      <top style="thin">
        <color theme="8" tint="-0.499984740745262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0" fontId="23" fillId="0" borderId="0" applyNumberFormat="0" applyFill="0" applyBorder="0" applyAlignment="0" applyProtection="0"/>
    <xf numFmtId="9" fontId="51" fillId="0" borderId="0" applyFont="0" applyFill="0" applyBorder="0" applyAlignment="0" applyProtection="0"/>
  </cellStyleXfs>
  <cellXfs count="1254">
    <xf numFmtId="0" fontId="0" fillId="0" borderId="0" xfId="0"/>
    <xf numFmtId="1" fontId="0" fillId="4" borderId="14" xfId="0" applyNumberFormat="1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left"/>
    </xf>
    <xf numFmtId="1" fontId="3" fillId="2" borderId="0" xfId="0" applyNumberFormat="1" applyFont="1" applyFill="1" applyAlignment="1">
      <alignment horizontal="center"/>
    </xf>
    <xf numFmtId="0" fontId="2" fillId="2" borderId="0" xfId="0" applyFont="1" applyFill="1"/>
    <xf numFmtId="0" fontId="0" fillId="3" borderId="16" xfId="0" applyFill="1" applyBorder="1" applyAlignment="1">
      <alignment horizontal="center"/>
    </xf>
    <xf numFmtId="0" fontId="7" fillId="2" borderId="0" xfId="0" applyFont="1" applyFill="1"/>
    <xf numFmtId="0" fontId="0" fillId="2" borderId="9" xfId="0" applyFill="1" applyBorder="1" applyAlignment="1">
      <alignment horizontal="center"/>
    </xf>
    <xf numFmtId="0" fontId="3" fillId="7" borderId="3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1" fontId="9" fillId="2" borderId="28" xfId="0" applyNumberFormat="1" applyFont="1" applyFill="1" applyBorder="1" applyAlignment="1">
      <alignment horizontal="left" vertical="center"/>
    </xf>
    <xf numFmtId="0" fontId="0" fillId="2" borderId="25" xfId="0" applyFill="1" applyBorder="1"/>
    <xf numFmtId="0" fontId="0" fillId="2" borderId="27" xfId="0" applyFill="1" applyBorder="1"/>
    <xf numFmtId="49" fontId="0" fillId="2" borderId="23" xfId="0" applyNumberFormat="1" applyFill="1" applyBorder="1" applyAlignment="1">
      <alignment vertical="center"/>
    </xf>
    <xf numFmtId="49" fontId="0" fillId="2" borderId="24" xfId="0" applyNumberFormat="1" applyFill="1" applyBorder="1" applyAlignment="1">
      <alignment vertical="center"/>
    </xf>
    <xf numFmtId="0" fontId="2" fillId="2" borderId="2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0" fillId="2" borderId="23" xfId="0" applyFill="1" applyBorder="1" applyAlignment="1">
      <alignment vertical="center"/>
    </xf>
    <xf numFmtId="0" fontId="0" fillId="2" borderId="24" xfId="0" applyFill="1" applyBorder="1" applyAlignment="1">
      <alignment vertical="center"/>
    </xf>
    <xf numFmtId="0" fontId="3" fillId="2" borderId="0" xfId="0" applyFont="1" applyFill="1" applyAlignment="1">
      <alignment horizontal="center"/>
    </xf>
    <xf numFmtId="0" fontId="4" fillId="2" borderId="2" xfId="0" applyFont="1" applyFill="1" applyBorder="1"/>
    <xf numFmtId="0" fontId="4" fillId="2" borderId="29" xfId="0" applyFont="1" applyFill="1" applyBorder="1"/>
    <xf numFmtId="1" fontId="9" fillId="2" borderId="14" xfId="0" applyNumberFormat="1" applyFont="1" applyFill="1" applyBorder="1" applyAlignment="1">
      <alignment horizontal="left" vertical="top" wrapText="1"/>
    </xf>
    <xf numFmtId="0" fontId="5" fillId="8" borderId="21" xfId="0" applyFont="1" applyFill="1" applyBorder="1"/>
    <xf numFmtId="0" fontId="0" fillId="8" borderId="22" xfId="0" applyFill="1" applyBorder="1"/>
    <xf numFmtId="0" fontId="0" fillId="3" borderId="34" xfId="0" applyFill="1" applyBorder="1" applyAlignment="1">
      <alignment horizontal="center"/>
    </xf>
    <xf numFmtId="0" fontId="20" fillId="0" borderId="20" xfId="0" applyFont="1" applyBorder="1" applyAlignment="1">
      <alignment wrapText="1"/>
    </xf>
    <xf numFmtId="0" fontId="17" fillId="2" borderId="9" xfId="0" applyFont="1" applyFill="1" applyBorder="1" applyAlignment="1">
      <alignment horizontal="center" vertical="center"/>
    </xf>
    <xf numFmtId="0" fontId="20" fillId="2" borderId="20" xfId="0" applyFont="1" applyFill="1" applyBorder="1"/>
    <xf numFmtId="0" fontId="23" fillId="0" borderId="20" xfId="1" applyBorder="1" applyAlignment="1">
      <alignment wrapText="1"/>
    </xf>
    <xf numFmtId="0" fontId="1" fillId="2" borderId="0" xfId="0" applyFont="1" applyFill="1"/>
    <xf numFmtId="0" fontId="17" fillId="2" borderId="2" xfId="0" applyFont="1" applyFill="1" applyBorder="1" applyAlignment="1">
      <alignment vertical="center"/>
    </xf>
    <xf numFmtId="0" fontId="17" fillId="2" borderId="26" xfId="0" applyFont="1" applyFill="1" applyBorder="1" applyAlignment="1">
      <alignment vertical="center"/>
    </xf>
    <xf numFmtId="0" fontId="0" fillId="2" borderId="0" xfId="0" applyFill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9" fillId="0" borderId="15" xfId="0" applyFont="1" applyBorder="1" applyAlignment="1">
      <alignment vertical="center" wrapText="1"/>
    </xf>
    <xf numFmtId="0" fontId="9" fillId="0" borderId="17" xfId="0" applyFont="1" applyBorder="1" applyAlignment="1">
      <alignment vertical="center" wrapText="1"/>
    </xf>
    <xf numFmtId="0" fontId="9" fillId="0" borderId="38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2" borderId="29" xfId="0" applyFont="1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1" fontId="0" fillId="8" borderId="14" xfId="0" applyNumberFormat="1" applyFill="1" applyBorder="1" applyAlignment="1">
      <alignment horizontal="center"/>
    </xf>
    <xf numFmtId="0" fontId="20" fillId="8" borderId="20" xfId="0" applyFont="1" applyFill="1" applyBorder="1"/>
    <xf numFmtId="0" fontId="20" fillId="8" borderId="20" xfId="0" applyFont="1" applyFill="1" applyBorder="1" applyAlignment="1">
      <alignment wrapText="1"/>
    </xf>
    <xf numFmtId="0" fontId="23" fillId="8" borderId="20" xfId="1" applyFill="1" applyBorder="1" applyAlignment="1">
      <alignment wrapText="1"/>
    </xf>
    <xf numFmtId="0" fontId="0" fillId="8" borderId="16" xfId="0" applyFill="1" applyBorder="1" applyAlignment="1">
      <alignment horizontal="center"/>
    </xf>
    <xf numFmtId="1" fontId="9" fillId="8" borderId="28" xfId="0" applyNumberFormat="1" applyFont="1" applyFill="1" applyBorder="1" applyAlignment="1">
      <alignment horizontal="left" vertical="center"/>
    </xf>
    <xf numFmtId="1" fontId="9" fillId="8" borderId="14" xfId="0" applyNumberFormat="1" applyFont="1" applyFill="1" applyBorder="1" applyAlignment="1">
      <alignment horizontal="left" vertical="top" wrapText="1"/>
    </xf>
    <xf numFmtId="0" fontId="0" fillId="8" borderId="34" xfId="0" applyFill="1" applyBorder="1" applyAlignment="1">
      <alignment horizontal="center"/>
    </xf>
    <xf numFmtId="1" fontId="25" fillId="2" borderId="28" xfId="0" applyNumberFormat="1" applyFont="1" applyFill="1" applyBorder="1" applyAlignment="1">
      <alignment horizontal="left" vertical="center"/>
    </xf>
    <xf numFmtId="1" fontId="25" fillId="2" borderId="14" xfId="0" applyNumberFormat="1" applyFont="1" applyFill="1" applyBorder="1" applyAlignment="1">
      <alignment horizontal="left" vertical="top" wrapText="1"/>
    </xf>
    <xf numFmtId="0" fontId="31" fillId="2" borderId="0" xfId="0" applyFont="1" applyFill="1" applyAlignment="1">
      <alignment horizontal="center"/>
    </xf>
    <xf numFmtId="0" fontId="27" fillId="2" borderId="0" xfId="0" applyFont="1" applyFill="1" applyAlignment="1">
      <alignment horizontal="center" vertical="center"/>
    </xf>
    <xf numFmtId="0" fontId="27" fillId="2" borderId="0" xfId="0" applyFont="1" applyFill="1" applyAlignment="1">
      <alignment horizontal="center"/>
    </xf>
    <xf numFmtId="0" fontId="27" fillId="2" borderId="0" xfId="0" applyFont="1" applyFill="1"/>
    <xf numFmtId="0" fontId="33" fillId="2" borderId="0" xfId="0" applyFont="1" applyFill="1"/>
    <xf numFmtId="0" fontId="34" fillId="2" borderId="0" xfId="0" applyFont="1" applyFill="1" applyAlignment="1">
      <alignment horizontal="center" vertical="center"/>
    </xf>
    <xf numFmtId="49" fontId="35" fillId="2" borderId="28" xfId="0" applyNumberFormat="1" applyFont="1" applyFill="1" applyBorder="1" applyAlignment="1">
      <alignment horizontal="center"/>
    </xf>
    <xf numFmtId="49" fontId="33" fillId="2" borderId="23" xfId="0" applyNumberFormat="1" applyFont="1" applyFill="1" applyBorder="1"/>
    <xf numFmtId="0" fontId="36" fillId="2" borderId="0" xfId="0" applyFont="1" applyFill="1" applyAlignment="1">
      <alignment vertical="center"/>
    </xf>
    <xf numFmtId="1" fontId="33" fillId="2" borderId="32" xfId="0" applyNumberFormat="1" applyFont="1" applyFill="1" applyBorder="1" applyAlignment="1">
      <alignment horizontal="center"/>
    </xf>
    <xf numFmtId="0" fontId="33" fillId="2" borderId="23" xfId="0" applyFont="1" applyFill="1" applyBorder="1"/>
    <xf numFmtId="0" fontId="33" fillId="2" borderId="0" xfId="0" applyFont="1" applyFill="1" applyAlignment="1">
      <alignment horizont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0" fontId="26" fillId="3" borderId="0" xfId="0" applyFont="1" applyFill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4" fillId="2" borderId="0" xfId="0" applyFont="1" applyFill="1"/>
    <xf numFmtId="49" fontId="1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3" fillId="2" borderId="0" xfId="0" applyFont="1" applyFill="1"/>
    <xf numFmtId="0" fontId="16" fillId="2" borderId="0" xfId="0" applyFont="1" applyFill="1"/>
    <xf numFmtId="0" fontId="0" fillId="0" borderId="0" xfId="0" applyProtection="1">
      <protection locked="0"/>
    </xf>
    <xf numFmtId="22" fontId="0" fillId="0" borderId="0" xfId="0" applyNumberFormat="1"/>
    <xf numFmtId="14" fontId="0" fillId="0" borderId="0" xfId="0" applyNumberFormat="1" applyAlignment="1">
      <alignment horizontal="center" wrapText="1"/>
    </xf>
    <xf numFmtId="0" fontId="38" fillId="2" borderId="9" xfId="0" applyFont="1" applyFill="1" applyBorder="1"/>
    <xf numFmtId="0" fontId="2" fillId="0" borderId="0" xfId="0" applyFont="1"/>
    <xf numFmtId="0" fontId="2" fillId="0" borderId="0" xfId="0" applyFont="1" applyAlignment="1">
      <alignment horizontal="center" wrapText="1"/>
    </xf>
    <xf numFmtId="0" fontId="0" fillId="0" borderId="9" xfId="0" applyBorder="1" applyAlignment="1">
      <alignment horizontal="center"/>
    </xf>
    <xf numFmtId="0" fontId="40" fillId="2" borderId="0" xfId="0" applyFont="1" applyFill="1" applyProtection="1">
      <protection locked="0"/>
    </xf>
    <xf numFmtId="0" fontId="20" fillId="2" borderId="9" xfId="0" applyFont="1" applyFill="1" applyBorder="1" applyAlignment="1" applyProtection="1">
      <alignment horizontal="center" vertical="center"/>
      <protection locked="0"/>
    </xf>
    <xf numFmtId="0" fontId="1" fillId="0" borderId="0" xfId="0" applyFont="1"/>
    <xf numFmtId="1" fontId="38" fillId="0" borderId="9" xfId="0" applyNumberFormat="1" applyFont="1" applyBorder="1" applyAlignment="1">
      <alignment horizontal="center" wrapText="1"/>
    </xf>
    <xf numFmtId="14" fontId="2" fillId="0" borderId="0" xfId="0" applyNumberFormat="1" applyFont="1" applyAlignment="1">
      <alignment horizontal="center" wrapText="1"/>
    </xf>
    <xf numFmtId="0" fontId="2" fillId="2" borderId="9" xfId="0" applyFont="1" applyFill="1" applyBorder="1" applyAlignment="1">
      <alignment horizontal="center"/>
    </xf>
    <xf numFmtId="0" fontId="38" fillId="0" borderId="4" xfId="0" applyFont="1" applyBorder="1" applyAlignment="1" applyProtection="1">
      <alignment horizontal="center" wrapText="1"/>
      <protection locked="0"/>
    </xf>
    <xf numFmtId="0" fontId="38" fillId="0" borderId="5" xfId="0" applyFont="1" applyBorder="1" applyAlignment="1" applyProtection="1">
      <alignment horizontal="center" wrapText="1"/>
      <protection locked="0"/>
    </xf>
    <xf numFmtId="0" fontId="38" fillId="0" borderId="6" xfId="0" applyFont="1" applyBorder="1" applyAlignment="1" applyProtection="1">
      <alignment horizontal="center" wrapText="1"/>
      <protection locked="0"/>
    </xf>
    <xf numFmtId="0" fontId="5" fillId="2" borderId="0" xfId="0" applyFont="1" applyFill="1"/>
    <xf numFmtId="0" fontId="38" fillId="0" borderId="1" xfId="0" applyFont="1" applyBorder="1" applyAlignment="1" applyProtection="1">
      <alignment wrapText="1"/>
      <protection locked="0"/>
    </xf>
    <xf numFmtId="0" fontId="38" fillId="0" borderId="2" xfId="0" applyFont="1" applyBorder="1" applyAlignment="1" applyProtection="1">
      <alignment wrapText="1"/>
      <protection locked="0"/>
    </xf>
    <xf numFmtId="0" fontId="38" fillId="0" borderId="3" xfId="0" applyFont="1" applyBorder="1" applyAlignment="1" applyProtection="1">
      <alignment wrapText="1"/>
      <protection locked="0"/>
    </xf>
    <xf numFmtId="0" fontId="38" fillId="0" borderId="11" xfId="0" applyFont="1" applyBorder="1" applyAlignment="1" applyProtection="1">
      <alignment wrapText="1"/>
      <protection locked="0"/>
    </xf>
    <xf numFmtId="0" fontId="38" fillId="0" borderId="0" xfId="0" applyFont="1" applyAlignment="1" applyProtection="1">
      <alignment wrapText="1"/>
      <protection locked="0"/>
    </xf>
    <xf numFmtId="0" fontId="38" fillId="0" borderId="12" xfId="0" applyFont="1" applyBorder="1" applyAlignment="1" applyProtection="1">
      <alignment wrapText="1"/>
      <protection locked="0"/>
    </xf>
    <xf numFmtId="0" fontId="47" fillId="0" borderId="0" xfId="0" applyFont="1" applyProtection="1">
      <protection hidden="1"/>
    </xf>
    <xf numFmtId="0" fontId="47" fillId="0" borderId="0" xfId="0" applyFont="1" applyAlignment="1" applyProtection="1">
      <alignment horizontal="center"/>
      <protection hidden="1"/>
    </xf>
    <xf numFmtId="0" fontId="1" fillId="2" borderId="46" xfId="0" applyFont="1" applyFill="1" applyBorder="1" applyAlignment="1" applyProtection="1">
      <alignment horizontal="center"/>
      <protection locked="0"/>
    </xf>
    <xf numFmtId="49" fontId="42" fillId="0" borderId="0" xfId="0" quotePrefix="1" applyNumberFormat="1" applyFont="1" applyAlignment="1">
      <alignment horizontal="center" vertical="top"/>
    </xf>
    <xf numFmtId="0" fontId="50" fillId="0" borderId="0" xfId="0" applyFont="1" applyAlignment="1">
      <alignment vertical="top"/>
    </xf>
    <xf numFmtId="0" fontId="42" fillId="0" borderId="0" xfId="0" applyFont="1" applyAlignment="1">
      <alignment vertical="top"/>
    </xf>
    <xf numFmtId="14" fontId="42" fillId="0" borderId="0" xfId="0" applyNumberFormat="1" applyFont="1" applyAlignment="1">
      <alignment horizontal="center"/>
    </xf>
    <xf numFmtId="14" fontId="42" fillId="0" borderId="0" xfId="0" applyNumberFormat="1" applyFont="1" applyAlignment="1">
      <alignment horizontal="left" vertical="top"/>
    </xf>
    <xf numFmtId="0" fontId="47" fillId="0" borderId="0" xfId="0" applyFont="1" applyAlignment="1" applyProtection="1">
      <alignment horizontal="center" wrapText="1"/>
      <protection hidden="1"/>
    </xf>
    <xf numFmtId="0" fontId="6" fillId="2" borderId="0" xfId="0" applyFont="1" applyFill="1" applyAlignment="1">
      <alignment horizontal="center"/>
    </xf>
    <xf numFmtId="1" fontId="25" fillId="2" borderId="0" xfId="0" applyNumberFormat="1" applyFont="1" applyFill="1" applyAlignment="1">
      <alignment horizontal="center" vertical="center"/>
    </xf>
    <xf numFmtId="0" fontId="0" fillId="0" borderId="9" xfId="0" applyBorder="1"/>
    <xf numFmtId="0" fontId="22" fillId="0" borderId="0" xfId="0" applyFont="1" applyAlignment="1" applyProtection="1">
      <alignment horizontal="center"/>
      <protection hidden="1"/>
    </xf>
    <xf numFmtId="49" fontId="54" fillId="0" borderId="9" xfId="0" applyNumberFormat="1" applyFont="1" applyBorder="1" applyAlignment="1">
      <alignment horizontal="center" vertical="center" textRotation="90"/>
    </xf>
    <xf numFmtId="49" fontId="54" fillId="0" borderId="39" xfId="0" applyNumberFormat="1" applyFont="1" applyBorder="1" applyAlignment="1">
      <alignment horizontal="center" vertical="center" textRotation="90"/>
    </xf>
    <xf numFmtId="0" fontId="20" fillId="2" borderId="20" xfId="0" applyFont="1" applyFill="1" applyBorder="1" applyAlignment="1" applyProtection="1">
      <alignment horizontal="center" vertical="center"/>
      <protection locked="0"/>
    </xf>
    <xf numFmtId="0" fontId="56" fillId="2" borderId="0" xfId="0" applyFont="1" applyFill="1" applyAlignment="1">
      <alignment horizontal="center" vertical="center" wrapText="1"/>
    </xf>
    <xf numFmtId="0" fontId="17" fillId="2" borderId="0" xfId="0" applyFont="1" applyFill="1"/>
    <xf numFmtId="0" fontId="20" fillId="2" borderId="40" xfId="0" applyFont="1" applyFill="1" applyBorder="1" applyAlignment="1">
      <alignment horizontal="center"/>
    </xf>
    <xf numFmtId="1" fontId="70" fillId="4" borderId="47" xfId="0" applyNumberFormat="1" applyFont="1" applyFill="1" applyBorder="1" applyAlignment="1">
      <alignment horizontal="center"/>
    </xf>
    <xf numFmtId="0" fontId="20" fillId="2" borderId="37" xfId="0" applyFont="1" applyFill="1" applyBorder="1" applyAlignment="1" applyProtection="1">
      <alignment horizontal="center" vertical="center"/>
      <protection locked="0"/>
    </xf>
    <xf numFmtId="0" fontId="69" fillId="2" borderId="0" xfId="0" applyFont="1" applyFill="1"/>
    <xf numFmtId="0" fontId="74" fillId="2" borderId="0" xfId="0" applyFont="1" applyFill="1"/>
    <xf numFmtId="0" fontId="75" fillId="2" borderId="0" xfId="0" applyFont="1" applyFill="1" applyAlignment="1">
      <alignment horizontal="center" vertical="center" wrapText="1"/>
    </xf>
    <xf numFmtId="0" fontId="6" fillId="2" borderId="0" xfId="0" applyFont="1" applyFill="1"/>
    <xf numFmtId="0" fontId="0" fillId="2" borderId="9" xfId="0" applyFill="1" applyBorder="1"/>
    <xf numFmtId="0" fontId="38" fillId="0" borderId="0" xfId="0" applyFont="1" applyAlignment="1" applyProtection="1">
      <alignment horizontal="center" wrapText="1"/>
      <protection locked="0"/>
    </xf>
    <xf numFmtId="0" fontId="38" fillId="0" borderId="0" xfId="0" applyFont="1" applyAlignment="1">
      <alignment horizontal="center" wrapText="1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53" fillId="0" borderId="0" xfId="0" applyFont="1"/>
    <xf numFmtId="0" fontId="53" fillId="0" borderId="0" xfId="0" applyFont="1" applyProtection="1">
      <protection locked="0"/>
    </xf>
    <xf numFmtId="14" fontId="55" fillId="0" borderId="0" xfId="0" applyNumberFormat="1" applyFont="1" applyAlignment="1">
      <alignment horizontal="center"/>
    </xf>
    <xf numFmtId="0" fontId="55" fillId="0" borderId="0" xfId="0" applyFont="1"/>
    <xf numFmtId="0" fontId="55" fillId="0" borderId="0" xfId="0" applyFont="1" applyAlignment="1">
      <alignment vertical="top"/>
    </xf>
    <xf numFmtId="0" fontId="55" fillId="0" borderId="0" xfId="0" applyFont="1" applyAlignment="1">
      <alignment horizontal="right" vertical="top"/>
    </xf>
    <xf numFmtId="14" fontId="55" fillId="0" borderId="0" xfId="0" applyNumberFormat="1" applyFont="1" applyAlignment="1">
      <alignment horizontal="left" vertical="top"/>
    </xf>
    <xf numFmtId="0" fontId="55" fillId="0" borderId="0" xfId="0" applyFont="1" applyAlignment="1">
      <alignment horizontal="left" vertical="top"/>
    </xf>
    <xf numFmtId="49" fontId="55" fillId="0" borderId="0" xfId="0" quotePrefix="1" applyNumberFormat="1" applyFont="1" applyAlignment="1">
      <alignment horizontal="center" vertical="top"/>
    </xf>
    <xf numFmtId="0" fontId="80" fillId="2" borderId="0" xfId="0" applyFont="1" applyFill="1" applyAlignment="1">
      <alignment horizontal="center" vertical="center"/>
    </xf>
    <xf numFmtId="0" fontId="59" fillId="2" borderId="0" xfId="0" applyFont="1" applyFill="1" applyAlignment="1">
      <alignment horizontal="center" vertical="center"/>
    </xf>
    <xf numFmtId="0" fontId="55" fillId="0" borderId="63" xfId="0" applyFont="1" applyBorder="1" applyAlignment="1">
      <alignment horizontal="center" vertical="center" wrapText="1"/>
    </xf>
    <xf numFmtId="0" fontId="55" fillId="2" borderId="0" xfId="0" applyFont="1" applyFill="1" applyAlignment="1">
      <alignment horizontal="center" vertical="center" wrapText="1"/>
    </xf>
    <xf numFmtId="0" fontId="55" fillId="0" borderId="0" xfId="0" applyFont="1" applyAlignment="1">
      <alignment horizontal="center" vertical="center" wrapText="1"/>
    </xf>
    <xf numFmtId="0" fontId="48" fillId="2" borderId="0" xfId="0" applyFont="1" applyFill="1" applyAlignment="1">
      <alignment horizontal="center" vertical="center"/>
    </xf>
    <xf numFmtId="0" fontId="41" fillId="0" borderId="0" xfId="0" applyFont="1" applyAlignment="1">
      <alignment horizontal="right" vertical="top"/>
    </xf>
    <xf numFmtId="0" fontId="41" fillId="0" borderId="0" xfId="0" applyFont="1"/>
    <xf numFmtId="0" fontId="41" fillId="0" borderId="0" xfId="0" applyFont="1" applyAlignment="1">
      <alignment vertical="top"/>
    </xf>
    <xf numFmtId="0" fontId="41" fillId="0" borderId="0" xfId="0" applyFont="1" applyAlignment="1">
      <alignment horizontal="left" vertical="top"/>
    </xf>
    <xf numFmtId="0" fontId="49" fillId="2" borderId="0" xfId="0" applyFont="1" applyFill="1" applyAlignment="1">
      <alignment horizontal="right" vertical="center"/>
    </xf>
    <xf numFmtId="0" fontId="81" fillId="18" borderId="9" xfId="0" applyFont="1" applyFill="1" applyBorder="1" applyAlignment="1">
      <alignment horizontal="center" vertical="center"/>
    </xf>
    <xf numFmtId="0" fontId="81" fillId="18" borderId="9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82" fillId="0" borderId="23" xfId="0" applyFont="1" applyBorder="1" applyAlignment="1">
      <alignment vertical="center"/>
    </xf>
    <xf numFmtId="0" fontId="82" fillId="0" borderId="0" xfId="0" applyFont="1" applyAlignment="1">
      <alignment vertical="center"/>
    </xf>
    <xf numFmtId="0" fontId="83" fillId="18" borderId="0" xfId="0" applyFont="1" applyFill="1" applyAlignment="1">
      <alignment vertical="center"/>
    </xf>
    <xf numFmtId="0" fontId="83" fillId="18" borderId="9" xfId="0" applyFont="1" applyFill="1" applyBorder="1" applyAlignment="1">
      <alignment vertical="center"/>
    </xf>
    <xf numFmtId="0" fontId="0" fillId="11" borderId="9" xfId="0" applyFill="1" applyBorder="1" applyAlignment="1">
      <alignment horizontal="center" vertical="center"/>
    </xf>
    <xf numFmtId="0" fontId="11" fillId="2" borderId="0" xfId="0" applyFont="1" applyFill="1" applyAlignment="1">
      <alignment horizontal="center"/>
    </xf>
    <xf numFmtId="49" fontId="38" fillId="2" borderId="0" xfId="0" applyNumberFormat="1" applyFont="1" applyFill="1" applyAlignment="1">
      <alignment horizontal="center"/>
    </xf>
    <xf numFmtId="1" fontId="87" fillId="2" borderId="0" xfId="0" applyNumberFormat="1" applyFont="1" applyFill="1" applyAlignment="1">
      <alignment horizontal="center" vertical="center"/>
    </xf>
    <xf numFmtId="1" fontId="73" fillId="2" borderId="9" xfId="0" applyNumberFormat="1" applyFont="1" applyFill="1" applyBorder="1" applyAlignment="1">
      <alignment horizontal="center" vertical="center"/>
    </xf>
    <xf numFmtId="1" fontId="73" fillId="14" borderId="9" xfId="0" applyNumberFormat="1" applyFont="1" applyFill="1" applyBorder="1" applyAlignment="1">
      <alignment horizontal="center" vertical="center"/>
    </xf>
    <xf numFmtId="1" fontId="57" fillId="2" borderId="9" xfId="0" applyNumberFormat="1" applyFont="1" applyFill="1" applyBorder="1" applyAlignment="1">
      <alignment horizontal="center" vertical="center"/>
    </xf>
    <xf numFmtId="1" fontId="57" fillId="14" borderId="9" xfId="0" applyNumberFormat="1" applyFont="1" applyFill="1" applyBorder="1" applyAlignment="1">
      <alignment horizontal="center" vertical="center"/>
    </xf>
    <xf numFmtId="0" fontId="55" fillId="2" borderId="0" xfId="0" applyFont="1" applyFill="1" applyAlignment="1">
      <alignment vertical="center"/>
    </xf>
    <xf numFmtId="164" fontId="73" fillId="2" borderId="9" xfId="0" applyNumberFormat="1" applyFont="1" applyFill="1" applyBorder="1" applyAlignment="1">
      <alignment horizontal="center" vertical="center"/>
    </xf>
    <xf numFmtId="0" fontId="55" fillId="2" borderId="0" xfId="0" applyFont="1" applyFill="1" applyAlignment="1">
      <alignment horizontal="left" vertical="top"/>
    </xf>
    <xf numFmtId="0" fontId="42" fillId="0" borderId="29" xfId="0" applyFont="1" applyBorder="1" applyAlignment="1">
      <alignment horizontal="center" vertical="center" wrapText="1"/>
    </xf>
    <xf numFmtId="0" fontId="42" fillId="2" borderId="29" xfId="0" applyFont="1" applyFill="1" applyBorder="1" applyAlignment="1">
      <alignment horizontal="center" vertical="center" wrapText="1"/>
    </xf>
    <xf numFmtId="0" fontId="5" fillId="8" borderId="9" xfId="0" applyFont="1" applyFill="1" applyBorder="1" applyAlignment="1">
      <alignment horizontal="center" vertical="center"/>
    </xf>
    <xf numFmtId="0" fontId="44" fillId="0" borderId="9" xfId="0" applyFont="1" applyBorder="1" applyAlignment="1">
      <alignment horizontal="center"/>
    </xf>
    <xf numFmtId="0" fontId="71" fillId="5" borderId="37" xfId="0" applyFont="1" applyFill="1" applyBorder="1" applyAlignment="1">
      <alignment horizontal="center" vertical="center"/>
    </xf>
    <xf numFmtId="0" fontId="0" fillId="0" borderId="9" xfId="0" applyBorder="1" applyProtection="1">
      <protection locked="0"/>
    </xf>
    <xf numFmtId="0" fontId="11" fillId="2" borderId="25" xfId="0" applyFont="1" applyFill="1" applyBorder="1" applyAlignment="1">
      <alignment vertical="center"/>
    </xf>
    <xf numFmtId="0" fontId="11" fillId="2" borderId="40" xfId="0" applyFont="1" applyFill="1" applyBorder="1" applyAlignment="1">
      <alignment vertical="center"/>
    </xf>
    <xf numFmtId="0" fontId="2" fillId="0" borderId="9" xfId="0" applyFont="1" applyBorder="1" applyAlignment="1" applyProtection="1">
      <alignment wrapText="1"/>
      <protection locked="0"/>
    </xf>
    <xf numFmtId="0" fontId="41" fillId="2" borderId="0" xfId="0" applyFont="1" applyFill="1" applyAlignment="1">
      <alignment horizontal="center" vertical="center"/>
    </xf>
    <xf numFmtId="49" fontId="54" fillId="2" borderId="0" xfId="0" applyNumberFormat="1" applyFont="1" applyFill="1" applyAlignment="1">
      <alignment horizontal="center" vertical="center" textRotation="90"/>
    </xf>
    <xf numFmtId="49" fontId="54" fillId="21" borderId="9" xfId="0" applyNumberFormat="1" applyFont="1" applyFill="1" applyBorder="1" applyAlignment="1">
      <alignment horizontal="center" vertical="center" textRotation="90"/>
    </xf>
    <xf numFmtId="49" fontId="54" fillId="21" borderId="47" xfId="0" applyNumberFormat="1" applyFont="1" applyFill="1" applyBorder="1" applyAlignment="1">
      <alignment horizontal="center" vertical="center" textRotation="90"/>
    </xf>
    <xf numFmtId="0" fontId="0" fillId="21" borderId="9" xfId="0" applyFill="1" applyBorder="1"/>
    <xf numFmtId="49" fontId="54" fillId="2" borderId="9" xfId="0" applyNumberFormat="1" applyFont="1" applyFill="1" applyBorder="1" applyAlignment="1">
      <alignment horizontal="center" vertical="center" textRotation="90"/>
    </xf>
    <xf numFmtId="0" fontId="89" fillId="2" borderId="0" xfId="0" applyFont="1" applyFill="1" applyAlignment="1">
      <alignment horizontal="center"/>
    </xf>
    <xf numFmtId="0" fontId="40" fillId="2" borderId="0" xfId="0" applyFont="1" applyFill="1" applyAlignment="1">
      <alignment horizontal="center" vertical="center"/>
    </xf>
    <xf numFmtId="0" fontId="53" fillId="0" borderId="0" xfId="0" applyFont="1" applyProtection="1">
      <protection hidden="1"/>
    </xf>
    <xf numFmtId="0" fontId="53" fillId="0" borderId="0" xfId="0" applyFont="1" applyAlignment="1" applyProtection="1">
      <alignment horizontal="center"/>
      <protection hidden="1"/>
    </xf>
    <xf numFmtId="0" fontId="53" fillId="0" borderId="0" xfId="0" applyFont="1" applyAlignment="1" applyProtection="1">
      <alignment horizontal="center" wrapText="1"/>
      <protection hidden="1"/>
    </xf>
    <xf numFmtId="0" fontId="0" fillId="2" borderId="0" xfId="0" applyFill="1" applyProtection="1">
      <protection locked="0"/>
    </xf>
    <xf numFmtId="0" fontId="47" fillId="2" borderId="0" xfId="0" applyFont="1" applyFill="1" applyProtection="1">
      <protection hidden="1"/>
    </xf>
    <xf numFmtId="0" fontId="53" fillId="2" borderId="0" xfId="0" applyFont="1" applyFill="1" applyProtection="1">
      <protection locked="0"/>
    </xf>
    <xf numFmtId="164" fontId="40" fillId="2" borderId="29" xfId="0" applyNumberFormat="1" applyFont="1" applyFill="1" applyBorder="1" applyAlignment="1">
      <alignment horizontal="center" vertical="center"/>
    </xf>
    <xf numFmtId="0" fontId="47" fillId="2" borderId="0" xfId="0" applyFont="1" applyFill="1"/>
    <xf numFmtId="0" fontId="0" fillId="2" borderId="39" xfId="0" applyFill="1" applyBorder="1"/>
    <xf numFmtId="0" fontId="79" fillId="0" borderId="0" xfId="0" applyFont="1" applyAlignment="1">
      <alignment horizontal="left" vertical="center"/>
    </xf>
    <xf numFmtId="0" fontId="61" fillId="17" borderId="53" xfId="0" applyFont="1" applyFill="1" applyBorder="1"/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7" fillId="2" borderId="0" xfId="0" applyFont="1" applyFill="1" applyAlignment="1">
      <alignment horizontal="center" vertical="center"/>
    </xf>
    <xf numFmtId="9" fontId="47" fillId="2" borderId="0" xfId="2" applyFont="1" applyFill="1" applyBorder="1" applyAlignment="1" applyProtection="1">
      <alignment horizontal="center" vertical="center"/>
    </xf>
    <xf numFmtId="9" fontId="47" fillId="2" borderId="0" xfId="2" applyFont="1" applyFill="1" applyBorder="1" applyAlignment="1" applyProtection="1">
      <alignment horizontal="center"/>
    </xf>
    <xf numFmtId="49" fontId="0" fillId="0" borderId="0" xfId="0" applyNumberFormat="1" applyAlignment="1">
      <alignment horizontal="center" vertical="center"/>
    </xf>
    <xf numFmtId="0" fontId="68" fillId="2" borderId="0" xfId="0" applyFont="1" applyFill="1"/>
    <xf numFmtId="0" fontId="48" fillId="10" borderId="75" xfId="0" applyFont="1" applyFill="1" applyBorder="1" applyAlignment="1">
      <alignment horizontal="center" vertical="center"/>
    </xf>
    <xf numFmtId="1" fontId="0" fillId="0" borderId="9" xfId="0" applyNumberFormat="1" applyBorder="1" applyAlignment="1">
      <alignment horizontal="center"/>
    </xf>
    <xf numFmtId="0" fontId="37" fillId="2" borderId="0" xfId="0" applyFont="1" applyFill="1" applyAlignment="1">
      <alignment horizontal="left" vertical="top"/>
    </xf>
    <xf numFmtId="0" fontId="63" fillId="2" borderId="0" xfId="0" applyFont="1" applyFill="1" applyAlignment="1">
      <alignment horizontal="left" vertical="top"/>
    </xf>
    <xf numFmtId="0" fontId="63" fillId="2" borderId="0" xfId="0" applyFont="1" applyFill="1" applyAlignment="1">
      <alignment horizontal="center"/>
    </xf>
    <xf numFmtId="0" fontId="40" fillId="2" borderId="0" xfId="0" applyFont="1" applyFill="1"/>
    <xf numFmtId="49" fontId="85" fillId="2" borderId="23" xfId="0" applyNumberFormat="1" applyFont="1" applyFill="1" applyBorder="1"/>
    <xf numFmtId="49" fontId="33" fillId="2" borderId="0" xfId="0" applyNumberFormat="1" applyFont="1" applyFill="1"/>
    <xf numFmtId="1" fontId="62" fillId="2" borderId="53" xfId="0" applyNumberFormat="1" applyFont="1" applyFill="1" applyBorder="1" applyAlignment="1">
      <alignment horizontal="center"/>
    </xf>
    <xf numFmtId="1" fontId="86" fillId="2" borderId="23" xfId="0" applyNumberFormat="1" applyFont="1" applyFill="1" applyBorder="1"/>
    <xf numFmtId="49" fontId="1" fillId="2" borderId="0" xfId="0" applyNumberFormat="1" applyFont="1" applyFill="1"/>
    <xf numFmtId="49" fontId="0" fillId="2" borderId="0" xfId="0" applyNumberFormat="1" applyFill="1" applyAlignment="1">
      <alignment vertical="center"/>
    </xf>
    <xf numFmtId="0" fontId="58" fillId="2" borderId="0" xfId="0" applyFont="1" applyFill="1"/>
    <xf numFmtId="0" fontId="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76" fillId="2" borderId="0" xfId="0" applyFont="1" applyFill="1" applyAlignment="1">
      <alignment horizontal="center" vertical="center"/>
    </xf>
    <xf numFmtId="0" fontId="0" fillId="2" borderId="57" xfId="0" applyFill="1" applyBorder="1"/>
    <xf numFmtId="0" fontId="0" fillId="0" borderId="8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47" fillId="0" borderId="0" xfId="0" applyFont="1"/>
    <xf numFmtId="0" fontId="53" fillId="0" borderId="7" xfId="0" applyFont="1" applyBorder="1" applyProtection="1">
      <protection hidden="1"/>
    </xf>
    <xf numFmtId="0" fontId="53" fillId="0" borderId="75" xfId="0" applyFont="1" applyBorder="1" applyProtection="1">
      <protection hidden="1"/>
    </xf>
    <xf numFmtId="9" fontId="64" fillId="0" borderId="0" xfId="0" applyNumberFormat="1" applyFont="1" applyProtection="1">
      <protection hidden="1"/>
    </xf>
    <xf numFmtId="0" fontId="53" fillId="0" borderId="0" xfId="0" applyFont="1" applyAlignment="1" applyProtection="1">
      <alignment vertical="center"/>
      <protection hidden="1"/>
    </xf>
    <xf numFmtId="0" fontId="93" fillId="0" borderId="0" xfId="0" applyFont="1"/>
    <xf numFmtId="0" fontId="20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center"/>
    </xf>
    <xf numFmtId="1" fontId="73" fillId="2" borderId="0" xfId="0" applyNumberFormat="1" applyFont="1" applyFill="1" applyAlignment="1">
      <alignment horizontal="center" vertical="center"/>
    </xf>
    <xf numFmtId="0" fontId="92" fillId="2" borderId="0" xfId="0" applyFont="1" applyFill="1" applyAlignment="1">
      <alignment horizontal="center" vertical="center" wrapText="1"/>
    </xf>
    <xf numFmtId="9" fontId="5" fillId="2" borderId="0" xfId="2" applyFont="1" applyFill="1" applyBorder="1" applyAlignment="1">
      <alignment horizontal="center" vertical="center" wrapText="1"/>
    </xf>
    <xf numFmtId="1" fontId="70" fillId="2" borderId="0" xfId="0" applyNumberFormat="1" applyFont="1" applyFill="1" applyAlignment="1">
      <alignment horizontal="center"/>
    </xf>
    <xf numFmtId="0" fontId="5" fillId="2" borderId="0" xfId="0" applyFont="1" applyFill="1" applyAlignment="1">
      <alignment vertical="center"/>
    </xf>
    <xf numFmtId="0" fontId="8" fillId="2" borderId="0" xfId="0" applyFont="1" applyFill="1" applyAlignment="1">
      <alignment vertical="center" wrapText="1"/>
    </xf>
    <xf numFmtId="0" fontId="64" fillId="2" borderId="0" xfId="0" applyFont="1" applyFill="1" applyAlignment="1">
      <alignment vertical="center" wrapText="1"/>
    </xf>
    <xf numFmtId="0" fontId="61" fillId="2" borderId="0" xfId="0" applyFont="1" applyFill="1"/>
    <xf numFmtId="1" fontId="57" fillId="2" borderId="0" xfId="0" applyNumberFormat="1" applyFont="1" applyFill="1" applyAlignment="1">
      <alignment horizontal="center" vertical="center"/>
    </xf>
    <xf numFmtId="164" fontId="57" fillId="2" borderId="9" xfId="0" applyNumberFormat="1" applyFont="1" applyFill="1" applyBorder="1" applyAlignment="1">
      <alignment horizontal="center" vertical="center"/>
    </xf>
    <xf numFmtId="0" fontId="53" fillId="2" borderId="0" xfId="0" applyFont="1" applyFill="1" applyAlignment="1" applyProtection="1">
      <alignment vertical="center"/>
      <protection hidden="1"/>
    </xf>
    <xf numFmtId="168" fontId="53" fillId="2" borderId="0" xfId="0" applyNumberFormat="1" applyFont="1" applyFill="1" applyProtection="1">
      <protection hidden="1"/>
    </xf>
    <xf numFmtId="0" fontId="0" fillId="0" borderId="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3" borderId="81" xfId="0" applyFill="1" applyBorder="1" applyAlignment="1">
      <alignment horizontal="center" vertical="center" wrapText="1"/>
    </xf>
    <xf numFmtId="0" fontId="0" fillId="3" borderId="80" xfId="0" applyFill="1" applyBorder="1" applyAlignment="1">
      <alignment horizontal="center" vertical="center" wrapText="1"/>
    </xf>
    <xf numFmtId="0" fontId="20" fillId="2" borderId="89" xfId="0" applyFont="1" applyFill="1" applyBorder="1" applyAlignment="1">
      <alignment horizontal="center" vertical="center"/>
    </xf>
    <xf numFmtId="2" fontId="108" fillId="2" borderId="93" xfId="0" applyNumberFormat="1" applyFont="1" applyFill="1" applyBorder="1" applyAlignment="1">
      <alignment horizontal="center" vertical="center" wrapText="1"/>
    </xf>
    <xf numFmtId="2" fontId="73" fillId="14" borderId="27" xfId="0" applyNumberFormat="1" applyFont="1" applyFill="1" applyBorder="1" applyAlignment="1">
      <alignment horizontal="center" vertical="center"/>
    </xf>
    <xf numFmtId="9" fontId="0" fillId="2" borderId="0" xfId="2" applyFont="1" applyFill="1" applyBorder="1" applyProtection="1"/>
    <xf numFmtId="0" fontId="0" fillId="2" borderId="0" xfId="0" applyFill="1" applyAlignment="1">
      <alignment horizontal="center" vertical="center" wrapText="1"/>
    </xf>
    <xf numFmtId="0" fontId="64" fillId="2" borderId="52" xfId="0" applyFont="1" applyFill="1" applyBorder="1" applyAlignment="1">
      <alignment horizontal="center" vertical="center" wrapText="1"/>
    </xf>
    <xf numFmtId="0" fontId="38" fillId="0" borderId="0" xfId="0" applyFont="1" applyAlignment="1">
      <alignment horizontal="center" vertical="center" wrapText="1"/>
    </xf>
    <xf numFmtId="0" fontId="111" fillId="0" borderId="0" xfId="0" applyFont="1" applyAlignment="1">
      <alignment horizontal="center" vertical="center"/>
    </xf>
    <xf numFmtId="0" fontId="111" fillId="2" borderId="0" xfId="0" applyFont="1" applyFill="1"/>
    <xf numFmtId="1" fontId="111" fillId="2" borderId="0" xfId="0" applyNumberFormat="1" applyFont="1" applyFill="1"/>
    <xf numFmtId="9" fontId="111" fillId="2" borderId="0" xfId="2" applyFont="1" applyFill="1" applyBorder="1" applyProtection="1"/>
    <xf numFmtId="49" fontId="111" fillId="0" borderId="0" xfId="0" applyNumberFormat="1" applyFont="1" applyAlignment="1">
      <alignment horizontal="center" vertical="center"/>
    </xf>
    <xf numFmtId="0" fontId="111" fillId="0" borderId="0" xfId="0" applyFont="1"/>
    <xf numFmtId="0" fontId="64" fillId="2" borderId="0" xfId="0" applyFont="1" applyFill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0" fontId="114" fillId="2" borderId="40" xfId="1" applyFont="1" applyFill="1" applyBorder="1" applyProtection="1">
      <protection locked="0"/>
    </xf>
    <xf numFmtId="0" fontId="0" fillId="29" borderId="0" xfId="0" applyFill="1"/>
    <xf numFmtId="0" fontId="0" fillId="23" borderId="0" xfId="0" applyFill="1"/>
    <xf numFmtId="0" fontId="0" fillId="30" borderId="0" xfId="0" applyFill="1"/>
    <xf numFmtId="0" fontId="61" fillId="2" borderId="53" xfId="0" applyFont="1" applyFill="1" applyBorder="1"/>
    <xf numFmtId="0" fontId="20" fillId="2" borderId="25" xfId="0" applyFont="1" applyFill="1" applyBorder="1" applyAlignment="1">
      <alignment horizontal="center"/>
    </xf>
    <xf numFmtId="1" fontId="73" fillId="2" borderId="20" xfId="0" applyNumberFormat="1" applyFont="1" applyFill="1" applyBorder="1" applyAlignment="1">
      <alignment horizontal="center" vertical="center"/>
    </xf>
    <xf numFmtId="0" fontId="112" fillId="2" borderId="0" xfId="0" applyFont="1" applyFill="1"/>
    <xf numFmtId="0" fontId="124" fillId="2" borderId="20" xfId="0" applyFont="1" applyFill="1" applyBorder="1" applyAlignment="1" applyProtection="1">
      <alignment horizontal="center" vertical="center"/>
      <protection locked="0"/>
    </xf>
    <xf numFmtId="1" fontId="113" fillId="2" borderId="9" xfId="0" applyNumberFormat="1" applyFont="1" applyFill="1" applyBorder="1" applyAlignment="1">
      <alignment horizontal="center"/>
    </xf>
    <xf numFmtId="1" fontId="73" fillId="14" borderId="20" xfId="0" applyNumberFormat="1" applyFont="1" applyFill="1" applyBorder="1" applyAlignment="1">
      <alignment horizontal="center" vertical="center"/>
    </xf>
    <xf numFmtId="1" fontId="126" fillId="3" borderId="20" xfId="0" applyNumberFormat="1" applyFont="1" applyFill="1" applyBorder="1" applyAlignment="1">
      <alignment horizontal="center" vertical="center"/>
    </xf>
    <xf numFmtId="1" fontId="126" fillId="3" borderId="9" xfId="0" applyNumberFormat="1" applyFont="1" applyFill="1" applyBorder="1" applyAlignment="1">
      <alignment horizontal="center" vertical="center"/>
    </xf>
    <xf numFmtId="1" fontId="73" fillId="3" borderId="20" xfId="0" applyNumberFormat="1" applyFont="1" applyFill="1" applyBorder="1" applyAlignment="1">
      <alignment horizontal="center" vertical="center"/>
    </xf>
    <xf numFmtId="1" fontId="73" fillId="3" borderId="9" xfId="0" applyNumberFormat="1" applyFont="1" applyFill="1" applyBorder="1" applyAlignment="1">
      <alignment horizontal="center" vertical="center"/>
    </xf>
    <xf numFmtId="164" fontId="73" fillId="8" borderId="9" xfId="0" applyNumberFormat="1" applyFont="1" applyFill="1" applyBorder="1" applyAlignment="1">
      <alignment horizontal="center" vertical="center"/>
    </xf>
    <xf numFmtId="164" fontId="73" fillId="3" borderId="9" xfId="0" applyNumberFormat="1" applyFont="1" applyFill="1" applyBorder="1" applyAlignment="1">
      <alignment horizontal="center" vertical="center"/>
    </xf>
    <xf numFmtId="1" fontId="73" fillId="8" borderId="9" xfId="0" applyNumberFormat="1" applyFont="1" applyFill="1" applyBorder="1" applyAlignment="1">
      <alignment horizontal="center" vertical="center"/>
    </xf>
    <xf numFmtId="1" fontId="73" fillId="8" borderId="20" xfId="0" applyNumberFormat="1" applyFont="1" applyFill="1" applyBorder="1" applyAlignment="1">
      <alignment horizontal="center" vertical="center"/>
    </xf>
    <xf numFmtId="0" fontId="0" fillId="17" borderId="0" xfId="0" applyFill="1"/>
    <xf numFmtId="0" fontId="0" fillId="0" borderId="0" xfId="0" applyAlignment="1">
      <alignment vertical="center"/>
    </xf>
    <xf numFmtId="164" fontId="73" fillId="2" borderId="20" xfId="0" applyNumberFormat="1" applyFont="1" applyFill="1" applyBorder="1" applyAlignment="1">
      <alignment horizontal="center" vertical="center"/>
    </xf>
    <xf numFmtId="1" fontId="70" fillId="4" borderId="9" xfId="0" applyNumberFormat="1" applyFont="1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21" fillId="17" borderId="0" xfId="0" applyFont="1" applyFill="1" applyAlignment="1">
      <alignment horizontal="center"/>
    </xf>
    <xf numFmtId="0" fontId="21" fillId="17" borderId="0" xfId="0" applyFont="1" applyFill="1"/>
    <xf numFmtId="0" fontId="121" fillId="26" borderId="9" xfId="0" applyFont="1" applyFill="1" applyBorder="1" applyAlignment="1">
      <alignment horizontal="center" vertical="center" wrapText="1"/>
    </xf>
    <xf numFmtId="0" fontId="121" fillId="26" borderId="40" xfId="0" applyFont="1" applyFill="1" applyBorder="1" applyAlignment="1">
      <alignment horizontal="center" vertical="center" wrapText="1"/>
    </xf>
    <xf numFmtId="0" fontId="123" fillId="26" borderId="9" xfId="0" applyFont="1" applyFill="1" applyBorder="1" applyAlignment="1">
      <alignment horizontal="center" vertical="center" wrapText="1"/>
    </xf>
    <xf numFmtId="0" fontId="156" fillId="2" borderId="0" xfId="0" applyFont="1" applyFill="1" applyAlignment="1">
      <alignment horizontal="left" vertical="top"/>
    </xf>
    <xf numFmtId="49" fontId="156" fillId="2" borderId="0" xfId="0" applyNumberFormat="1" applyFont="1" applyFill="1" applyAlignment="1">
      <alignment horizontal="left" vertical="top"/>
    </xf>
    <xf numFmtId="0" fontId="157" fillId="2" borderId="0" xfId="0" applyFont="1" applyFill="1" applyAlignment="1">
      <alignment vertical="top"/>
    </xf>
    <xf numFmtId="0" fontId="20" fillId="2" borderId="48" xfId="0" applyFont="1" applyFill="1" applyBorder="1" applyAlignment="1">
      <alignment horizontal="center"/>
    </xf>
    <xf numFmtId="1" fontId="73" fillId="2" borderId="9" xfId="0" applyNumberFormat="1" applyFont="1" applyFill="1" applyBorder="1" applyAlignment="1" applyProtection="1">
      <alignment horizontal="center" vertical="center"/>
      <protection locked="0"/>
    </xf>
    <xf numFmtId="0" fontId="92" fillId="6" borderId="52" xfId="0" applyFont="1" applyFill="1" applyBorder="1" applyAlignment="1">
      <alignment horizontal="center" vertical="center" wrapText="1"/>
    </xf>
    <xf numFmtId="0" fontId="64" fillId="6" borderId="54" xfId="0" applyFont="1" applyFill="1" applyBorder="1" applyAlignment="1">
      <alignment horizontal="center" vertical="center" wrapText="1"/>
    </xf>
    <xf numFmtId="9" fontId="64" fillId="6" borderId="59" xfId="2" applyFont="1" applyFill="1" applyBorder="1" applyAlignment="1" applyProtection="1">
      <alignment horizontal="center" vertical="center" wrapText="1"/>
    </xf>
    <xf numFmtId="9" fontId="64" fillId="2" borderId="55" xfId="2" applyFont="1" applyFill="1" applyBorder="1" applyAlignment="1" applyProtection="1">
      <alignment horizontal="center" vertical="center" wrapText="1"/>
    </xf>
    <xf numFmtId="0" fontId="21" fillId="25" borderId="82" xfId="0" applyFont="1" applyFill="1" applyBorder="1" applyAlignment="1">
      <alignment horizontal="center" vertical="center" wrapText="1"/>
    </xf>
    <xf numFmtId="0" fontId="5" fillId="25" borderId="83" xfId="0" applyFont="1" applyFill="1" applyBorder="1" applyAlignment="1">
      <alignment horizontal="center" vertical="center" wrapText="1"/>
    </xf>
    <xf numFmtId="9" fontId="5" fillId="25" borderId="83" xfId="0" applyNumberFormat="1" applyFont="1" applyFill="1" applyBorder="1" applyAlignment="1">
      <alignment horizontal="center" vertical="center" wrapText="1"/>
    </xf>
    <xf numFmtId="9" fontId="5" fillId="25" borderId="90" xfId="0" applyNumberFormat="1" applyFont="1" applyFill="1" applyBorder="1" applyAlignment="1">
      <alignment horizontal="center" vertical="center" wrapText="1"/>
    </xf>
    <xf numFmtId="9" fontId="5" fillId="25" borderId="29" xfId="0" applyNumberFormat="1" applyFont="1" applyFill="1" applyBorder="1" applyAlignment="1">
      <alignment horizontal="center" vertical="center" wrapText="1"/>
    </xf>
    <xf numFmtId="9" fontId="5" fillId="20" borderId="83" xfId="0" applyNumberFormat="1" applyFont="1" applyFill="1" applyBorder="1" applyAlignment="1">
      <alignment horizontal="center" vertical="center" wrapText="1"/>
    </xf>
    <xf numFmtId="9" fontId="5" fillId="20" borderId="29" xfId="0" applyNumberFormat="1" applyFont="1" applyFill="1" applyBorder="1" applyAlignment="1">
      <alignment horizontal="center" vertical="center" wrapText="1"/>
    </xf>
    <xf numFmtId="0" fontId="21" fillId="20" borderId="79" xfId="0" applyFont="1" applyFill="1" applyBorder="1" applyAlignment="1">
      <alignment horizontal="center" vertical="center" wrapText="1"/>
    </xf>
    <xf numFmtId="0" fontId="5" fillId="20" borderId="79" xfId="0" applyFont="1" applyFill="1" applyBorder="1" applyAlignment="1">
      <alignment horizontal="center" vertical="center" wrapText="1"/>
    </xf>
    <xf numFmtId="9" fontId="5" fillId="20" borderId="79" xfId="0" applyNumberFormat="1" applyFont="1" applyFill="1" applyBorder="1" applyAlignment="1">
      <alignment horizontal="center" vertical="center" wrapText="1"/>
    </xf>
    <xf numFmtId="9" fontId="5" fillId="20" borderId="91" xfId="0" applyNumberFormat="1" applyFont="1" applyFill="1" applyBorder="1" applyAlignment="1">
      <alignment horizontal="center" vertical="center" wrapText="1"/>
    </xf>
    <xf numFmtId="0" fontId="21" fillId="25" borderId="79" xfId="0" applyFont="1" applyFill="1" applyBorder="1" applyAlignment="1">
      <alignment horizontal="center" vertical="center" wrapText="1"/>
    </xf>
    <xf numFmtId="0" fontId="5" fillId="25" borderId="79" xfId="0" applyFont="1" applyFill="1" applyBorder="1" applyAlignment="1">
      <alignment horizontal="center" vertical="center" wrapText="1"/>
    </xf>
    <xf numFmtId="9" fontId="5" fillId="25" borderId="79" xfId="0" applyNumberFormat="1" applyFont="1" applyFill="1" applyBorder="1" applyAlignment="1">
      <alignment horizontal="center" vertical="center" wrapText="1"/>
    </xf>
    <xf numFmtId="9" fontId="5" fillId="25" borderId="91" xfId="0" applyNumberFormat="1" applyFont="1" applyFill="1" applyBorder="1" applyAlignment="1">
      <alignment horizontal="center" vertical="center" wrapText="1"/>
    </xf>
    <xf numFmtId="0" fontId="20" fillId="2" borderId="20" xfId="0" applyFont="1" applyFill="1" applyBorder="1" applyAlignment="1">
      <alignment horizontal="center" vertical="center" shrinkToFit="1"/>
    </xf>
    <xf numFmtId="0" fontId="0" fillId="3" borderId="34" xfId="0" applyFill="1" applyBorder="1" applyAlignment="1">
      <alignment horizontal="center" shrinkToFit="1"/>
    </xf>
    <xf numFmtId="0" fontId="20" fillId="2" borderId="20" xfId="0" applyFont="1" applyFill="1" applyBorder="1" applyAlignment="1">
      <alignment vertical="center" shrinkToFit="1"/>
    </xf>
    <xf numFmtId="1" fontId="70" fillId="4" borderId="47" xfId="0" applyNumberFormat="1" applyFont="1" applyFill="1" applyBorder="1" applyAlignment="1">
      <alignment horizontal="center" shrinkToFit="1"/>
    </xf>
    <xf numFmtId="0" fontId="0" fillId="3" borderId="16" xfId="0" applyFill="1" applyBorder="1" applyAlignment="1">
      <alignment horizontal="center" shrinkToFit="1"/>
    </xf>
    <xf numFmtId="0" fontId="20" fillId="2" borderId="25" xfId="0" applyFont="1" applyFill="1" applyBorder="1" applyAlignment="1">
      <alignment horizontal="center" vertical="center" shrinkToFit="1"/>
    </xf>
    <xf numFmtId="1" fontId="70" fillId="4" borderId="9" xfId="0" applyNumberFormat="1" applyFont="1" applyFill="1" applyBorder="1" applyAlignment="1">
      <alignment horizontal="center" shrinkToFit="1"/>
    </xf>
    <xf numFmtId="0" fontId="0" fillId="8" borderId="16" xfId="0" applyFill="1" applyBorder="1" applyAlignment="1">
      <alignment horizontal="center" shrinkToFit="1"/>
    </xf>
    <xf numFmtId="0" fontId="0" fillId="8" borderId="34" xfId="0" applyFill="1" applyBorder="1" applyAlignment="1">
      <alignment horizontal="center" shrinkToFit="1"/>
    </xf>
    <xf numFmtId="0" fontId="0" fillId="8" borderId="44" xfId="0" applyFill="1" applyBorder="1" applyAlignment="1">
      <alignment horizontal="center" shrinkToFit="1"/>
    </xf>
    <xf numFmtId="0" fontId="20" fillId="2" borderId="47" xfId="0" applyFont="1" applyFill="1" applyBorder="1" applyAlignment="1">
      <alignment vertical="center" shrinkToFit="1"/>
    </xf>
    <xf numFmtId="0" fontId="0" fillId="2" borderId="57" xfId="0" applyFill="1" applyBorder="1" applyAlignment="1">
      <alignment shrinkToFit="1"/>
    </xf>
    <xf numFmtId="0" fontId="0" fillId="2" borderId="0" xfId="0" applyFill="1" applyAlignment="1">
      <alignment shrinkToFit="1"/>
    </xf>
    <xf numFmtId="0" fontId="0" fillId="0" borderId="0" xfId="0" applyAlignment="1">
      <alignment shrinkToFit="1"/>
    </xf>
    <xf numFmtId="0" fontId="66" fillId="2" borderId="0" xfId="0" applyFont="1" applyFill="1" applyAlignment="1">
      <alignment horizontal="center" vertical="center"/>
    </xf>
    <xf numFmtId="0" fontId="66" fillId="2" borderId="0" xfId="0" applyFont="1" applyFill="1" applyAlignment="1">
      <alignment vertical="center"/>
    </xf>
    <xf numFmtId="0" fontId="113" fillId="2" borderId="0" xfId="0" applyFont="1" applyFill="1" applyAlignment="1">
      <alignment horizontal="left" vertical="center"/>
    </xf>
    <xf numFmtId="0" fontId="112" fillId="0" borderId="0" xfId="0" applyFont="1"/>
    <xf numFmtId="0" fontId="112" fillId="0" borderId="0" xfId="0" applyFont="1" applyAlignment="1">
      <alignment horizontal="center" vertical="center"/>
    </xf>
    <xf numFmtId="0" fontId="124" fillId="0" borderId="0" xfId="0" applyFont="1" applyAlignment="1">
      <alignment vertical="center"/>
    </xf>
    <xf numFmtId="0" fontId="124" fillId="0" borderId="0" xfId="0" applyFont="1" applyAlignment="1">
      <alignment horizontal="right" vertical="center"/>
    </xf>
    <xf numFmtId="0" fontId="124" fillId="0" borderId="0" xfId="0" applyFont="1" applyAlignment="1">
      <alignment horizontal="right"/>
    </xf>
    <xf numFmtId="0" fontId="19" fillId="0" borderId="0" xfId="0" applyFont="1"/>
    <xf numFmtId="0" fontId="19" fillId="0" borderId="0" xfId="0" applyFont="1" applyAlignment="1">
      <alignment horizontal="left" vertical="top"/>
    </xf>
    <xf numFmtId="0" fontId="0" fillId="2" borderId="9" xfId="0" applyFill="1" applyBorder="1" applyAlignment="1">
      <alignment horizontal="center" wrapText="1"/>
    </xf>
    <xf numFmtId="1" fontId="0" fillId="2" borderId="9" xfId="0" applyNumberFormat="1" applyFill="1" applyBorder="1" applyAlignment="1">
      <alignment horizontal="center"/>
    </xf>
    <xf numFmtId="0" fontId="16" fillId="2" borderId="9" xfId="0" applyFont="1" applyFill="1" applyBorder="1" applyAlignment="1">
      <alignment horizontal="center"/>
    </xf>
    <xf numFmtId="0" fontId="17" fillId="2" borderId="9" xfId="0" applyFont="1" applyFill="1" applyBorder="1" applyAlignment="1">
      <alignment horizontal="center"/>
    </xf>
    <xf numFmtId="0" fontId="171" fillId="0" borderId="0" xfId="0" applyFont="1" applyAlignment="1">
      <alignment vertical="top"/>
    </xf>
    <xf numFmtId="0" fontId="124" fillId="0" borderId="0" xfId="0" applyFont="1" applyAlignment="1">
      <alignment vertical="top"/>
    </xf>
    <xf numFmtId="0" fontId="129" fillId="0" borderId="0" xfId="0" applyFont="1" applyAlignment="1">
      <alignment horizontal="right" vertical="top"/>
    </xf>
    <xf numFmtId="14" fontId="124" fillId="0" borderId="0" xfId="0" applyNumberFormat="1" applyFont="1" applyAlignment="1">
      <alignment horizontal="left" vertical="top"/>
    </xf>
    <xf numFmtId="49" fontId="124" fillId="0" borderId="0" xfId="0" quotePrefix="1" applyNumberFormat="1" applyFont="1" applyAlignment="1">
      <alignment horizontal="center" vertical="top"/>
    </xf>
    <xf numFmtId="0" fontId="172" fillId="2" borderId="0" xfId="0" applyFont="1" applyFill="1" applyAlignment="1">
      <alignment horizontal="right" vertical="center"/>
    </xf>
    <xf numFmtId="1" fontId="169" fillId="2" borderId="0" xfId="0" applyNumberFormat="1" applyFont="1" applyFill="1" applyAlignment="1">
      <alignment horizontal="center" vertical="center"/>
    </xf>
    <xf numFmtId="0" fontId="1" fillId="2" borderId="46" xfId="0" applyFont="1" applyFill="1" applyBorder="1" applyAlignment="1" applyProtection="1">
      <alignment horizontal="center" vertical="center"/>
      <protection locked="0"/>
    </xf>
    <xf numFmtId="0" fontId="123" fillId="31" borderId="37" xfId="0" applyFont="1" applyFill="1" applyBorder="1" applyAlignment="1">
      <alignment horizontal="center" vertical="center"/>
    </xf>
    <xf numFmtId="9" fontId="120" fillId="2" borderId="9" xfId="0" applyNumberFormat="1" applyFont="1" applyFill="1" applyBorder="1" applyAlignment="1">
      <alignment horizontal="center" vertical="center" wrapText="1"/>
    </xf>
    <xf numFmtId="164" fontId="112" fillId="2" borderId="9" xfId="0" applyNumberFormat="1" applyFont="1" applyFill="1" applyBorder="1" applyAlignment="1">
      <alignment horizontal="center" vertical="center"/>
    </xf>
    <xf numFmtId="0" fontId="40" fillId="2" borderId="0" xfId="0" applyFont="1" applyFill="1" applyAlignment="1">
      <alignment horizontal="center"/>
    </xf>
    <xf numFmtId="0" fontId="42" fillId="0" borderId="9" xfId="0" applyFont="1" applyBorder="1" applyAlignment="1">
      <alignment horizontal="center" vertical="center" wrapText="1"/>
    </xf>
    <xf numFmtId="0" fontId="48" fillId="10" borderId="9" xfId="0" applyFont="1" applyFill="1" applyBorder="1" applyAlignment="1">
      <alignment horizontal="center" vertical="center"/>
    </xf>
    <xf numFmtId="0" fontId="42" fillId="2" borderId="9" xfId="0" applyFont="1" applyFill="1" applyBorder="1" applyAlignment="1">
      <alignment horizontal="center" vertical="center" wrapText="1"/>
    </xf>
    <xf numFmtId="0" fontId="48" fillId="32" borderId="29" xfId="0" applyFont="1" applyFill="1" applyBorder="1" applyAlignment="1">
      <alignment horizontal="center" vertical="center"/>
    </xf>
    <xf numFmtId="1" fontId="48" fillId="32" borderId="7" xfId="2" quotePrefix="1" applyNumberFormat="1" applyFont="1" applyFill="1" applyBorder="1" applyAlignment="1" applyProtection="1">
      <alignment horizontal="right" vertical="center"/>
    </xf>
    <xf numFmtId="0" fontId="48" fillId="15" borderId="29" xfId="0" applyFont="1" applyFill="1" applyBorder="1" applyAlignment="1">
      <alignment horizontal="center" vertical="center"/>
    </xf>
    <xf numFmtId="1" fontId="48" fillId="15" borderId="7" xfId="2" quotePrefix="1" applyNumberFormat="1" applyFont="1" applyFill="1" applyBorder="1" applyAlignment="1" applyProtection="1">
      <alignment horizontal="right" vertical="center"/>
    </xf>
    <xf numFmtId="0" fontId="48" fillId="32" borderId="61" xfId="0" applyFont="1" applyFill="1" applyBorder="1" applyAlignment="1">
      <alignment horizontal="center" vertical="center"/>
    </xf>
    <xf numFmtId="0" fontId="55" fillId="0" borderId="61" xfId="0" applyFont="1" applyBorder="1" applyAlignment="1">
      <alignment horizontal="center" vertical="center" wrapText="1"/>
    </xf>
    <xf numFmtId="0" fontId="147" fillId="0" borderId="0" xfId="0" applyFont="1" applyAlignment="1">
      <alignment horizontal="left" wrapText="1"/>
    </xf>
    <xf numFmtId="49" fontId="147" fillId="2" borderId="0" xfId="0" applyNumberFormat="1" applyFont="1" applyFill="1" applyAlignment="1">
      <alignment horizontal="center"/>
    </xf>
    <xf numFmtId="0" fontId="81" fillId="28" borderId="9" xfId="0" applyFont="1" applyFill="1" applyBorder="1" applyAlignment="1">
      <alignment horizontal="center" vertical="center"/>
    </xf>
    <xf numFmtId="0" fontId="38" fillId="0" borderId="0" xfId="0" applyFont="1" applyAlignment="1" applyProtection="1">
      <alignment horizontal="center" vertical="center" wrapText="1"/>
      <protection locked="0"/>
    </xf>
    <xf numFmtId="0" fontId="38" fillId="0" borderId="12" xfId="0" applyFont="1" applyBorder="1" applyAlignment="1" applyProtection="1">
      <alignment vertical="center" wrapText="1"/>
      <protection locked="0"/>
    </xf>
    <xf numFmtId="0" fontId="38" fillId="0" borderId="5" xfId="0" applyFont="1" applyBorder="1" applyAlignment="1">
      <alignment vertical="center" wrapText="1"/>
    </xf>
    <xf numFmtId="0" fontId="64" fillId="2" borderId="0" xfId="0" applyFont="1" applyFill="1" applyAlignment="1">
      <alignment vertical="center"/>
    </xf>
    <xf numFmtId="0" fontId="175" fillId="0" borderId="0" xfId="0" applyFont="1" applyAlignment="1">
      <alignment horizontal="left" wrapText="1"/>
    </xf>
    <xf numFmtId="0" fontId="151" fillId="2" borderId="0" xfId="0" applyFont="1" applyFill="1" applyAlignment="1">
      <alignment horizontal="center"/>
    </xf>
    <xf numFmtId="49" fontId="175" fillId="2" borderId="0" xfId="0" applyNumberFormat="1" applyFont="1" applyFill="1" applyAlignment="1">
      <alignment horizontal="center"/>
    </xf>
    <xf numFmtId="14" fontId="2" fillId="0" borderId="0" xfId="0" applyNumberFormat="1" applyFont="1"/>
    <xf numFmtId="0" fontId="176" fillId="0" borderId="0" xfId="0" applyFont="1" applyAlignment="1">
      <alignment horizontal="left"/>
    </xf>
    <xf numFmtId="0" fontId="153" fillId="2" borderId="0" xfId="0" applyFont="1" applyFill="1" applyAlignment="1">
      <alignment horizontal="center"/>
    </xf>
    <xf numFmtId="0" fontId="2" fillId="0" borderId="0" xfId="0" applyFont="1" applyAlignment="1">
      <alignment horizontal="right" wrapText="1"/>
    </xf>
    <xf numFmtId="0" fontId="82" fillId="0" borderId="0" xfId="0" applyFont="1" applyAlignment="1">
      <alignment horizontal="left"/>
    </xf>
    <xf numFmtId="14" fontId="82" fillId="0" borderId="0" xfId="0" applyNumberFormat="1" applyFont="1"/>
    <xf numFmtId="0" fontId="124" fillId="0" borderId="0" xfId="0" applyFont="1" applyAlignment="1">
      <alignment horizontal="left" vertical="center"/>
    </xf>
    <xf numFmtId="0" fontId="137" fillId="2" borderId="0" xfId="0" applyFont="1" applyFill="1"/>
    <xf numFmtId="0" fontId="67" fillId="2" borderId="0" xfId="0" applyFont="1" applyFill="1"/>
    <xf numFmtId="0" fontId="126" fillId="2" borderId="0" xfId="0" applyFont="1" applyFill="1" applyAlignment="1">
      <alignment horizontal="left" vertical="top"/>
    </xf>
    <xf numFmtId="49" fontId="85" fillId="2" borderId="0" xfId="0" applyNumberFormat="1" applyFont="1" applyFill="1"/>
    <xf numFmtId="1" fontId="62" fillId="2" borderId="0" xfId="0" applyNumberFormat="1" applyFont="1" applyFill="1" applyAlignment="1">
      <alignment horizontal="center"/>
    </xf>
    <xf numFmtId="1" fontId="86" fillId="2" borderId="0" xfId="0" applyNumberFormat="1" applyFont="1" applyFill="1"/>
    <xf numFmtId="49" fontId="126" fillId="2" borderId="0" xfId="0" applyNumberFormat="1" applyFont="1" applyFill="1" applyAlignment="1">
      <alignment horizontal="left" vertical="top"/>
    </xf>
    <xf numFmtId="0" fontId="139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46" fillId="32" borderId="41" xfId="0" applyFont="1" applyFill="1" applyBorder="1" applyAlignment="1">
      <alignment horizontal="center" vertical="center" wrapText="1"/>
    </xf>
    <xf numFmtId="0" fontId="46" fillId="32" borderId="3" xfId="0" applyFont="1" applyFill="1" applyBorder="1" applyAlignment="1">
      <alignment horizontal="center" vertical="center" wrapText="1"/>
    </xf>
    <xf numFmtId="0" fontId="46" fillId="15" borderId="7" xfId="0" applyFont="1" applyFill="1" applyBorder="1" applyAlignment="1">
      <alignment horizontal="center" vertical="center" wrapText="1"/>
    </xf>
    <xf numFmtId="0" fontId="46" fillId="15" borderId="29" xfId="0" applyFont="1" applyFill="1" applyBorder="1" applyAlignment="1">
      <alignment horizontal="center" vertical="center" wrapText="1"/>
    </xf>
    <xf numFmtId="0" fontId="131" fillId="15" borderId="45" xfId="0" applyFont="1" applyFill="1" applyBorder="1" applyAlignment="1">
      <alignment vertical="center"/>
    </xf>
    <xf numFmtId="0" fontId="46" fillId="15" borderId="50" xfId="0" applyFont="1" applyFill="1" applyBorder="1" applyAlignment="1">
      <alignment horizontal="center" vertical="center"/>
    </xf>
    <xf numFmtId="0" fontId="46" fillId="15" borderId="98" xfId="0" applyFont="1" applyFill="1" applyBorder="1" applyAlignment="1">
      <alignment horizontal="center" vertical="center"/>
    </xf>
    <xf numFmtId="9" fontId="5" fillId="2" borderId="0" xfId="2" applyFont="1" applyFill="1" applyBorder="1" applyAlignment="1" applyProtection="1">
      <alignment horizontal="center" vertical="center" wrapText="1"/>
    </xf>
    <xf numFmtId="0" fontId="20" fillId="3" borderId="20" xfId="0" applyFont="1" applyFill="1" applyBorder="1" applyAlignment="1">
      <alignment vertical="center"/>
    </xf>
    <xf numFmtId="0" fontId="20" fillId="3" borderId="20" xfId="0" applyFont="1" applyFill="1" applyBorder="1" applyAlignment="1">
      <alignment vertical="center" wrapText="1"/>
    </xf>
    <xf numFmtId="0" fontId="20" fillId="3" borderId="25" xfId="0" applyFont="1" applyFill="1" applyBorder="1" applyAlignment="1">
      <alignment vertical="center" wrapText="1"/>
    </xf>
    <xf numFmtId="0" fontId="0" fillId="3" borderId="44" xfId="0" applyFill="1" applyBorder="1" applyAlignment="1">
      <alignment horizontal="center"/>
    </xf>
    <xf numFmtId="0" fontId="20" fillId="3" borderId="47" xfId="0" applyFont="1" applyFill="1" applyBorder="1" applyAlignment="1">
      <alignment vertical="center"/>
    </xf>
    <xf numFmtId="0" fontId="20" fillId="3" borderId="47" xfId="0" applyFont="1" applyFill="1" applyBorder="1" applyAlignment="1">
      <alignment vertical="center" wrapText="1"/>
    </xf>
    <xf numFmtId="0" fontId="20" fillId="3" borderId="23" xfId="0" applyFont="1" applyFill="1" applyBorder="1" applyAlignment="1">
      <alignment vertical="center" wrapText="1"/>
    </xf>
    <xf numFmtId="1" fontId="57" fillId="2" borderId="9" xfId="0" applyNumberFormat="1" applyFont="1" applyFill="1" applyBorder="1" applyAlignment="1" applyProtection="1">
      <alignment horizontal="center" vertical="center"/>
      <protection locked="0"/>
    </xf>
    <xf numFmtId="1" fontId="73" fillId="2" borderId="20" xfId="0" applyNumberFormat="1" applyFont="1" applyFill="1" applyBorder="1" applyAlignment="1" applyProtection="1">
      <alignment horizontal="center" vertical="center"/>
      <protection locked="0"/>
    </xf>
    <xf numFmtId="9" fontId="5" fillId="2" borderId="7" xfId="2" applyFont="1" applyFill="1" applyBorder="1" applyAlignment="1" applyProtection="1">
      <alignment horizontal="center" vertical="center" wrapText="1"/>
      <protection locked="0"/>
    </xf>
    <xf numFmtId="1" fontId="5" fillId="2" borderId="29" xfId="2" applyNumberFormat="1" applyFont="1" applyFill="1" applyBorder="1" applyAlignment="1" applyProtection="1">
      <alignment horizontal="center" vertical="center" wrapText="1"/>
      <protection locked="0"/>
    </xf>
    <xf numFmtId="0" fontId="20" fillId="2" borderId="0" xfId="0" applyFont="1" applyFill="1" applyAlignment="1">
      <alignment vertical="top"/>
    </xf>
    <xf numFmtId="9" fontId="120" fillId="2" borderId="37" xfId="0" applyNumberFormat="1" applyFont="1" applyFill="1" applyBorder="1" applyAlignment="1">
      <alignment horizontal="center" vertical="center" wrapText="1"/>
    </xf>
    <xf numFmtId="164" fontId="38" fillId="0" borderId="9" xfId="0" applyNumberFormat="1" applyFont="1" applyBorder="1" applyAlignment="1">
      <alignment horizontal="center" wrapText="1"/>
    </xf>
    <xf numFmtId="0" fontId="184" fillId="2" borderId="9" xfId="0" applyFont="1" applyFill="1" applyBorder="1"/>
    <xf numFmtId="0" fontId="126" fillId="2" borderId="9" xfId="0" applyFont="1" applyFill="1" applyBorder="1" applyAlignment="1" applyProtection="1">
      <alignment vertical="center"/>
      <protection locked="0"/>
    </xf>
    <xf numFmtId="0" fontId="126" fillId="2" borderId="9" xfId="0" applyFont="1" applyFill="1" applyBorder="1" applyAlignment="1" applyProtection="1">
      <alignment horizontal="center" vertical="center"/>
      <protection locked="0"/>
    </xf>
    <xf numFmtId="0" fontId="113" fillId="2" borderId="9" xfId="0" applyFont="1" applyFill="1" applyBorder="1" applyAlignment="1" applyProtection="1">
      <alignment horizontal="center"/>
      <protection locked="0"/>
    </xf>
    <xf numFmtId="167" fontId="113" fillId="2" borderId="9" xfId="0" applyNumberFormat="1" applyFont="1" applyFill="1" applyBorder="1" applyAlignment="1" applyProtection="1">
      <alignment horizontal="center" vertical="center"/>
      <protection locked="0"/>
    </xf>
    <xf numFmtId="0" fontId="113" fillId="2" borderId="9" xfId="0" applyFont="1" applyFill="1" applyBorder="1" applyProtection="1">
      <protection locked="0"/>
    </xf>
    <xf numFmtId="166" fontId="113" fillId="2" borderId="9" xfId="0" applyNumberFormat="1" applyFont="1" applyFill="1" applyBorder="1" applyAlignment="1" applyProtection="1">
      <alignment horizontal="center" vertical="center"/>
      <protection locked="0"/>
    </xf>
    <xf numFmtId="0" fontId="116" fillId="2" borderId="41" xfId="0" applyFont="1" applyFill="1" applyBorder="1" applyProtection="1">
      <protection locked="0"/>
    </xf>
    <xf numFmtId="0" fontId="116" fillId="2" borderId="42" xfId="0" applyFont="1" applyFill="1" applyBorder="1" applyProtection="1">
      <protection locked="0"/>
    </xf>
    <xf numFmtId="49" fontId="115" fillId="2" borderId="46" xfId="0" applyNumberFormat="1" applyFont="1" applyFill="1" applyBorder="1" applyProtection="1">
      <protection locked="0"/>
    </xf>
    <xf numFmtId="0" fontId="120" fillId="20" borderId="9" xfId="0" applyFont="1" applyFill="1" applyBorder="1" applyAlignment="1">
      <alignment horizontal="center"/>
    </xf>
    <xf numFmtId="0" fontId="20" fillId="2" borderId="20" xfId="0" applyFont="1" applyFill="1" applyBorder="1" applyAlignment="1">
      <alignment vertical="center"/>
    </xf>
    <xf numFmtId="0" fontId="20" fillId="2" borderId="20" xfId="0" applyFont="1" applyFill="1" applyBorder="1" applyAlignment="1">
      <alignment vertical="center" wrapText="1"/>
    </xf>
    <xf numFmtId="0" fontId="20" fillId="2" borderId="25" xfId="0" applyFont="1" applyFill="1" applyBorder="1" applyAlignment="1">
      <alignment vertical="center" wrapText="1"/>
    </xf>
    <xf numFmtId="0" fontId="0" fillId="8" borderId="44" xfId="0" applyFill="1" applyBorder="1" applyAlignment="1">
      <alignment horizontal="center"/>
    </xf>
    <xf numFmtId="0" fontId="20" fillId="2" borderId="47" xfId="0" applyFont="1" applyFill="1" applyBorder="1" applyAlignment="1">
      <alignment vertical="center"/>
    </xf>
    <xf numFmtId="0" fontId="20" fillId="2" borderId="47" xfId="0" applyFont="1" applyFill="1" applyBorder="1" applyAlignment="1">
      <alignment vertical="center" wrapText="1"/>
    </xf>
    <xf numFmtId="0" fontId="20" fillId="2" borderId="23" xfId="0" applyFont="1" applyFill="1" applyBorder="1" applyAlignment="1">
      <alignment vertical="center" wrapText="1"/>
    </xf>
    <xf numFmtId="1" fontId="70" fillId="2" borderId="9" xfId="0" applyNumberFormat="1" applyFont="1" applyFill="1" applyBorder="1" applyAlignment="1" applyProtection="1">
      <alignment horizontal="center" vertical="center"/>
      <protection locked="0"/>
    </xf>
    <xf numFmtId="0" fontId="161" fillId="2" borderId="0" xfId="0" applyFont="1" applyFill="1"/>
    <xf numFmtId="0" fontId="162" fillId="2" borderId="0" xfId="0" applyFont="1" applyFill="1"/>
    <xf numFmtId="0" fontId="163" fillId="2" borderId="0" xfId="0" applyFont="1" applyFill="1" applyAlignment="1">
      <alignment vertical="center"/>
    </xf>
    <xf numFmtId="0" fontId="163" fillId="2" borderId="0" xfId="0" applyFont="1" applyFill="1"/>
    <xf numFmtId="0" fontId="164" fillId="2" borderId="0" xfId="0" applyFont="1" applyFill="1" applyAlignment="1">
      <alignment horizontal="left" vertical="top"/>
    </xf>
    <xf numFmtId="0" fontId="164" fillId="2" borderId="0" xfId="0" applyFont="1" applyFill="1" applyAlignment="1">
      <alignment horizontal="center"/>
    </xf>
    <xf numFmtId="0" fontId="165" fillId="2" borderId="0" xfId="0" applyFont="1" applyFill="1" applyAlignment="1">
      <alignment horizontal="center"/>
    </xf>
    <xf numFmtId="0" fontId="106" fillId="2" borderId="0" xfId="0" applyFont="1" applyFill="1" applyAlignment="1">
      <alignment horizontal="left" vertical="center"/>
    </xf>
    <xf numFmtId="0" fontId="65" fillId="19" borderId="10" xfId="0" applyFont="1" applyFill="1" applyBorder="1" applyAlignment="1">
      <alignment horizontal="center" vertical="center"/>
    </xf>
    <xf numFmtId="0" fontId="109" fillId="2" borderId="11" xfId="0" applyFont="1" applyFill="1" applyBorder="1" applyAlignment="1">
      <alignment vertical="center"/>
    </xf>
    <xf numFmtId="0" fontId="92" fillId="32" borderId="110" xfId="0" applyFont="1" applyFill="1" applyBorder="1" applyAlignment="1">
      <alignment horizontal="center" vertical="center" wrapText="1"/>
    </xf>
    <xf numFmtId="0" fontId="131" fillId="15" borderId="20" xfId="0" applyFont="1" applyFill="1" applyBorder="1" applyAlignment="1">
      <alignment vertical="center"/>
    </xf>
    <xf numFmtId="0" fontId="46" fillId="15" borderId="20" xfId="0" applyFont="1" applyFill="1" applyBorder="1" applyAlignment="1">
      <alignment horizontal="center" vertical="center"/>
    </xf>
    <xf numFmtId="0" fontId="46" fillId="15" borderId="25" xfId="0" applyFont="1" applyFill="1" applyBorder="1" applyAlignment="1">
      <alignment horizontal="center" vertical="center"/>
    </xf>
    <xf numFmtId="0" fontId="20" fillId="2" borderId="25" xfId="0" applyFont="1" applyFill="1" applyBorder="1" applyAlignment="1" applyProtection="1">
      <alignment horizontal="center"/>
      <protection locked="0"/>
    </xf>
    <xf numFmtId="0" fontId="20" fillId="2" borderId="40" xfId="0" applyFont="1" applyFill="1" applyBorder="1" applyAlignment="1" applyProtection="1">
      <alignment horizontal="center"/>
      <protection locked="0"/>
    </xf>
    <xf numFmtId="0" fontId="135" fillId="2" borderId="0" xfId="0" applyFont="1" applyFill="1" applyAlignment="1">
      <alignment vertical="center"/>
    </xf>
    <xf numFmtId="0" fontId="135" fillId="2" borderId="0" xfId="0" applyFont="1" applyFill="1"/>
    <xf numFmtId="0" fontId="136" fillId="2" borderId="0" xfId="0" applyFont="1" applyFill="1" applyAlignment="1">
      <alignment horizontal="left" vertical="top"/>
    </xf>
    <xf numFmtId="0" fontId="136" fillId="2" borderId="0" xfId="0" applyFont="1" applyFill="1" applyAlignment="1">
      <alignment horizontal="center"/>
    </xf>
    <xf numFmtId="0" fontId="65" fillId="6" borderId="37" xfId="0" applyFont="1" applyFill="1" applyBorder="1" applyAlignment="1">
      <alignment horizontal="center" vertical="center"/>
    </xf>
    <xf numFmtId="0" fontId="109" fillId="2" borderId="0" xfId="0" applyFont="1" applyFill="1" applyAlignment="1">
      <alignment vertical="center"/>
    </xf>
    <xf numFmtId="0" fontId="120" fillId="2" borderId="0" xfId="0" applyFont="1" applyFill="1" applyAlignment="1">
      <alignment horizontal="center"/>
    </xf>
    <xf numFmtId="0" fontId="121" fillId="2" borderId="0" xfId="0" applyFont="1" applyFill="1" applyAlignment="1">
      <alignment horizontal="center"/>
    </xf>
    <xf numFmtId="0" fontId="134" fillId="15" borderId="29" xfId="0" applyFont="1" applyFill="1" applyBorder="1" applyAlignment="1">
      <alignment horizontal="center" vertical="center" wrapText="1"/>
    </xf>
    <xf numFmtId="0" fontId="133" fillId="15" borderId="45" xfId="0" applyFont="1" applyFill="1" applyBorder="1" applyAlignment="1">
      <alignment vertical="center"/>
    </xf>
    <xf numFmtId="0" fontId="127" fillId="15" borderId="50" xfId="0" applyFont="1" applyFill="1" applyBorder="1" applyAlignment="1">
      <alignment horizontal="center" vertical="center"/>
    </xf>
    <xf numFmtId="0" fontId="127" fillId="15" borderId="98" xfId="0" applyFont="1" applyFill="1" applyBorder="1" applyAlignment="1">
      <alignment horizontal="center" vertical="center"/>
    </xf>
    <xf numFmtId="0" fontId="112" fillId="3" borderId="34" xfId="0" applyFont="1" applyFill="1" applyBorder="1" applyAlignment="1">
      <alignment horizontal="center"/>
    </xf>
    <xf numFmtId="0" fontId="124" fillId="3" borderId="20" xfId="0" applyFont="1" applyFill="1" applyBorder="1" applyAlignment="1">
      <alignment vertical="center"/>
    </xf>
    <xf numFmtId="0" fontId="124" fillId="3" borderId="20" xfId="0" applyFont="1" applyFill="1" applyBorder="1" applyAlignment="1">
      <alignment vertical="center" wrapText="1"/>
    </xf>
    <xf numFmtId="0" fontId="112" fillId="3" borderId="16" xfId="0" applyFont="1" applyFill="1" applyBorder="1" applyAlignment="1">
      <alignment horizontal="center"/>
    </xf>
    <xf numFmtId="0" fontId="112" fillId="3" borderId="44" xfId="0" applyFont="1" applyFill="1" applyBorder="1" applyAlignment="1">
      <alignment horizontal="center"/>
    </xf>
    <xf numFmtId="0" fontId="124" fillId="3" borderId="47" xfId="0" applyFont="1" applyFill="1" applyBorder="1" applyAlignment="1">
      <alignment vertical="center"/>
    </xf>
    <xf numFmtId="0" fontId="124" fillId="3" borderId="47" xfId="0" applyFont="1" applyFill="1" applyBorder="1" applyAlignment="1">
      <alignment vertical="center" wrapText="1"/>
    </xf>
    <xf numFmtId="0" fontId="124" fillId="2" borderId="20" xfId="0" applyFont="1" applyFill="1" applyBorder="1" applyAlignment="1" applyProtection="1">
      <alignment horizontal="center"/>
      <protection locked="0"/>
    </xf>
    <xf numFmtId="0" fontId="124" fillId="2" borderId="40" xfId="0" applyFont="1" applyFill="1" applyBorder="1" applyAlignment="1" applyProtection="1">
      <alignment horizontal="center"/>
      <protection locked="0"/>
    </xf>
    <xf numFmtId="0" fontId="17" fillId="2" borderId="0" xfId="0" applyFont="1" applyFill="1" applyAlignment="1">
      <alignment vertical="center"/>
    </xf>
    <xf numFmtId="0" fontId="64" fillId="12" borderId="8" xfId="0" applyFont="1" applyFill="1" applyBorder="1" applyAlignment="1">
      <alignment horizontal="center" vertical="center" wrapText="1"/>
    </xf>
    <xf numFmtId="0" fontId="64" fillId="12" borderId="19" xfId="0" applyFont="1" applyFill="1" applyBorder="1" applyAlignment="1">
      <alignment horizontal="center" vertical="center" wrapText="1"/>
    </xf>
    <xf numFmtId="0" fontId="64" fillId="15" borderId="19" xfId="0" applyFont="1" applyFill="1" applyBorder="1" applyAlignment="1">
      <alignment horizontal="center" vertical="center" wrapText="1"/>
    </xf>
    <xf numFmtId="0" fontId="64" fillId="15" borderId="78" xfId="0" applyFont="1" applyFill="1" applyBorder="1" applyAlignment="1">
      <alignment horizontal="center" vertical="center" wrapText="1"/>
    </xf>
    <xf numFmtId="0" fontId="64" fillId="33" borderId="29" xfId="0" applyFont="1" applyFill="1" applyBorder="1" applyAlignment="1">
      <alignment horizontal="center" vertical="center" wrapText="1"/>
    </xf>
    <xf numFmtId="0" fontId="131" fillId="27" borderId="18" xfId="0" applyFont="1" applyFill="1" applyBorder="1" applyAlignment="1">
      <alignment vertical="center"/>
    </xf>
    <xf numFmtId="0" fontId="46" fillId="27" borderId="19" xfId="0" applyFont="1" applyFill="1" applyBorder="1" applyAlignment="1">
      <alignment horizontal="center" vertical="center"/>
    </xf>
    <xf numFmtId="0" fontId="46" fillId="27" borderId="10" xfId="0" applyFont="1" applyFill="1" applyBorder="1" applyAlignment="1">
      <alignment horizontal="center" vertical="center"/>
    </xf>
    <xf numFmtId="1" fontId="64" fillId="2" borderId="0" xfId="2" applyNumberFormat="1" applyFont="1" applyFill="1" applyBorder="1" applyAlignment="1" applyProtection="1">
      <alignment horizontal="center" vertical="center" wrapText="1"/>
    </xf>
    <xf numFmtId="9" fontId="64" fillId="33" borderId="46" xfId="2" applyFont="1" applyFill="1" applyBorder="1" applyAlignment="1" applyProtection="1">
      <alignment horizontal="center" vertical="center" wrapText="1"/>
    </xf>
    <xf numFmtId="0" fontId="64" fillId="12" borderId="29" xfId="0" applyFont="1" applyFill="1" applyBorder="1" applyAlignment="1">
      <alignment vertical="center" wrapText="1"/>
    </xf>
    <xf numFmtId="164" fontId="64" fillId="3" borderId="9" xfId="2" applyNumberFormat="1" applyFont="1" applyFill="1" applyBorder="1" applyAlignment="1" applyProtection="1">
      <alignment horizontal="center" vertical="center" wrapText="1"/>
    </xf>
    <xf numFmtId="0" fontId="46" fillId="4" borderId="29" xfId="0" applyFont="1" applyFill="1" applyBorder="1" applyAlignment="1">
      <alignment vertical="center" wrapText="1"/>
    </xf>
    <xf numFmtId="1" fontId="64" fillId="2" borderId="0" xfId="2" applyNumberFormat="1" applyFont="1" applyFill="1" applyBorder="1" applyAlignment="1" applyProtection="1">
      <alignment horizontal="center" vertical="center" wrapText="1"/>
      <protection locked="0"/>
    </xf>
    <xf numFmtId="0" fontId="140" fillId="2" borderId="20" xfId="0" applyFont="1" applyFill="1" applyBorder="1" applyAlignment="1" applyProtection="1">
      <alignment horizontal="center"/>
      <protection locked="0"/>
    </xf>
    <xf numFmtId="0" fontId="110" fillId="2" borderId="25" xfId="0" applyFont="1" applyFill="1" applyBorder="1" applyAlignment="1" applyProtection="1">
      <alignment horizontal="center"/>
      <protection locked="0"/>
    </xf>
    <xf numFmtId="0" fontId="144" fillId="15" borderId="1" xfId="0" applyFont="1" applyFill="1" applyBorder="1" applyAlignment="1">
      <alignment vertical="center"/>
    </xf>
    <xf numFmtId="0" fontId="144" fillId="15" borderId="2" xfId="0" applyFont="1" applyFill="1" applyBorder="1" applyAlignment="1">
      <alignment vertical="center"/>
    </xf>
    <xf numFmtId="0" fontId="144" fillId="15" borderId="3" xfId="0" applyFont="1" applyFill="1" applyBorder="1" applyAlignment="1">
      <alignment vertical="center"/>
    </xf>
    <xf numFmtId="0" fontId="17" fillId="0" borderId="0" xfId="0" applyFont="1" applyAlignment="1">
      <alignment wrapText="1"/>
    </xf>
    <xf numFmtId="0" fontId="144" fillId="15" borderId="4" xfId="0" applyFont="1" applyFill="1" applyBorder="1" applyAlignment="1">
      <alignment vertical="center" wrapText="1"/>
    </xf>
    <xf numFmtId="0" fontId="144" fillId="15" borderId="5" xfId="0" applyFont="1" applyFill="1" applyBorder="1" applyAlignment="1">
      <alignment vertical="center" wrapText="1"/>
    </xf>
    <xf numFmtId="0" fontId="144" fillId="15" borderId="6" xfId="0" applyFont="1" applyFill="1" applyBorder="1" applyAlignment="1">
      <alignment vertical="center" wrapText="1"/>
    </xf>
    <xf numFmtId="0" fontId="77" fillId="0" borderId="0" xfId="0" applyFont="1"/>
    <xf numFmtId="0" fontId="99" fillId="22" borderId="46" xfId="0" applyFont="1" applyFill="1" applyBorder="1" applyAlignment="1">
      <alignment horizontal="center" vertical="center"/>
    </xf>
    <xf numFmtId="0" fontId="39" fillId="17" borderId="24" xfId="0" applyFont="1" applyFill="1" applyBorder="1" applyAlignment="1">
      <alignment horizontal="center" vertical="center"/>
    </xf>
    <xf numFmtId="0" fontId="64" fillId="32" borderId="9" xfId="0" applyFont="1" applyFill="1" applyBorder="1" applyAlignment="1">
      <alignment horizontal="center" vertical="center"/>
    </xf>
    <xf numFmtId="0" fontId="64" fillId="32" borderId="9" xfId="0" applyFont="1" applyFill="1" applyBorder="1" applyAlignment="1">
      <alignment horizontal="center" vertical="center" wrapText="1"/>
    </xf>
    <xf numFmtId="0" fontId="46" fillId="15" borderId="9" xfId="0" applyFont="1" applyFill="1" applyBorder="1" applyAlignment="1">
      <alignment horizontal="center" vertical="center" wrapText="1"/>
    </xf>
    <xf numFmtId="0" fontId="46" fillId="15" borderId="20" xfId="0" applyFont="1" applyFill="1" applyBorder="1" applyAlignment="1">
      <alignment horizontal="center" vertical="center" wrapText="1"/>
    </xf>
    <xf numFmtId="0" fontId="17" fillId="2" borderId="54" xfId="0" applyFont="1" applyFill="1" applyBorder="1" applyAlignment="1">
      <alignment horizontal="center" vertical="center" textRotation="90"/>
    </xf>
    <xf numFmtId="0" fontId="73" fillId="0" borderId="76" xfId="0" applyFont="1" applyBorder="1" applyAlignment="1">
      <alignment horizontal="center" vertical="center"/>
    </xf>
    <xf numFmtId="0" fontId="73" fillId="0" borderId="56" xfId="0" applyFont="1" applyBorder="1" applyAlignment="1">
      <alignment horizontal="center" vertical="center"/>
    </xf>
    <xf numFmtId="0" fontId="73" fillId="0" borderId="20" xfId="0" applyFont="1" applyBorder="1" applyAlignment="1">
      <alignment horizontal="center" vertical="center"/>
    </xf>
    <xf numFmtId="0" fontId="73" fillId="0" borderId="9" xfId="0" applyFont="1" applyBorder="1" applyAlignment="1">
      <alignment horizontal="center" vertical="center"/>
    </xf>
    <xf numFmtId="164" fontId="21" fillId="0" borderId="39" xfId="0" applyNumberFormat="1" applyFont="1" applyBorder="1" applyAlignment="1">
      <alignment horizontal="center"/>
    </xf>
    <xf numFmtId="0" fontId="53" fillId="2" borderId="12" xfId="0" applyFont="1" applyFill="1" applyBorder="1" applyAlignment="1">
      <alignment horizontal="center" vertical="center"/>
    </xf>
    <xf numFmtId="0" fontId="73" fillId="0" borderId="52" xfId="0" applyFont="1" applyBorder="1" applyAlignment="1">
      <alignment horizontal="center" vertical="center"/>
    </xf>
    <xf numFmtId="0" fontId="73" fillId="0" borderId="53" xfId="0" applyFont="1" applyBorder="1" applyAlignment="1">
      <alignment horizontal="center" vertical="center"/>
    </xf>
    <xf numFmtId="0" fontId="90" fillId="2" borderId="42" xfId="0" applyFont="1" applyFill="1" applyBorder="1" applyAlignment="1">
      <alignment horizontal="center" vertical="center"/>
    </xf>
    <xf numFmtId="0" fontId="90" fillId="2" borderId="46" xfId="0" applyFont="1" applyFill="1" applyBorder="1"/>
    <xf numFmtId="1" fontId="70" fillId="4" borderId="20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 shrinkToFit="1"/>
    </xf>
    <xf numFmtId="0" fontId="131" fillId="15" borderId="25" xfId="0" applyFont="1" applyFill="1" applyBorder="1" applyAlignment="1">
      <alignment vertical="center" shrinkToFit="1"/>
    </xf>
    <xf numFmtId="0" fontId="46" fillId="15" borderId="18" xfId="0" applyFont="1" applyFill="1" applyBorder="1" applyAlignment="1">
      <alignment horizontal="center" vertical="center" shrinkToFit="1"/>
    </xf>
    <xf numFmtId="0" fontId="46" fillId="15" borderId="19" xfId="0" applyFont="1" applyFill="1" applyBorder="1" applyAlignment="1">
      <alignment horizontal="center" vertical="center" shrinkToFit="1"/>
    </xf>
    <xf numFmtId="0" fontId="46" fillId="15" borderId="10" xfId="0" applyFont="1" applyFill="1" applyBorder="1" applyAlignment="1">
      <alignment horizontal="center" vertical="center" shrinkToFit="1"/>
    </xf>
    <xf numFmtId="9" fontId="5" fillId="6" borderId="55" xfId="2" applyFont="1" applyFill="1" applyBorder="1" applyAlignment="1" applyProtection="1">
      <alignment horizontal="center" vertical="center" wrapText="1"/>
    </xf>
    <xf numFmtId="1" fontId="64" fillId="2" borderId="55" xfId="2" applyNumberFormat="1" applyFont="1" applyFill="1" applyBorder="1" applyAlignment="1" applyProtection="1">
      <alignment horizontal="center" vertical="center" wrapText="1"/>
    </xf>
    <xf numFmtId="164" fontId="73" fillId="14" borderId="27" xfId="0" applyNumberFormat="1" applyFont="1" applyFill="1" applyBorder="1" applyAlignment="1">
      <alignment horizontal="center" vertical="center"/>
    </xf>
    <xf numFmtId="0" fontId="92" fillId="12" borderId="67" xfId="0" applyFont="1" applyFill="1" applyBorder="1" applyAlignment="1">
      <alignment horizontal="center" vertical="center" wrapText="1"/>
    </xf>
    <xf numFmtId="0" fontId="64" fillId="2" borderId="67" xfId="0" applyFont="1" applyFill="1" applyBorder="1" applyAlignment="1">
      <alignment horizontal="center" vertical="center" wrapText="1"/>
    </xf>
    <xf numFmtId="0" fontId="64" fillId="6" borderId="107" xfId="0" applyFont="1" applyFill="1" applyBorder="1" applyAlignment="1">
      <alignment horizontal="center" vertical="center" wrapText="1"/>
    </xf>
    <xf numFmtId="9" fontId="64" fillId="12" borderId="69" xfId="2" applyFont="1" applyFill="1" applyBorder="1" applyAlignment="1" applyProtection="1">
      <alignment horizontal="center" vertical="center" wrapText="1"/>
    </xf>
    <xf numFmtId="9" fontId="64" fillId="2" borderId="69" xfId="2" applyFont="1" applyFill="1" applyBorder="1" applyAlignment="1" applyProtection="1">
      <alignment horizontal="center" vertical="center" wrapText="1"/>
    </xf>
    <xf numFmtId="1" fontId="64" fillId="2" borderId="69" xfId="2" applyNumberFormat="1" applyFont="1" applyFill="1" applyBorder="1" applyAlignment="1" applyProtection="1">
      <alignment horizontal="center" vertical="center" wrapText="1"/>
    </xf>
    <xf numFmtId="9" fontId="64" fillId="6" borderId="109" xfId="2" applyFont="1" applyFill="1" applyBorder="1" applyAlignment="1" applyProtection="1">
      <alignment horizontal="center" vertical="center" wrapText="1"/>
    </xf>
    <xf numFmtId="1" fontId="4" fillId="0" borderId="9" xfId="0" applyNumberFormat="1" applyFont="1" applyBorder="1" applyAlignment="1">
      <alignment horizontal="center" vertical="center"/>
    </xf>
    <xf numFmtId="0" fontId="103" fillId="0" borderId="0" xfId="0" applyFont="1"/>
    <xf numFmtId="0" fontId="41" fillId="2" borderId="0" xfId="0" applyFont="1" applyFill="1" applyAlignment="1">
      <alignment horizontal="right"/>
    </xf>
    <xf numFmtId="0" fontId="9" fillId="2" borderId="0" xfId="0" applyFont="1" applyFill="1"/>
    <xf numFmtId="0" fontId="101" fillId="2" borderId="0" xfId="0" applyFont="1" applyFill="1" applyAlignment="1">
      <alignment horizontal="right"/>
    </xf>
    <xf numFmtId="0" fontId="11" fillId="2" borderId="0" xfId="0" applyFont="1" applyFill="1"/>
    <xf numFmtId="14" fontId="9" fillId="2" borderId="0" xfId="0" applyNumberFormat="1" applyFont="1" applyFill="1"/>
    <xf numFmtId="0" fontId="102" fillId="2" borderId="0" xfId="0" applyFont="1" applyFill="1"/>
    <xf numFmtId="0" fontId="38" fillId="2" borderId="0" xfId="0" applyFont="1" applyFill="1"/>
    <xf numFmtId="0" fontId="9" fillId="2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100" fillId="32" borderId="45" xfId="0" applyFont="1" applyFill="1" applyBorder="1" applyAlignment="1">
      <alignment vertical="center" textRotation="90" wrapText="1"/>
    </xf>
    <xf numFmtId="0" fontId="100" fillId="32" borderId="50" xfId="0" applyFont="1" applyFill="1" applyBorder="1" applyAlignment="1">
      <alignment vertical="center" textRotation="90"/>
    </xf>
    <xf numFmtId="0" fontId="100" fillId="32" borderId="51" xfId="0" applyFont="1" applyFill="1" applyBorder="1" applyAlignment="1">
      <alignment vertical="center" textRotation="90"/>
    </xf>
    <xf numFmtId="0" fontId="11" fillId="32" borderId="18" xfId="0" applyFont="1" applyFill="1" applyBorder="1" applyAlignment="1">
      <alignment horizontal="center" vertical="center" textRotation="90"/>
    </xf>
    <xf numFmtId="0" fontId="11" fillId="32" borderId="19" xfId="0" applyFont="1" applyFill="1" applyBorder="1" applyAlignment="1">
      <alignment horizontal="center" vertical="center" textRotation="90"/>
    </xf>
    <xf numFmtId="0" fontId="11" fillId="32" borderId="10" xfId="0" applyFont="1" applyFill="1" applyBorder="1" applyAlignment="1">
      <alignment horizontal="center" vertical="center" textRotation="90"/>
    </xf>
    <xf numFmtId="1" fontId="4" fillId="0" borderId="20" xfId="0" applyNumberFormat="1" applyFont="1" applyBorder="1" applyAlignment="1">
      <alignment horizontal="center" vertical="center"/>
    </xf>
    <xf numFmtId="0" fontId="3" fillId="0" borderId="20" xfId="0" applyFont="1" applyBorder="1" applyAlignment="1" applyProtection="1">
      <alignment horizontal="center" vertical="center"/>
      <protection locked="0"/>
    </xf>
    <xf numFmtId="0" fontId="3" fillId="0" borderId="20" xfId="0" applyFont="1" applyBorder="1" applyAlignment="1">
      <alignment horizontal="center" vertical="center"/>
    </xf>
    <xf numFmtId="0" fontId="3" fillId="0" borderId="9" xfId="0" applyFont="1" applyBorder="1" applyAlignment="1" applyProtection="1">
      <alignment horizontal="center" vertical="center"/>
      <protection locked="0"/>
    </xf>
    <xf numFmtId="0" fontId="3" fillId="0" borderId="9" xfId="0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0" fontId="0" fillId="0" borderId="9" xfId="0" applyBorder="1" applyAlignment="1" applyProtection="1">
      <alignment horizontal="center" vertical="center"/>
      <protection locked="0"/>
    </xf>
    <xf numFmtId="0" fontId="3" fillId="0" borderId="9" xfId="0" applyFont="1" applyBorder="1"/>
    <xf numFmtId="1" fontId="3" fillId="0" borderId="9" xfId="0" applyNumberFormat="1" applyFont="1" applyBorder="1"/>
    <xf numFmtId="0" fontId="21" fillId="24" borderId="82" xfId="0" applyFont="1" applyFill="1" applyBorder="1" applyAlignment="1">
      <alignment horizontal="center" vertical="center" wrapText="1"/>
    </xf>
    <xf numFmtId="0" fontId="5" fillId="24" borderId="83" xfId="0" applyFont="1" applyFill="1" applyBorder="1" applyAlignment="1">
      <alignment horizontal="center" vertical="center" wrapText="1"/>
    </xf>
    <xf numFmtId="9" fontId="5" fillId="24" borderId="83" xfId="0" applyNumberFormat="1" applyFont="1" applyFill="1" applyBorder="1" applyAlignment="1">
      <alignment horizontal="center" vertical="center" wrapText="1"/>
    </xf>
    <xf numFmtId="9" fontId="5" fillId="24" borderId="90" xfId="0" applyNumberFormat="1" applyFont="1" applyFill="1" applyBorder="1" applyAlignment="1">
      <alignment horizontal="center" vertical="center" wrapText="1"/>
    </xf>
    <xf numFmtId="9" fontId="5" fillId="24" borderId="29" xfId="0" applyNumberFormat="1" applyFont="1" applyFill="1" applyBorder="1" applyAlignment="1">
      <alignment horizontal="center" vertical="center" wrapText="1"/>
    </xf>
    <xf numFmtId="0" fontId="21" fillId="24" borderId="79" xfId="0" applyFont="1" applyFill="1" applyBorder="1" applyAlignment="1">
      <alignment horizontal="center" vertical="center" wrapText="1"/>
    </xf>
    <xf numFmtId="0" fontId="5" fillId="24" borderId="79" xfId="0" applyFont="1" applyFill="1" applyBorder="1" applyAlignment="1">
      <alignment horizontal="center" vertical="center" wrapText="1"/>
    </xf>
    <xf numFmtId="9" fontId="5" fillId="24" borderId="79" xfId="0" applyNumberFormat="1" applyFont="1" applyFill="1" applyBorder="1" applyAlignment="1">
      <alignment horizontal="center" vertical="center" wrapText="1"/>
    </xf>
    <xf numFmtId="9" fontId="5" fillId="24" borderId="91" xfId="0" applyNumberFormat="1" applyFont="1" applyFill="1" applyBorder="1" applyAlignment="1">
      <alignment horizontal="center" vertical="center" wrapText="1"/>
    </xf>
    <xf numFmtId="0" fontId="160" fillId="0" borderId="0" xfId="0" applyFont="1"/>
    <xf numFmtId="0" fontId="1" fillId="2" borderId="0" xfId="0" applyFont="1" applyFill="1" applyAlignment="1">
      <alignment horizontal="left"/>
    </xf>
    <xf numFmtId="164" fontId="64" fillId="8" borderId="9" xfId="2" applyNumberFormat="1" applyFont="1" applyFill="1" applyBorder="1" applyAlignment="1" applyProtection="1">
      <alignment horizontal="center" vertical="center" wrapText="1"/>
    </xf>
    <xf numFmtId="9" fontId="5" fillId="35" borderId="111" xfId="2" applyFont="1" applyFill="1" applyBorder="1" applyAlignment="1" applyProtection="1">
      <alignment horizontal="center" vertical="center" wrapText="1"/>
      <protection locked="0"/>
    </xf>
    <xf numFmtId="9" fontId="130" fillId="35" borderId="29" xfId="2" applyFont="1" applyFill="1" applyBorder="1" applyAlignment="1" applyProtection="1">
      <alignment horizontal="center" vertical="center" wrapText="1"/>
      <protection locked="0"/>
    </xf>
    <xf numFmtId="0" fontId="3" fillId="0" borderId="9" xfId="0" applyFont="1" applyBorder="1" applyProtection="1">
      <protection locked="0"/>
    </xf>
    <xf numFmtId="0" fontId="3" fillId="0" borderId="9" xfId="0" applyFont="1" applyBorder="1" applyAlignment="1" applyProtection="1">
      <alignment horizontal="left"/>
      <protection locked="0"/>
    </xf>
    <xf numFmtId="0" fontId="2" fillId="0" borderId="9" xfId="0" applyFont="1" applyBorder="1" applyProtection="1">
      <protection locked="0"/>
    </xf>
    <xf numFmtId="0" fontId="18" fillId="0" borderId="20" xfId="0" applyFont="1" applyBorder="1" applyAlignment="1" applyProtection="1">
      <alignment vertical="top" wrapText="1"/>
      <protection locked="0"/>
    </xf>
    <xf numFmtId="0" fontId="18" fillId="0" borderId="9" xfId="0" applyFont="1" applyBorder="1" applyAlignment="1" applyProtection="1">
      <alignment vertical="top" wrapText="1"/>
      <protection locked="0"/>
    </xf>
    <xf numFmtId="0" fontId="182" fillId="5" borderId="37" xfId="0" applyFont="1" applyFill="1" applyBorder="1" applyAlignment="1">
      <alignment horizontal="center" vertical="center"/>
    </xf>
    <xf numFmtId="0" fontId="59" fillId="0" borderId="0" xfId="0" applyFont="1"/>
    <xf numFmtId="0" fontId="55" fillId="2" borderId="0" xfId="0" applyFont="1" applyFill="1"/>
    <xf numFmtId="0" fontId="53" fillId="0" borderId="0" xfId="0" applyFont="1" applyAlignment="1">
      <alignment horizontal="center"/>
    </xf>
    <xf numFmtId="0" fontId="53" fillId="2" borderId="0" xfId="0" applyFont="1" applyFill="1"/>
    <xf numFmtId="0" fontId="53" fillId="0" borderId="1" xfId="0" applyFont="1" applyBorder="1" applyAlignment="1" applyProtection="1">
      <alignment vertical="center"/>
      <protection locked="0" hidden="1"/>
    </xf>
    <xf numFmtId="168" fontId="53" fillId="0" borderId="3" xfId="0" applyNumberFormat="1" applyFont="1" applyBorder="1" applyProtection="1">
      <protection locked="0" hidden="1"/>
    </xf>
    <xf numFmtId="0" fontId="53" fillId="0" borderId="11" xfId="0" applyFont="1" applyBorder="1" applyAlignment="1" applyProtection="1">
      <alignment vertical="center"/>
      <protection locked="0" hidden="1"/>
    </xf>
    <xf numFmtId="168" fontId="53" fillId="0" borderId="12" xfId="0" applyNumberFormat="1" applyFont="1" applyBorder="1" applyProtection="1">
      <protection locked="0" hidden="1"/>
    </xf>
    <xf numFmtId="0" fontId="53" fillId="0" borderId="4" xfId="0" applyFont="1" applyBorder="1" applyAlignment="1" applyProtection="1">
      <alignment vertical="center"/>
      <protection locked="0" hidden="1"/>
    </xf>
    <xf numFmtId="168" fontId="53" fillId="0" borderId="6" xfId="0" applyNumberFormat="1" applyFont="1" applyBorder="1" applyProtection="1">
      <protection locked="0" hidden="1"/>
    </xf>
    <xf numFmtId="0" fontId="41" fillId="2" borderId="0" xfId="0" applyFont="1" applyFill="1"/>
    <xf numFmtId="0" fontId="42" fillId="0" borderId="0" xfId="0" applyFont="1"/>
    <xf numFmtId="0" fontId="97" fillId="15" borderId="9" xfId="0" applyFont="1" applyFill="1" applyBorder="1" applyAlignment="1">
      <alignment horizontal="right" vertical="center"/>
    </xf>
    <xf numFmtId="0" fontId="97" fillId="32" borderId="9" xfId="0" applyFont="1" applyFill="1" applyBorder="1" applyAlignment="1">
      <alignment horizontal="right" vertical="center"/>
    </xf>
    <xf numFmtId="0" fontId="112" fillId="0" borderId="9" xfId="0" applyFont="1" applyBorder="1"/>
    <xf numFmtId="164" fontId="117" fillId="0" borderId="9" xfId="0" applyNumberFormat="1" applyFont="1" applyBorder="1" applyAlignment="1">
      <alignment horizontal="left" vertical="center"/>
    </xf>
    <xf numFmtId="164" fontId="112" fillId="2" borderId="37" xfId="0" applyNumberFormat="1" applyFont="1" applyFill="1" applyBorder="1" applyAlignment="1">
      <alignment horizontal="center" vertical="center"/>
    </xf>
    <xf numFmtId="0" fontId="97" fillId="2" borderId="11" xfId="0" applyFont="1" applyFill="1" applyBorder="1" applyAlignment="1">
      <alignment horizontal="center" vertical="center"/>
    </xf>
    <xf numFmtId="165" fontId="112" fillId="0" borderId="0" xfId="0" applyNumberFormat="1" applyFont="1" applyAlignment="1">
      <alignment horizontal="center" vertical="center"/>
    </xf>
    <xf numFmtId="0" fontId="97" fillId="2" borderId="0" xfId="0" applyFont="1" applyFill="1" applyAlignment="1">
      <alignment horizontal="center" vertical="center"/>
    </xf>
    <xf numFmtId="165" fontId="0" fillId="2" borderId="0" xfId="0" applyNumberFormat="1" applyFill="1" applyAlignment="1">
      <alignment horizontal="center" vertical="center"/>
    </xf>
    <xf numFmtId="0" fontId="53" fillId="0" borderId="1" xfId="0" applyFont="1" applyBorder="1" applyAlignment="1" applyProtection="1">
      <alignment vertical="center"/>
      <protection locked="0"/>
    </xf>
    <xf numFmtId="168" fontId="53" fillId="0" borderId="3" xfId="0" applyNumberFormat="1" applyFont="1" applyBorder="1" applyProtection="1">
      <protection locked="0"/>
    </xf>
    <xf numFmtId="0" fontId="53" fillId="0" borderId="11" xfId="0" applyFont="1" applyBorder="1" applyAlignment="1" applyProtection="1">
      <alignment vertical="center"/>
      <protection locked="0"/>
    </xf>
    <xf numFmtId="168" fontId="53" fillId="0" borderId="12" xfId="0" applyNumberFormat="1" applyFont="1" applyBorder="1" applyProtection="1">
      <protection locked="0"/>
    </xf>
    <xf numFmtId="0" fontId="53" fillId="0" borderId="4" xfId="0" applyFont="1" applyBorder="1" applyAlignment="1" applyProtection="1">
      <alignment vertical="center"/>
      <protection locked="0"/>
    </xf>
    <xf numFmtId="168" fontId="53" fillId="0" borderId="6" xfId="0" applyNumberFormat="1" applyFont="1" applyBorder="1" applyProtection="1">
      <protection locked="0"/>
    </xf>
    <xf numFmtId="0" fontId="53" fillId="0" borderId="0" xfId="0" applyFont="1" applyAlignment="1">
      <alignment vertical="center"/>
    </xf>
    <xf numFmtId="168" fontId="53" fillId="0" borderId="0" xfId="0" applyNumberFormat="1" applyFont="1"/>
    <xf numFmtId="0" fontId="47" fillId="0" borderId="0" xfId="0" applyFont="1" applyAlignment="1">
      <alignment horizontal="center"/>
    </xf>
    <xf numFmtId="0" fontId="47" fillId="0" borderId="0" xfId="0" applyFont="1" applyAlignment="1">
      <alignment horizontal="center" wrapText="1"/>
    </xf>
    <xf numFmtId="0" fontId="53" fillId="2" borderId="0" xfId="0" applyFont="1" applyFill="1" applyAlignment="1">
      <alignment vertical="center"/>
    </xf>
    <xf numFmtId="0" fontId="0" fillId="3" borderId="39" xfId="0" applyFill="1" applyBorder="1" applyAlignment="1">
      <alignment horizontal="center" vertical="center"/>
    </xf>
    <xf numFmtId="0" fontId="39" fillId="3" borderId="24" xfId="0" applyFont="1" applyFill="1" applyBorder="1" applyAlignment="1">
      <alignment horizontal="center" vertical="center"/>
    </xf>
    <xf numFmtId="0" fontId="64" fillId="12" borderId="7" xfId="0" applyFont="1" applyFill="1" applyBorder="1" applyAlignment="1">
      <alignment horizontal="center" vertical="center"/>
    </xf>
    <xf numFmtId="0" fontId="140" fillId="12" borderId="29" xfId="0" applyFont="1" applyFill="1" applyBorder="1" applyAlignment="1">
      <alignment horizontal="center" vertical="center" wrapText="1"/>
    </xf>
    <xf numFmtId="0" fontId="141" fillId="12" borderId="75" xfId="0" applyFont="1" applyFill="1" applyBorder="1" applyAlignment="1">
      <alignment horizontal="center" vertical="center" wrapText="1"/>
    </xf>
    <xf numFmtId="0" fontId="46" fillId="15" borderId="75" xfId="0" applyFont="1" applyFill="1" applyBorder="1" applyAlignment="1">
      <alignment horizontal="center" vertical="center" wrapText="1"/>
    </xf>
    <xf numFmtId="9" fontId="54" fillId="2" borderId="9" xfId="0" applyNumberFormat="1" applyFont="1" applyFill="1" applyBorder="1" applyAlignment="1">
      <alignment horizontal="center" vertical="center" textRotation="90"/>
    </xf>
    <xf numFmtId="0" fontId="0" fillId="3" borderId="20" xfId="0" applyFill="1" applyBorder="1" applyAlignment="1">
      <alignment horizontal="center"/>
    </xf>
    <xf numFmtId="0" fontId="73" fillId="3" borderId="20" xfId="0" applyFont="1" applyFill="1" applyBorder="1" applyAlignment="1">
      <alignment horizontal="center" vertical="center"/>
    </xf>
    <xf numFmtId="0" fontId="64" fillId="3" borderId="20" xfId="0" applyFont="1" applyFill="1" applyBorder="1" applyAlignment="1">
      <alignment horizontal="center" vertical="center"/>
    </xf>
    <xf numFmtId="164" fontId="5" fillId="3" borderId="27" xfId="0" applyNumberFormat="1" applyFon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73" fillId="3" borderId="9" xfId="0" applyFont="1" applyFill="1" applyBorder="1" applyAlignment="1">
      <alignment horizontal="center" vertical="center"/>
    </xf>
    <xf numFmtId="0" fontId="64" fillId="3" borderId="9" xfId="0" applyFont="1" applyFill="1" applyBorder="1" applyAlignment="1">
      <alignment horizontal="center" vertical="center"/>
    </xf>
    <xf numFmtId="164" fontId="5" fillId="3" borderId="39" xfId="0" applyNumberFormat="1" applyFont="1" applyFill="1" applyBorder="1" applyAlignment="1">
      <alignment horizontal="center"/>
    </xf>
    <xf numFmtId="0" fontId="0" fillId="34" borderId="0" xfId="0" applyFill="1"/>
    <xf numFmtId="0" fontId="0" fillId="34" borderId="9" xfId="0" applyFill="1" applyBorder="1"/>
    <xf numFmtId="0" fontId="41" fillId="3" borderId="20" xfId="0" applyFont="1" applyFill="1" applyBorder="1" applyAlignment="1" applyProtection="1">
      <alignment horizontal="center" vertical="center"/>
      <protection locked="0"/>
    </xf>
    <xf numFmtId="0" fontId="41" fillId="3" borderId="9" xfId="0" applyFont="1" applyFill="1" applyBorder="1" applyAlignment="1" applyProtection="1">
      <alignment horizontal="center" vertical="center"/>
      <protection locked="0"/>
    </xf>
    <xf numFmtId="0" fontId="41" fillId="3" borderId="40" xfId="0" applyFont="1" applyFill="1" applyBorder="1" applyAlignment="1" applyProtection="1">
      <alignment horizontal="center" vertical="center"/>
      <protection locked="0"/>
    </xf>
    <xf numFmtId="49" fontId="54" fillId="0" borderId="39" xfId="0" applyNumberFormat="1" applyFont="1" applyBorder="1" applyAlignment="1" applyProtection="1">
      <alignment horizontal="center" vertical="center" textRotation="90"/>
      <protection locked="0"/>
    </xf>
    <xf numFmtId="49" fontId="54" fillId="0" borderId="9" xfId="0" applyNumberFormat="1" applyFont="1" applyBorder="1" applyAlignment="1" applyProtection="1">
      <alignment horizontal="center" vertical="center" textRotation="90"/>
      <protection locked="0"/>
    </xf>
    <xf numFmtId="49" fontId="54" fillId="0" borderId="40" xfId="0" applyNumberFormat="1" applyFont="1" applyBorder="1" applyAlignment="1" applyProtection="1">
      <alignment horizontal="center" vertical="center" textRotation="90"/>
      <protection locked="0"/>
    </xf>
    <xf numFmtId="0" fontId="0" fillId="3" borderId="27" xfId="0" applyFill="1" applyBorder="1" applyAlignment="1" applyProtection="1">
      <alignment horizontal="center" vertical="center"/>
      <protection locked="0"/>
    </xf>
    <xf numFmtId="0" fontId="0" fillId="3" borderId="39" xfId="0" applyFill="1" applyBorder="1" applyAlignment="1" applyProtection="1">
      <alignment horizontal="center" vertical="center"/>
      <protection locked="0"/>
    </xf>
    <xf numFmtId="0" fontId="41" fillId="17" borderId="20" xfId="0" applyFont="1" applyFill="1" applyBorder="1" applyAlignment="1" applyProtection="1">
      <alignment horizontal="center" vertical="center"/>
      <protection locked="0"/>
    </xf>
    <xf numFmtId="0" fontId="41" fillId="17" borderId="9" xfId="0" applyFont="1" applyFill="1" applyBorder="1" applyAlignment="1" applyProtection="1">
      <alignment horizontal="center" vertical="center"/>
      <protection locked="0"/>
    </xf>
    <xf numFmtId="0" fontId="41" fillId="17" borderId="40" xfId="0" applyFont="1" applyFill="1" applyBorder="1" applyAlignment="1" applyProtection="1">
      <alignment horizontal="center" vertical="center"/>
      <protection locked="0"/>
    </xf>
    <xf numFmtId="0" fontId="0" fillId="0" borderId="39" xfId="0" applyBorder="1" applyAlignment="1" applyProtection="1">
      <alignment horizontal="center" vertical="center"/>
      <protection locked="0"/>
    </xf>
    <xf numFmtId="0" fontId="0" fillId="2" borderId="9" xfId="0" applyFill="1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0" fillId="0" borderId="72" xfId="0" applyBorder="1"/>
    <xf numFmtId="0" fontId="0" fillId="0" borderId="73" xfId="0" applyBorder="1"/>
    <xf numFmtId="49" fontId="0" fillId="0" borderId="0" xfId="0" applyNumberFormat="1"/>
    <xf numFmtId="0" fontId="1" fillId="13" borderId="9" xfId="0" applyFont="1" applyFill="1" applyBorder="1" applyAlignment="1">
      <alignment horizontal="center" vertical="center" wrapText="1"/>
    </xf>
    <xf numFmtId="0" fontId="95" fillId="13" borderId="9" xfId="0" applyFont="1" applyFill="1" applyBorder="1" applyAlignment="1">
      <alignment horizontal="center" vertical="center"/>
    </xf>
    <xf numFmtId="0" fontId="94" fillId="2" borderId="9" xfId="0" applyFont="1" applyFill="1" applyBorder="1" applyAlignment="1">
      <alignment horizontal="center" vertical="center" wrapText="1"/>
    </xf>
    <xf numFmtId="0" fontId="94" fillId="8" borderId="9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71" xfId="0" applyFont="1" applyBorder="1" applyAlignment="1">
      <alignment horizontal="center" vertical="center" wrapText="1"/>
    </xf>
    <xf numFmtId="0" fontId="122" fillId="27" borderId="41" xfId="0" applyFont="1" applyFill="1" applyBorder="1" applyAlignment="1">
      <alignment horizontal="center" vertical="center"/>
    </xf>
    <xf numFmtId="0" fontId="124" fillId="2" borderId="29" xfId="0" applyFont="1" applyFill="1" applyBorder="1" applyAlignment="1">
      <alignment horizontal="center" vertical="center"/>
    </xf>
    <xf numFmtId="0" fontId="122" fillId="12" borderId="29" xfId="0" applyFont="1" applyFill="1" applyBorder="1" applyAlignment="1">
      <alignment horizontal="center" vertical="center"/>
    </xf>
    <xf numFmtId="0" fontId="129" fillId="2" borderId="46" xfId="0" applyFont="1" applyFill="1" applyBorder="1" applyAlignment="1">
      <alignment horizontal="center" vertical="center"/>
    </xf>
    <xf numFmtId="0" fontId="38" fillId="2" borderId="2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94" fillId="2" borderId="20" xfId="0" applyFont="1" applyFill="1" applyBorder="1" applyAlignment="1">
      <alignment horizontal="center" vertical="center" wrapText="1"/>
    </xf>
    <xf numFmtId="0" fontId="94" fillId="8" borderId="20" xfId="0" applyFont="1" applyFill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38" fillId="2" borderId="9" xfId="0" applyFont="1" applyFill="1" applyBorder="1" applyAlignment="1">
      <alignment horizontal="center" vertical="center"/>
    </xf>
    <xf numFmtId="0" fontId="37" fillId="2" borderId="9" xfId="0" applyFont="1" applyFill="1" applyBorder="1" applyAlignment="1">
      <alignment horizontal="center" vertical="center" wrapText="1"/>
    </xf>
    <xf numFmtId="0" fontId="7" fillId="0" borderId="70" xfId="0" applyFont="1" applyBorder="1"/>
    <xf numFmtId="0" fontId="1" fillId="0" borderId="37" xfId="0" applyFont="1" applyBorder="1" applyAlignment="1">
      <alignment horizontal="center" vertical="center" wrapText="1"/>
    </xf>
    <xf numFmtId="0" fontId="38" fillId="2" borderId="37" xfId="0" applyFont="1" applyFill="1" applyBorder="1" applyAlignment="1">
      <alignment horizontal="center" vertical="center"/>
    </xf>
    <xf numFmtId="0" fontId="37" fillId="2" borderId="37" xfId="0" applyFont="1" applyFill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37" fillId="2" borderId="0" xfId="0" applyFont="1" applyFill="1" applyAlignment="1">
      <alignment horizontal="center" vertical="center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center" vertical="top" wrapText="1"/>
    </xf>
    <xf numFmtId="0" fontId="1" fillId="0" borderId="24" xfId="0" applyFont="1" applyBorder="1" applyAlignment="1">
      <alignment vertical="top" wrapText="1"/>
    </xf>
    <xf numFmtId="49" fontId="53" fillId="0" borderId="0" xfId="0" applyNumberFormat="1" applyFont="1" applyAlignment="1">
      <alignment horizontal="center" vertical="center"/>
    </xf>
    <xf numFmtId="9" fontId="53" fillId="2" borderId="0" xfId="2" applyFont="1" applyFill="1" applyBorder="1" applyProtection="1"/>
    <xf numFmtId="0" fontId="185" fillId="7" borderId="9" xfId="0" applyFont="1" applyFill="1" applyBorder="1" applyAlignment="1">
      <alignment horizontal="center" vertical="center" wrapText="1"/>
    </xf>
    <xf numFmtId="0" fontId="155" fillId="2" borderId="81" xfId="0" applyFont="1" applyFill="1" applyBorder="1" applyAlignment="1">
      <alignment horizontal="center" vertical="center" wrapText="1"/>
    </xf>
    <xf numFmtId="0" fontId="155" fillId="2" borderId="80" xfId="0" applyFont="1" applyFill="1" applyBorder="1" applyAlignment="1">
      <alignment horizontal="center" vertical="center" wrapText="1"/>
    </xf>
    <xf numFmtId="0" fontId="70" fillId="8" borderId="20" xfId="0" applyFont="1" applyFill="1" applyBorder="1" applyAlignment="1">
      <alignment vertical="center"/>
    </xf>
    <xf numFmtId="0" fontId="70" fillId="8" borderId="20" xfId="0" applyFont="1" applyFill="1" applyBorder="1" applyAlignment="1">
      <alignment vertical="center" wrapText="1"/>
    </xf>
    <xf numFmtId="0" fontId="70" fillId="8" borderId="25" xfId="0" applyFont="1" applyFill="1" applyBorder="1" applyAlignment="1">
      <alignment vertical="center" wrapText="1"/>
    </xf>
    <xf numFmtId="0" fontId="70" fillId="8" borderId="47" xfId="0" applyFont="1" applyFill="1" applyBorder="1" applyAlignment="1">
      <alignment vertical="center"/>
    </xf>
    <xf numFmtId="0" fontId="70" fillId="8" borderId="47" xfId="0" applyFont="1" applyFill="1" applyBorder="1" applyAlignment="1">
      <alignment vertical="center" wrapText="1"/>
    </xf>
    <xf numFmtId="0" fontId="70" fillId="8" borderId="23" xfId="0" applyFont="1" applyFill="1" applyBorder="1" applyAlignment="1">
      <alignment vertical="center" wrapText="1"/>
    </xf>
    <xf numFmtId="0" fontId="70" fillId="2" borderId="20" xfId="0" applyFont="1" applyFill="1" applyBorder="1" applyAlignment="1">
      <alignment vertical="center"/>
    </xf>
    <xf numFmtId="0" fontId="70" fillId="2" borderId="20" xfId="0" applyFont="1" applyFill="1" applyBorder="1" applyAlignment="1">
      <alignment vertical="center" wrapText="1"/>
    </xf>
    <xf numFmtId="0" fontId="70" fillId="2" borderId="25" xfId="0" applyFont="1" applyFill="1" applyBorder="1" applyAlignment="1">
      <alignment vertical="center" wrapText="1"/>
    </xf>
    <xf numFmtId="0" fontId="70" fillId="2" borderId="47" xfId="0" applyFont="1" applyFill="1" applyBorder="1" applyAlignment="1">
      <alignment vertical="center"/>
    </xf>
    <xf numFmtId="0" fontId="70" fillId="2" borderId="47" xfId="0" applyFont="1" applyFill="1" applyBorder="1" applyAlignment="1">
      <alignment vertical="center" wrapText="1"/>
    </xf>
    <xf numFmtId="0" fontId="70" fillId="2" borderId="23" xfId="0" applyFont="1" applyFill="1" applyBorder="1" applyAlignment="1">
      <alignment vertical="center" wrapText="1"/>
    </xf>
    <xf numFmtId="49" fontId="3" fillId="0" borderId="9" xfId="0" applyNumberFormat="1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9" fontId="5" fillId="2" borderId="7" xfId="2" applyFont="1" applyFill="1" applyBorder="1" applyAlignment="1" applyProtection="1">
      <alignment horizontal="center" vertical="center" wrapText="1"/>
    </xf>
    <xf numFmtId="0" fontId="40" fillId="2" borderId="0" xfId="0" applyFont="1" applyFill="1" applyAlignment="1">
      <alignment vertical="center"/>
    </xf>
    <xf numFmtId="0" fontId="0" fillId="2" borderId="5" xfId="0" applyFill="1" applyBorder="1"/>
    <xf numFmtId="0" fontId="188" fillId="17" borderId="18" xfId="0" applyFont="1" applyFill="1" applyBorder="1" applyAlignment="1">
      <alignment horizontal="center" vertical="center"/>
    </xf>
    <xf numFmtId="0" fontId="48" fillId="10" borderId="78" xfId="0" applyFont="1" applyFill="1" applyBorder="1" applyAlignment="1">
      <alignment horizontal="center" vertical="center"/>
    </xf>
    <xf numFmtId="0" fontId="48" fillId="10" borderId="13" xfId="0" applyFont="1" applyFill="1" applyBorder="1" applyAlignment="1">
      <alignment horizontal="center" vertical="center"/>
    </xf>
    <xf numFmtId="0" fontId="48" fillId="10" borderId="15" xfId="0" applyFont="1" applyFill="1" applyBorder="1" applyAlignment="1">
      <alignment horizontal="center" vertical="center"/>
    </xf>
    <xf numFmtId="0" fontId="64" fillId="15" borderId="37" xfId="0" applyFont="1" applyFill="1" applyBorder="1" applyAlignment="1">
      <alignment horizontal="center" vertical="center" wrapText="1"/>
    </xf>
    <xf numFmtId="0" fontId="64" fillId="15" borderId="21" xfId="0" applyFont="1" applyFill="1" applyBorder="1" applyAlignment="1">
      <alignment horizontal="center" vertical="center" wrapText="1"/>
    </xf>
    <xf numFmtId="0" fontId="64" fillId="12" borderId="76" xfId="0" applyFont="1" applyFill="1" applyBorder="1" applyAlignment="1">
      <alignment horizontal="center" vertical="center" textRotation="90"/>
    </xf>
    <xf numFmtId="49" fontId="187" fillId="10" borderId="25" xfId="0" applyNumberFormat="1" applyFont="1" applyFill="1" applyBorder="1" applyAlignment="1">
      <alignment horizontal="center" vertical="center" textRotation="90"/>
    </xf>
    <xf numFmtId="0" fontId="53" fillId="8" borderId="42" xfId="0" applyFont="1" applyFill="1" applyBorder="1" applyAlignment="1">
      <alignment horizontal="center" vertical="center"/>
    </xf>
    <xf numFmtId="0" fontId="0" fillId="11" borderId="25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0" fillId="36" borderId="40" xfId="0" applyFill="1" applyBorder="1" applyAlignment="1">
      <alignment horizontal="center" vertical="center"/>
    </xf>
    <xf numFmtId="0" fontId="0" fillId="37" borderId="9" xfId="0" applyFill="1" applyBorder="1" applyAlignment="1">
      <alignment horizontal="center" vertical="center"/>
    </xf>
    <xf numFmtId="0" fontId="41" fillId="2" borderId="19" xfId="0" applyFont="1" applyFill="1" applyBorder="1" applyAlignment="1" applyProtection="1">
      <alignment horizontal="center" vertical="center"/>
      <protection locked="0"/>
    </xf>
    <xf numFmtId="0" fontId="41" fillId="2" borderId="78" xfId="0" applyFont="1" applyFill="1" applyBorder="1" applyAlignment="1" applyProtection="1">
      <alignment horizontal="center" vertical="center"/>
      <protection locked="0"/>
    </xf>
    <xf numFmtId="49" fontId="54" fillId="2" borderId="20" xfId="0" applyNumberFormat="1" applyFont="1" applyFill="1" applyBorder="1" applyAlignment="1" applyProtection="1">
      <alignment horizontal="center" vertical="center" textRotation="90"/>
      <protection locked="0"/>
    </xf>
    <xf numFmtId="49" fontId="54" fillId="2" borderId="20" xfId="0" applyNumberFormat="1" applyFont="1" applyFill="1" applyBorder="1" applyAlignment="1" applyProtection="1">
      <alignment horizontal="center" vertical="center" textRotation="90" wrapText="1"/>
      <protection locked="0"/>
    </xf>
    <xf numFmtId="49" fontId="54" fillId="2" borderId="25" xfId="0" applyNumberFormat="1" applyFont="1" applyFill="1" applyBorder="1" applyAlignment="1" applyProtection="1">
      <alignment horizontal="center" vertical="center" textRotation="90" wrapText="1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41" fillId="32" borderId="3" xfId="0" applyFont="1" applyFill="1" applyBorder="1" applyAlignment="1" applyProtection="1">
      <alignment horizontal="center" vertical="center"/>
      <protection locked="0"/>
    </xf>
    <xf numFmtId="49" fontId="54" fillId="32" borderId="12" xfId="0" applyNumberFormat="1" applyFont="1" applyFill="1" applyBorder="1" applyAlignment="1" applyProtection="1">
      <alignment horizontal="center" vertical="center" textRotation="90"/>
      <protection locked="0"/>
    </xf>
    <xf numFmtId="0" fontId="0" fillId="32" borderId="42" xfId="0" applyFill="1" applyBorder="1" applyAlignment="1">
      <alignment horizontal="center" vertical="center"/>
    </xf>
    <xf numFmtId="0" fontId="0" fillId="32" borderId="112" xfId="0" applyFill="1" applyBorder="1" applyAlignment="1">
      <alignment horizontal="center" vertical="center"/>
    </xf>
    <xf numFmtId="0" fontId="0" fillId="32" borderId="46" xfId="0" applyFill="1" applyBorder="1" applyAlignment="1">
      <alignment horizontal="center" vertical="center"/>
    </xf>
    <xf numFmtId="9" fontId="189" fillId="0" borderId="0" xfId="0" applyNumberFormat="1" applyFont="1" applyAlignment="1">
      <alignment horizontal="right"/>
    </xf>
    <xf numFmtId="0" fontId="74" fillId="2" borderId="0" xfId="0" applyFont="1" applyFill="1" applyAlignment="1">
      <alignment horizontal="right"/>
    </xf>
    <xf numFmtId="9" fontId="191" fillId="35" borderId="30" xfId="0" applyNumberFormat="1" applyFont="1" applyFill="1" applyBorder="1" applyAlignment="1" applyProtection="1">
      <alignment horizontal="center" vertical="center"/>
      <protection locked="0"/>
    </xf>
    <xf numFmtId="0" fontId="64" fillId="15" borderId="0" xfId="0" applyFont="1" applyFill="1" applyAlignment="1">
      <alignment horizontal="center" vertical="center"/>
    </xf>
    <xf numFmtId="0" fontId="64" fillId="12" borderId="0" xfId="0" applyFont="1" applyFill="1" applyAlignment="1">
      <alignment horizontal="center" vertical="center"/>
    </xf>
    <xf numFmtId="0" fontId="64" fillId="12" borderId="37" xfId="0" applyFont="1" applyFill="1" applyBorder="1" applyAlignment="1">
      <alignment horizontal="center" vertical="center" wrapText="1"/>
    </xf>
    <xf numFmtId="0" fontId="64" fillId="12" borderId="21" xfId="0" applyFont="1" applyFill="1" applyBorder="1" applyAlignment="1">
      <alignment horizontal="center" vertical="center" wrapText="1"/>
    </xf>
    <xf numFmtId="0" fontId="64" fillId="27" borderId="76" xfId="0" applyFont="1" applyFill="1" applyBorder="1" applyAlignment="1">
      <alignment horizontal="center" vertical="center" textRotation="90"/>
    </xf>
    <xf numFmtId="0" fontId="0" fillId="15" borderId="42" xfId="0" applyFill="1" applyBorder="1" applyAlignment="1">
      <alignment horizontal="center" vertical="center"/>
    </xf>
    <xf numFmtId="0" fontId="0" fillId="15" borderId="112" xfId="0" applyFill="1" applyBorder="1" applyAlignment="1">
      <alignment horizontal="center" vertical="center"/>
    </xf>
    <xf numFmtId="0" fontId="0" fillId="15" borderId="46" xfId="0" applyFill="1" applyBorder="1" applyAlignment="1">
      <alignment horizontal="center" vertical="center"/>
    </xf>
    <xf numFmtId="0" fontId="59" fillId="15" borderId="3" xfId="0" applyFont="1" applyFill="1" applyBorder="1" applyAlignment="1" applyProtection="1">
      <alignment horizontal="center" vertical="center"/>
      <protection locked="0"/>
    </xf>
    <xf numFmtId="0" fontId="59" fillId="2" borderId="19" xfId="0" applyFont="1" applyFill="1" applyBorder="1" applyAlignment="1" applyProtection="1">
      <alignment horizontal="center" vertical="center"/>
      <protection locked="0"/>
    </xf>
    <xf numFmtId="0" fontId="59" fillId="2" borderId="78" xfId="0" applyFont="1" applyFill="1" applyBorder="1" applyAlignment="1" applyProtection="1">
      <alignment horizontal="center" vertical="center"/>
      <protection locked="0"/>
    </xf>
    <xf numFmtId="49" fontId="190" fillId="15" borderId="12" xfId="0" applyNumberFormat="1" applyFont="1" applyFill="1" applyBorder="1" applyAlignment="1" applyProtection="1">
      <alignment horizontal="center" vertical="center" textRotation="90"/>
      <protection locked="0"/>
    </xf>
    <xf numFmtId="49" fontId="190" fillId="2" borderId="20" xfId="0" applyNumberFormat="1" applyFont="1" applyFill="1" applyBorder="1" applyAlignment="1" applyProtection="1">
      <alignment horizontal="center" vertical="center" textRotation="90"/>
      <protection locked="0"/>
    </xf>
    <xf numFmtId="49" fontId="190" fillId="2" borderId="20" xfId="0" applyNumberFormat="1" applyFont="1" applyFill="1" applyBorder="1" applyAlignment="1" applyProtection="1">
      <alignment horizontal="center" vertical="center" textRotation="90" wrapText="1"/>
      <protection locked="0"/>
    </xf>
    <xf numFmtId="49" fontId="190" fillId="2" borderId="25" xfId="0" applyNumberFormat="1" applyFont="1" applyFill="1" applyBorder="1" applyAlignment="1" applyProtection="1">
      <alignment horizontal="center" vertical="center" textRotation="90" wrapText="1"/>
      <protection locked="0"/>
    </xf>
    <xf numFmtId="0" fontId="188" fillId="2" borderId="18" xfId="0" applyFont="1" applyFill="1" applyBorder="1" applyAlignment="1">
      <alignment horizontal="center" vertical="center"/>
    </xf>
    <xf numFmtId="0" fontId="64" fillId="15" borderId="41" xfId="0" applyFont="1" applyFill="1" applyBorder="1" applyAlignment="1">
      <alignment horizontal="center" vertical="center" wrapText="1"/>
    </xf>
    <xf numFmtId="0" fontId="64" fillId="15" borderId="3" xfId="0" applyFont="1" applyFill="1" applyBorder="1" applyAlignment="1">
      <alignment horizontal="center" vertical="center" wrapText="1"/>
    </xf>
    <xf numFmtId="0" fontId="64" fillId="32" borderId="7" xfId="0" applyFont="1" applyFill="1" applyBorder="1" applyAlignment="1">
      <alignment horizontal="center" vertical="center" wrapText="1"/>
    </xf>
    <xf numFmtId="0" fontId="64" fillId="32" borderId="29" xfId="0" applyFont="1" applyFill="1" applyBorder="1" applyAlignment="1">
      <alignment horizontal="center" vertical="center" wrapText="1"/>
    </xf>
    <xf numFmtId="0" fontId="73" fillId="32" borderId="45" xfId="0" applyFont="1" applyFill="1" applyBorder="1" applyAlignment="1">
      <alignment vertical="center"/>
    </xf>
    <xf numFmtId="0" fontId="64" fillId="32" borderId="50" xfId="0" applyFont="1" applyFill="1" applyBorder="1" applyAlignment="1">
      <alignment horizontal="center" vertical="center"/>
    </xf>
    <xf numFmtId="0" fontId="64" fillId="32" borderId="98" xfId="0" applyFont="1" applyFill="1" applyBorder="1" applyAlignment="1">
      <alignment horizontal="center" vertical="center"/>
    </xf>
    <xf numFmtId="9" fontId="64" fillId="2" borderId="7" xfId="2" applyFont="1" applyFill="1" applyBorder="1" applyAlignment="1" applyProtection="1">
      <alignment horizontal="center" vertical="center" wrapText="1"/>
      <protection locked="0"/>
    </xf>
    <xf numFmtId="1" fontId="64" fillId="2" borderId="29" xfId="2" applyNumberFormat="1" applyFont="1" applyFill="1" applyBorder="1" applyAlignment="1" applyProtection="1">
      <alignment horizontal="center" vertical="center" wrapText="1"/>
      <protection locked="0"/>
    </xf>
    <xf numFmtId="9" fontId="64" fillId="2" borderId="7" xfId="2" applyFont="1" applyFill="1" applyBorder="1" applyAlignment="1" applyProtection="1">
      <alignment horizontal="center" vertical="center" wrapText="1"/>
    </xf>
    <xf numFmtId="0" fontId="59" fillId="32" borderId="78" xfId="0" applyFont="1" applyFill="1" applyBorder="1" applyAlignment="1">
      <alignment horizontal="center" vertical="center"/>
    </xf>
    <xf numFmtId="0" fontId="59" fillId="32" borderId="13" xfId="0" applyFont="1" applyFill="1" applyBorder="1" applyAlignment="1">
      <alignment horizontal="center" vertical="center"/>
    </xf>
    <xf numFmtId="0" fontId="59" fillId="32" borderId="15" xfId="0" applyFont="1" applyFill="1" applyBorder="1" applyAlignment="1">
      <alignment horizontal="center" vertical="center"/>
    </xf>
    <xf numFmtId="49" fontId="190" fillId="32" borderId="25" xfId="0" applyNumberFormat="1" applyFont="1" applyFill="1" applyBorder="1" applyAlignment="1">
      <alignment horizontal="center" vertical="center" textRotation="90"/>
    </xf>
    <xf numFmtId="0" fontId="190" fillId="32" borderId="74" xfId="0" applyFont="1" applyFill="1" applyBorder="1" applyAlignment="1">
      <alignment horizontal="center" vertical="center"/>
    </xf>
    <xf numFmtId="0" fontId="187" fillId="10" borderId="74" xfId="0" applyFont="1" applyFill="1" applyBorder="1" applyAlignment="1">
      <alignment horizontal="center" vertical="center"/>
    </xf>
    <xf numFmtId="0" fontId="117" fillId="0" borderId="9" xfId="0" applyFont="1" applyBorder="1" applyAlignment="1">
      <alignment horizontal="center" vertical="center"/>
    </xf>
    <xf numFmtId="0" fontId="112" fillId="2" borderId="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horizontal="center" vertical="center"/>
    </xf>
    <xf numFmtId="49" fontId="124" fillId="0" borderId="9" xfId="0" applyNumberFormat="1" applyFont="1" applyBorder="1" applyAlignment="1">
      <alignment horizontal="center" vertical="center"/>
    </xf>
    <xf numFmtId="0" fontId="124" fillId="0" borderId="9" xfId="0" applyFont="1" applyBorder="1" applyAlignment="1">
      <alignment horizontal="center" vertical="center"/>
    </xf>
    <xf numFmtId="0" fontId="112" fillId="0" borderId="9" xfId="0" applyFont="1" applyBorder="1" applyAlignment="1">
      <alignment horizontal="center" vertical="center"/>
    </xf>
    <xf numFmtId="1" fontId="112" fillId="2" borderId="9" xfId="0" applyNumberFormat="1" applyFont="1" applyFill="1" applyBorder="1" applyAlignment="1">
      <alignment horizontal="center" vertical="center"/>
    </xf>
    <xf numFmtId="0" fontId="112" fillId="2" borderId="9" xfId="0" applyFont="1" applyFill="1" applyBorder="1" applyAlignment="1">
      <alignment horizontal="center" vertical="center"/>
    </xf>
    <xf numFmtId="0" fontId="116" fillId="2" borderId="42" xfId="0" applyFont="1" applyFill="1" applyBorder="1"/>
    <xf numFmtId="9" fontId="191" fillId="35" borderId="30" xfId="0" applyNumberFormat="1" applyFont="1" applyFill="1" applyBorder="1" applyAlignment="1" applyProtection="1">
      <alignment horizontal="center" vertical="center" shrinkToFit="1"/>
      <protection locked="0"/>
    </xf>
    <xf numFmtId="9" fontId="191" fillId="15" borderId="30" xfId="0" applyNumberFormat="1" applyFont="1" applyFill="1" applyBorder="1" applyAlignment="1" applyProtection="1">
      <alignment horizontal="center" vertical="center" shrinkToFit="1"/>
      <protection locked="0"/>
    </xf>
    <xf numFmtId="9" fontId="81" fillId="18" borderId="9" xfId="0" applyNumberFormat="1" applyFont="1" applyFill="1" applyBorder="1" applyAlignment="1">
      <alignment horizontal="center" vertical="center" wrapText="1"/>
    </xf>
    <xf numFmtId="164" fontId="0" fillId="0" borderId="9" xfId="0" applyNumberFormat="1" applyBorder="1" applyAlignment="1">
      <alignment horizontal="center"/>
    </xf>
    <xf numFmtId="0" fontId="53" fillId="0" borderId="4" xfId="0" applyFont="1" applyBorder="1" applyProtection="1">
      <protection hidden="1"/>
    </xf>
    <xf numFmtId="9" fontId="193" fillId="0" borderId="0" xfId="0" applyNumberFormat="1" applyFont="1" applyProtection="1">
      <protection hidden="1"/>
    </xf>
    <xf numFmtId="0" fontId="192" fillId="0" borderId="0" xfId="0" applyFont="1"/>
    <xf numFmtId="168" fontId="192" fillId="0" borderId="0" xfId="0" applyNumberFormat="1" applyFont="1" applyProtection="1">
      <protection hidden="1"/>
    </xf>
    <xf numFmtId="0" fontId="192" fillId="2" borderId="0" xfId="0" applyFont="1" applyFill="1"/>
    <xf numFmtId="0" fontId="116" fillId="2" borderId="42" xfId="0" quotePrefix="1" applyFont="1" applyFill="1" applyBorder="1" applyAlignment="1" applyProtection="1">
      <alignment horizontal="left"/>
      <protection locked="0"/>
    </xf>
    <xf numFmtId="0" fontId="23" fillId="2" borderId="42" xfId="1" applyFill="1" applyBorder="1" applyProtection="1">
      <protection locked="0"/>
    </xf>
    <xf numFmtId="1" fontId="62" fillId="2" borderId="56" xfId="0" applyNumberFormat="1" applyFont="1" applyFill="1" applyBorder="1" applyAlignment="1">
      <alignment horizontal="center"/>
    </xf>
    <xf numFmtId="0" fontId="61" fillId="17" borderId="9" xfId="0" applyFont="1" applyFill="1" applyBorder="1"/>
    <xf numFmtId="0" fontId="56" fillId="38" borderId="0" xfId="0" applyFont="1" applyFill="1" applyAlignment="1">
      <alignment horizontal="center"/>
    </xf>
    <xf numFmtId="0" fontId="56" fillId="38" borderId="0" xfId="0" applyFont="1" applyFill="1" applyAlignment="1">
      <alignment horizontal="center" vertical="center"/>
    </xf>
    <xf numFmtId="0" fontId="48" fillId="38" borderId="0" xfId="0" applyFont="1" applyFill="1" applyAlignment="1">
      <alignment horizontal="center"/>
    </xf>
    <xf numFmtId="0" fontId="48" fillId="38" borderId="0" xfId="0" applyFont="1" applyFill="1" applyAlignment="1">
      <alignment horizontal="center" vertical="center"/>
    </xf>
    <xf numFmtId="0" fontId="127" fillId="38" borderId="0" xfId="0" applyFont="1" applyFill="1" applyAlignment="1">
      <alignment horizontal="center"/>
    </xf>
    <xf numFmtId="0" fontId="127" fillId="38" borderId="0" xfId="0" applyFont="1" applyFill="1" applyAlignment="1">
      <alignment horizontal="center" vertical="center"/>
    </xf>
    <xf numFmtId="14" fontId="56" fillId="38" borderId="0" xfId="0" applyNumberFormat="1" applyFont="1" applyFill="1" applyAlignment="1">
      <alignment horizontal="center"/>
    </xf>
    <xf numFmtId="0" fontId="92" fillId="2" borderId="106" xfId="0" applyFont="1" applyFill="1" applyBorder="1" applyAlignment="1">
      <alignment horizontal="center" vertical="center" wrapText="1"/>
    </xf>
    <xf numFmtId="0" fontId="92" fillId="2" borderId="108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46" fillId="15" borderId="94" xfId="0" applyFont="1" applyFill="1" applyBorder="1" applyAlignment="1">
      <alignment horizontal="center" vertical="center" wrapText="1"/>
    </xf>
    <xf numFmtId="0" fontId="46" fillId="15" borderId="95" xfId="0" applyFont="1" applyFill="1" applyBorder="1" applyAlignment="1">
      <alignment horizontal="center" vertical="center" wrapText="1"/>
    </xf>
    <xf numFmtId="0" fontId="8" fillId="6" borderId="41" xfId="0" applyFont="1" applyFill="1" applyBorder="1" applyAlignment="1">
      <alignment horizontal="center" vertical="center" wrapText="1"/>
    </xf>
    <xf numFmtId="0" fontId="8" fillId="6" borderId="46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2" fillId="2" borderId="0" xfId="0" applyFont="1" applyFill="1" applyAlignment="1">
      <alignment horizontal="right" vertical="center"/>
    </xf>
    <xf numFmtId="0" fontId="126" fillId="2" borderId="0" xfId="0" applyFont="1" applyFill="1" applyAlignment="1">
      <alignment horizontal="left" vertical="top"/>
    </xf>
    <xf numFmtId="0" fontId="64" fillId="2" borderId="66" xfId="0" applyFont="1" applyFill="1" applyBorder="1" applyAlignment="1">
      <alignment horizontal="center" vertical="center" wrapText="1"/>
    </xf>
    <xf numFmtId="0" fontId="64" fillId="2" borderId="68" xfId="0" applyFont="1" applyFill="1" applyBorder="1" applyAlignment="1">
      <alignment horizontal="center" vertical="center" wrapText="1"/>
    </xf>
    <xf numFmtId="0" fontId="5" fillId="2" borderId="49" xfId="0" applyFont="1" applyFill="1" applyBorder="1" applyAlignment="1">
      <alignment horizontal="center" vertical="center" shrinkToFit="1"/>
    </xf>
    <xf numFmtId="0" fontId="5" fillId="2" borderId="51" xfId="0" applyFont="1" applyFill="1" applyBorder="1" applyAlignment="1">
      <alignment horizontal="center" vertical="center" shrinkToFit="1"/>
    </xf>
    <xf numFmtId="0" fontId="5" fillId="2" borderId="36" xfId="0" applyFont="1" applyFill="1" applyBorder="1" applyAlignment="1">
      <alignment horizontal="center" vertical="center" shrinkToFit="1"/>
    </xf>
    <xf numFmtId="0" fontId="5" fillId="2" borderId="50" xfId="0" applyFont="1" applyFill="1" applyBorder="1" applyAlignment="1">
      <alignment horizontal="center" vertical="center" shrinkToFit="1"/>
    </xf>
    <xf numFmtId="0" fontId="64" fillId="2" borderId="0" xfId="0" applyFont="1" applyFill="1" applyAlignment="1">
      <alignment horizontal="center"/>
    </xf>
    <xf numFmtId="0" fontId="71" fillId="15" borderId="55" xfId="0" applyFont="1" applyFill="1" applyBorder="1" applyAlignment="1">
      <alignment horizontal="center" vertical="center"/>
    </xf>
    <xf numFmtId="49" fontId="0" fillId="2" borderId="0" xfId="0" applyNumberFormat="1" applyFill="1" applyAlignment="1">
      <alignment horizontal="left" vertical="top" wrapText="1"/>
    </xf>
    <xf numFmtId="0" fontId="15" fillId="2" borderId="0" xfId="0" applyFont="1" applyFill="1" applyAlignment="1">
      <alignment horizontal="center"/>
    </xf>
    <xf numFmtId="0" fontId="88" fillId="2" borderId="0" xfId="1" applyFont="1" applyFill="1" applyBorder="1" applyAlignment="1" applyProtection="1">
      <alignment horizontal="left" vertical="center"/>
    </xf>
    <xf numFmtId="0" fontId="4" fillId="2" borderId="0" xfId="0" applyFont="1" applyFill="1" applyAlignment="1">
      <alignment horizontal="left" vertical="center"/>
    </xf>
    <xf numFmtId="0" fontId="91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0" fillId="2" borderId="52" xfId="0" applyFont="1" applyFill="1" applyBorder="1" applyAlignment="1">
      <alignment horizontal="center"/>
    </xf>
    <xf numFmtId="0" fontId="60" fillId="2" borderId="53" xfId="0" applyFont="1" applyFill="1" applyBorder="1" applyAlignment="1">
      <alignment horizontal="center"/>
    </xf>
    <xf numFmtId="0" fontId="70" fillId="2" borderId="0" xfId="0" applyFont="1" applyFill="1" applyAlignment="1">
      <alignment horizontal="right" vertical="center"/>
    </xf>
    <xf numFmtId="0" fontId="159" fillId="2" borderId="0" xfId="0" applyFont="1" applyFill="1" applyAlignment="1">
      <alignment horizontal="center"/>
    </xf>
    <xf numFmtId="0" fontId="69" fillId="15" borderId="1" xfId="0" applyFont="1" applyFill="1" applyBorder="1" applyAlignment="1">
      <alignment horizontal="center" vertical="center" shrinkToFit="1"/>
    </xf>
    <xf numFmtId="0" fontId="69" fillId="15" borderId="2" xfId="0" applyFont="1" applyFill="1" applyBorder="1" applyAlignment="1">
      <alignment horizontal="center" vertical="center" shrinkToFit="1"/>
    </xf>
    <xf numFmtId="0" fontId="69" fillId="15" borderId="3" xfId="0" applyFont="1" applyFill="1" applyBorder="1" applyAlignment="1">
      <alignment horizontal="center" vertical="center" shrinkToFit="1"/>
    </xf>
    <xf numFmtId="0" fontId="69" fillId="15" borderId="4" xfId="0" applyFont="1" applyFill="1" applyBorder="1" applyAlignment="1">
      <alignment horizontal="center" vertical="center" shrinkToFit="1"/>
    </xf>
    <xf numFmtId="0" fontId="69" fillId="15" borderId="5" xfId="0" applyFont="1" applyFill="1" applyBorder="1" applyAlignment="1">
      <alignment horizontal="center" vertical="center" shrinkToFit="1"/>
    </xf>
    <xf numFmtId="0" fontId="69" fillId="15" borderId="6" xfId="0" applyFont="1" applyFill="1" applyBorder="1" applyAlignment="1">
      <alignment horizontal="center" vertical="center" shrinkToFit="1"/>
    </xf>
    <xf numFmtId="0" fontId="8" fillId="16" borderId="18" xfId="0" applyFont="1" applyFill="1" applyBorder="1" applyAlignment="1">
      <alignment horizontal="center" vertical="center" shrinkToFit="1"/>
    </xf>
    <xf numFmtId="0" fontId="8" fillId="16" borderId="19" xfId="0" applyFont="1" applyFill="1" applyBorder="1" applyAlignment="1">
      <alignment horizontal="center" vertical="center" shrinkToFit="1"/>
    </xf>
    <xf numFmtId="0" fontId="8" fillId="16" borderId="10" xfId="0" applyFont="1" applyFill="1" applyBorder="1" applyAlignment="1">
      <alignment horizontal="center" vertical="center" shrinkToFit="1"/>
    </xf>
    <xf numFmtId="0" fontId="5" fillId="2" borderId="43" xfId="0" applyFont="1" applyFill="1" applyBorder="1" applyAlignment="1">
      <alignment horizontal="center" vertical="center" shrinkToFit="1"/>
    </xf>
    <xf numFmtId="0" fontId="5" fillId="2" borderId="45" xfId="0" applyFont="1" applyFill="1" applyBorder="1" applyAlignment="1">
      <alignment horizontal="center" vertical="center" shrinkToFit="1"/>
    </xf>
    <xf numFmtId="0" fontId="0" fillId="2" borderId="0" xfId="0" applyFill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54" fillId="2" borderId="0" xfId="0" applyFont="1" applyFill="1" applyAlignment="1">
      <alignment horizontal="right" vertical="center"/>
    </xf>
    <xf numFmtId="0" fontId="156" fillId="2" borderId="0" xfId="0" applyFont="1" applyFill="1" applyAlignment="1">
      <alignment horizontal="left" vertical="top"/>
    </xf>
    <xf numFmtId="0" fontId="155" fillId="2" borderId="0" xfId="0" applyFont="1" applyFill="1" applyAlignment="1">
      <alignment horizontal="right" vertical="center"/>
    </xf>
    <xf numFmtId="0" fontId="71" fillId="15" borderId="52" xfId="0" applyFont="1" applyFill="1" applyBorder="1" applyAlignment="1">
      <alignment horizontal="center" vertical="center"/>
    </xf>
    <xf numFmtId="0" fontId="64" fillId="2" borderId="54" xfId="0" applyFont="1" applyFill="1" applyBorder="1" applyAlignment="1">
      <alignment horizontal="center" vertical="center" wrapText="1"/>
    </xf>
    <xf numFmtId="0" fontId="158" fillId="2" borderId="0" xfId="0" applyFont="1" applyFill="1" applyAlignment="1">
      <alignment horizontal="center"/>
    </xf>
    <xf numFmtId="0" fontId="46" fillId="15" borderId="52" xfId="0" applyFont="1" applyFill="1" applyBorder="1" applyAlignment="1">
      <alignment horizontal="center" vertical="center" wrapText="1"/>
    </xf>
    <xf numFmtId="0" fontId="92" fillId="2" borderId="55" xfId="0" applyFont="1" applyFill="1" applyBorder="1" applyAlignment="1">
      <alignment horizontal="center" vertical="center" wrapText="1"/>
    </xf>
    <xf numFmtId="0" fontId="92" fillId="2" borderId="58" xfId="0" applyFont="1" applyFill="1" applyBorder="1" applyAlignment="1">
      <alignment horizontal="center" vertical="center" wrapText="1"/>
    </xf>
    <xf numFmtId="0" fontId="106" fillId="18" borderId="11" xfId="0" applyFont="1" applyFill="1" applyBorder="1" applyAlignment="1">
      <alignment horizontal="center" vertical="center"/>
    </xf>
    <xf numFmtId="0" fontId="106" fillId="18" borderId="0" xfId="0" applyFont="1" applyFill="1" applyAlignment="1">
      <alignment horizontal="center" vertical="center"/>
    </xf>
    <xf numFmtId="0" fontId="117" fillId="17" borderId="0" xfId="0" applyFont="1" applyFill="1" applyAlignment="1">
      <alignment horizontal="right"/>
    </xf>
    <xf numFmtId="0" fontId="113" fillId="17" borderId="0" xfId="0" applyFont="1" applyFill="1" applyAlignment="1">
      <alignment horizontal="right"/>
    </xf>
    <xf numFmtId="0" fontId="118" fillId="17" borderId="0" xfId="0" applyFont="1" applyFill="1" applyAlignment="1">
      <alignment horizontal="right"/>
    </xf>
    <xf numFmtId="0" fontId="119" fillId="17" borderId="0" xfId="0" applyFont="1" applyFill="1" applyAlignment="1">
      <alignment horizontal="right"/>
    </xf>
    <xf numFmtId="0" fontId="117" fillId="17" borderId="0" xfId="0" applyFont="1" applyFill="1" applyAlignment="1">
      <alignment horizontal="right" vertical="center"/>
    </xf>
    <xf numFmtId="1" fontId="107" fillId="2" borderId="84" xfId="0" applyNumberFormat="1" applyFont="1" applyFill="1" applyBorder="1" applyAlignment="1">
      <alignment horizontal="center" vertical="center" wrapText="1"/>
    </xf>
    <xf numFmtId="1" fontId="107" fillId="2" borderId="85" xfId="0" applyNumberFormat="1" applyFont="1" applyFill="1" applyBorder="1" applyAlignment="1">
      <alignment horizontal="center" vertical="center" wrapText="1"/>
    </xf>
    <xf numFmtId="1" fontId="107" fillId="2" borderId="87" xfId="0" applyNumberFormat="1" applyFont="1" applyFill="1" applyBorder="1" applyAlignment="1">
      <alignment horizontal="center" vertical="center" wrapText="1"/>
    </xf>
    <xf numFmtId="1" fontId="107" fillId="2" borderId="88" xfId="0" applyNumberFormat="1" applyFont="1" applyFill="1" applyBorder="1" applyAlignment="1">
      <alignment horizontal="center" vertical="center" wrapText="1"/>
    </xf>
    <xf numFmtId="1" fontId="108" fillId="2" borderId="87" xfId="0" applyNumberFormat="1" applyFont="1" applyFill="1" applyBorder="1" applyAlignment="1">
      <alignment horizontal="center" vertical="center" wrapText="1"/>
    </xf>
    <xf numFmtId="1" fontId="108" fillId="2" borderId="88" xfId="0" applyNumberFormat="1" applyFont="1" applyFill="1" applyBorder="1" applyAlignment="1">
      <alignment horizontal="center" vertical="center" wrapText="1"/>
    </xf>
    <xf numFmtId="1" fontId="108" fillId="2" borderId="92" xfId="0" applyNumberFormat="1" applyFont="1" applyFill="1" applyBorder="1" applyAlignment="1">
      <alignment horizontal="center" vertical="center" wrapText="1"/>
    </xf>
    <xf numFmtId="0" fontId="66" fillId="6" borderId="7" xfId="0" applyFont="1" applyFill="1" applyBorder="1" applyAlignment="1">
      <alignment horizontal="center" vertical="center"/>
    </xf>
    <xf numFmtId="0" fontId="66" fillId="6" borderId="8" xfId="0" applyFont="1" applyFill="1" applyBorder="1" applyAlignment="1">
      <alignment horizontal="center" vertical="center"/>
    </xf>
    <xf numFmtId="0" fontId="66" fillId="6" borderId="75" xfId="0" applyFont="1" applyFill="1" applyBorder="1" applyAlignment="1">
      <alignment horizontal="center" vertical="center"/>
    </xf>
    <xf numFmtId="0" fontId="66" fillId="15" borderId="7" xfId="0" applyFont="1" applyFill="1" applyBorder="1" applyAlignment="1">
      <alignment horizontal="center" vertical="center"/>
    </xf>
    <xf numFmtId="0" fontId="66" fillId="15" borderId="8" xfId="0" applyFont="1" applyFill="1" applyBorder="1" applyAlignment="1">
      <alignment horizontal="center" vertical="center"/>
    </xf>
    <xf numFmtId="0" fontId="66" fillId="15" borderId="75" xfId="0" applyFont="1" applyFill="1" applyBorder="1" applyAlignment="1">
      <alignment horizontal="center" vertical="center"/>
    </xf>
    <xf numFmtId="1" fontId="108" fillId="2" borderId="84" xfId="0" applyNumberFormat="1" applyFont="1" applyFill="1" applyBorder="1" applyAlignment="1">
      <alignment horizontal="center" vertical="center" wrapText="1"/>
    </xf>
    <xf numFmtId="1" fontId="108" fillId="2" borderId="85" xfId="0" applyNumberFormat="1" applyFont="1" applyFill="1" applyBorder="1" applyAlignment="1">
      <alignment horizontal="center" vertical="center" wrapText="1"/>
    </xf>
    <xf numFmtId="164" fontId="108" fillId="2" borderId="84" xfId="0" applyNumberFormat="1" applyFont="1" applyFill="1" applyBorder="1" applyAlignment="1">
      <alignment horizontal="center" vertical="center" wrapText="1"/>
    </xf>
    <xf numFmtId="164" fontId="108" fillId="2" borderId="86" xfId="0" applyNumberFormat="1" applyFont="1" applyFill="1" applyBorder="1" applyAlignment="1">
      <alignment horizontal="center" vertical="center" wrapText="1"/>
    </xf>
    <xf numFmtId="164" fontId="108" fillId="2" borderId="87" xfId="0" applyNumberFormat="1" applyFont="1" applyFill="1" applyBorder="1" applyAlignment="1">
      <alignment horizontal="center" vertical="center" wrapText="1"/>
    </xf>
    <xf numFmtId="164" fontId="108" fillId="2" borderId="92" xfId="0" applyNumberFormat="1" applyFont="1" applyFill="1" applyBorder="1" applyAlignment="1">
      <alignment horizontal="center" vertical="center" wrapText="1"/>
    </xf>
    <xf numFmtId="0" fontId="6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horizontal="right" vertical="center"/>
    </xf>
    <xf numFmtId="0" fontId="145" fillId="2" borderId="0" xfId="0" applyFont="1" applyFill="1" applyAlignment="1">
      <alignment horizontal="center" vertical="center"/>
    </xf>
    <xf numFmtId="0" fontId="60" fillId="2" borderId="0" xfId="0" applyFont="1" applyFill="1" applyAlignment="1">
      <alignment horizontal="center"/>
    </xf>
    <xf numFmtId="0" fontId="130" fillId="2" borderId="0" xfId="0" applyFont="1" applyFill="1" applyAlignment="1">
      <alignment horizontal="right" vertical="center"/>
    </xf>
    <xf numFmtId="0" fontId="125" fillId="2" borderId="0" xfId="0" applyFont="1" applyFill="1" applyAlignment="1">
      <alignment horizontal="right" vertical="center"/>
    </xf>
    <xf numFmtId="0" fontId="113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center"/>
    </xf>
    <xf numFmtId="0" fontId="71" fillId="2" borderId="0" xfId="0" applyFont="1" applyFill="1" applyAlignment="1">
      <alignment horizontal="center" vertical="center"/>
    </xf>
    <xf numFmtId="0" fontId="69" fillId="27" borderId="1" xfId="0" applyFont="1" applyFill="1" applyBorder="1" applyAlignment="1">
      <alignment horizontal="center" vertical="center"/>
    </xf>
    <xf numFmtId="0" fontId="69" fillId="27" borderId="2" xfId="0" applyFont="1" applyFill="1" applyBorder="1" applyAlignment="1">
      <alignment horizontal="center" vertical="center"/>
    </xf>
    <xf numFmtId="0" fontId="69" fillId="27" borderId="3" xfId="0" applyFont="1" applyFill="1" applyBorder="1" applyAlignment="1">
      <alignment horizontal="center" vertical="center"/>
    </xf>
    <xf numFmtId="0" fontId="20" fillId="2" borderId="41" xfId="0" applyFont="1" applyFill="1" applyBorder="1" applyAlignment="1" applyProtection="1">
      <alignment horizontal="left" vertical="top" shrinkToFit="1"/>
      <protection locked="0"/>
    </xf>
    <xf numFmtId="0" fontId="20" fillId="2" borderId="42" xfId="0" applyFont="1" applyFill="1" applyBorder="1" applyAlignment="1" applyProtection="1">
      <alignment horizontal="left" vertical="top" shrinkToFit="1"/>
      <protection locked="0"/>
    </xf>
    <xf numFmtId="0" fontId="20" fillId="2" borderId="46" xfId="0" applyFont="1" applyFill="1" applyBorder="1" applyAlignment="1" applyProtection="1">
      <alignment horizontal="left" vertical="top" shrinkToFit="1"/>
      <protection locked="0"/>
    </xf>
    <xf numFmtId="0" fontId="20" fillId="2" borderId="41" xfId="0" applyFont="1" applyFill="1" applyBorder="1" applyAlignment="1" applyProtection="1">
      <alignment horizontal="left" vertical="top"/>
      <protection locked="0"/>
    </xf>
    <xf numFmtId="0" fontId="20" fillId="2" borderId="42" xfId="0" applyFont="1" applyFill="1" applyBorder="1" applyAlignment="1" applyProtection="1">
      <alignment horizontal="left" vertical="top"/>
      <protection locked="0"/>
    </xf>
    <xf numFmtId="0" fontId="20" fillId="2" borderId="46" xfId="0" applyFont="1" applyFill="1" applyBorder="1" applyAlignment="1" applyProtection="1">
      <alignment horizontal="left" vertical="top"/>
      <protection locked="0"/>
    </xf>
    <xf numFmtId="0" fontId="69" fillId="27" borderId="7" xfId="0" applyFont="1" applyFill="1" applyBorder="1" applyAlignment="1">
      <alignment horizontal="center" vertical="center"/>
    </xf>
    <xf numFmtId="0" fontId="69" fillId="27" borderId="8" xfId="0" applyFont="1" applyFill="1" applyBorder="1" applyAlignment="1">
      <alignment horizontal="center" vertical="center"/>
    </xf>
    <xf numFmtId="0" fontId="69" fillId="27" borderId="75" xfId="0" applyFont="1" applyFill="1" applyBorder="1" applyAlignment="1">
      <alignment horizontal="center" vertical="center"/>
    </xf>
    <xf numFmtId="0" fontId="69" fillId="15" borderId="1" xfId="0" applyFont="1" applyFill="1" applyBorder="1" applyAlignment="1">
      <alignment horizontal="center" vertical="center"/>
    </xf>
    <xf numFmtId="0" fontId="69" fillId="15" borderId="2" xfId="0" applyFont="1" applyFill="1" applyBorder="1" applyAlignment="1">
      <alignment horizontal="center" vertical="center"/>
    </xf>
    <xf numFmtId="0" fontId="69" fillId="15" borderId="4" xfId="0" applyFont="1" applyFill="1" applyBorder="1" applyAlignment="1">
      <alignment horizontal="center" vertical="center"/>
    </xf>
    <xf numFmtId="0" fontId="69" fillId="15" borderId="5" xfId="0" applyFont="1" applyFill="1" applyBorder="1" applyAlignment="1">
      <alignment horizontal="center" vertical="center"/>
    </xf>
    <xf numFmtId="0" fontId="138" fillId="32" borderId="99" xfId="0" applyFont="1" applyFill="1" applyBorder="1" applyAlignment="1">
      <alignment horizontal="center" vertical="center" wrapText="1"/>
    </xf>
    <xf numFmtId="0" fontId="138" fillId="32" borderId="100" xfId="0" applyFont="1" applyFill="1" applyBorder="1" applyAlignment="1">
      <alignment horizontal="center" vertical="center" wrapText="1"/>
    </xf>
    <xf numFmtId="0" fontId="138" fillId="15" borderId="103" xfId="0" applyFont="1" applyFill="1" applyBorder="1" applyAlignment="1">
      <alignment horizontal="center" vertical="center" wrapText="1"/>
    </xf>
    <xf numFmtId="0" fontId="138" fillId="15" borderId="104" xfId="0" applyFont="1" applyFill="1" applyBorder="1" applyAlignment="1">
      <alignment horizontal="center" vertical="center" wrapText="1"/>
    </xf>
    <xf numFmtId="0" fontId="71" fillId="32" borderId="36" xfId="0" applyFont="1" applyFill="1" applyBorder="1" applyAlignment="1">
      <alignment horizontal="center" vertical="center"/>
    </xf>
    <xf numFmtId="0" fontId="71" fillId="32" borderId="102" xfId="0" applyFont="1" applyFill="1" applyBorder="1" applyAlignment="1">
      <alignment horizontal="center" vertical="center"/>
    </xf>
    <xf numFmtId="0" fontId="71" fillId="15" borderId="18" xfId="0" applyFont="1" applyFill="1" applyBorder="1" applyAlignment="1">
      <alignment horizontal="center" vertical="center"/>
    </xf>
    <xf numFmtId="0" fontId="71" fillId="15" borderId="19" xfId="0" applyFont="1" applyFill="1" applyBorder="1" applyAlignment="1">
      <alignment horizontal="center" vertical="center"/>
    </xf>
    <xf numFmtId="0" fontId="71" fillId="15" borderId="10" xfId="0" applyFont="1" applyFill="1" applyBorder="1" applyAlignment="1">
      <alignment horizontal="center" vertical="center"/>
    </xf>
    <xf numFmtId="0" fontId="64" fillId="2" borderId="0" xfId="0" applyFont="1" applyFill="1" applyAlignment="1">
      <alignment horizontal="center" vertical="center"/>
    </xf>
    <xf numFmtId="0" fontId="58" fillId="0" borderId="0" xfId="0" applyFont="1" applyAlignment="1">
      <alignment horizontal="center" vertical="center" wrapText="1"/>
    </xf>
    <xf numFmtId="0" fontId="186" fillId="2" borderId="5" xfId="0" applyFont="1" applyFill="1" applyBorder="1" applyAlignment="1">
      <alignment horizontal="center" vertical="center"/>
    </xf>
    <xf numFmtId="0" fontId="186" fillId="2" borderId="0" xfId="0" applyFont="1" applyFill="1" applyAlignment="1">
      <alignment horizontal="center" vertical="center"/>
    </xf>
    <xf numFmtId="0" fontId="110" fillId="32" borderId="1" xfId="0" applyFont="1" applyFill="1" applyBorder="1" applyAlignment="1">
      <alignment horizontal="center" vertical="center"/>
    </xf>
    <xf numFmtId="0" fontId="110" fillId="32" borderId="2" xfId="0" applyFont="1" applyFill="1" applyBorder="1" applyAlignment="1">
      <alignment horizontal="center" vertical="center"/>
    </xf>
    <xf numFmtId="0" fontId="110" fillId="32" borderId="4" xfId="0" applyFont="1" applyFill="1" applyBorder="1" applyAlignment="1">
      <alignment horizontal="center" vertical="center"/>
    </xf>
    <xf numFmtId="0" fontId="110" fillId="32" borderId="5" xfId="0" applyFont="1" applyFill="1" applyBorder="1" applyAlignment="1">
      <alignment horizontal="center" vertical="center"/>
    </xf>
    <xf numFmtId="0" fontId="182" fillId="15" borderId="36" xfId="0" applyFont="1" applyFill="1" applyBorder="1" applyAlignment="1">
      <alignment horizontal="center" vertical="center"/>
    </xf>
    <xf numFmtId="0" fontId="182" fillId="15" borderId="102" xfId="0" applyFont="1" applyFill="1" applyBorder="1" applyAlignment="1">
      <alignment horizontal="center" vertical="center"/>
    </xf>
    <xf numFmtId="0" fontId="182" fillId="32" borderId="18" xfId="0" applyFont="1" applyFill="1" applyBorder="1" applyAlignment="1">
      <alignment horizontal="center" vertical="center"/>
    </xf>
    <xf numFmtId="0" fontId="182" fillId="32" borderId="19" xfId="0" applyFont="1" applyFill="1" applyBorder="1" applyAlignment="1">
      <alignment horizontal="center" vertical="center"/>
    </xf>
    <xf numFmtId="0" fontId="182" fillId="32" borderId="10" xfId="0" applyFont="1" applyFill="1" applyBorder="1" applyAlignment="1">
      <alignment horizontal="center" vertical="center"/>
    </xf>
    <xf numFmtId="0" fontId="92" fillId="15" borderId="99" xfId="0" applyFont="1" applyFill="1" applyBorder="1" applyAlignment="1">
      <alignment horizontal="center" vertical="center" wrapText="1"/>
    </xf>
    <xf numFmtId="0" fontId="92" fillId="15" borderId="100" xfId="0" applyFont="1" applyFill="1" applyBorder="1" applyAlignment="1">
      <alignment horizontal="center" vertical="center" wrapText="1"/>
    </xf>
    <xf numFmtId="0" fontId="92" fillId="32" borderId="26" xfId="0" applyFont="1" applyFill="1" applyBorder="1" applyAlignment="1">
      <alignment horizontal="center" vertical="center" wrapText="1"/>
    </xf>
    <xf numFmtId="0" fontId="92" fillId="32" borderId="101" xfId="0" applyFont="1" applyFill="1" applyBorder="1" applyAlignment="1">
      <alignment horizontal="center" vertical="center" wrapText="1"/>
    </xf>
    <xf numFmtId="0" fontId="60" fillId="11" borderId="52" xfId="0" applyFont="1" applyFill="1" applyBorder="1" applyAlignment="1">
      <alignment horizontal="center"/>
    </xf>
    <xf numFmtId="0" fontId="61" fillId="6" borderId="52" xfId="0" applyFont="1" applyFill="1" applyBorder="1" applyAlignment="1">
      <alignment horizontal="center"/>
    </xf>
    <xf numFmtId="0" fontId="46" fillId="32" borderId="18" xfId="0" applyFont="1" applyFill="1" applyBorder="1" applyAlignment="1">
      <alignment horizontal="center" vertical="center"/>
    </xf>
    <xf numFmtId="0" fontId="46" fillId="32" borderId="19" xfId="0" applyFont="1" applyFill="1" applyBorder="1" applyAlignment="1">
      <alignment horizontal="center" vertical="center"/>
    </xf>
    <xf numFmtId="0" fontId="105" fillId="2" borderId="0" xfId="0" applyFont="1" applyFill="1" applyAlignment="1">
      <alignment horizontal="center" vertical="center"/>
    </xf>
    <xf numFmtId="0" fontId="5" fillId="2" borderId="36" xfId="0" applyFont="1" applyFill="1" applyBorder="1" applyAlignment="1">
      <alignment horizontal="center" vertical="center"/>
    </xf>
    <xf numFmtId="0" fontId="5" fillId="2" borderId="50" xfId="0" applyFont="1" applyFill="1" applyBorder="1" applyAlignment="1">
      <alignment horizontal="center" vertical="center"/>
    </xf>
    <xf numFmtId="0" fontId="167" fillId="32" borderId="1" xfId="0" applyFont="1" applyFill="1" applyBorder="1" applyAlignment="1">
      <alignment horizontal="center" vertical="center"/>
    </xf>
    <xf numFmtId="0" fontId="167" fillId="32" borderId="2" xfId="0" applyFont="1" applyFill="1" applyBorder="1" applyAlignment="1">
      <alignment horizontal="center" vertical="center"/>
    </xf>
    <xf numFmtId="0" fontId="167" fillId="32" borderId="3" xfId="0" applyFont="1" applyFill="1" applyBorder="1" applyAlignment="1">
      <alignment horizontal="center" vertical="center"/>
    </xf>
    <xf numFmtId="0" fontId="167" fillId="32" borderId="4" xfId="0" applyFont="1" applyFill="1" applyBorder="1" applyAlignment="1">
      <alignment horizontal="center" vertical="center"/>
    </xf>
    <xf numFmtId="0" fontId="167" fillId="32" borderId="5" xfId="0" applyFont="1" applyFill="1" applyBorder="1" applyAlignment="1">
      <alignment horizontal="center" vertical="center"/>
    </xf>
    <xf numFmtId="0" fontId="167" fillId="32" borderId="6" xfId="0" applyFont="1" applyFill="1" applyBorder="1" applyAlignment="1">
      <alignment horizontal="center" vertical="center"/>
    </xf>
    <xf numFmtId="0" fontId="8" fillId="16" borderId="45" xfId="0" applyFont="1" applyFill="1" applyBorder="1" applyAlignment="1">
      <alignment horizontal="center" vertical="center"/>
    </xf>
    <xf numFmtId="0" fontId="8" fillId="16" borderId="50" xfId="0" applyFont="1" applyFill="1" applyBorder="1" applyAlignment="1">
      <alignment horizontal="center" vertical="center"/>
    </xf>
    <xf numFmtId="0" fontId="8" fillId="16" borderId="51" xfId="0" applyFont="1" applyFill="1" applyBorder="1" applyAlignment="1">
      <alignment horizontal="center" vertical="center"/>
    </xf>
    <xf numFmtId="0" fontId="5" fillId="2" borderId="43" xfId="0" applyFont="1" applyFill="1" applyBorder="1" applyAlignment="1">
      <alignment horizontal="center" vertical="center"/>
    </xf>
    <xf numFmtId="0" fontId="5" fillId="2" borderId="45" xfId="0" applyFont="1" applyFill="1" applyBorder="1" applyAlignment="1">
      <alignment horizontal="center" vertical="center"/>
    </xf>
    <xf numFmtId="0" fontId="8" fillId="32" borderId="2" xfId="0" applyFont="1" applyFill="1" applyBorder="1" applyAlignment="1">
      <alignment horizontal="center" vertical="center" wrapText="1"/>
    </xf>
    <xf numFmtId="0" fontId="8" fillId="32" borderId="5" xfId="0" applyFont="1" applyFill="1" applyBorder="1" applyAlignment="1">
      <alignment horizontal="center" vertical="center" wrapText="1"/>
    </xf>
    <xf numFmtId="0" fontId="64" fillId="15" borderId="110" xfId="0" applyFont="1" applyFill="1" applyBorder="1" applyAlignment="1">
      <alignment horizontal="center" vertical="center" wrapText="1"/>
    </xf>
    <xf numFmtId="0" fontId="64" fillId="15" borderId="111" xfId="0" applyFont="1" applyFill="1" applyBorder="1" applyAlignment="1">
      <alignment horizontal="center" vertical="center" wrapText="1"/>
    </xf>
    <xf numFmtId="0" fontId="5" fillId="2" borderId="49" xfId="0" applyFont="1" applyFill="1" applyBorder="1" applyAlignment="1">
      <alignment horizontal="center" vertical="center"/>
    </xf>
    <xf numFmtId="0" fontId="5" fillId="2" borderId="51" xfId="0" applyFont="1" applyFill="1" applyBorder="1" applyAlignment="1">
      <alignment horizontal="center" vertical="center"/>
    </xf>
    <xf numFmtId="0" fontId="132" fillId="15" borderId="1" xfId="0" applyFont="1" applyFill="1" applyBorder="1" applyAlignment="1">
      <alignment horizontal="center" vertical="center"/>
    </xf>
    <xf numFmtId="0" fontId="132" fillId="15" borderId="2" xfId="0" applyFont="1" applyFill="1" applyBorder="1" applyAlignment="1">
      <alignment horizontal="center" vertical="center"/>
    </xf>
    <xf numFmtId="0" fontId="132" fillId="15" borderId="4" xfId="0" applyFont="1" applyFill="1" applyBorder="1" applyAlignment="1">
      <alignment horizontal="center" vertical="center"/>
    </xf>
    <xf numFmtId="0" fontId="132" fillId="15" borderId="5" xfId="0" applyFont="1" applyFill="1" applyBorder="1" applyAlignment="1">
      <alignment horizontal="center" vertical="center"/>
    </xf>
    <xf numFmtId="0" fontId="122" fillId="32" borderId="7" xfId="0" applyFont="1" applyFill="1" applyBorder="1" applyAlignment="1">
      <alignment horizontal="center" vertical="center"/>
    </xf>
    <xf numFmtId="0" fontId="122" fillId="32" borderId="8" xfId="0" applyFont="1" applyFill="1" applyBorder="1" applyAlignment="1">
      <alignment horizontal="center" vertical="center"/>
    </xf>
    <xf numFmtId="0" fontId="122" fillId="32" borderId="75" xfId="0" applyFont="1" applyFill="1" applyBorder="1" applyAlignment="1">
      <alignment horizontal="center" vertical="center"/>
    </xf>
    <xf numFmtId="0" fontId="124" fillId="2" borderId="43" xfId="0" applyFont="1" applyFill="1" applyBorder="1" applyAlignment="1">
      <alignment horizontal="center" vertical="center"/>
    </xf>
    <xf numFmtId="0" fontId="124" fillId="2" borderId="45" xfId="0" applyFont="1" applyFill="1" applyBorder="1" applyAlignment="1">
      <alignment horizontal="center" vertical="center"/>
    </xf>
    <xf numFmtId="0" fontId="124" fillId="2" borderId="36" xfId="0" applyFont="1" applyFill="1" applyBorder="1" applyAlignment="1">
      <alignment horizontal="center" vertical="center"/>
    </xf>
    <xf numFmtId="0" fontId="124" fillId="2" borderId="50" xfId="0" applyFont="1" applyFill="1" applyBorder="1" applyAlignment="1">
      <alignment horizontal="center" vertical="center"/>
    </xf>
    <xf numFmtId="0" fontId="122" fillId="15" borderId="2" xfId="0" applyFont="1" applyFill="1" applyBorder="1" applyAlignment="1">
      <alignment horizontal="center" vertical="center" wrapText="1"/>
    </xf>
    <xf numFmtId="0" fontId="122" fillId="15" borderId="0" xfId="0" applyFont="1" applyFill="1" applyAlignment="1">
      <alignment horizontal="center" vertical="center" wrapText="1"/>
    </xf>
    <xf numFmtId="0" fontId="122" fillId="15" borderId="96" xfId="0" applyFont="1" applyFill="1" applyBorder="1" applyAlignment="1">
      <alignment horizontal="center" vertical="center" wrapText="1"/>
    </xf>
    <xf numFmtId="0" fontId="122" fillId="15" borderId="97" xfId="0" applyFont="1" applyFill="1" applyBorder="1" applyAlignment="1">
      <alignment horizontal="center" vertical="center" wrapText="1"/>
    </xf>
    <xf numFmtId="0" fontId="46" fillId="15" borderId="37" xfId="0" applyFont="1" applyFill="1" applyBorder="1" applyAlignment="1">
      <alignment horizontal="center" vertical="center"/>
    </xf>
    <xf numFmtId="0" fontId="124" fillId="2" borderId="49" xfId="0" applyFont="1" applyFill="1" applyBorder="1" applyAlignment="1">
      <alignment horizontal="center" vertical="center"/>
    </xf>
    <xf numFmtId="0" fontId="124" fillId="2" borderId="51" xfId="0" applyFont="1" applyFill="1" applyBorder="1" applyAlignment="1">
      <alignment horizontal="center" vertical="center"/>
    </xf>
    <xf numFmtId="0" fontId="19" fillId="0" borderId="9" xfId="0" applyFont="1" applyBorder="1" applyAlignment="1">
      <alignment horizontal="center" vertical="center" shrinkToFit="1"/>
    </xf>
    <xf numFmtId="0" fontId="125" fillId="2" borderId="9" xfId="0" applyFont="1" applyFill="1" applyBorder="1" applyAlignment="1" applyProtection="1">
      <alignment horizontal="left" vertical="center" wrapText="1"/>
      <protection locked="0"/>
    </xf>
    <xf numFmtId="0" fontId="45" fillId="0" borderId="39" xfId="0" applyFont="1" applyBorder="1" applyAlignment="1" applyProtection="1">
      <alignment horizontal="center" vertical="center"/>
      <protection locked="0"/>
    </xf>
    <xf numFmtId="0" fontId="18" fillId="2" borderId="9" xfId="0" applyFont="1" applyFill="1" applyBorder="1" applyAlignment="1" applyProtection="1">
      <alignment horizontal="left" vertical="center" wrapText="1"/>
      <protection locked="0"/>
    </xf>
    <xf numFmtId="0" fontId="67" fillId="0" borderId="0" xfId="0" applyFont="1" applyAlignment="1">
      <alignment horizontal="center"/>
    </xf>
    <xf numFmtId="0" fontId="72" fillId="0" borderId="0" xfId="0" applyFont="1" applyAlignment="1">
      <alignment horizontal="right" vertical="center"/>
    </xf>
    <xf numFmtId="0" fontId="182" fillId="32" borderId="40" xfId="0" applyFont="1" applyFill="1" applyBorder="1" applyAlignment="1">
      <alignment horizontal="center" vertical="center"/>
    </xf>
    <xf numFmtId="0" fontId="182" fillId="32" borderId="22" xfId="0" applyFont="1" applyFill="1" applyBorder="1" applyAlignment="1">
      <alignment horizontal="center" vertical="center"/>
    </xf>
    <xf numFmtId="0" fontId="10" fillId="32" borderId="9" xfId="0" applyFont="1" applyFill="1" applyBorder="1" applyAlignment="1">
      <alignment horizontal="center" vertical="center" wrapText="1"/>
    </xf>
    <xf numFmtId="0" fontId="66" fillId="16" borderId="0" xfId="0" applyFont="1" applyFill="1" applyAlignment="1">
      <alignment horizontal="center" vertical="top"/>
    </xf>
    <xf numFmtId="0" fontId="182" fillId="32" borderId="9" xfId="0" applyFont="1" applyFill="1" applyBorder="1" applyAlignment="1">
      <alignment horizontal="center" vertical="center"/>
    </xf>
    <xf numFmtId="0" fontId="0" fillId="0" borderId="9" xfId="0" applyBorder="1" applyAlignment="1" applyProtection="1">
      <alignment horizontal="center"/>
      <protection locked="0"/>
    </xf>
    <xf numFmtId="0" fontId="66" fillId="32" borderId="0" xfId="0" applyFont="1" applyFill="1" applyAlignment="1">
      <alignment horizontal="center" vertical="top"/>
    </xf>
    <xf numFmtId="0" fontId="71" fillId="15" borderId="9" xfId="0" applyFont="1" applyFill="1" applyBorder="1" applyAlignment="1">
      <alignment horizontal="center" vertical="center"/>
    </xf>
    <xf numFmtId="0" fontId="71" fillId="15" borderId="40" xfId="0" applyFont="1" applyFill="1" applyBorder="1" applyAlignment="1">
      <alignment horizontal="center" vertical="center"/>
    </xf>
    <xf numFmtId="0" fontId="71" fillId="15" borderId="22" xfId="0" applyFont="1" applyFill="1" applyBorder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0" fontId="18" fillId="0" borderId="37" xfId="0" applyFont="1" applyBorder="1" applyAlignment="1" applyProtection="1">
      <alignment horizontal="left" vertical="center" wrapText="1"/>
      <protection locked="0"/>
    </xf>
    <xf numFmtId="0" fontId="18" fillId="0" borderId="47" xfId="0" applyFont="1" applyBorder="1" applyAlignment="1" applyProtection="1">
      <alignment horizontal="left" vertical="center" wrapText="1"/>
      <protection locked="0"/>
    </xf>
    <xf numFmtId="0" fontId="18" fillId="0" borderId="20" xfId="0" applyFont="1" applyBorder="1" applyAlignment="1" applyProtection="1">
      <alignment horizontal="left" vertical="center" wrapText="1"/>
      <protection locked="0"/>
    </xf>
    <xf numFmtId="0" fontId="46" fillId="15" borderId="9" xfId="0" applyFont="1" applyFill="1" applyBorder="1" applyAlignment="1">
      <alignment horizontal="center" vertical="center"/>
    </xf>
    <xf numFmtId="0" fontId="18" fillId="2" borderId="37" xfId="0" applyFont="1" applyFill="1" applyBorder="1" applyAlignment="1" applyProtection="1">
      <alignment horizontal="left" vertical="center" wrapText="1"/>
      <protection locked="0"/>
    </xf>
    <xf numFmtId="0" fontId="18" fillId="2" borderId="47" xfId="0" applyFont="1" applyFill="1" applyBorder="1" applyAlignment="1" applyProtection="1">
      <alignment horizontal="left" vertical="center" wrapText="1"/>
      <protection locked="0"/>
    </xf>
    <xf numFmtId="0" fontId="18" fillId="2" borderId="20" xfId="0" applyFont="1" applyFill="1" applyBorder="1" applyAlignment="1" applyProtection="1">
      <alignment horizontal="left" vertical="center" wrapText="1"/>
      <protection locked="0"/>
    </xf>
    <xf numFmtId="0" fontId="18" fillId="0" borderId="9" xfId="0" applyFont="1" applyBorder="1" applyAlignment="1" applyProtection="1">
      <alignment horizontal="left" vertical="center" wrapText="1"/>
      <protection locked="0"/>
    </xf>
    <xf numFmtId="0" fontId="72" fillId="0" borderId="0" xfId="0" applyFont="1" applyAlignment="1">
      <alignment horizontal="center"/>
    </xf>
    <xf numFmtId="0" fontId="166" fillId="0" borderId="0" xfId="0" applyFont="1" applyAlignment="1">
      <alignment horizontal="center" vertical="center"/>
    </xf>
    <xf numFmtId="0" fontId="124" fillId="0" borderId="0" xfId="0" applyFont="1" applyAlignment="1">
      <alignment horizontal="left" vertical="center"/>
    </xf>
    <xf numFmtId="0" fontId="0" fillId="0" borderId="26" xfId="0" applyBorder="1" applyAlignment="1">
      <alignment horizontal="center" vertical="center"/>
    </xf>
    <xf numFmtId="0" fontId="58" fillId="32" borderId="40" xfId="0" applyFont="1" applyFill="1" applyBorder="1" applyAlignment="1">
      <alignment horizontal="center"/>
    </xf>
    <xf numFmtId="0" fontId="58" fillId="32" borderId="48" xfId="0" applyFont="1" applyFill="1" applyBorder="1" applyAlignment="1">
      <alignment horizontal="center"/>
    </xf>
    <xf numFmtId="0" fontId="58" fillId="32" borderId="39" xfId="0" applyFont="1" applyFill="1" applyBorder="1" applyAlignment="1">
      <alignment horizontal="center"/>
    </xf>
    <xf numFmtId="0" fontId="129" fillId="0" borderId="37" xfId="0" applyFont="1" applyBorder="1" applyAlignment="1">
      <alignment horizontal="center" vertical="center"/>
    </xf>
    <xf numFmtId="0" fontId="129" fillId="0" borderId="47" xfId="0" applyFont="1" applyBorder="1" applyAlignment="1">
      <alignment horizontal="center" vertical="center"/>
    </xf>
    <xf numFmtId="0" fontId="129" fillId="0" borderId="20" xfId="0" applyFont="1" applyBorder="1" applyAlignment="1">
      <alignment horizontal="center" vertical="center"/>
    </xf>
    <xf numFmtId="0" fontId="129" fillId="0" borderId="37" xfId="0" applyFont="1" applyBorder="1" applyAlignment="1">
      <alignment horizontal="center" vertical="center" wrapText="1"/>
    </xf>
    <xf numFmtId="0" fontId="129" fillId="0" borderId="47" xfId="0" applyFont="1" applyBorder="1" applyAlignment="1">
      <alignment horizontal="center" vertical="center" wrapText="1"/>
    </xf>
    <xf numFmtId="0" fontId="129" fillId="0" borderId="20" xfId="0" applyFont="1" applyBorder="1" applyAlignment="1">
      <alignment horizontal="center" vertical="center" wrapText="1"/>
    </xf>
    <xf numFmtId="0" fontId="178" fillId="15" borderId="21" xfId="0" applyFont="1" applyFill="1" applyBorder="1" applyAlignment="1">
      <alignment horizontal="center"/>
    </xf>
    <xf numFmtId="0" fontId="178" fillId="15" borderId="77" xfId="0" applyFont="1" applyFill="1" applyBorder="1" applyAlignment="1">
      <alignment horizontal="center"/>
    </xf>
    <xf numFmtId="0" fontId="178" fillId="15" borderId="22" xfId="0" applyFont="1" applyFill="1" applyBorder="1" applyAlignment="1">
      <alignment horizontal="center"/>
    </xf>
    <xf numFmtId="0" fontId="178" fillId="15" borderId="25" xfId="0" applyFont="1" applyFill="1" applyBorder="1" applyAlignment="1">
      <alignment horizontal="center"/>
    </xf>
    <xf numFmtId="0" fontId="178" fillId="15" borderId="26" xfId="0" applyFont="1" applyFill="1" applyBorder="1" applyAlignment="1">
      <alignment horizontal="center"/>
    </xf>
    <xf numFmtId="0" fontId="178" fillId="15" borderId="27" xfId="0" applyFont="1" applyFill="1" applyBorder="1" applyAlignment="1">
      <alignment horizontal="center"/>
    </xf>
    <xf numFmtId="0" fontId="179" fillId="15" borderId="21" xfId="0" applyFont="1" applyFill="1" applyBorder="1" applyAlignment="1">
      <alignment horizontal="center"/>
    </xf>
    <xf numFmtId="0" fontId="179" fillId="15" borderId="77" xfId="0" applyFont="1" applyFill="1" applyBorder="1" applyAlignment="1">
      <alignment horizontal="center"/>
    </xf>
    <xf numFmtId="0" fontId="179" fillId="15" borderId="22" xfId="0" applyFont="1" applyFill="1" applyBorder="1" applyAlignment="1">
      <alignment horizontal="center"/>
    </xf>
    <xf numFmtId="0" fontId="179" fillId="15" borderId="25" xfId="0" applyFont="1" applyFill="1" applyBorder="1" applyAlignment="1">
      <alignment horizontal="center"/>
    </xf>
    <xf numFmtId="0" fontId="179" fillId="15" borderId="26" xfId="0" applyFont="1" applyFill="1" applyBorder="1" applyAlignment="1">
      <alignment horizontal="center"/>
    </xf>
    <xf numFmtId="0" fontId="179" fillId="15" borderId="27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0" fontId="168" fillId="0" borderId="0" xfId="0" applyFont="1" applyAlignment="1">
      <alignment horizontal="center" vertical="center"/>
    </xf>
    <xf numFmtId="0" fontId="167" fillId="15" borderId="9" xfId="0" applyFont="1" applyFill="1" applyBorder="1" applyAlignment="1">
      <alignment horizontal="center" vertical="center"/>
    </xf>
    <xf numFmtId="0" fontId="167" fillId="15" borderId="37" xfId="0" applyFont="1" applyFill="1" applyBorder="1" applyAlignment="1">
      <alignment horizontal="center" vertical="center"/>
    </xf>
    <xf numFmtId="0" fontId="177" fillId="32" borderId="39" xfId="0" applyFont="1" applyFill="1" applyBorder="1" applyAlignment="1">
      <alignment horizontal="center" vertical="center"/>
    </xf>
    <xf numFmtId="0" fontId="177" fillId="32" borderId="9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42" fillId="0" borderId="9" xfId="0" applyFont="1" applyBorder="1" applyAlignment="1">
      <alignment horizontal="center" vertical="center" wrapText="1"/>
    </xf>
    <xf numFmtId="49" fontId="42" fillId="0" borderId="9" xfId="0" applyNumberFormat="1" applyFont="1" applyBorder="1" applyAlignment="1">
      <alignment horizontal="center" vertical="center" wrapText="1"/>
    </xf>
    <xf numFmtId="0" fontId="78" fillId="2" borderId="0" xfId="0" applyFont="1" applyFill="1" applyAlignment="1">
      <alignment horizontal="center"/>
    </xf>
    <xf numFmtId="0" fontId="149" fillId="6" borderId="41" xfId="0" applyFont="1" applyFill="1" applyBorder="1" applyAlignment="1" applyProtection="1">
      <alignment horizontal="center" wrapText="1"/>
      <protection locked="0"/>
    </xf>
    <xf numFmtId="0" fontId="149" fillId="6" borderId="46" xfId="0" applyFont="1" applyFill="1" applyBorder="1" applyAlignment="1" applyProtection="1">
      <alignment horizontal="center" wrapText="1"/>
      <protection locked="0"/>
    </xf>
    <xf numFmtId="0" fontId="148" fillId="15" borderId="0" xfId="0" applyFont="1" applyFill="1" applyAlignment="1">
      <alignment horizontal="center"/>
    </xf>
    <xf numFmtId="0" fontId="59" fillId="0" borderId="0" xfId="0" applyFont="1" applyAlignment="1">
      <alignment horizontal="left"/>
    </xf>
    <xf numFmtId="0" fontId="48" fillId="32" borderId="60" xfId="0" applyFont="1" applyFill="1" applyBorder="1" applyAlignment="1">
      <alignment horizontal="center" vertical="center"/>
    </xf>
    <xf numFmtId="0" fontId="48" fillId="32" borderId="20" xfId="0" applyFont="1" applyFill="1" applyBorder="1" applyAlignment="1">
      <alignment horizontal="center" vertical="center"/>
    </xf>
    <xf numFmtId="0" fontId="55" fillId="0" borderId="62" xfId="0" applyFont="1" applyBorder="1" applyAlignment="1">
      <alignment horizontal="center" vertical="center" wrapText="1"/>
    </xf>
    <xf numFmtId="0" fontId="55" fillId="0" borderId="9" xfId="0" applyFont="1" applyBorder="1" applyAlignment="1">
      <alignment horizontal="center" vertical="center" wrapText="1"/>
    </xf>
    <xf numFmtId="0" fontId="55" fillId="0" borderId="64" xfId="0" applyFont="1" applyBorder="1" applyAlignment="1">
      <alignment horizontal="center" vertical="center" wrapText="1"/>
    </xf>
    <xf numFmtId="0" fontId="55" fillId="0" borderId="65" xfId="0" applyFont="1" applyBorder="1" applyAlignment="1">
      <alignment horizontal="center" vertical="center" wrapText="1"/>
    </xf>
    <xf numFmtId="0" fontId="55" fillId="0" borderId="20" xfId="0" applyFont="1" applyBorder="1" applyAlignment="1">
      <alignment horizontal="center" vertical="center" wrapText="1"/>
    </xf>
    <xf numFmtId="49" fontId="0" fillId="2" borderId="0" xfId="0" applyNumberFormat="1" applyFill="1" applyAlignment="1">
      <alignment horizontal="center"/>
    </xf>
    <xf numFmtId="0" fontId="53" fillId="0" borderId="0" xfId="0" applyFont="1" applyAlignment="1">
      <alignment horizontal="center"/>
    </xf>
    <xf numFmtId="0" fontId="53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9" fontId="64" fillId="0" borderId="7" xfId="0" applyNumberFormat="1" applyFont="1" applyBorder="1" applyAlignment="1" applyProtection="1">
      <alignment horizontal="center"/>
      <protection hidden="1"/>
    </xf>
    <xf numFmtId="9" fontId="64" fillId="0" borderId="75" xfId="0" applyNumberFormat="1" applyFont="1" applyBorder="1" applyAlignment="1" applyProtection="1">
      <alignment horizontal="center"/>
      <protection hidden="1"/>
    </xf>
    <xf numFmtId="0" fontId="53" fillId="0" borderId="7" xfId="0" applyFont="1" applyBorder="1" applyAlignment="1" applyProtection="1">
      <alignment horizontal="center"/>
      <protection hidden="1"/>
    </xf>
    <xf numFmtId="0" fontId="53" fillId="0" borderId="75" xfId="0" applyFont="1" applyBorder="1" applyAlignment="1" applyProtection="1">
      <alignment horizontal="center"/>
      <protection hidden="1"/>
    </xf>
    <xf numFmtId="0" fontId="127" fillId="38" borderId="0" xfId="0" applyFont="1" applyFill="1" applyAlignment="1">
      <alignment horizontal="center"/>
    </xf>
    <xf numFmtId="164" fontId="183" fillId="2" borderId="41" xfId="0" applyNumberFormat="1" applyFont="1" applyFill="1" applyBorder="1" applyAlignment="1">
      <alignment horizontal="center" vertical="center" wrapText="1"/>
    </xf>
    <xf numFmtId="164" fontId="183" fillId="2" borderId="46" xfId="0" applyNumberFormat="1" applyFont="1" applyFill="1" applyBorder="1" applyAlignment="1">
      <alignment horizontal="center" vertical="center" wrapText="1"/>
    </xf>
    <xf numFmtId="164" fontId="173" fillId="2" borderId="41" xfId="0" applyNumberFormat="1" applyFont="1" applyFill="1" applyBorder="1" applyAlignment="1">
      <alignment horizontal="center" vertical="center"/>
    </xf>
    <xf numFmtId="164" fontId="173" fillId="2" borderId="46" xfId="0" applyNumberFormat="1" applyFont="1" applyFill="1" applyBorder="1" applyAlignment="1">
      <alignment horizontal="center" vertical="center"/>
    </xf>
    <xf numFmtId="0" fontId="42" fillId="2" borderId="7" xfId="0" applyFont="1" applyFill="1" applyBorder="1" applyAlignment="1">
      <alignment horizontal="justify" vertical="center" wrapText="1"/>
    </xf>
    <xf numFmtId="0" fontId="42" fillId="2" borderId="8" xfId="0" applyFont="1" applyFill="1" applyBorder="1" applyAlignment="1">
      <alignment horizontal="justify" vertical="center" wrapText="1"/>
    </xf>
    <xf numFmtId="0" fontId="42" fillId="2" borderId="75" xfId="0" applyFont="1" applyFill="1" applyBorder="1" applyAlignment="1">
      <alignment horizontal="justify" vertical="center" wrapText="1"/>
    </xf>
    <xf numFmtId="0" fontId="48" fillId="10" borderId="18" xfId="0" applyFont="1" applyFill="1" applyBorder="1" applyAlignment="1">
      <alignment horizontal="center" vertical="center"/>
    </xf>
    <xf numFmtId="0" fontId="48" fillId="10" borderId="19" xfId="0" applyFont="1" applyFill="1" applyBorder="1" applyAlignment="1">
      <alignment horizontal="center" vertical="center"/>
    </xf>
    <xf numFmtId="0" fontId="48" fillId="10" borderId="10" xfId="0" applyFont="1" applyFill="1" applyBorder="1" applyAlignment="1">
      <alignment horizontal="center" vertical="center"/>
    </xf>
    <xf numFmtId="0" fontId="42" fillId="0" borderId="7" xfId="0" applyFont="1" applyBorder="1" applyAlignment="1">
      <alignment horizontal="left" vertical="center" wrapText="1"/>
    </xf>
    <xf numFmtId="0" fontId="42" fillId="0" borderId="8" xfId="0" applyFont="1" applyBorder="1" applyAlignment="1">
      <alignment horizontal="left" vertical="center" wrapText="1"/>
    </xf>
    <xf numFmtId="0" fontId="42" fillId="0" borderId="75" xfId="0" applyFont="1" applyBorder="1" applyAlignment="1">
      <alignment horizontal="left" vertical="center" wrapText="1"/>
    </xf>
    <xf numFmtId="0" fontId="42" fillId="0" borderId="7" xfId="0" applyFont="1" applyBorder="1" applyAlignment="1">
      <alignment horizontal="justify" vertical="center" wrapText="1"/>
    </xf>
    <xf numFmtId="0" fontId="42" fillId="0" borderId="8" xfId="0" applyFont="1" applyBorder="1" applyAlignment="1">
      <alignment horizontal="justify" vertical="center" wrapText="1"/>
    </xf>
    <xf numFmtId="0" fontId="42" fillId="0" borderId="75" xfId="0" applyFont="1" applyBorder="1" applyAlignment="1">
      <alignment horizontal="justify" vertical="center" wrapText="1"/>
    </xf>
    <xf numFmtId="0" fontId="124" fillId="0" borderId="0" xfId="0" applyFont="1" applyAlignment="1">
      <alignment horizontal="left" vertical="center" wrapText="1"/>
    </xf>
    <xf numFmtId="9" fontId="11" fillId="2" borderId="0" xfId="0" applyNumberFormat="1" applyFont="1" applyFill="1" applyAlignment="1">
      <alignment horizontal="center" vertical="center" wrapText="1"/>
    </xf>
    <xf numFmtId="9" fontId="11" fillId="2" borderId="0" xfId="0" quotePrefix="1" applyNumberFormat="1" applyFont="1" applyFill="1" applyAlignment="1">
      <alignment horizontal="center" vertical="center" wrapText="1"/>
    </xf>
    <xf numFmtId="1" fontId="112" fillId="2" borderId="9" xfId="0" applyNumberFormat="1" applyFont="1" applyFill="1" applyBorder="1" applyAlignment="1">
      <alignment horizontal="center" vertical="center"/>
    </xf>
    <xf numFmtId="9" fontId="64" fillId="0" borderId="1" xfId="2" applyFont="1" applyBorder="1" applyAlignment="1" applyProtection="1">
      <alignment horizontal="center"/>
      <protection hidden="1"/>
    </xf>
    <xf numFmtId="9" fontId="64" fillId="0" borderId="3" xfId="2" applyFont="1" applyBorder="1" applyAlignment="1" applyProtection="1">
      <alignment horizontal="center"/>
      <protection hidden="1"/>
    </xf>
    <xf numFmtId="0" fontId="53" fillId="2" borderId="0" xfId="0" applyFont="1" applyFill="1" applyAlignment="1" applyProtection="1">
      <alignment horizontal="center"/>
      <protection hidden="1"/>
    </xf>
    <xf numFmtId="9" fontId="64" fillId="2" borderId="0" xfId="0" applyNumberFormat="1" applyFont="1" applyFill="1" applyAlignment="1" applyProtection="1">
      <alignment horizontal="center"/>
      <protection hidden="1"/>
    </xf>
    <xf numFmtId="0" fontId="123" fillId="31" borderId="23" xfId="0" applyFont="1" applyFill="1" applyBorder="1" applyAlignment="1">
      <alignment horizontal="center" vertical="center"/>
    </xf>
    <xf numFmtId="0" fontId="123" fillId="31" borderId="0" xfId="0" applyFont="1" applyFill="1" applyAlignment="1">
      <alignment horizontal="center" vertical="center"/>
    </xf>
    <xf numFmtId="0" fontId="52" fillId="11" borderId="41" xfId="0" applyFont="1" applyFill="1" applyBorder="1" applyAlignment="1">
      <alignment horizontal="center" wrapText="1"/>
    </xf>
    <xf numFmtId="0" fontId="52" fillId="11" borderId="46" xfId="0" applyFont="1" applyFill="1" applyBorder="1" applyAlignment="1">
      <alignment horizontal="center" wrapText="1"/>
    </xf>
    <xf numFmtId="0" fontId="41" fillId="0" borderId="0" xfId="0" applyFont="1" applyAlignment="1">
      <alignment horizontal="left"/>
    </xf>
    <xf numFmtId="0" fontId="174" fillId="0" borderId="0" xfId="0" applyFont="1" applyAlignment="1">
      <alignment horizontal="center"/>
    </xf>
    <xf numFmtId="0" fontId="48" fillId="10" borderId="9" xfId="0" applyFont="1" applyFill="1" applyBorder="1" applyAlignment="1">
      <alignment horizontal="center" vertical="center"/>
    </xf>
    <xf numFmtId="0" fontId="170" fillId="0" borderId="0" xfId="0" applyFont="1" applyAlignment="1">
      <alignment horizontal="center"/>
    </xf>
    <xf numFmtId="0" fontId="42" fillId="0" borderId="0" xfId="0" applyFont="1" applyAlignment="1">
      <alignment horizontal="left" vertical="center" wrapText="1"/>
    </xf>
    <xf numFmtId="0" fontId="55" fillId="2" borderId="9" xfId="0" applyFont="1" applyFill="1" applyBorder="1" applyAlignment="1">
      <alignment vertical="center" wrapText="1"/>
    </xf>
    <xf numFmtId="0" fontId="55" fillId="2" borderId="0" xfId="0" applyFont="1" applyFill="1" applyAlignment="1">
      <alignment vertical="center" wrapText="1"/>
    </xf>
    <xf numFmtId="0" fontId="42" fillId="2" borderId="9" xfId="0" applyFont="1" applyFill="1" applyBorder="1" applyAlignment="1">
      <alignment horizontal="justify" vertical="center" wrapText="1"/>
    </xf>
    <xf numFmtId="0" fontId="53" fillId="0" borderId="7" xfId="0" applyFont="1" applyBorder="1" applyAlignment="1">
      <alignment horizontal="center"/>
    </xf>
    <xf numFmtId="0" fontId="53" fillId="0" borderId="75" xfId="0" applyFont="1" applyBorder="1" applyAlignment="1">
      <alignment horizontal="center"/>
    </xf>
    <xf numFmtId="9" fontId="64" fillId="0" borderId="1" xfId="2" applyFont="1" applyBorder="1" applyAlignment="1">
      <alignment horizontal="center"/>
    </xf>
    <xf numFmtId="9" fontId="64" fillId="0" borderId="3" xfId="2" applyFont="1" applyBorder="1" applyAlignment="1">
      <alignment horizontal="center"/>
    </xf>
    <xf numFmtId="0" fontId="42" fillId="0" borderId="9" xfId="0" applyFont="1" applyBorder="1" applyAlignment="1">
      <alignment horizontal="justify" vertical="center" wrapText="1"/>
    </xf>
    <xf numFmtId="0" fontId="64" fillId="2" borderId="0" xfId="0" applyFont="1" applyFill="1" applyAlignment="1">
      <alignment horizontal="center" vertical="center" wrapText="1"/>
    </xf>
    <xf numFmtId="0" fontId="142" fillId="15" borderId="7" xfId="0" applyFont="1" applyFill="1" applyBorder="1" applyAlignment="1">
      <alignment horizontal="center" vertical="center"/>
    </xf>
    <xf numFmtId="0" fontId="142" fillId="15" borderId="8" xfId="0" applyFont="1" applyFill="1" applyBorder="1" applyAlignment="1">
      <alignment horizontal="center" vertical="center"/>
    </xf>
    <xf numFmtId="0" fontId="142" fillId="15" borderId="75" xfId="0" applyFont="1" applyFill="1" applyBorder="1" applyAlignment="1">
      <alignment horizontal="center" vertical="center"/>
    </xf>
    <xf numFmtId="0" fontId="46" fillId="6" borderId="7" xfId="0" applyFont="1" applyFill="1" applyBorder="1" applyAlignment="1">
      <alignment horizontal="center" vertical="center"/>
    </xf>
    <xf numFmtId="0" fontId="46" fillId="6" borderId="8" xfId="0" applyFont="1" applyFill="1" applyBorder="1" applyAlignment="1">
      <alignment horizontal="center" vertical="center"/>
    </xf>
    <xf numFmtId="0" fontId="46" fillId="6" borderId="75" xfId="0" applyFont="1" applyFill="1" applyBorder="1" applyAlignment="1">
      <alignment horizontal="center" vertical="center"/>
    </xf>
    <xf numFmtId="0" fontId="98" fillId="2" borderId="4" xfId="0" applyFont="1" applyFill="1" applyBorder="1" applyAlignment="1">
      <alignment horizontal="center" vertical="center" wrapText="1"/>
    </xf>
    <xf numFmtId="0" fontId="98" fillId="2" borderId="5" xfId="0" applyFont="1" applyFill="1" applyBorder="1" applyAlignment="1">
      <alignment horizontal="center" vertical="center" wrapText="1"/>
    </xf>
    <xf numFmtId="0" fontId="98" fillId="2" borderId="6" xfId="0" applyFont="1" applyFill="1" applyBorder="1" applyAlignment="1">
      <alignment horizontal="center" vertical="center" wrapText="1"/>
    </xf>
    <xf numFmtId="0" fontId="143" fillId="0" borderId="0" xfId="0" applyFont="1" applyAlignment="1">
      <alignment horizontal="center" vertical="center"/>
    </xf>
    <xf numFmtId="0" fontId="143" fillId="0" borderId="12" xfId="0" applyFont="1" applyBorder="1" applyAlignment="1">
      <alignment horizontal="center" vertical="center"/>
    </xf>
    <xf numFmtId="0" fontId="142" fillId="15" borderId="1" xfId="0" applyFont="1" applyFill="1" applyBorder="1" applyAlignment="1">
      <alignment horizontal="center" vertical="center"/>
    </xf>
    <xf numFmtId="0" fontId="56" fillId="38" borderId="0" xfId="0" applyFont="1" applyFill="1" applyAlignment="1">
      <alignment horizontal="center"/>
    </xf>
    <xf numFmtId="49" fontId="55" fillId="0" borderId="62" xfId="0" applyNumberFormat="1" applyFont="1" applyBorder="1" applyAlignment="1">
      <alignment horizontal="center" vertical="center" wrapText="1"/>
    </xf>
    <xf numFmtId="0" fontId="148" fillId="32" borderId="0" xfId="0" applyFont="1" applyFill="1" applyAlignment="1">
      <alignment horizontal="center"/>
    </xf>
    <xf numFmtId="0" fontId="55" fillId="0" borderId="0" xfId="0" applyFont="1" applyAlignment="1">
      <alignment horizontal="left"/>
    </xf>
    <xf numFmtId="0" fontId="48" fillId="15" borderId="18" xfId="0" applyFont="1" applyFill="1" applyBorder="1" applyAlignment="1">
      <alignment horizontal="center" vertical="center"/>
    </xf>
    <xf numFmtId="0" fontId="48" fillId="15" borderId="78" xfId="0" applyFont="1" applyFill="1" applyBorder="1" applyAlignment="1">
      <alignment horizontal="center" vertical="center"/>
    </xf>
    <xf numFmtId="0" fontId="55" fillId="0" borderId="60" xfId="0" applyFont="1" applyBorder="1" applyAlignment="1">
      <alignment horizontal="center" vertical="center" wrapText="1"/>
    </xf>
    <xf numFmtId="0" fontId="26" fillId="3" borderId="0" xfId="0" applyFont="1" applyFill="1" applyAlignment="1">
      <alignment horizontal="left"/>
    </xf>
    <xf numFmtId="0" fontId="32" fillId="2" borderId="0" xfId="0" applyFont="1" applyFill="1" applyAlignment="1">
      <alignment horizontal="center" vertical="center"/>
    </xf>
    <xf numFmtId="0" fontId="26" fillId="2" borderId="13" xfId="0" applyFont="1" applyFill="1" applyBorder="1" applyAlignment="1">
      <alignment horizontal="center"/>
    </xf>
    <xf numFmtId="0" fontId="26" fillId="2" borderId="14" xfId="0" applyFont="1" applyFill="1" applyBorder="1" applyAlignment="1">
      <alignment horizontal="center"/>
    </xf>
    <xf numFmtId="0" fontId="26" fillId="3" borderId="0" xfId="0" applyFont="1" applyFill="1" applyAlignment="1">
      <alignment horizontal="left" vertical="center"/>
    </xf>
    <xf numFmtId="0" fontId="36" fillId="2" borderId="0" xfId="0" applyFont="1" applyFill="1" applyAlignment="1">
      <alignment horizontal="left" vertical="center"/>
    </xf>
    <xf numFmtId="0" fontId="26" fillId="2" borderId="30" xfId="0" applyFont="1" applyFill="1" applyBorder="1" applyAlignment="1">
      <alignment horizontal="left"/>
    </xf>
    <xf numFmtId="0" fontId="26" fillId="2" borderId="31" xfId="0" applyFont="1" applyFill="1" applyBorder="1" applyAlignment="1">
      <alignment horizontal="left"/>
    </xf>
    <xf numFmtId="0" fontId="28" fillId="3" borderId="0" xfId="0" applyFont="1" applyFill="1" applyAlignment="1">
      <alignment horizontal="center"/>
    </xf>
    <xf numFmtId="0" fontId="29" fillId="2" borderId="0" xfId="0" applyFont="1" applyFill="1" applyAlignment="1">
      <alignment horizontal="center"/>
    </xf>
    <xf numFmtId="0" fontId="4" fillId="2" borderId="0" xfId="0" applyFont="1" applyFill="1"/>
    <xf numFmtId="0" fontId="26" fillId="3" borderId="0" xfId="0" applyFont="1" applyFill="1"/>
    <xf numFmtId="0" fontId="13" fillId="2" borderId="0" xfId="0" applyFont="1" applyFill="1" applyAlignment="1">
      <alignment horizontal="left" vertical="center"/>
    </xf>
    <xf numFmtId="0" fontId="27" fillId="3" borderId="0" xfId="0" applyFont="1" applyFill="1"/>
    <xf numFmtId="0" fontId="3" fillId="2" borderId="0" xfId="0" applyFont="1" applyFill="1"/>
    <xf numFmtId="0" fontId="16" fillId="2" borderId="0" xfId="0" applyFont="1" applyFill="1"/>
    <xf numFmtId="49" fontId="1" fillId="2" borderId="0" xfId="0" applyNumberFormat="1" applyFont="1" applyFill="1" applyAlignment="1">
      <alignment horizontal="center"/>
    </xf>
    <xf numFmtId="0" fontId="0" fillId="2" borderId="0" xfId="0" applyFill="1"/>
    <xf numFmtId="0" fontId="14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7" fillId="2" borderId="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0" fillId="9" borderId="18" xfId="0" applyFont="1" applyFill="1" applyBorder="1" applyAlignment="1">
      <alignment horizontal="center" vertical="center"/>
    </xf>
    <xf numFmtId="0" fontId="10" fillId="9" borderId="19" xfId="0" applyFont="1" applyFill="1" applyBorder="1" applyAlignment="1">
      <alignment horizontal="center" vertical="center"/>
    </xf>
    <xf numFmtId="0" fontId="10" fillId="9" borderId="10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8" fillId="4" borderId="33" xfId="0" applyFont="1" applyFill="1" applyBorder="1" applyAlignment="1">
      <alignment horizontal="center" vertical="center"/>
    </xf>
    <xf numFmtId="0" fontId="8" fillId="4" borderId="35" xfId="0" applyFont="1" applyFill="1" applyBorder="1" applyAlignment="1">
      <alignment horizontal="center" vertical="center"/>
    </xf>
    <xf numFmtId="0" fontId="6" fillId="6" borderId="41" xfId="0" applyFont="1" applyFill="1" applyBorder="1" applyAlignment="1">
      <alignment horizontal="center" vertical="center"/>
    </xf>
    <xf numFmtId="0" fontId="6" fillId="6" borderId="42" xfId="0" applyFont="1" applyFill="1" applyBorder="1" applyAlignment="1">
      <alignment horizontal="center" vertical="center"/>
    </xf>
    <xf numFmtId="0" fontId="6" fillId="6" borderId="46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33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9" fillId="0" borderId="35" xfId="0" applyFont="1" applyBorder="1" applyAlignment="1">
      <alignment horizontal="center" vertical="center" wrapText="1"/>
    </xf>
    <xf numFmtId="0" fontId="3" fillId="5" borderId="41" xfId="0" applyFont="1" applyFill="1" applyBorder="1" applyAlignment="1">
      <alignment horizontal="center" vertical="center"/>
    </xf>
    <xf numFmtId="0" fontId="3" fillId="5" borderId="42" xfId="0" applyFont="1" applyFill="1" applyBorder="1" applyAlignment="1">
      <alignment horizontal="center" vertical="center"/>
    </xf>
    <xf numFmtId="0" fontId="3" fillId="5" borderId="46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6" fillId="6" borderId="43" xfId="0" applyFont="1" applyFill="1" applyBorder="1" applyAlignment="1">
      <alignment horizontal="center" vertical="center"/>
    </xf>
    <xf numFmtId="0" fontId="6" fillId="6" borderId="44" xfId="0" applyFont="1" applyFill="1" applyBorder="1" applyAlignment="1">
      <alignment horizontal="center" vertical="center"/>
    </xf>
    <xf numFmtId="0" fontId="6" fillId="6" borderId="45" xfId="0" applyFont="1" applyFill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151" fillId="0" borderId="0" xfId="0" applyFont="1" applyAlignment="1">
      <alignment horizontal="right" vertical="center" wrapText="1"/>
    </xf>
    <xf numFmtId="0" fontId="151" fillId="0" borderId="26" xfId="0" applyFont="1" applyBorder="1" applyAlignment="1">
      <alignment horizontal="right" vertical="center" wrapText="1"/>
    </xf>
    <xf numFmtId="0" fontId="175" fillId="0" borderId="0" xfId="0" applyFont="1" applyAlignment="1">
      <alignment horizontal="left" vertical="center" wrapText="1"/>
    </xf>
    <xf numFmtId="0" fontId="175" fillId="0" borderId="26" xfId="0" applyFont="1" applyBorder="1" applyAlignment="1">
      <alignment horizontal="left" vertical="center" wrapText="1"/>
    </xf>
    <xf numFmtId="0" fontId="81" fillId="18" borderId="23" xfId="0" applyFont="1" applyFill="1" applyBorder="1" applyAlignment="1">
      <alignment horizontal="center" vertical="center"/>
    </xf>
    <xf numFmtId="0" fontId="81" fillId="18" borderId="0" xfId="0" applyFont="1" applyFill="1" applyAlignment="1">
      <alignment horizontal="center" vertical="center"/>
    </xf>
    <xf numFmtId="0" fontId="0" fillId="12" borderId="0" xfId="0" applyFill="1" applyAlignment="1">
      <alignment horizontal="center"/>
    </xf>
    <xf numFmtId="0" fontId="84" fillId="2" borderId="0" xfId="0" applyFont="1" applyFill="1" applyAlignment="1">
      <alignment horizontal="left" vertical="top"/>
    </xf>
    <xf numFmtId="0" fontId="120" fillId="0" borderId="0" xfId="0" applyFont="1" applyAlignment="1" applyProtection="1">
      <alignment horizontal="center" vertical="center" wrapText="1"/>
      <protection locked="0"/>
    </xf>
    <xf numFmtId="0" fontId="150" fillId="0" borderId="0" xfId="0" applyFont="1" applyAlignment="1">
      <alignment horizontal="center" vertical="center" wrapText="1"/>
    </xf>
    <xf numFmtId="0" fontId="150" fillId="0" borderId="5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top" wrapText="1"/>
    </xf>
    <xf numFmtId="0" fontId="150" fillId="0" borderId="0" xfId="0" applyFont="1" applyAlignment="1" applyProtection="1">
      <alignment horizontal="right" vertical="center" wrapText="1"/>
      <protection locked="0"/>
    </xf>
    <xf numFmtId="0" fontId="150" fillId="0" borderId="0" xfId="0" applyFont="1" applyAlignment="1" applyProtection="1">
      <alignment vertical="center" wrapText="1"/>
      <protection locked="0"/>
    </xf>
    <xf numFmtId="0" fontId="150" fillId="0" borderId="12" xfId="0" applyFont="1" applyBorder="1" applyAlignment="1" applyProtection="1">
      <alignment vertical="center" wrapText="1"/>
      <protection locked="0"/>
    </xf>
    <xf numFmtId="0" fontId="151" fillId="0" borderId="0" xfId="0" applyFont="1" applyAlignment="1">
      <alignment horizontal="right" wrapText="1"/>
    </xf>
    <xf numFmtId="0" fontId="175" fillId="0" borderId="0" xfId="0" applyFont="1" applyAlignment="1">
      <alignment horizontal="left" wrapText="1"/>
    </xf>
    <xf numFmtId="0" fontId="150" fillId="0" borderId="0" xfId="0" applyFont="1" applyAlignment="1" applyProtection="1">
      <alignment horizontal="center" vertical="center" wrapText="1"/>
      <protection locked="0"/>
    </xf>
    <xf numFmtId="0" fontId="5" fillId="0" borderId="0" xfId="0" applyFont="1" applyAlignment="1">
      <alignment horizontal="center" vertical="center" wrapText="1"/>
    </xf>
    <xf numFmtId="0" fontId="0" fillId="11" borderId="0" xfId="0" applyFill="1" applyAlignment="1">
      <alignment horizontal="center"/>
    </xf>
    <xf numFmtId="0" fontId="129" fillId="0" borderId="0" xfId="0" applyFont="1" applyAlignment="1" applyProtection="1">
      <alignment horizontal="center" vertical="center" wrapText="1"/>
      <protection locked="0"/>
    </xf>
    <xf numFmtId="0" fontId="129" fillId="0" borderId="0" xfId="0" applyFont="1" applyAlignment="1">
      <alignment horizontal="center" wrapText="1"/>
    </xf>
    <xf numFmtId="0" fontId="129" fillId="0" borderId="0" xfId="0" applyFont="1" applyAlignment="1">
      <alignment horizontal="center" vertical="center" wrapText="1"/>
    </xf>
    <xf numFmtId="0" fontId="112" fillId="0" borderId="0" xfId="0" applyFont="1" applyAlignment="1">
      <alignment horizontal="right" wrapText="1"/>
    </xf>
    <xf numFmtId="0" fontId="147" fillId="0" borderId="0" xfId="0" applyFont="1" applyAlignment="1">
      <alignment horizontal="left" wrapText="1"/>
    </xf>
    <xf numFmtId="0" fontId="112" fillId="0" borderId="0" xfId="0" applyFont="1" applyAlignment="1">
      <alignment horizontal="left"/>
    </xf>
    <xf numFmtId="0" fontId="44" fillId="0" borderId="0" xfId="0" applyFont="1" applyAlignment="1">
      <alignment horizontal="center" vertical="center" wrapText="1"/>
    </xf>
    <xf numFmtId="0" fontId="16" fillId="20" borderId="9" xfId="0" applyFont="1" applyFill="1" applyBorder="1" applyAlignment="1">
      <alignment horizontal="center"/>
    </xf>
    <xf numFmtId="14" fontId="0" fillId="0" borderId="31" xfId="0" applyNumberFormat="1" applyBorder="1" applyAlignment="1">
      <alignment horizontal="center"/>
    </xf>
    <xf numFmtId="0" fontId="0" fillId="0" borderId="74" xfId="0" applyBorder="1" applyAlignment="1">
      <alignment horizontal="center"/>
    </xf>
    <xf numFmtId="0" fontId="9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top" wrapText="1"/>
    </xf>
    <xf numFmtId="0" fontId="1" fillId="0" borderId="24" xfId="0" applyFont="1" applyBorder="1" applyAlignment="1">
      <alignment horizontal="center" vertical="top" wrapText="1"/>
    </xf>
    <xf numFmtId="0" fontId="0" fillId="3" borderId="30" xfId="0" applyFill="1" applyBorder="1" applyAlignment="1">
      <alignment horizontal="left" vertical="center"/>
    </xf>
    <xf numFmtId="0" fontId="0" fillId="3" borderId="31" xfId="0" applyFill="1" applyBorder="1" applyAlignment="1">
      <alignment horizontal="left" vertical="center"/>
    </xf>
    <xf numFmtId="0" fontId="0" fillId="0" borderId="17" xfId="0" applyBorder="1" applyAlignment="1">
      <alignment horizontal="center"/>
    </xf>
    <xf numFmtId="0" fontId="0" fillId="3" borderId="16" xfId="0" applyFill="1" applyBorder="1" applyAlignment="1">
      <alignment horizontal="left" vertical="center"/>
    </xf>
    <xf numFmtId="0" fontId="0" fillId="3" borderId="40" xfId="0" applyFill="1" applyBorder="1" applyAlignment="1">
      <alignment horizontal="left" vertical="center"/>
    </xf>
    <xf numFmtId="0" fontId="0" fillId="3" borderId="13" xfId="0" applyFill="1" applyBorder="1" applyAlignment="1">
      <alignment horizontal="left" vertical="center"/>
    </xf>
    <xf numFmtId="0" fontId="0" fillId="3" borderId="28" xfId="0" applyFill="1" applyBorder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81" fillId="15" borderId="103" xfId="0" applyFont="1" applyFill="1" applyBorder="1" applyAlignment="1">
      <alignment horizontal="center" vertical="center" textRotation="90"/>
    </xf>
    <xf numFmtId="0" fontId="181" fillId="15" borderId="105" xfId="0" applyFont="1" applyFill="1" applyBorder="1" applyAlignment="1">
      <alignment horizontal="center" vertical="center" textRotation="90"/>
    </xf>
    <xf numFmtId="0" fontId="181" fillId="15" borderId="104" xfId="0" applyFont="1" applyFill="1" applyBorder="1" applyAlignment="1">
      <alignment horizontal="center" vertical="center" textRotation="90"/>
    </xf>
    <xf numFmtId="0" fontId="18" fillId="0" borderId="40" xfId="0" applyFont="1" applyBorder="1" applyAlignment="1" applyProtection="1">
      <alignment horizontal="left" vertical="top" wrapText="1"/>
      <protection locked="0"/>
    </xf>
    <xf numFmtId="0" fontId="18" fillId="0" borderId="48" xfId="0" applyFont="1" applyBorder="1" applyAlignment="1" applyProtection="1">
      <alignment horizontal="left" vertical="top" wrapText="1"/>
      <protection locked="0"/>
    </xf>
    <xf numFmtId="0" fontId="18" fillId="0" borderId="39" xfId="0" applyFont="1" applyBorder="1" applyAlignment="1" applyProtection="1">
      <alignment horizontal="left" vertical="top" wrapText="1"/>
      <protection locked="0"/>
    </xf>
    <xf numFmtId="0" fontId="151" fillId="2" borderId="9" xfId="0" applyFont="1" applyFill="1" applyBorder="1" applyAlignment="1">
      <alignment horizontal="center"/>
    </xf>
    <xf numFmtId="0" fontId="152" fillId="15" borderId="9" xfId="0" applyFont="1" applyFill="1" applyBorder="1" applyAlignment="1">
      <alignment horizontal="center"/>
    </xf>
    <xf numFmtId="0" fontId="152" fillId="32" borderId="9" xfId="0" applyFont="1" applyFill="1" applyBorder="1" applyAlignment="1">
      <alignment horizontal="center"/>
    </xf>
    <xf numFmtId="0" fontId="100" fillId="32" borderId="18" xfId="0" applyFont="1" applyFill="1" applyBorder="1" applyAlignment="1">
      <alignment horizontal="center" vertical="center" wrapText="1"/>
    </xf>
    <xf numFmtId="0" fontId="100" fillId="32" borderId="19" xfId="0" applyFont="1" applyFill="1" applyBorder="1" applyAlignment="1">
      <alignment horizontal="center" vertical="center" wrapText="1"/>
    </xf>
    <xf numFmtId="0" fontId="100" fillId="32" borderId="10" xfId="0" applyFont="1" applyFill="1" applyBorder="1" applyAlignment="1">
      <alignment horizontal="center" vertical="center" wrapText="1"/>
    </xf>
    <xf numFmtId="0" fontId="97" fillId="32" borderId="18" xfId="0" applyFont="1" applyFill="1" applyBorder="1" applyAlignment="1">
      <alignment horizontal="center"/>
    </xf>
    <xf numFmtId="0" fontId="97" fillId="32" borderId="19" xfId="0" applyFont="1" applyFill="1" applyBorder="1" applyAlignment="1">
      <alignment horizontal="center"/>
    </xf>
    <xf numFmtId="0" fontId="97" fillId="32" borderId="78" xfId="0" applyFont="1" applyFill="1" applyBorder="1" applyAlignment="1">
      <alignment horizontal="center"/>
    </xf>
    <xf numFmtId="0" fontId="9" fillId="2" borderId="9" xfId="0" applyFont="1" applyFill="1" applyBorder="1" applyAlignment="1" applyProtection="1">
      <alignment horizontal="center" vertical="center"/>
      <protection locked="0"/>
    </xf>
    <xf numFmtId="0" fontId="9" fillId="17" borderId="9" xfId="0" applyFont="1" applyFill="1" applyBorder="1" applyAlignment="1">
      <alignment horizontal="center" vertical="center"/>
    </xf>
    <xf numFmtId="0" fontId="128" fillId="15" borderId="18" xfId="0" applyFont="1" applyFill="1" applyBorder="1" applyAlignment="1">
      <alignment horizontal="center" vertical="center"/>
    </xf>
    <xf numFmtId="0" fontId="128" fillId="15" borderId="19" xfId="0" applyFont="1" applyFill="1" applyBorder="1" applyAlignment="1">
      <alignment horizontal="center" vertical="center"/>
    </xf>
    <xf numFmtId="0" fontId="128" fillId="15" borderId="78" xfId="0" applyFont="1" applyFill="1" applyBorder="1" applyAlignment="1">
      <alignment horizontal="center" vertical="center"/>
    </xf>
    <xf numFmtId="0" fontId="102" fillId="2" borderId="5" xfId="0" applyFont="1" applyFill="1" applyBorder="1" applyAlignment="1" applyProtection="1">
      <alignment horizontal="left"/>
      <protection locked="0"/>
    </xf>
    <xf numFmtId="0" fontId="146" fillId="2" borderId="0" xfId="0" applyFont="1" applyFill="1" applyAlignment="1">
      <alignment horizontal="center"/>
    </xf>
    <xf numFmtId="0" fontId="104" fillId="32" borderId="18" xfId="0" applyFont="1" applyFill="1" applyBorder="1" applyAlignment="1">
      <alignment horizontal="center" vertical="center" wrapText="1"/>
    </xf>
    <xf numFmtId="0" fontId="104" fillId="32" borderId="19" xfId="0" applyFont="1" applyFill="1" applyBorder="1" applyAlignment="1">
      <alignment horizontal="center" vertical="center" wrapText="1"/>
    </xf>
    <xf numFmtId="0" fontId="104" fillId="32" borderId="10" xfId="0" applyFont="1" applyFill="1" applyBorder="1" applyAlignment="1">
      <alignment horizontal="center" vertical="center" wrapText="1"/>
    </xf>
    <xf numFmtId="0" fontId="12" fillId="2" borderId="0" xfId="0" applyFont="1" applyFill="1" applyAlignment="1">
      <alignment horizontal="left" vertical="center"/>
    </xf>
    <xf numFmtId="0" fontId="20" fillId="2" borderId="0" xfId="0" applyFont="1" applyFill="1" applyAlignment="1">
      <alignment horizontal="left" vertical="center"/>
    </xf>
    <xf numFmtId="0" fontId="180" fillId="15" borderId="13" xfId="0" applyFont="1" applyFill="1" applyBorder="1" applyAlignment="1">
      <alignment horizontal="center" vertical="center"/>
    </xf>
    <xf numFmtId="0" fontId="180" fillId="15" borderId="14" xfId="0" applyFont="1" applyFill="1" applyBorder="1" applyAlignment="1">
      <alignment horizontal="center" vertical="center"/>
    </xf>
    <xf numFmtId="0" fontId="180" fillId="15" borderId="15" xfId="0" applyFont="1" applyFill="1" applyBorder="1" applyAlignment="1">
      <alignment horizontal="center" vertical="center"/>
    </xf>
    <xf numFmtId="0" fontId="180" fillId="15" borderId="30" xfId="0" applyFont="1" applyFill="1" applyBorder="1" applyAlignment="1">
      <alignment horizontal="center" vertical="center"/>
    </xf>
    <xf numFmtId="0" fontId="180" fillId="15" borderId="31" xfId="0" applyFont="1" applyFill="1" applyBorder="1" applyAlignment="1">
      <alignment horizontal="center" vertical="center"/>
    </xf>
    <xf numFmtId="0" fontId="180" fillId="15" borderId="74" xfId="0" applyFont="1" applyFill="1" applyBorder="1" applyAlignment="1">
      <alignment horizontal="center" vertical="center"/>
    </xf>
    <xf numFmtId="0" fontId="128" fillId="15" borderId="103" xfId="0" applyFont="1" applyFill="1" applyBorder="1" applyAlignment="1">
      <alignment horizontal="center" vertical="center"/>
    </xf>
    <xf numFmtId="0" fontId="128" fillId="15" borderId="104" xfId="0" applyFont="1" applyFill="1" applyBorder="1" applyAlignment="1">
      <alignment horizontal="center" vertical="center"/>
    </xf>
    <xf numFmtId="0" fontId="128" fillId="15" borderId="103" xfId="0" applyFont="1" applyFill="1" applyBorder="1" applyAlignment="1">
      <alignment horizontal="center" vertical="center" wrapText="1"/>
    </xf>
    <xf numFmtId="0" fontId="128" fillId="15" borderId="104" xfId="0" applyFont="1" applyFill="1" applyBorder="1" applyAlignment="1">
      <alignment horizontal="center" vertical="center" wrapText="1"/>
    </xf>
    <xf numFmtId="14" fontId="9" fillId="2" borderId="0" xfId="0" applyNumberFormat="1" applyFont="1" applyFill="1" applyAlignment="1">
      <alignment horizontal="center"/>
    </xf>
    <xf numFmtId="9" fontId="9" fillId="2" borderId="9" xfId="0" applyNumberFormat="1" applyFont="1" applyFill="1" applyBorder="1" applyAlignment="1" applyProtection="1">
      <alignment horizontal="center" vertical="center"/>
      <protection locked="0"/>
    </xf>
    <xf numFmtId="0" fontId="102" fillId="2" borderId="0" xfId="0" applyFont="1" applyFill="1" applyAlignment="1">
      <alignment horizontal="left"/>
    </xf>
    <xf numFmtId="0" fontId="0" fillId="0" borderId="40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18" fillId="0" borderId="25" xfId="0" applyFont="1" applyBorder="1" applyAlignment="1" applyProtection="1">
      <alignment horizontal="left" vertical="top" wrapText="1"/>
      <protection locked="0"/>
    </xf>
    <xf numFmtId="0" fontId="18" fillId="0" borderId="26" xfId="0" applyFont="1" applyBorder="1" applyAlignment="1" applyProtection="1">
      <alignment horizontal="left" vertical="top" wrapText="1"/>
      <protection locked="0"/>
    </xf>
    <xf numFmtId="0" fontId="18" fillId="0" borderId="27" xfId="0" applyFont="1" applyBorder="1" applyAlignment="1" applyProtection="1">
      <alignment horizontal="left" vertical="top" wrapText="1"/>
      <protection locked="0"/>
    </xf>
    <xf numFmtId="0" fontId="12" fillId="2" borderId="0" xfId="0" applyFont="1" applyFill="1" applyAlignment="1">
      <alignment horizontal="left"/>
    </xf>
    <xf numFmtId="0" fontId="20" fillId="2" borderId="0" xfId="0" applyFont="1" applyFill="1" applyAlignment="1">
      <alignment horizontal="left"/>
    </xf>
    <xf numFmtId="0" fontId="184" fillId="0" borderId="40" xfId="0" applyFont="1" applyBorder="1" applyAlignment="1" applyProtection="1">
      <alignment vertical="justify" wrapText="1"/>
      <protection locked="0"/>
    </xf>
    <xf numFmtId="0" fontId="184" fillId="0" borderId="48" xfId="0" applyFont="1" applyBorder="1" applyAlignment="1" applyProtection="1">
      <alignment vertical="justify" wrapText="1"/>
      <protection locked="0"/>
    </xf>
    <xf numFmtId="0" fontId="184" fillId="0" borderId="39" xfId="0" applyFont="1" applyBorder="1" applyAlignment="1" applyProtection="1">
      <alignment vertical="justify" wrapText="1"/>
      <protection locked="0"/>
    </xf>
    <xf numFmtId="0" fontId="128" fillId="15" borderId="103" xfId="0" applyFont="1" applyFill="1" applyBorder="1" applyAlignment="1">
      <alignment horizontal="center" vertical="center" textRotation="90"/>
    </xf>
    <xf numFmtId="0" fontId="128" fillId="15" borderId="105" xfId="0" applyFont="1" applyFill="1" applyBorder="1" applyAlignment="1">
      <alignment horizontal="center" vertical="center" textRotation="90"/>
    </xf>
    <xf numFmtId="0" fontId="128" fillId="15" borderId="104" xfId="0" applyFont="1" applyFill="1" applyBorder="1" applyAlignment="1">
      <alignment horizontal="center" vertical="center" textRotation="90"/>
    </xf>
    <xf numFmtId="0" fontId="77" fillId="0" borderId="0" xfId="0" applyFont="1" applyAlignment="1">
      <alignment horizontal="center"/>
    </xf>
  </cellXfs>
  <cellStyles count="3">
    <cellStyle name="Hipervínculo" xfId="1" builtinId="8"/>
    <cellStyle name="Normal" xfId="0" builtinId="0"/>
    <cellStyle name="Porcentaje" xfId="2" builtinId="5"/>
  </cellStyles>
  <dxfs count="24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4" tint="0.39994506668294322"/>
        </patternFill>
      </fill>
    </dxf>
    <dxf>
      <fill>
        <patternFill>
          <bgColor theme="6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fgColor rgb="FF0099FF"/>
          <bgColor theme="4" tint="0.39994506668294322"/>
        </patternFill>
      </fill>
      <border>
        <vertical/>
        <horizontal/>
      </border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CA904"/>
      <color rgb="FF5FC048"/>
      <color rgb="FF00CC66"/>
      <color rgb="FF00FF99"/>
      <color rgb="FF00CCFF"/>
      <color rgb="FFFF3300"/>
      <color rgb="FFD8B8DA"/>
      <color rgb="FF0099FF"/>
      <color rgb="FFCC99FF"/>
      <color rgb="FF33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EXAMEN I -SEMESTRE 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'ESTADISTICA IIS'!#REF!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'ESTADISTICA IIS'!#REF!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FF8D-4B5D-A32A-2B30166204C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axId val="2102523008"/>
        <c:axId val="2102515936"/>
      </c:barChart>
      <c:catAx>
        <c:axId val="2102523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2102515936"/>
        <c:crosses val="autoZero"/>
        <c:auto val="1"/>
        <c:lblAlgn val="ctr"/>
        <c:lblOffset val="100"/>
        <c:noMultiLvlLbl val="0"/>
      </c:catAx>
      <c:valAx>
        <c:axId val="210251593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102523008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680" b="1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EXAMEN II -SEMESTRE II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80" b="1" i="0" u="none" strike="noStrike" kern="1200" cap="all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CA904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400" b="1" i="0" u="none" strike="noStrike" kern="1200" cap="all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'ESTADISTICA IIS'!$C$16:$C$17</c:f>
              <c:strCache>
                <c:ptCount val="2"/>
                <c:pt idx="0">
                  <c:v>APROBADOS</c:v>
                </c:pt>
                <c:pt idx="1">
                  <c:v>APLAZADOS</c:v>
                </c:pt>
              </c:strCache>
            </c:strRef>
          </c:cat>
          <c:val>
            <c:numRef>
              <c:f>'ESTADISTICA IIS'!$G$16:$G$17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67-413A-AF6E-84F54AB72D4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axId val="2102516480"/>
        <c:axId val="2102525184"/>
      </c:barChart>
      <c:catAx>
        <c:axId val="2102516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400" b="1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2102525184"/>
        <c:crosses val="autoZero"/>
        <c:auto val="1"/>
        <c:lblAlgn val="ctr"/>
        <c:lblOffset val="100"/>
        <c:noMultiLvlLbl val="0"/>
      </c:catAx>
      <c:valAx>
        <c:axId val="210252518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102516480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 algn="ctr">
        <a:defRPr lang="en-US" sz="1400" b="1" i="0" u="none" strike="noStrike" kern="1200" cap="all" baseline="0">
          <a:solidFill>
            <a:schemeClr val="dk1">
              <a:lumMod val="75000"/>
              <a:lumOff val="25000"/>
            </a:schemeClr>
          </a:solidFill>
          <a:latin typeface="+mn-lt"/>
          <a:ea typeface="+mn-ea"/>
          <a:cs typeface="+mn-cs"/>
        </a:defRPr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EXAMEN I -SEMESTRE II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'ESTADISTICA IIS'!$C$16:$C$17</c:f>
              <c:strCache>
                <c:ptCount val="2"/>
                <c:pt idx="0">
                  <c:v>APROBADOS</c:v>
                </c:pt>
                <c:pt idx="1">
                  <c:v>APLAZADOS</c:v>
                </c:pt>
              </c:strCache>
            </c:strRef>
          </c:cat>
          <c:val>
            <c:numRef>
              <c:f>'ESTADISTICA IIS'!$D$16:$D$17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E7-4FA9-A96A-F37334D15B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axId val="2102527904"/>
        <c:axId val="2102528448"/>
      </c:barChart>
      <c:catAx>
        <c:axId val="210252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2102528448"/>
        <c:crosses val="autoZero"/>
        <c:auto val="1"/>
        <c:lblAlgn val="ctr"/>
        <c:lblOffset val="100"/>
        <c:noMultiLvlLbl val="0"/>
      </c:catAx>
      <c:valAx>
        <c:axId val="210252844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10252790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SEMESTRE II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'ESTADISTICA IIS'!$I$16:$I$17</c:f>
              <c:strCache>
                <c:ptCount val="2"/>
                <c:pt idx="0">
                  <c:v>APROBADOS</c:v>
                </c:pt>
                <c:pt idx="1">
                  <c:v>APLAZADOS</c:v>
                </c:pt>
              </c:strCache>
            </c:strRef>
          </c:cat>
          <c:val>
            <c:numRef>
              <c:f>'ESTADISTICA IIS'!$J$16:$J$17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E3-4FAB-8056-235838E9D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4"/>
        <c:axId val="2102519200"/>
        <c:axId val="2102517024"/>
      </c:barChart>
      <c:catAx>
        <c:axId val="210251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2102517024"/>
        <c:crosses val="autoZero"/>
        <c:auto val="1"/>
        <c:lblAlgn val="ctr"/>
        <c:lblOffset val="100"/>
        <c:noMultiLvlLbl val="0"/>
      </c:catAx>
      <c:valAx>
        <c:axId val="210251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2102519200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680" b="1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EXAMEN II -SEMESTRE 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80" b="1" i="0" u="none" strike="noStrike" kern="1200" cap="all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400" b="1" i="0" u="none" strike="noStrike" kern="1200" cap="all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ESTADISTICA!$C$16:$C$17</c:f>
              <c:strCache>
                <c:ptCount val="2"/>
                <c:pt idx="0">
                  <c:v>APROBADOS</c:v>
                </c:pt>
                <c:pt idx="1">
                  <c:v>APLAZADOS</c:v>
                </c:pt>
              </c:strCache>
            </c:strRef>
          </c:cat>
          <c:val>
            <c:numRef>
              <c:f>ESTADISTICA!$G$16:$G$17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8F-4AF5-A05E-D17FDB9CC5F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axId val="2102520288"/>
        <c:axId val="2102521376"/>
      </c:barChart>
      <c:catAx>
        <c:axId val="2102520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400" b="1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2102521376"/>
        <c:crosses val="autoZero"/>
        <c:auto val="1"/>
        <c:lblAlgn val="ctr"/>
        <c:lblOffset val="100"/>
        <c:noMultiLvlLbl val="0"/>
      </c:catAx>
      <c:valAx>
        <c:axId val="21025213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102520288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 algn="ctr">
        <a:defRPr lang="en-US" sz="1400" b="1" i="0" u="none" strike="noStrike" kern="1200" cap="all" baseline="0">
          <a:solidFill>
            <a:schemeClr val="dk1">
              <a:lumMod val="75000"/>
              <a:lumOff val="25000"/>
            </a:schemeClr>
          </a:solidFill>
          <a:latin typeface="+mn-lt"/>
          <a:ea typeface="+mn-ea"/>
          <a:cs typeface="+mn-cs"/>
        </a:defRPr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EXAMEN I -SEMESTRE 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CA904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ESTADISTICA!$C$16:$C$17</c:f>
              <c:strCache>
                <c:ptCount val="2"/>
                <c:pt idx="0">
                  <c:v>APROBADOS</c:v>
                </c:pt>
                <c:pt idx="1">
                  <c:v>APLAZADOS</c:v>
                </c:pt>
              </c:strCache>
            </c:strRef>
          </c:cat>
          <c:val>
            <c:numRef>
              <c:f>ESTADISTICA!$D$16:$D$17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79-4EDF-8E8E-EA7E0F56ADB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axId val="2102523008"/>
        <c:axId val="2102515936"/>
      </c:barChart>
      <c:catAx>
        <c:axId val="2102523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2102515936"/>
        <c:crosses val="autoZero"/>
        <c:auto val="1"/>
        <c:lblAlgn val="ctr"/>
        <c:lblOffset val="100"/>
        <c:noMultiLvlLbl val="0"/>
      </c:catAx>
      <c:valAx>
        <c:axId val="210251593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102523008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SEMESTRE 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6A89-4D68-946D-07DB0EBF9CA6}"/>
              </c:ext>
            </c:extLst>
          </c:dPt>
          <c:cat>
            <c:strRef>
              <c:f>ESTADISTICA!$I$16:$I$17</c:f>
              <c:strCache>
                <c:ptCount val="2"/>
                <c:pt idx="0">
                  <c:v>APROBADOS</c:v>
                </c:pt>
                <c:pt idx="1">
                  <c:v>APLAZADOS</c:v>
                </c:pt>
              </c:strCache>
            </c:strRef>
          </c:cat>
          <c:val>
            <c:numRef>
              <c:f>ESTADISTICA!$J$16:$J$17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89-4D68-946D-07DB0EBF9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102523552"/>
        <c:axId val="2102524096"/>
      </c:barChart>
      <c:catAx>
        <c:axId val="2102523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2102524096"/>
        <c:crosses val="autoZero"/>
        <c:auto val="1"/>
        <c:lblAlgn val="ctr"/>
        <c:lblOffset val="100"/>
        <c:noMultiLvlLbl val="0"/>
      </c:catAx>
      <c:valAx>
        <c:axId val="210252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2102523552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EXAMEN I -SEMESTRE II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ESTADISTICA!#REF!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ESTADISTICA!#REF!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102-45A0-83CB-AE94DF35A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axId val="2102527904"/>
        <c:axId val="2102528448"/>
      </c:barChart>
      <c:catAx>
        <c:axId val="210252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2102528448"/>
        <c:crosses val="autoZero"/>
        <c:auto val="1"/>
        <c:lblAlgn val="ctr"/>
        <c:lblOffset val="100"/>
        <c:noMultiLvlLbl val="0"/>
      </c:catAx>
      <c:valAx>
        <c:axId val="210252844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10252790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CheckBox" fmlaLink="$K$7" lockText="1" noThreeD="1"/>
</file>

<file path=xl/ctrlProps/ctrlProp2.xml><?xml version="1.0" encoding="utf-8"?>
<formControlPr xmlns="http://schemas.microsoft.com/office/spreadsheetml/2009/9/main" objectType="CheckBox" fmlaLink="$K$8" lockText="1" noThreeD="1"/>
</file>

<file path=xl/ctrlProps/ctrlProp3.xml><?xml version="1.0" encoding="utf-8"?>
<formControlPr xmlns="http://schemas.microsoft.com/office/spreadsheetml/2009/9/main" objectType="CheckBox" fmlaLink="$K$4" lockText="1" noThreeD="1"/>
</file>

<file path=xl/ctrlProps/ctrlProp4.xml><?xml version="1.0" encoding="utf-8"?>
<formControlPr xmlns="http://schemas.microsoft.com/office/spreadsheetml/2009/9/main" objectType="CheckBox" fmlaLink="$K$5" lockText="1" noThreeD="1"/>
</file>

<file path=xl/ctrlProps/ctrlProp5.xml><?xml version="1.0" encoding="utf-8"?>
<formControlPr xmlns="http://schemas.microsoft.com/office/spreadsheetml/2009/9/main" objectType="CheckBox" fmlaLink="$K$6" lockText="1" noThreeD="1"/>
</file>

<file path=xl/ctrlProps/ctrlProp6.xml><?xml version="1.0" encoding="utf-8"?>
<formControlPr xmlns="http://schemas.microsoft.com/office/spreadsheetml/2009/9/main" objectType="CheckBox" fmlaLink="$K$9" lockText="1" noThreeD="1"/>
</file>

<file path=xl/ctrlProps/ctrlProp7.xml><?xml version="1.0" encoding="utf-8"?>
<formControlPr xmlns="http://schemas.microsoft.com/office/spreadsheetml/2009/9/main" objectType="CheckBox" checked="Checked" fmlaLink="$J$14" lockText="1" noThreeD="1"/>
</file>

<file path=xl/ctrlProps/ctrlProp8.xml><?xml version="1.0" encoding="utf-8"?>
<formControlPr xmlns="http://schemas.microsoft.com/office/spreadsheetml/2009/9/main" objectType="CheckBox" checked="Checked" fmlaLink="$J$15" lockText="1" noThreeD="1"/>
</file>

<file path=xl/ctrlProps/ctrlProp9.xml><?xml version="1.0" encoding="utf-8"?>
<formControlPr xmlns="http://schemas.microsoft.com/office/spreadsheetml/2009/9/main" objectType="CheckBox" checked="Checked" fmlaLink="$J$11" lockText="1" noThreeD="1"/>
</file>

<file path=xl/ctrlProps/ctrlProp10.xml><?xml version="1.0" encoding="utf-8"?>
<formControlPr xmlns="http://schemas.microsoft.com/office/spreadsheetml/2009/9/main" objectType="CheckBox" checked="Checked" fmlaLink="$J$12" lockText="1" noThreeD="1"/>
</file>

<file path=xl/ctrlProps/ctrlProp11.xml><?xml version="1.0" encoding="utf-8"?>
<formControlPr xmlns="http://schemas.microsoft.com/office/spreadsheetml/2009/9/main" objectType="CheckBox" checked="Checked" fmlaLink="$J$14" lockText="1" noThreeD="1"/>
</file>

<file path=xl/ctrlProps/ctrlProp12.xml><?xml version="1.0" encoding="utf-8"?>
<formControlPr xmlns="http://schemas.microsoft.com/office/spreadsheetml/2009/9/main" objectType="CheckBox" checked="Checked" fmlaLink="$J$16" lockText="1" noThreeD="1"/>
</file>

<file path=xl/ctrlProps/ctrlProp13.xml><?xml version="1.0" encoding="utf-8"?>
<formControlPr xmlns="http://schemas.microsoft.com/office/spreadsheetml/2009/9/main" objectType="CheckBox" checked="Checked" fmlaLink="$J$17" lockText="1" noThreeD="1"/>
</file>

<file path=xl/ctrlProps/ctrlProp14.xml><?xml version="1.0" encoding="utf-8"?>
<formControlPr xmlns="http://schemas.microsoft.com/office/spreadsheetml/2009/9/main" objectType="CheckBox" fmlaLink="$J$14" lockText="1" noThreeD="1"/>
</file>

<file path=xl/ctrlProps/ctrlProp15.xml><?xml version="1.0" encoding="utf-8"?>
<formControlPr xmlns="http://schemas.microsoft.com/office/spreadsheetml/2009/9/main" objectType="CheckBox" checked="Checked" fmlaLink="$J$15" lockText="1" noThreeD="1"/>
</file>

<file path=xl/ctrlProps/ctrlProp16.xml><?xml version="1.0" encoding="utf-8"?>
<formControlPr xmlns="http://schemas.microsoft.com/office/spreadsheetml/2009/9/main" objectType="CheckBox" checked="Checked" fmlaLink="$J$11" lockText="1" noThreeD="1"/>
</file>

<file path=xl/ctrlProps/ctrlProp17.xml><?xml version="1.0" encoding="utf-8"?>
<formControlPr xmlns="http://schemas.microsoft.com/office/spreadsheetml/2009/9/main" objectType="CheckBox" checked="Checked" fmlaLink="$J$12" lockText="1" noThreeD="1"/>
</file>

<file path=xl/ctrlProps/ctrlProp18.xml><?xml version="1.0" encoding="utf-8"?>
<formControlPr xmlns="http://schemas.microsoft.com/office/spreadsheetml/2009/9/main" objectType="CheckBox" checked="Checked" fmlaLink="$J$13" lockText="1" noThreeD="1"/>
</file>

<file path=xl/ctrlProps/ctrlProp19.xml><?xml version="1.0" encoding="utf-8"?>
<formControlPr xmlns="http://schemas.microsoft.com/office/spreadsheetml/2009/9/main" objectType="CheckBox" fmlaLink="$J$14" lockText="1" noThreeD="1"/>
</file>

<file path=xl/ctrlProps/ctrlProp20.xml><?xml version="1.0" encoding="utf-8"?>
<formControlPr xmlns="http://schemas.microsoft.com/office/spreadsheetml/2009/9/main" objectType="CheckBox" checked="Checked" fmlaLink="$J$15" lockText="1" noThreeD="1"/>
</file>

<file path=xl/ctrlProps/ctrlProp21.xml><?xml version="1.0" encoding="utf-8"?>
<formControlPr xmlns="http://schemas.microsoft.com/office/spreadsheetml/2009/9/main" objectType="CheckBox" checked="Checked" fmlaLink="$J$11" lockText="1" noThreeD="1"/>
</file>

<file path=xl/ctrlProps/ctrlProp22.xml><?xml version="1.0" encoding="utf-8"?>
<formControlPr xmlns="http://schemas.microsoft.com/office/spreadsheetml/2009/9/main" objectType="CheckBox" checked="Checked" fmlaLink="$J$12" lockText="1" noThreeD="1"/>
</file>

<file path=xl/ctrlProps/ctrlProp23.xml><?xml version="1.0" encoding="utf-8"?>
<formControlPr xmlns="http://schemas.microsoft.com/office/spreadsheetml/2009/9/main" objectType="CheckBox" checked="Checked" fmlaLink="$J$13" lockText="1" noThreeD="1"/>
</file>

<file path=xl/ctrlProps/ctrlProp24.xml><?xml version="1.0" encoding="utf-8"?>
<formControlPr xmlns="http://schemas.microsoft.com/office/spreadsheetml/2009/9/main" objectType="CheckBox" checked="Checked" fmlaLink="$J$16" lockText="1" noThreeD="1"/>
</file>

<file path=xl/ctrlProps/ctrlProp25.xml><?xml version="1.0" encoding="utf-8"?>
<formControlPr xmlns="http://schemas.microsoft.com/office/spreadsheetml/2009/9/main" objectType="CheckBox" checked="Checked" fmlaLink="$J$15" lockText="1" noThreeD="1"/>
</file>

<file path=xl/ctrlProps/ctrlProp26.xml><?xml version="1.0" encoding="utf-8"?>
<formControlPr xmlns="http://schemas.microsoft.com/office/spreadsheetml/2009/9/main" objectType="CheckBox" checked="Checked" fmlaLink="$J$17" lockText="1" noThreeD="1"/>
</file>

<file path=xl/ctrlProps/ctrlProp27.xml><?xml version="1.0" encoding="utf-8"?>
<formControlPr xmlns="http://schemas.microsoft.com/office/spreadsheetml/2009/9/main" objectType="CheckBox" checked="Checked" fmlaLink="$K$7" lockText="1" noThreeD="1"/>
</file>

<file path=xl/ctrlProps/ctrlProp28.xml><?xml version="1.0" encoding="utf-8"?>
<formControlPr xmlns="http://schemas.microsoft.com/office/spreadsheetml/2009/9/main" objectType="CheckBox" checked="Checked" fmlaLink="$K$8" lockText="1" noThreeD="1"/>
</file>

<file path=xl/ctrlProps/ctrlProp29.xml><?xml version="1.0" encoding="utf-8"?>
<formControlPr xmlns="http://schemas.microsoft.com/office/spreadsheetml/2009/9/main" objectType="CheckBox" checked="Checked" fmlaLink="$K$4" lockText="1" noThreeD="1"/>
</file>

<file path=xl/ctrlProps/ctrlProp30.xml><?xml version="1.0" encoding="utf-8"?>
<formControlPr xmlns="http://schemas.microsoft.com/office/spreadsheetml/2009/9/main" objectType="CheckBox" checked="Checked" fmlaLink="$K$5" lockText="1" noThreeD="1"/>
</file>

<file path=xl/ctrlProps/ctrlProp31.xml><?xml version="1.0" encoding="utf-8"?>
<formControlPr xmlns="http://schemas.microsoft.com/office/spreadsheetml/2009/9/main" objectType="CheckBox" checked="Checked" fmlaLink="$K$6" lockText="1" noThreeD="1"/>
</file>

<file path=xl/ctrlProps/ctrlProp32.xml><?xml version="1.0" encoding="utf-8"?>
<formControlPr xmlns="http://schemas.microsoft.com/office/spreadsheetml/2009/9/main" objectType="CheckBox" checked="Checked" fmlaLink="$K$9" lockText="1" noThreeD="1"/>
</file>

<file path=xl/diagrams/_rels/data1.xml.rels><?xml version="1.0" encoding="UTF-8" standalone="yes"?>
<Relationships xmlns="http://schemas.openxmlformats.org/package/2006/relationships"><Relationship Id="rId3" Type="http://schemas.openxmlformats.org/officeDocument/2006/relationships/hyperlink" Target="#'SEMESTRE II'!A1"/><Relationship Id="rId2" Type="http://schemas.openxmlformats.org/officeDocument/2006/relationships/hyperlink" Target="#'REGISTRO DATOS'!A1"/><Relationship Id="rId1" Type="http://schemas.openxmlformats.org/officeDocument/2006/relationships/hyperlink" Target="#SEMESTREI!A1"/><Relationship Id="rId4" Type="http://schemas.openxmlformats.org/officeDocument/2006/relationships/hyperlink" Target="#'ALERTA TEMPRANA'!A1"/></Relationships>
</file>

<file path=xl/diagrams/_rels/data2.xml.rels><?xml version="1.0" encoding="UTF-8" standalone="yes"?>
<Relationships xmlns="http://schemas.openxmlformats.org/package/2006/relationships"><Relationship Id="rId3" Type="http://schemas.openxmlformats.org/officeDocument/2006/relationships/hyperlink" Target="#'EXAMENES - IS'!A1"/><Relationship Id="rId2" Type="http://schemas.openxmlformats.org/officeDocument/2006/relationships/hyperlink" Target="#'COTIDIANO - IS'!A1"/><Relationship Id="rId1" Type="http://schemas.openxmlformats.org/officeDocument/2006/relationships/hyperlink" Target="#'Registro General'!A1"/><Relationship Id="rId5" Type="http://schemas.openxmlformats.org/officeDocument/2006/relationships/hyperlink" Target="#'TAREAS - IS'!A1"/><Relationship Id="rId4" Type="http://schemas.openxmlformats.org/officeDocument/2006/relationships/hyperlink" Target="#ASISTENCIA!A1"/></Relationships>
</file>

<file path=xl/diagrams/_rels/data3.xml.rels><?xml version="1.0" encoding="UTF-8" standalone="yes"?>
<Relationships xmlns="http://schemas.openxmlformats.org/package/2006/relationships"><Relationship Id="rId3" Type="http://schemas.openxmlformats.org/officeDocument/2006/relationships/hyperlink" Target="#'DESGLOSE - IS'!A1"/><Relationship Id="rId2" Type="http://schemas.openxmlformats.org/officeDocument/2006/relationships/hyperlink" Target="#'AVANCE DE PERIODO'!A1"/><Relationship Id="rId1" Type="http://schemas.openxmlformats.org/officeDocument/2006/relationships/hyperlink" Target="#'REPORTE DE ASISTENCIA'!A1"/><Relationship Id="rId5" Type="http://schemas.openxmlformats.org/officeDocument/2006/relationships/hyperlink" Target="#ESTADISTICA!A1"/><Relationship Id="rId4" Type="http://schemas.openxmlformats.org/officeDocument/2006/relationships/hyperlink" Target="#'ACTA SEMESTRE I'!A1"/></Relationships>
</file>

<file path=xl/diagrams/_rels/data4.xml.rels><?xml version="1.0" encoding="UTF-8" standalone="yes"?>
<Relationships xmlns="http://schemas.openxmlformats.org/package/2006/relationships"><Relationship Id="rId3" Type="http://schemas.openxmlformats.org/officeDocument/2006/relationships/hyperlink" Target="#'EXAMENES - IIS'!A1"/><Relationship Id="rId2" Type="http://schemas.openxmlformats.org/officeDocument/2006/relationships/hyperlink" Target="#'COTIDIANO - IIS'!A1"/><Relationship Id="rId1" Type="http://schemas.openxmlformats.org/officeDocument/2006/relationships/hyperlink" Target="#'REGISTRO IIS'!A1"/><Relationship Id="rId5" Type="http://schemas.openxmlformats.org/officeDocument/2006/relationships/hyperlink" Target="#'TAREAS - IIS'!A1"/><Relationship Id="rId4" Type="http://schemas.openxmlformats.org/officeDocument/2006/relationships/hyperlink" Target="#ASISTENCIAIIS!A1"/></Relationships>
</file>

<file path=xl/diagrams/_rels/data5.xml.rels><?xml version="1.0" encoding="UTF-8" standalone="yes"?>
<Relationships xmlns="http://schemas.openxmlformats.org/package/2006/relationships"><Relationship Id="rId3" Type="http://schemas.openxmlformats.org/officeDocument/2006/relationships/hyperlink" Target="#'DESGLOSE - IIS'!A1"/><Relationship Id="rId2" Type="http://schemas.openxmlformats.org/officeDocument/2006/relationships/hyperlink" Target="#'AVANCE DE PERIODO IIS'!A1"/><Relationship Id="rId1" Type="http://schemas.openxmlformats.org/officeDocument/2006/relationships/hyperlink" Target="#'R.ASIST-IIS'!A1"/><Relationship Id="rId6" Type="http://schemas.openxmlformats.org/officeDocument/2006/relationships/hyperlink" Target="#'ACTA ANUAL'!A1"/><Relationship Id="rId5" Type="http://schemas.openxmlformats.org/officeDocument/2006/relationships/hyperlink" Target="#'ESTADISTICA IIS'!A1"/><Relationship Id="rId4" Type="http://schemas.openxmlformats.org/officeDocument/2006/relationships/hyperlink" Target="#'ACTA SEMESTRE II'!A1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0_3">
  <dgm:title val=""/>
  <dgm:desc val=""/>
  <dgm:catLst>
    <dgm:cat type="mainScheme" pri="10300"/>
  </dgm:catLst>
  <dgm:styleLbl name="node0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alignNode1">
    <dgm:fillClrLst meth="repeat">
      <a:schemeClr val="dk2"/>
    </dgm:fillClrLst>
    <dgm:linClrLst meth="repeat">
      <a:schemeClr val="dk2"/>
    </dgm:linClrLst>
    <dgm:effectClrLst/>
    <dgm:txLinClrLst/>
    <dgm:txFillClrLst/>
    <dgm:txEffectClrLst/>
  </dgm:styleLbl>
  <dgm:styleLbl name="node1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lnNode1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vennNode1">
    <dgm:fillClrLst meth="repeat">
      <a:schemeClr val="dk2">
        <a:alpha val="50000"/>
      </a:schemeClr>
    </dgm:fillClrLst>
    <dgm:linClrLst meth="repeat">
      <a:schemeClr val="lt2"/>
    </dgm:linClrLst>
    <dgm:effectClrLst/>
    <dgm:txLinClrLst/>
    <dgm:txFillClrLst/>
    <dgm:txEffectClrLst/>
  </dgm:styleLbl>
  <dgm:styleLbl name="node2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node3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node4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fgImgPlace1">
    <dgm:fillClrLst meth="repeat">
      <a:schemeClr val="dk2">
        <a:tint val="50000"/>
      </a:schemeClr>
    </dgm:fillClrLst>
    <dgm:linClrLst meth="repeat">
      <a:schemeClr val="lt2"/>
    </dgm:linClrLst>
    <dgm:effectClrLst/>
    <dgm:txLinClrLst/>
    <dgm:txFillClrLst meth="repeat">
      <a:schemeClr val="lt2"/>
    </dgm:txFillClrLst>
    <dgm:txEffectClrLst/>
  </dgm:styleLbl>
  <dgm:styleLbl name="alignImgPlace1">
    <dgm:fillClrLst meth="repeat">
      <a:schemeClr val="dk2">
        <a:tint val="50000"/>
      </a:schemeClr>
    </dgm:fillClrLst>
    <dgm:linClrLst meth="repeat">
      <a:schemeClr val="dk2">
        <a:shade val="80000"/>
      </a:schemeClr>
    </dgm:linClrLst>
    <dgm:effectClrLst/>
    <dgm:txLinClrLst/>
    <dgm:txFillClrLst meth="repeat">
      <a:schemeClr val="lt2"/>
    </dgm:txFillClrLst>
    <dgm:txEffectClrLst/>
  </dgm:styleLbl>
  <dgm:styleLbl name="bgImgPlace1">
    <dgm:fillClrLst meth="repeat">
      <a:schemeClr val="dk2">
        <a:tint val="50000"/>
      </a:schemeClr>
    </dgm:fillClrLst>
    <dgm:linClrLst meth="repeat">
      <a:schemeClr val="dk2">
        <a:shade val="80000"/>
      </a:schemeClr>
    </dgm:linClrLst>
    <dgm:effectClrLst/>
    <dgm:txLinClrLst/>
    <dgm:txFillClrLst meth="repeat">
      <a:schemeClr val="lt2"/>
    </dgm:txFillClrLst>
    <dgm:txEffectClrLst/>
  </dgm:styleLbl>
  <dgm:styleLbl name="sibTrans2D1">
    <dgm:fillClrLst meth="repeat">
      <a:schemeClr val="dk2">
        <a:tint val="60000"/>
      </a:schemeClr>
    </dgm:fillClrLst>
    <dgm:linClrLst meth="repeat">
      <a:schemeClr val="dk2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dk2">
        <a:tint val="60000"/>
      </a:schemeClr>
    </dgm:fillClrLst>
    <dgm:linClrLst meth="repeat">
      <a:schemeClr val="dk2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dk2">
        <a:tint val="60000"/>
      </a:schemeClr>
    </dgm:fillClrLst>
    <dgm:linClrLst meth="repeat">
      <a:schemeClr val="dk2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dk2"/>
    </dgm:fillClrLst>
    <dgm:linClrLst meth="repeat">
      <a:schemeClr val="dk2"/>
    </dgm:linClrLst>
    <dgm:effectClrLst/>
    <dgm:txLinClrLst/>
    <dgm:txFillClrLst meth="repeat">
      <a:schemeClr val="lt2"/>
    </dgm:txFillClrLst>
    <dgm:txEffectClrLst/>
  </dgm:styleLbl>
  <dgm:styleLbl name="callout">
    <dgm:fillClrLst meth="repeat">
      <a:schemeClr val="dk2"/>
    </dgm:fillClrLst>
    <dgm:linClrLst meth="repeat">
      <a:schemeClr val="dk2">
        <a:tint val="50000"/>
      </a:schemeClr>
    </dgm:linClrLst>
    <dgm:effectClrLst/>
    <dgm:txLinClrLst/>
    <dgm:txFillClrLst meth="repeat">
      <a:schemeClr val="lt2"/>
    </dgm:txFillClrLst>
    <dgm:txEffectClrLst/>
  </dgm:styleLbl>
  <dgm:styleLbl name="asst0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asst1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asst2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asst3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asst4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parChTrans2D1">
    <dgm:fillClrLst meth="repeat">
      <a:schemeClr val="dk2">
        <a:tint val="60000"/>
      </a:schemeClr>
    </dgm:fillClrLst>
    <dgm:linClrLst meth="repeat">
      <a:schemeClr val="dk2">
        <a:tint val="60000"/>
      </a:schemeClr>
    </dgm:linClrLst>
    <dgm:effectClrLst/>
    <dgm:txLinClrLst/>
    <dgm:txFillClrLst meth="repeat">
      <a:schemeClr val="lt2"/>
    </dgm:txFillClrLst>
    <dgm:txEffectClrLst/>
  </dgm:styleLbl>
  <dgm:styleLbl name="parChTrans2D2">
    <dgm:fillClrLst meth="repeat">
      <a:schemeClr val="dk2"/>
    </dgm:fillClrLst>
    <dgm:linClrLst meth="repeat">
      <a:schemeClr val="dk2"/>
    </dgm:linClrLst>
    <dgm:effectClrLst/>
    <dgm:txLinClrLst/>
    <dgm:txFillClrLst meth="repeat">
      <a:schemeClr val="lt2"/>
    </dgm:txFillClrLst>
    <dgm:txEffectClrLst/>
  </dgm:styleLbl>
  <dgm:styleLbl name="parChTrans2D3">
    <dgm:fillClrLst meth="repeat">
      <a:schemeClr val="dk2"/>
    </dgm:fillClrLst>
    <dgm:linClrLst meth="repeat">
      <a:schemeClr val="dk2"/>
    </dgm:linClrLst>
    <dgm:effectClrLst/>
    <dgm:txLinClrLst/>
    <dgm:txFillClrLst meth="repeat">
      <a:schemeClr val="lt2"/>
    </dgm:txFillClrLst>
    <dgm:txEffectClrLst/>
  </dgm:styleLbl>
  <dgm:styleLbl name="parChTrans2D4">
    <dgm:fillClrLst meth="repeat">
      <a:schemeClr val="dk2"/>
    </dgm:fillClrLst>
    <dgm:linClrLst meth="repeat">
      <a:schemeClr val="dk2"/>
    </dgm:linClrLst>
    <dgm:effectClrLst/>
    <dgm:txLinClrLst/>
    <dgm:txFillClrLst meth="repeat">
      <a:schemeClr val="lt2"/>
    </dgm:txFillClrLst>
    <dgm:txEffectClrLst/>
  </dgm:styleLbl>
  <dgm:styleLbl name="parChTrans1D1">
    <dgm:fillClrLst meth="repeat">
      <a:schemeClr val="dk2"/>
    </dgm:fillClrLst>
    <dgm:linClrLst meth="repeat">
      <a:schemeClr val="dk2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dk2"/>
    </dgm:fillClrLst>
    <dgm:linClrLst meth="repeat">
      <a:schemeClr val="dk2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dk2"/>
    </dgm:fillClrLst>
    <dgm:linClrLst meth="repeat">
      <a:schemeClr val="dk2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dk2"/>
    </dgm:fillClrLst>
    <dgm:linClrLst meth="repeat">
      <a:schemeClr val="dk2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2">
        <a:alpha val="4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2"/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2"/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2"/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dk2">
        <a:alpha val="90000"/>
        <a:tint val="40000"/>
      </a:schemeClr>
    </dgm:fillClrLst>
    <dgm:linClrLst meth="repeat">
      <a:schemeClr val="dk2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dk2">
        <a:alpha val="90000"/>
        <a:tint val="40000"/>
      </a:schemeClr>
    </dgm:fillClrLst>
    <dgm:linClrLst meth="repeat">
      <a:schemeClr val="dk2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dk2">
        <a:alpha val="90000"/>
        <a:tint val="40000"/>
      </a:schemeClr>
    </dgm:fillClrLst>
    <dgm:linClrLst meth="repeat">
      <a:schemeClr val="dk2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dk2">
        <a:tint val="4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dk2">
        <a:shade val="80000"/>
      </a:schemeClr>
    </dgm:fillClrLst>
    <dgm:linClrLst meth="repeat">
      <a:schemeClr val="dk2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dk2">
        <a:tint val="50000"/>
        <a:alpha val="40000"/>
      </a:schemeClr>
    </dgm:fillClrLst>
    <dgm:linClrLst meth="repeat">
      <a:schemeClr val="dk2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dk2">
        <a:tint val="60000"/>
      </a:schemeClr>
    </dgm:fillClrLst>
    <dgm:linClrLst meth="repeat">
      <a:schemeClr val="lt2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2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colorful5">
  <dgm:title val=""/>
  <dgm:desc val=""/>
  <dgm:catLst>
    <dgm:cat type="colorful" pri="10500"/>
  </dgm:catLst>
  <dgm:styleLbl name="node0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5"/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5"/>
      <a:schemeClr val="accent6"/>
    </dgm:fillClrLst>
    <dgm:linClrLst>
      <a:schemeClr val="accent5"/>
      <a:schemeClr val="accent6"/>
    </dgm:linClrLst>
    <dgm:effectClrLst/>
    <dgm:txLinClrLst/>
    <dgm:txFillClrLst/>
    <dgm:txEffectClrLst/>
  </dgm:styleLbl>
  <dgm:styleLbl name="lnNode1">
    <dgm:fillClrLst>
      <a:schemeClr val="accent5"/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5">
        <a:alpha val="50000"/>
      </a:schemeClr>
      <a:schemeClr val="accent6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5">
        <a:tint val="50000"/>
      </a:schemeClr>
      <a:schemeClr val="accent6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5">
        <a:tint val="50000"/>
      </a:schemeClr>
      <a:schemeClr val="accent6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5">
        <a:tint val="50000"/>
      </a:schemeClr>
      <a:schemeClr val="accent6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5"/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5"/>
      <a:schemeClr val="accent6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5"/>
      <a:schemeClr val="accent6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5"/>
      <a:schemeClr val="accent6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5"/>
    </dgm:fillClrLst>
    <dgm:linClrLst meth="repeat">
      <a:schemeClr val="accent5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5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6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1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5"/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6">
        <a:tint val="90000"/>
      </a:schemeClr>
    </dgm:fillClrLst>
    <dgm:linClrLst meth="repeat">
      <a:schemeClr val="accent6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6">
        <a:tint val="70000"/>
      </a:schemeClr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6">
        <a:tint val="50000"/>
      </a:schemeClr>
    </dgm:fillClrLst>
    <dgm:linClrLst meth="repeat">
      <a:schemeClr val="accent2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5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5">
        <a:tint val="40000"/>
        <a:alpha val="90000"/>
      </a:schemeClr>
      <a:schemeClr val="accent6">
        <a:tint val="40000"/>
        <a:alpha val="90000"/>
      </a:schemeClr>
    </dgm:fillClrLst>
    <dgm:linClrLst>
      <a:schemeClr val="accent5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5">
        <a:tint val="40000"/>
        <a:alpha val="90000"/>
      </a:schemeClr>
      <a:schemeClr val="accent6">
        <a:tint val="40000"/>
        <a:alpha val="90000"/>
      </a:schemeClr>
    </dgm:fillClrLst>
    <dgm:linClrLst>
      <a:schemeClr val="accent5">
        <a:tint val="40000"/>
        <a:alpha val="90000"/>
      </a:schemeClr>
      <a:schemeClr val="accent6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5">
        <a:tint val="40000"/>
        <a:alpha val="90000"/>
      </a:schemeClr>
      <a:schemeClr val="accent6">
        <a:tint val="40000"/>
        <a:alpha val="90000"/>
      </a:schemeClr>
    </dgm:fillClrLst>
    <dgm:linClrLst>
      <a:schemeClr val="accent5">
        <a:tint val="40000"/>
        <a:alpha val="90000"/>
      </a:schemeClr>
      <a:schemeClr val="accent6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6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2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5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5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5">
        <a:tint val="50000"/>
        <a:alpha val="40000"/>
      </a:schemeClr>
    </dgm:fillClrLst>
    <dgm:linClrLst meth="repeat">
      <a:schemeClr val="accent5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5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.xml><?xml version="1.0" encoding="utf-8"?>
<dgm:colorsDef xmlns:dgm="http://schemas.openxmlformats.org/drawingml/2006/diagram" xmlns:a="http://schemas.openxmlformats.org/drawingml/2006/main" uniqueId="urn:microsoft.com/office/officeart/2005/8/colors/colorful4">
  <dgm:title val=""/>
  <dgm:desc val=""/>
  <dgm:catLst>
    <dgm:cat type="colorful" pri="10400"/>
  </dgm:catLst>
  <dgm:styleLbl name="node0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4"/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4"/>
      <a:schemeClr val="accent5"/>
    </dgm:fillClrLst>
    <dgm:linClrLst>
      <a:schemeClr val="accent4"/>
      <a:schemeClr val="accent5"/>
    </dgm:linClrLst>
    <dgm:effectClrLst/>
    <dgm:txLinClrLst/>
    <dgm:txFillClrLst/>
    <dgm:txEffectClrLst/>
  </dgm:styleLbl>
  <dgm:styleLbl name="lnNode1">
    <dgm:fillClrLst>
      <a:schemeClr val="accent4"/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4">
        <a:alpha val="50000"/>
      </a:schemeClr>
      <a:schemeClr val="accent5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4">
        <a:tint val="50000"/>
      </a:schemeClr>
      <a:schemeClr val="accent5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4">
        <a:tint val="50000"/>
      </a:schemeClr>
      <a:schemeClr val="accent5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4">
        <a:tint val="50000"/>
      </a:schemeClr>
      <a:schemeClr val="accent5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4"/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4"/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4"/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4"/>
      <a:schemeClr val="accent5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4"/>
    </dgm:fillClrLst>
    <dgm:linClrLst meth="repeat">
      <a:schemeClr val="accent4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4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5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4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6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4"/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4">
        <a:tint val="9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4">
        <a:tint val="70000"/>
      </a:schemeClr>
    </dgm:fillClrLst>
    <dgm:linClrLst meth="repeat">
      <a:schemeClr val="accent6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4">
        <a:tint val="50000"/>
      </a:schemeClr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4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4">
        <a:tint val="40000"/>
        <a:alpha val="90000"/>
      </a:schemeClr>
      <a:schemeClr val="accent5">
        <a:tint val="40000"/>
        <a:alpha val="90000"/>
      </a:schemeClr>
    </dgm:fillClrLst>
    <dgm:linClrLst>
      <a:schemeClr val="accent4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4">
        <a:tint val="40000"/>
        <a:alpha val="90000"/>
      </a:schemeClr>
      <a:schemeClr val="accent5">
        <a:tint val="40000"/>
        <a:alpha val="90000"/>
      </a:schemeClr>
    </dgm:fillClrLst>
    <dgm:linClrLst>
      <a:schemeClr val="accent4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4">
        <a:tint val="40000"/>
        <a:alpha val="90000"/>
      </a:schemeClr>
      <a:schemeClr val="accent5">
        <a:tint val="40000"/>
        <a:alpha val="90000"/>
      </a:schemeClr>
    </dgm:fillClrLst>
    <dgm:linClrLst>
      <a:schemeClr val="accent4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3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6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4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4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4">
        <a:tint val="50000"/>
        <a:alpha val="40000"/>
      </a:schemeClr>
    </dgm:fillClrLst>
    <dgm:linClrLst meth="repeat">
      <a:schemeClr val="accent4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4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4.xml><?xml version="1.0" encoding="utf-8"?>
<dgm:colorsDef xmlns:dgm="http://schemas.openxmlformats.org/drawingml/2006/diagram" xmlns:a="http://schemas.openxmlformats.org/drawingml/2006/main" uniqueId="urn:microsoft.com/office/officeart/2005/8/colors/colorful5">
  <dgm:title val=""/>
  <dgm:desc val=""/>
  <dgm:catLst>
    <dgm:cat type="colorful" pri="10500"/>
  </dgm:catLst>
  <dgm:styleLbl name="node0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5"/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5"/>
      <a:schemeClr val="accent6"/>
    </dgm:fillClrLst>
    <dgm:linClrLst>
      <a:schemeClr val="accent5"/>
      <a:schemeClr val="accent6"/>
    </dgm:linClrLst>
    <dgm:effectClrLst/>
    <dgm:txLinClrLst/>
    <dgm:txFillClrLst/>
    <dgm:txEffectClrLst/>
  </dgm:styleLbl>
  <dgm:styleLbl name="lnNode1">
    <dgm:fillClrLst>
      <a:schemeClr val="accent5"/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5">
        <a:alpha val="50000"/>
      </a:schemeClr>
      <a:schemeClr val="accent6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5">
        <a:tint val="50000"/>
      </a:schemeClr>
      <a:schemeClr val="accent6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5">
        <a:tint val="50000"/>
      </a:schemeClr>
      <a:schemeClr val="accent6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5">
        <a:tint val="50000"/>
      </a:schemeClr>
      <a:schemeClr val="accent6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5"/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5"/>
      <a:schemeClr val="accent6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5"/>
      <a:schemeClr val="accent6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5"/>
      <a:schemeClr val="accent6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5"/>
    </dgm:fillClrLst>
    <dgm:linClrLst meth="repeat">
      <a:schemeClr val="accent5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5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6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1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5"/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6">
        <a:tint val="90000"/>
      </a:schemeClr>
    </dgm:fillClrLst>
    <dgm:linClrLst meth="repeat">
      <a:schemeClr val="accent6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6">
        <a:tint val="70000"/>
      </a:schemeClr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6">
        <a:tint val="50000"/>
      </a:schemeClr>
    </dgm:fillClrLst>
    <dgm:linClrLst meth="repeat">
      <a:schemeClr val="accent2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5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5">
        <a:tint val="40000"/>
        <a:alpha val="90000"/>
      </a:schemeClr>
      <a:schemeClr val="accent6">
        <a:tint val="40000"/>
        <a:alpha val="90000"/>
      </a:schemeClr>
    </dgm:fillClrLst>
    <dgm:linClrLst>
      <a:schemeClr val="accent5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5">
        <a:tint val="40000"/>
        <a:alpha val="90000"/>
      </a:schemeClr>
      <a:schemeClr val="accent6">
        <a:tint val="40000"/>
        <a:alpha val="90000"/>
      </a:schemeClr>
    </dgm:fillClrLst>
    <dgm:linClrLst>
      <a:schemeClr val="accent5">
        <a:tint val="40000"/>
        <a:alpha val="90000"/>
      </a:schemeClr>
      <a:schemeClr val="accent6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5">
        <a:tint val="40000"/>
        <a:alpha val="90000"/>
      </a:schemeClr>
      <a:schemeClr val="accent6">
        <a:tint val="40000"/>
        <a:alpha val="90000"/>
      </a:schemeClr>
    </dgm:fillClrLst>
    <dgm:linClrLst>
      <a:schemeClr val="accent5">
        <a:tint val="40000"/>
        <a:alpha val="90000"/>
      </a:schemeClr>
      <a:schemeClr val="accent6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6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2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5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5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5">
        <a:tint val="50000"/>
        <a:alpha val="40000"/>
      </a:schemeClr>
    </dgm:fillClrLst>
    <dgm:linClrLst meth="repeat">
      <a:schemeClr val="accent5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5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5.xml><?xml version="1.0" encoding="utf-8"?>
<dgm:colorsDef xmlns:dgm="http://schemas.openxmlformats.org/drawingml/2006/diagram" xmlns:a="http://schemas.openxmlformats.org/drawingml/2006/main" uniqueId="urn:microsoft.com/office/officeart/2005/8/colors/colorful4">
  <dgm:title val=""/>
  <dgm:desc val=""/>
  <dgm:catLst>
    <dgm:cat type="colorful" pri="10400"/>
  </dgm:catLst>
  <dgm:styleLbl name="node0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4"/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4"/>
      <a:schemeClr val="accent5"/>
    </dgm:fillClrLst>
    <dgm:linClrLst>
      <a:schemeClr val="accent4"/>
      <a:schemeClr val="accent5"/>
    </dgm:linClrLst>
    <dgm:effectClrLst/>
    <dgm:txLinClrLst/>
    <dgm:txFillClrLst/>
    <dgm:txEffectClrLst/>
  </dgm:styleLbl>
  <dgm:styleLbl name="lnNode1">
    <dgm:fillClrLst>
      <a:schemeClr val="accent4"/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4">
        <a:alpha val="50000"/>
      </a:schemeClr>
      <a:schemeClr val="accent5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4">
        <a:tint val="50000"/>
      </a:schemeClr>
      <a:schemeClr val="accent5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4">
        <a:tint val="50000"/>
      </a:schemeClr>
      <a:schemeClr val="accent5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4">
        <a:tint val="50000"/>
      </a:schemeClr>
      <a:schemeClr val="accent5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4"/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4"/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4"/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4"/>
      <a:schemeClr val="accent5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4"/>
    </dgm:fillClrLst>
    <dgm:linClrLst meth="repeat">
      <a:schemeClr val="accent4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4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5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4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6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4"/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4">
        <a:tint val="9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4">
        <a:tint val="70000"/>
      </a:schemeClr>
    </dgm:fillClrLst>
    <dgm:linClrLst meth="repeat">
      <a:schemeClr val="accent6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4">
        <a:tint val="50000"/>
      </a:schemeClr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4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4">
        <a:tint val="40000"/>
        <a:alpha val="90000"/>
      </a:schemeClr>
      <a:schemeClr val="accent5">
        <a:tint val="40000"/>
        <a:alpha val="90000"/>
      </a:schemeClr>
    </dgm:fillClrLst>
    <dgm:linClrLst>
      <a:schemeClr val="accent4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4">
        <a:tint val="40000"/>
        <a:alpha val="90000"/>
      </a:schemeClr>
      <a:schemeClr val="accent5">
        <a:tint val="40000"/>
        <a:alpha val="90000"/>
      </a:schemeClr>
    </dgm:fillClrLst>
    <dgm:linClrLst>
      <a:schemeClr val="accent4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4">
        <a:tint val="40000"/>
        <a:alpha val="90000"/>
      </a:schemeClr>
      <a:schemeClr val="accent5">
        <a:tint val="40000"/>
        <a:alpha val="90000"/>
      </a:schemeClr>
    </dgm:fillClrLst>
    <dgm:linClrLst>
      <a:schemeClr val="accent4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3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6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4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4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4">
        <a:tint val="50000"/>
        <a:alpha val="40000"/>
      </a:schemeClr>
    </dgm:fillClrLst>
    <dgm:linClrLst meth="repeat">
      <a:schemeClr val="accent4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4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0181AE2A-E097-4281-B593-3619F3781D04}" type="doc">
      <dgm:prSet loTypeId="urn:microsoft.com/office/officeart/2005/8/layout/lProcess2" loCatId="relationship" qsTypeId="urn:microsoft.com/office/officeart/2005/8/quickstyle/3d2" qsCatId="3D" csTypeId="urn:microsoft.com/office/officeart/2005/8/colors/accent0_3" csCatId="mainScheme" phldr="1"/>
      <dgm:spPr/>
      <dgm:t>
        <a:bodyPr/>
        <a:lstStyle/>
        <a:p>
          <a:endParaRPr lang="en-US"/>
        </a:p>
      </dgm:t>
    </dgm:pt>
    <dgm:pt modelId="{42150653-9B88-4644-A17E-F7307F4ECA65}">
      <dgm:prSet phldrT="[Texto]"/>
      <dgm:spPr>
        <a:solidFill>
          <a:schemeClr val="accent5"/>
        </a:solidFill>
      </dgm:spPr>
      <dgm:t>
        <a:bodyPr/>
        <a:lstStyle/>
        <a:p>
          <a:r>
            <a:rPr lang="en-US"/>
            <a:t>I SEMESTRE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"/>
          </dgm14:cNvPr>
        </a:ext>
      </dgm:extLst>
    </dgm:pt>
    <dgm:pt modelId="{EF2D289D-CA98-4AE8-A0D9-0377D86A2F09}" type="parTrans" cxnId="{2E75C26D-5AEB-494E-BEE0-8D4FE7BF1234}">
      <dgm:prSet/>
      <dgm:spPr/>
      <dgm:t>
        <a:bodyPr/>
        <a:lstStyle/>
        <a:p>
          <a:endParaRPr lang="en-US"/>
        </a:p>
      </dgm:t>
    </dgm:pt>
    <dgm:pt modelId="{5D5B6D4C-1433-4DC1-B5E2-021C6639A83A}" type="sibTrans" cxnId="{2E75C26D-5AEB-494E-BEE0-8D4FE7BF1234}">
      <dgm:prSet/>
      <dgm:spPr/>
      <dgm:t>
        <a:bodyPr/>
        <a:lstStyle/>
        <a:p>
          <a:endParaRPr lang="en-US"/>
        </a:p>
      </dgm:t>
    </dgm:pt>
    <dgm:pt modelId="{13E276A6-B015-4096-835E-66901820AFFE}">
      <dgm:prSet phldrT="[Texto]"/>
      <dgm:spPr>
        <a:solidFill>
          <a:schemeClr val="accent4"/>
        </a:solidFill>
      </dgm:spPr>
      <dgm:t>
        <a:bodyPr/>
        <a:lstStyle/>
        <a:p>
          <a:r>
            <a:rPr lang="en-US"/>
            <a:t>Registro de Datos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52F69735-3242-4988-9B78-22E93762454B}" type="parTrans" cxnId="{50AA0910-9611-4A8F-B5D5-ADC281EC6D72}">
      <dgm:prSet/>
      <dgm:spPr/>
      <dgm:t>
        <a:bodyPr/>
        <a:lstStyle/>
        <a:p>
          <a:endParaRPr lang="en-US"/>
        </a:p>
      </dgm:t>
    </dgm:pt>
    <dgm:pt modelId="{96A30F0C-218E-419B-B74A-25BE9F953882}" type="sibTrans" cxnId="{50AA0910-9611-4A8F-B5D5-ADC281EC6D72}">
      <dgm:prSet/>
      <dgm:spPr/>
      <dgm:t>
        <a:bodyPr/>
        <a:lstStyle/>
        <a:p>
          <a:endParaRPr lang="en-US"/>
        </a:p>
      </dgm:t>
    </dgm:pt>
    <dgm:pt modelId="{EE21AD5A-64BD-4EFA-81CF-CA3B30F0CD69}">
      <dgm:prSet phldrT="[Texto]"/>
      <dgm:spPr>
        <a:solidFill>
          <a:schemeClr val="accent4"/>
        </a:solidFill>
      </dgm:spPr>
      <dgm:t>
        <a:bodyPr/>
        <a:lstStyle/>
        <a:p>
          <a:r>
            <a:rPr lang="en-US"/>
            <a:t>II SEMESTRE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A58C25CB-22EC-4A59-940F-5ADA41EAEAB0}" type="parTrans" cxnId="{401EE137-AECA-4A2E-AC69-267E808DAF55}">
      <dgm:prSet/>
      <dgm:spPr/>
      <dgm:t>
        <a:bodyPr/>
        <a:lstStyle/>
        <a:p>
          <a:endParaRPr lang="en-US"/>
        </a:p>
      </dgm:t>
    </dgm:pt>
    <dgm:pt modelId="{6FA7F22A-3C78-4973-ADDD-EF3AE95A6259}" type="sibTrans" cxnId="{401EE137-AECA-4A2E-AC69-267E808DAF55}">
      <dgm:prSet/>
      <dgm:spPr/>
      <dgm:t>
        <a:bodyPr/>
        <a:lstStyle/>
        <a:p>
          <a:endParaRPr lang="en-US"/>
        </a:p>
      </dgm:t>
    </dgm:pt>
    <dgm:pt modelId="{1AF22F75-4C2A-4AE8-844C-859046C8C74C}">
      <dgm:prSet/>
      <dgm:spPr>
        <a:solidFill>
          <a:schemeClr val="accent5"/>
        </a:solidFill>
      </dgm:spPr>
      <dgm:t>
        <a:bodyPr/>
        <a:lstStyle/>
        <a:p>
          <a:r>
            <a:rPr lang="en-US"/>
            <a:t>Alerta Temprana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090EC016-E271-4B77-96A6-FD2E22496032}" type="parTrans" cxnId="{D015BFBD-AE3B-4E73-A2F0-63CFCDB3A74F}">
      <dgm:prSet/>
      <dgm:spPr/>
      <dgm:t>
        <a:bodyPr/>
        <a:lstStyle/>
        <a:p>
          <a:endParaRPr lang="en-US"/>
        </a:p>
      </dgm:t>
    </dgm:pt>
    <dgm:pt modelId="{D5824F6A-2DF3-4F25-B4CC-5BB678DF9070}" type="sibTrans" cxnId="{D015BFBD-AE3B-4E73-A2F0-63CFCDB3A74F}">
      <dgm:prSet/>
      <dgm:spPr/>
      <dgm:t>
        <a:bodyPr/>
        <a:lstStyle/>
        <a:p>
          <a:endParaRPr lang="en-US"/>
        </a:p>
      </dgm:t>
    </dgm:pt>
    <dgm:pt modelId="{DBD7A084-4E6B-4C02-A98A-B6A82FFE00A6}">
      <dgm:prSet phldrT="[Texto]"/>
      <dgm:spPr/>
      <dgm:t>
        <a:bodyPr/>
        <a:lstStyle/>
        <a:p>
          <a:endParaRPr lang="en-US"/>
        </a:p>
      </dgm:t>
    </dgm:pt>
    <dgm:pt modelId="{DADCD6D4-28DE-48E0-90E4-1EF1DA70D0D8}" type="sibTrans" cxnId="{A3CEBD10-ECB4-49A2-ADDA-299BD1309E7D}">
      <dgm:prSet/>
      <dgm:spPr/>
      <dgm:t>
        <a:bodyPr/>
        <a:lstStyle/>
        <a:p>
          <a:endParaRPr lang="en-US"/>
        </a:p>
      </dgm:t>
    </dgm:pt>
    <dgm:pt modelId="{43AB3D86-7E12-4C55-8466-C212FD3E4375}" type="parTrans" cxnId="{A3CEBD10-ECB4-49A2-ADDA-299BD1309E7D}">
      <dgm:prSet/>
      <dgm:spPr/>
      <dgm:t>
        <a:bodyPr/>
        <a:lstStyle/>
        <a:p>
          <a:endParaRPr lang="en-US"/>
        </a:p>
      </dgm:t>
    </dgm:pt>
    <dgm:pt modelId="{3254660F-1A42-47A2-A7CB-B1C8D4C3342A}" type="pres">
      <dgm:prSet presAssocID="{0181AE2A-E097-4281-B593-3619F3781D04}" presName="theList" presStyleCnt="0">
        <dgm:presLayoutVars>
          <dgm:dir/>
          <dgm:animLvl val="lvl"/>
          <dgm:resizeHandles val="exact"/>
        </dgm:presLayoutVars>
      </dgm:prSet>
      <dgm:spPr/>
    </dgm:pt>
    <dgm:pt modelId="{8CD3B11F-F4CC-4F7E-908A-93E957264FF0}" type="pres">
      <dgm:prSet presAssocID="{DBD7A084-4E6B-4C02-A98A-B6A82FFE00A6}" presName="compNode" presStyleCnt="0"/>
      <dgm:spPr/>
    </dgm:pt>
    <dgm:pt modelId="{ACD02493-A87E-4684-8EF1-8A97185A9FF6}" type="pres">
      <dgm:prSet presAssocID="{DBD7A084-4E6B-4C02-A98A-B6A82FFE00A6}" presName="aNode" presStyleLbl="bgShp" presStyleIdx="0" presStyleCnt="1" custScaleX="13197" custScaleY="13377" custLinFactNeighborX="1519" custLinFactNeighborY="21108"/>
      <dgm:spPr/>
    </dgm:pt>
    <dgm:pt modelId="{B07978F0-8F85-465E-9BAA-539079E24B4E}" type="pres">
      <dgm:prSet presAssocID="{DBD7A084-4E6B-4C02-A98A-B6A82FFE00A6}" presName="textNode" presStyleLbl="bgShp" presStyleIdx="0" presStyleCnt="1"/>
      <dgm:spPr/>
    </dgm:pt>
    <dgm:pt modelId="{9EC7C4E9-F2D3-45BF-970C-3152699EA1C2}" type="pres">
      <dgm:prSet presAssocID="{DBD7A084-4E6B-4C02-A98A-B6A82FFE00A6}" presName="compChildNode" presStyleCnt="0"/>
      <dgm:spPr/>
    </dgm:pt>
    <dgm:pt modelId="{74A730DE-CBB5-48A4-9103-11D60D591A31}" type="pres">
      <dgm:prSet presAssocID="{DBD7A084-4E6B-4C02-A98A-B6A82FFE00A6}" presName="theInnerList" presStyleCnt="0"/>
      <dgm:spPr/>
    </dgm:pt>
    <dgm:pt modelId="{B6875F0C-21EF-4D99-8690-C362FBF972A7}" type="pres">
      <dgm:prSet presAssocID="{42150653-9B88-4644-A17E-F7307F4ECA65}" presName="childNode" presStyleLbl="node1" presStyleIdx="0" presStyleCnt="4" custLinFactY="99216" custLinFactNeighborX="-217" custLinFactNeighborY="100000">
        <dgm:presLayoutVars>
          <dgm:bulletEnabled val="1"/>
        </dgm:presLayoutVars>
      </dgm:prSet>
      <dgm:spPr/>
    </dgm:pt>
    <dgm:pt modelId="{9FE6D4DD-AEDC-4031-A057-5C0A04EC76DB}" type="pres">
      <dgm:prSet presAssocID="{42150653-9B88-4644-A17E-F7307F4ECA65}" presName="aSpace2" presStyleCnt="0"/>
      <dgm:spPr/>
    </dgm:pt>
    <dgm:pt modelId="{0BAD4C6B-BB80-4F76-A332-2BF91CEE2CCF}" type="pres">
      <dgm:prSet presAssocID="{13E276A6-B015-4096-835E-66901820AFFE}" presName="childNode" presStyleLbl="node1" presStyleIdx="1" presStyleCnt="4" custLinFactY="-97956" custLinFactNeighborY="-100000">
        <dgm:presLayoutVars>
          <dgm:bulletEnabled val="1"/>
        </dgm:presLayoutVars>
      </dgm:prSet>
      <dgm:spPr/>
    </dgm:pt>
    <dgm:pt modelId="{58FF5413-4F20-4BAE-BDD1-9B8E61DF33EB}" type="pres">
      <dgm:prSet presAssocID="{13E276A6-B015-4096-835E-66901820AFFE}" presName="aSpace2" presStyleCnt="0"/>
      <dgm:spPr/>
    </dgm:pt>
    <dgm:pt modelId="{C732ECD2-FFFD-4343-B569-711B68D71BDD}" type="pres">
      <dgm:prSet presAssocID="{1AF22F75-4C2A-4AE8-844C-859046C8C74C}" presName="childNode" presStyleLbl="node1" presStyleIdx="2" presStyleCnt="4" custLinFactY="96697" custLinFactNeighborX="-75" custLinFactNeighborY="100000">
        <dgm:presLayoutVars>
          <dgm:bulletEnabled val="1"/>
        </dgm:presLayoutVars>
      </dgm:prSet>
      <dgm:spPr/>
    </dgm:pt>
    <dgm:pt modelId="{47DBF022-D610-4DA9-AEE1-D3CAC7DB2A35}" type="pres">
      <dgm:prSet presAssocID="{1AF22F75-4C2A-4AE8-844C-859046C8C74C}" presName="aSpace2" presStyleCnt="0"/>
      <dgm:spPr/>
    </dgm:pt>
    <dgm:pt modelId="{F6D7E588-8E1F-4821-9EC5-E4C322A202B4}" type="pres">
      <dgm:prSet presAssocID="{EE21AD5A-64BD-4EFA-81CF-CA3B30F0CD69}" presName="childNode" presStyleLbl="node1" presStyleIdx="3" presStyleCnt="4" custLinFactY="-100000" custLinFactNeighborX="0" custLinFactNeighborY="-103087">
        <dgm:presLayoutVars>
          <dgm:bulletEnabled val="1"/>
        </dgm:presLayoutVars>
      </dgm:prSet>
      <dgm:spPr/>
    </dgm:pt>
  </dgm:ptLst>
  <dgm:cxnLst>
    <dgm:cxn modelId="{50AA0910-9611-4A8F-B5D5-ADC281EC6D72}" srcId="{DBD7A084-4E6B-4C02-A98A-B6A82FFE00A6}" destId="{13E276A6-B015-4096-835E-66901820AFFE}" srcOrd="1" destOrd="0" parTransId="{52F69735-3242-4988-9B78-22E93762454B}" sibTransId="{96A30F0C-218E-419B-B74A-25BE9F953882}"/>
    <dgm:cxn modelId="{A3CEBD10-ECB4-49A2-ADDA-299BD1309E7D}" srcId="{0181AE2A-E097-4281-B593-3619F3781D04}" destId="{DBD7A084-4E6B-4C02-A98A-B6A82FFE00A6}" srcOrd="0" destOrd="0" parTransId="{43AB3D86-7E12-4C55-8466-C212FD3E4375}" sibTransId="{DADCD6D4-28DE-48E0-90E4-1EF1DA70D0D8}"/>
    <dgm:cxn modelId="{0CEAB435-3C04-4D3A-8CDB-A3C9CA4BFF50}" type="presOf" srcId="{1AF22F75-4C2A-4AE8-844C-859046C8C74C}" destId="{C732ECD2-FFFD-4343-B569-711B68D71BDD}" srcOrd="0" destOrd="0" presId="urn:microsoft.com/office/officeart/2005/8/layout/lProcess2"/>
    <dgm:cxn modelId="{401EE137-AECA-4A2E-AC69-267E808DAF55}" srcId="{DBD7A084-4E6B-4C02-A98A-B6A82FFE00A6}" destId="{EE21AD5A-64BD-4EFA-81CF-CA3B30F0CD69}" srcOrd="3" destOrd="0" parTransId="{A58C25CB-22EC-4A59-940F-5ADA41EAEAB0}" sibTransId="{6FA7F22A-3C78-4973-ADDD-EF3AE95A6259}"/>
    <dgm:cxn modelId="{E22A323C-8564-4973-8900-552D1B131642}" type="presOf" srcId="{42150653-9B88-4644-A17E-F7307F4ECA65}" destId="{B6875F0C-21EF-4D99-8690-C362FBF972A7}" srcOrd="0" destOrd="0" presId="urn:microsoft.com/office/officeart/2005/8/layout/lProcess2"/>
    <dgm:cxn modelId="{2E75C26D-5AEB-494E-BEE0-8D4FE7BF1234}" srcId="{DBD7A084-4E6B-4C02-A98A-B6A82FFE00A6}" destId="{42150653-9B88-4644-A17E-F7307F4ECA65}" srcOrd="0" destOrd="0" parTransId="{EF2D289D-CA98-4AE8-A0D9-0377D86A2F09}" sibTransId="{5D5B6D4C-1433-4DC1-B5E2-021C6639A83A}"/>
    <dgm:cxn modelId="{D45F8A53-EF5D-4FC6-A1AD-57D30548DFB4}" type="presOf" srcId="{DBD7A084-4E6B-4C02-A98A-B6A82FFE00A6}" destId="{B07978F0-8F85-465E-9BAA-539079E24B4E}" srcOrd="1" destOrd="0" presId="urn:microsoft.com/office/officeart/2005/8/layout/lProcess2"/>
    <dgm:cxn modelId="{B4BED97A-B053-41A8-A675-828CF02E6D85}" type="presOf" srcId="{0181AE2A-E097-4281-B593-3619F3781D04}" destId="{3254660F-1A42-47A2-A7CB-B1C8D4C3342A}" srcOrd="0" destOrd="0" presId="urn:microsoft.com/office/officeart/2005/8/layout/lProcess2"/>
    <dgm:cxn modelId="{331C4B93-41D1-44B6-B337-2E51FD028899}" type="presOf" srcId="{13E276A6-B015-4096-835E-66901820AFFE}" destId="{0BAD4C6B-BB80-4F76-A332-2BF91CEE2CCF}" srcOrd="0" destOrd="0" presId="urn:microsoft.com/office/officeart/2005/8/layout/lProcess2"/>
    <dgm:cxn modelId="{C60093BA-C164-4DCA-99A7-80EB704D987F}" type="presOf" srcId="{EE21AD5A-64BD-4EFA-81CF-CA3B30F0CD69}" destId="{F6D7E588-8E1F-4821-9EC5-E4C322A202B4}" srcOrd="0" destOrd="0" presId="urn:microsoft.com/office/officeart/2005/8/layout/lProcess2"/>
    <dgm:cxn modelId="{D015BFBD-AE3B-4E73-A2F0-63CFCDB3A74F}" srcId="{DBD7A084-4E6B-4C02-A98A-B6A82FFE00A6}" destId="{1AF22F75-4C2A-4AE8-844C-859046C8C74C}" srcOrd="2" destOrd="0" parTransId="{090EC016-E271-4B77-96A6-FD2E22496032}" sibTransId="{D5824F6A-2DF3-4F25-B4CC-5BB678DF9070}"/>
    <dgm:cxn modelId="{6BBD1DE8-4BA4-4A0E-B752-D7288ADCEF5A}" type="presOf" srcId="{DBD7A084-4E6B-4C02-A98A-B6A82FFE00A6}" destId="{ACD02493-A87E-4684-8EF1-8A97185A9FF6}" srcOrd="0" destOrd="0" presId="urn:microsoft.com/office/officeart/2005/8/layout/lProcess2"/>
    <dgm:cxn modelId="{6B8CCF75-9D23-4B18-AA7C-058C80F4ADBD}" type="presParOf" srcId="{3254660F-1A42-47A2-A7CB-B1C8D4C3342A}" destId="{8CD3B11F-F4CC-4F7E-908A-93E957264FF0}" srcOrd="0" destOrd="0" presId="urn:microsoft.com/office/officeart/2005/8/layout/lProcess2"/>
    <dgm:cxn modelId="{EC8B3A5E-6E55-4C98-9272-BEB38925D11B}" type="presParOf" srcId="{8CD3B11F-F4CC-4F7E-908A-93E957264FF0}" destId="{ACD02493-A87E-4684-8EF1-8A97185A9FF6}" srcOrd="0" destOrd="0" presId="urn:microsoft.com/office/officeart/2005/8/layout/lProcess2"/>
    <dgm:cxn modelId="{FA356D56-68B0-42ED-B182-F879AC1BAF33}" type="presParOf" srcId="{8CD3B11F-F4CC-4F7E-908A-93E957264FF0}" destId="{B07978F0-8F85-465E-9BAA-539079E24B4E}" srcOrd="1" destOrd="0" presId="urn:microsoft.com/office/officeart/2005/8/layout/lProcess2"/>
    <dgm:cxn modelId="{C881EA69-738F-4177-B60C-BF84C46A9AC6}" type="presParOf" srcId="{8CD3B11F-F4CC-4F7E-908A-93E957264FF0}" destId="{9EC7C4E9-F2D3-45BF-970C-3152699EA1C2}" srcOrd="2" destOrd="0" presId="urn:microsoft.com/office/officeart/2005/8/layout/lProcess2"/>
    <dgm:cxn modelId="{BAEC7142-192C-4EEA-AB41-16071D9B53E3}" type="presParOf" srcId="{9EC7C4E9-F2D3-45BF-970C-3152699EA1C2}" destId="{74A730DE-CBB5-48A4-9103-11D60D591A31}" srcOrd="0" destOrd="0" presId="urn:microsoft.com/office/officeart/2005/8/layout/lProcess2"/>
    <dgm:cxn modelId="{CA5B2EA0-5B7D-4D23-8DC4-E63BD9E59F4C}" type="presParOf" srcId="{74A730DE-CBB5-48A4-9103-11D60D591A31}" destId="{B6875F0C-21EF-4D99-8690-C362FBF972A7}" srcOrd="0" destOrd="0" presId="urn:microsoft.com/office/officeart/2005/8/layout/lProcess2"/>
    <dgm:cxn modelId="{AAE95A16-9A0E-4FE4-A733-E80479FA1A0D}" type="presParOf" srcId="{74A730DE-CBB5-48A4-9103-11D60D591A31}" destId="{9FE6D4DD-AEDC-4031-A057-5C0A04EC76DB}" srcOrd="1" destOrd="0" presId="urn:microsoft.com/office/officeart/2005/8/layout/lProcess2"/>
    <dgm:cxn modelId="{5138DFBD-4F1E-4B3D-86C9-73C23F4E26AD}" type="presParOf" srcId="{74A730DE-CBB5-48A4-9103-11D60D591A31}" destId="{0BAD4C6B-BB80-4F76-A332-2BF91CEE2CCF}" srcOrd="2" destOrd="0" presId="urn:microsoft.com/office/officeart/2005/8/layout/lProcess2"/>
    <dgm:cxn modelId="{EA429BB7-012F-4FA9-9274-EC20CB1A1345}" type="presParOf" srcId="{74A730DE-CBB5-48A4-9103-11D60D591A31}" destId="{58FF5413-4F20-4BAE-BDD1-9B8E61DF33EB}" srcOrd="3" destOrd="0" presId="urn:microsoft.com/office/officeart/2005/8/layout/lProcess2"/>
    <dgm:cxn modelId="{6B03F2AF-B19C-4656-A779-35EC035F62C4}" type="presParOf" srcId="{74A730DE-CBB5-48A4-9103-11D60D591A31}" destId="{C732ECD2-FFFD-4343-B569-711B68D71BDD}" srcOrd="4" destOrd="0" presId="urn:microsoft.com/office/officeart/2005/8/layout/lProcess2"/>
    <dgm:cxn modelId="{E3FC444F-23B6-4BF0-8258-7A6611D2C56B}" type="presParOf" srcId="{74A730DE-CBB5-48A4-9103-11D60D591A31}" destId="{47DBF022-D610-4DA9-AEE1-D3CAC7DB2A35}" srcOrd="5" destOrd="0" presId="urn:microsoft.com/office/officeart/2005/8/layout/lProcess2"/>
    <dgm:cxn modelId="{5479005F-6DA2-4BBA-891C-FFC8AD6D9C18}" type="presParOf" srcId="{74A730DE-CBB5-48A4-9103-11D60D591A31}" destId="{F6D7E588-8E1F-4821-9EC5-E4C322A202B4}" srcOrd="6" destOrd="0" presId="urn:microsoft.com/office/officeart/2005/8/layout/lProcess2"/>
  </dgm:cxnLst>
  <dgm:bg>
    <a:effectLst>
      <a:softEdge rad="0"/>
    </a:effectLst>
  </dgm:bg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4A7FAAED-B5EE-4C2B-963C-A9F52F05EBC6}" type="doc">
      <dgm:prSet loTypeId="urn:microsoft.com/office/officeart/2005/8/layout/radial6" loCatId="cycle" qsTypeId="urn:microsoft.com/office/officeart/2005/8/quickstyle/3d2" qsCatId="3D" csTypeId="urn:microsoft.com/office/officeart/2005/8/colors/colorful5" csCatId="colorful" phldr="1"/>
      <dgm:spPr/>
      <dgm:t>
        <a:bodyPr/>
        <a:lstStyle/>
        <a:p>
          <a:endParaRPr lang="en-US"/>
        </a:p>
      </dgm:t>
    </dgm:pt>
    <dgm:pt modelId="{24A8FE9D-E80B-44E8-9077-ADF89006D8D5}">
      <dgm:prSet phldrT="[Texto]" custT="1"/>
      <dgm:spPr/>
      <dgm:t>
        <a:bodyPr anchor="ctr"/>
        <a:lstStyle/>
        <a:p>
          <a:pPr algn="ctr"/>
          <a:r>
            <a:rPr lang="en-US" sz="2000">
              <a:latin typeface="Bahnschrift Condensed" panose="020B0502040204020203" pitchFamily="34" charset="0"/>
            </a:rPr>
            <a:t>Registro</a:t>
          </a:r>
          <a:endParaRPr lang="en-US" sz="2600">
            <a:latin typeface="Bahnschrift Condensed" panose="020B0502040204020203" pitchFamily="34" charset="0"/>
          </a:endParaRPr>
        </a:p>
        <a:p>
          <a:pPr algn="ctr"/>
          <a:r>
            <a:rPr lang="en-US" sz="2600">
              <a:latin typeface="Bahnschrift Condensed" panose="020B0502040204020203" pitchFamily="34" charset="0"/>
            </a:rPr>
            <a:t>General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"/>
          </dgm14:cNvPr>
        </a:ext>
      </dgm:extLst>
    </dgm:pt>
    <dgm:pt modelId="{1D26C7E5-2A55-46AE-9478-72850265C6DE}" type="parTrans" cxnId="{6B61AAFE-1595-4025-88D2-64C82F0C537F}">
      <dgm:prSet/>
      <dgm:spPr/>
      <dgm:t>
        <a:bodyPr/>
        <a:lstStyle/>
        <a:p>
          <a:endParaRPr lang="en-US">
            <a:solidFill>
              <a:schemeClr val="bg1"/>
            </a:solidFill>
            <a:latin typeface="Bahnschrift Condensed" panose="020B0502040204020203" pitchFamily="34" charset="0"/>
          </a:endParaRPr>
        </a:p>
      </dgm:t>
    </dgm:pt>
    <dgm:pt modelId="{0B881FB4-6467-45C6-BDC8-700948A915FC}" type="sibTrans" cxnId="{6B61AAFE-1595-4025-88D2-64C82F0C537F}">
      <dgm:prSet/>
      <dgm:spPr/>
      <dgm:t>
        <a:bodyPr/>
        <a:lstStyle/>
        <a:p>
          <a:endParaRPr lang="en-US">
            <a:solidFill>
              <a:schemeClr val="bg1"/>
            </a:solidFill>
            <a:latin typeface="Bahnschrift Condensed" panose="020B0502040204020203" pitchFamily="34" charset="0"/>
          </a:endParaRPr>
        </a:p>
      </dgm:t>
    </dgm:pt>
    <dgm:pt modelId="{954C23DB-33ED-4561-867A-B5E2D225091B}">
      <dgm:prSet phldrT="[Texto]"/>
      <dgm:spPr/>
      <dgm:t>
        <a:bodyPr/>
        <a:lstStyle/>
        <a:p>
          <a:r>
            <a:rPr lang="en-US">
              <a:latin typeface="Bahnschrift Condensed" panose="020B0502040204020203" pitchFamily="34" charset="0"/>
            </a:rPr>
            <a:t>Cotidiano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186B4B3D-466A-4CD2-A560-304272EA4EE8}" type="parTrans" cxnId="{C0EDB016-350D-4B4A-B9E1-73CB8400DF1C}">
      <dgm:prSet/>
      <dgm:spPr/>
      <dgm:t>
        <a:bodyPr/>
        <a:lstStyle/>
        <a:p>
          <a:endParaRPr lang="en-US">
            <a:solidFill>
              <a:schemeClr val="bg1"/>
            </a:solidFill>
            <a:latin typeface="Bahnschrift Condensed" panose="020B0502040204020203" pitchFamily="34" charset="0"/>
          </a:endParaRPr>
        </a:p>
      </dgm:t>
    </dgm:pt>
    <dgm:pt modelId="{C9BFCBF0-C1D7-4E9E-875C-8B8257765175}" type="sibTrans" cxnId="{C0EDB016-350D-4B4A-B9E1-73CB8400DF1C}">
      <dgm:prSet/>
      <dgm:spPr/>
      <dgm:t>
        <a:bodyPr/>
        <a:lstStyle/>
        <a:p>
          <a:endParaRPr lang="en-US">
            <a:solidFill>
              <a:schemeClr val="bg1"/>
            </a:solidFill>
            <a:latin typeface="Bahnschrift Condensed" panose="020B0502040204020203" pitchFamily="34" charset="0"/>
          </a:endParaRPr>
        </a:p>
      </dgm:t>
    </dgm:pt>
    <dgm:pt modelId="{DE1456E1-6406-4097-8263-0CFC3054F6E9}">
      <dgm:prSet phldrT="[Texto]"/>
      <dgm:spPr/>
      <dgm:t>
        <a:bodyPr/>
        <a:lstStyle/>
        <a:p>
          <a:r>
            <a:rPr lang="en-US">
              <a:latin typeface="Bahnschrift Condensed" panose="020B0502040204020203" pitchFamily="34" charset="0"/>
            </a:rPr>
            <a:t>Exámenes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BA4F6542-9201-4CFA-9908-2D4BE77F7979}" type="parTrans" cxnId="{F50C9230-7774-452D-8CEF-C9D4AC289FA5}">
      <dgm:prSet/>
      <dgm:spPr/>
      <dgm:t>
        <a:bodyPr/>
        <a:lstStyle/>
        <a:p>
          <a:endParaRPr lang="en-US">
            <a:solidFill>
              <a:schemeClr val="bg1"/>
            </a:solidFill>
            <a:latin typeface="Bahnschrift Condensed" panose="020B0502040204020203" pitchFamily="34" charset="0"/>
          </a:endParaRPr>
        </a:p>
      </dgm:t>
    </dgm:pt>
    <dgm:pt modelId="{67559249-24D7-454D-9726-B3656EE01B6C}" type="sibTrans" cxnId="{F50C9230-7774-452D-8CEF-C9D4AC289FA5}">
      <dgm:prSet/>
      <dgm:spPr/>
      <dgm:t>
        <a:bodyPr/>
        <a:lstStyle/>
        <a:p>
          <a:endParaRPr lang="en-US">
            <a:solidFill>
              <a:schemeClr val="bg1"/>
            </a:solidFill>
            <a:latin typeface="Bahnschrift Condensed" panose="020B0502040204020203" pitchFamily="34" charset="0"/>
          </a:endParaRPr>
        </a:p>
      </dgm:t>
    </dgm:pt>
    <dgm:pt modelId="{E17D47C2-F907-43C8-B6E4-20AF9B4F18BF}">
      <dgm:prSet phldrT="[Texto]"/>
      <dgm:spPr/>
      <dgm:t>
        <a:bodyPr/>
        <a:lstStyle/>
        <a:p>
          <a:r>
            <a:rPr lang="en-US">
              <a:latin typeface="Bahnschrift Condensed" panose="020B0502040204020203" pitchFamily="34" charset="0"/>
            </a:rPr>
            <a:t>Asistencia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54ACEFBD-E597-4D93-AF8E-23A400D72199}" type="parTrans" cxnId="{353F1DE6-7A71-4F69-925D-FE76632F4E01}">
      <dgm:prSet/>
      <dgm:spPr/>
      <dgm:t>
        <a:bodyPr/>
        <a:lstStyle/>
        <a:p>
          <a:endParaRPr lang="en-US">
            <a:solidFill>
              <a:schemeClr val="bg1"/>
            </a:solidFill>
            <a:latin typeface="Bahnschrift Condensed" panose="020B0502040204020203" pitchFamily="34" charset="0"/>
          </a:endParaRPr>
        </a:p>
      </dgm:t>
    </dgm:pt>
    <dgm:pt modelId="{36A5E41D-D4B0-48DB-BD6B-3E5EF5E6EE6D}" type="sibTrans" cxnId="{353F1DE6-7A71-4F69-925D-FE76632F4E01}">
      <dgm:prSet/>
      <dgm:spPr/>
      <dgm:t>
        <a:bodyPr/>
        <a:lstStyle/>
        <a:p>
          <a:endParaRPr lang="en-US">
            <a:solidFill>
              <a:schemeClr val="bg1"/>
            </a:solidFill>
            <a:latin typeface="Bahnschrift Condensed" panose="020B0502040204020203" pitchFamily="34" charset="0"/>
          </a:endParaRPr>
        </a:p>
      </dgm:t>
    </dgm:pt>
    <dgm:pt modelId="{D4D4F366-8A96-4941-8E6F-C146B4F3FDEB}">
      <dgm:prSet phldrT="[Texto]"/>
      <dgm:spPr/>
      <dgm:t>
        <a:bodyPr/>
        <a:lstStyle/>
        <a:p>
          <a:r>
            <a:rPr lang="en-US">
              <a:latin typeface="Bahnschrift Condensed" panose="020B0502040204020203" pitchFamily="34" charset="0"/>
            </a:rPr>
            <a:t>Tareas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669638F9-D84D-4774-B52E-57BC6720C0DB}" type="parTrans" cxnId="{5EDB0BD8-4D4A-4F12-8212-B140EF43E1AB}">
      <dgm:prSet/>
      <dgm:spPr/>
      <dgm:t>
        <a:bodyPr/>
        <a:lstStyle/>
        <a:p>
          <a:endParaRPr lang="en-US">
            <a:solidFill>
              <a:schemeClr val="bg1"/>
            </a:solidFill>
            <a:latin typeface="Bahnschrift Condensed" panose="020B0502040204020203" pitchFamily="34" charset="0"/>
          </a:endParaRPr>
        </a:p>
      </dgm:t>
    </dgm:pt>
    <dgm:pt modelId="{FE65B4F2-74F5-49B4-92B2-F4EC17E8E8AC}" type="sibTrans" cxnId="{5EDB0BD8-4D4A-4F12-8212-B140EF43E1AB}">
      <dgm:prSet/>
      <dgm:spPr/>
      <dgm:t>
        <a:bodyPr/>
        <a:lstStyle/>
        <a:p>
          <a:endParaRPr lang="en-US">
            <a:solidFill>
              <a:schemeClr val="bg1"/>
            </a:solidFill>
            <a:latin typeface="Bahnschrift Condensed" panose="020B0502040204020203" pitchFamily="34" charset="0"/>
          </a:endParaRPr>
        </a:p>
      </dgm:t>
    </dgm:pt>
    <dgm:pt modelId="{C92DF2D9-ECE5-4EBC-95E1-7BB6A52B7077}" type="pres">
      <dgm:prSet presAssocID="{4A7FAAED-B5EE-4C2B-963C-A9F52F05EBC6}" presName="Name0" presStyleCnt="0">
        <dgm:presLayoutVars>
          <dgm:chMax val="1"/>
          <dgm:dir/>
          <dgm:animLvl val="ctr"/>
          <dgm:resizeHandles val="exact"/>
        </dgm:presLayoutVars>
      </dgm:prSet>
      <dgm:spPr/>
    </dgm:pt>
    <dgm:pt modelId="{1013F5A7-D608-483E-AFEB-C35D0006C6F8}" type="pres">
      <dgm:prSet presAssocID="{24A8FE9D-E80B-44E8-9077-ADF89006D8D5}" presName="centerShape" presStyleLbl="node0" presStyleIdx="0" presStyleCnt="1"/>
      <dgm:spPr/>
    </dgm:pt>
    <dgm:pt modelId="{C3481059-9E1E-4340-B7D7-48B3FA8A7CC3}" type="pres">
      <dgm:prSet presAssocID="{954C23DB-33ED-4561-867A-B5E2D225091B}" presName="node" presStyleLbl="node1" presStyleIdx="0" presStyleCnt="4" custRadScaleRad="100002" custRadScaleInc="1112">
        <dgm:presLayoutVars>
          <dgm:bulletEnabled val="1"/>
        </dgm:presLayoutVars>
      </dgm:prSet>
      <dgm:spPr/>
    </dgm:pt>
    <dgm:pt modelId="{520425DE-DBB0-4DF5-8123-DF8956D628BE}" type="pres">
      <dgm:prSet presAssocID="{954C23DB-33ED-4561-867A-B5E2D225091B}" presName="dummy" presStyleCnt="0"/>
      <dgm:spPr/>
    </dgm:pt>
    <dgm:pt modelId="{7B5CC76D-B5E2-468F-9BB9-42F52A51444F}" type="pres">
      <dgm:prSet presAssocID="{C9BFCBF0-C1D7-4E9E-875C-8B8257765175}" presName="sibTrans" presStyleLbl="sibTrans2D1" presStyleIdx="0" presStyleCnt="4" custLinFactNeighborX="-501" custLinFactNeighborY="-1285"/>
      <dgm:spPr/>
    </dgm:pt>
    <dgm:pt modelId="{6B491D43-485B-409E-B6BF-9BBA74D28797}" type="pres">
      <dgm:prSet presAssocID="{DE1456E1-6406-4097-8263-0CFC3054F6E9}" presName="node" presStyleLbl="node1" presStyleIdx="1" presStyleCnt="4">
        <dgm:presLayoutVars>
          <dgm:bulletEnabled val="1"/>
        </dgm:presLayoutVars>
      </dgm:prSet>
      <dgm:spPr/>
    </dgm:pt>
    <dgm:pt modelId="{61885D17-3E7A-4315-9975-97CE4F9C5045}" type="pres">
      <dgm:prSet presAssocID="{DE1456E1-6406-4097-8263-0CFC3054F6E9}" presName="dummy" presStyleCnt="0"/>
      <dgm:spPr/>
    </dgm:pt>
    <dgm:pt modelId="{F2E2B337-2597-42F8-93A7-0C8A1168389B}" type="pres">
      <dgm:prSet presAssocID="{67559249-24D7-454D-9726-B3656EE01B6C}" presName="sibTrans" presStyleLbl="sibTrans2D1" presStyleIdx="1" presStyleCnt="4"/>
      <dgm:spPr/>
    </dgm:pt>
    <dgm:pt modelId="{DD33117D-A7EF-4CE2-9AE8-8FC2593010FD}" type="pres">
      <dgm:prSet presAssocID="{E17D47C2-F907-43C8-B6E4-20AF9B4F18BF}" presName="node" presStyleLbl="node1" presStyleIdx="2" presStyleCnt="4">
        <dgm:presLayoutVars>
          <dgm:bulletEnabled val="1"/>
        </dgm:presLayoutVars>
      </dgm:prSet>
      <dgm:spPr/>
    </dgm:pt>
    <dgm:pt modelId="{A116CB15-A6BA-4F34-8479-6A294F949D34}" type="pres">
      <dgm:prSet presAssocID="{E17D47C2-F907-43C8-B6E4-20AF9B4F18BF}" presName="dummy" presStyleCnt="0"/>
      <dgm:spPr/>
    </dgm:pt>
    <dgm:pt modelId="{99BBC07B-299A-4234-9153-19ED10CBDB8E}" type="pres">
      <dgm:prSet presAssocID="{36A5E41D-D4B0-48DB-BD6B-3E5EF5E6EE6D}" presName="sibTrans" presStyleLbl="sibTrans2D1" presStyleIdx="2" presStyleCnt="4"/>
      <dgm:spPr/>
    </dgm:pt>
    <dgm:pt modelId="{D0671DC8-4807-489E-B8AE-A760AE7FD835}" type="pres">
      <dgm:prSet presAssocID="{D4D4F366-8A96-4941-8E6F-C146B4F3FDEB}" presName="node" presStyleLbl="node1" presStyleIdx="3" presStyleCnt="4">
        <dgm:presLayoutVars>
          <dgm:bulletEnabled val="1"/>
        </dgm:presLayoutVars>
      </dgm:prSet>
      <dgm:spPr/>
    </dgm:pt>
    <dgm:pt modelId="{26C46527-672F-46F7-A573-A284533CF921}" type="pres">
      <dgm:prSet presAssocID="{D4D4F366-8A96-4941-8E6F-C146B4F3FDEB}" presName="dummy" presStyleCnt="0"/>
      <dgm:spPr/>
    </dgm:pt>
    <dgm:pt modelId="{8227CCCA-3C8F-40E6-AEC6-383D3549F410}" type="pres">
      <dgm:prSet presAssocID="{FE65B4F2-74F5-49B4-92B2-F4EC17E8E8AC}" presName="sibTrans" presStyleLbl="sibTrans2D1" presStyleIdx="3" presStyleCnt="4"/>
      <dgm:spPr/>
    </dgm:pt>
  </dgm:ptLst>
  <dgm:cxnLst>
    <dgm:cxn modelId="{C0EDB016-350D-4B4A-B9E1-73CB8400DF1C}" srcId="{24A8FE9D-E80B-44E8-9077-ADF89006D8D5}" destId="{954C23DB-33ED-4561-867A-B5E2D225091B}" srcOrd="0" destOrd="0" parTransId="{186B4B3D-466A-4CD2-A560-304272EA4EE8}" sibTransId="{C9BFCBF0-C1D7-4E9E-875C-8B8257765175}"/>
    <dgm:cxn modelId="{5E4E2920-54DA-473B-9C38-328C8989E3F4}" type="presOf" srcId="{E17D47C2-F907-43C8-B6E4-20AF9B4F18BF}" destId="{DD33117D-A7EF-4CE2-9AE8-8FC2593010FD}" srcOrd="0" destOrd="0" presId="urn:microsoft.com/office/officeart/2005/8/layout/radial6"/>
    <dgm:cxn modelId="{F50C9230-7774-452D-8CEF-C9D4AC289FA5}" srcId="{24A8FE9D-E80B-44E8-9077-ADF89006D8D5}" destId="{DE1456E1-6406-4097-8263-0CFC3054F6E9}" srcOrd="1" destOrd="0" parTransId="{BA4F6542-9201-4CFA-9908-2D4BE77F7979}" sibTransId="{67559249-24D7-454D-9726-B3656EE01B6C}"/>
    <dgm:cxn modelId="{9BB52A35-ED52-4EFC-B984-247B17A41928}" type="presOf" srcId="{24A8FE9D-E80B-44E8-9077-ADF89006D8D5}" destId="{1013F5A7-D608-483E-AFEB-C35D0006C6F8}" srcOrd="0" destOrd="0" presId="urn:microsoft.com/office/officeart/2005/8/layout/radial6"/>
    <dgm:cxn modelId="{B1B1673D-9CBE-41E5-A656-0650EAE8A14B}" type="presOf" srcId="{36A5E41D-D4B0-48DB-BD6B-3E5EF5E6EE6D}" destId="{99BBC07B-299A-4234-9153-19ED10CBDB8E}" srcOrd="0" destOrd="0" presId="urn:microsoft.com/office/officeart/2005/8/layout/radial6"/>
    <dgm:cxn modelId="{53472244-B0C6-4B38-8835-06239673BE79}" type="presOf" srcId="{FE65B4F2-74F5-49B4-92B2-F4EC17E8E8AC}" destId="{8227CCCA-3C8F-40E6-AEC6-383D3549F410}" srcOrd="0" destOrd="0" presId="urn:microsoft.com/office/officeart/2005/8/layout/radial6"/>
    <dgm:cxn modelId="{8ABD809C-182B-4E43-B9EA-CAB1A7CBB37C}" type="presOf" srcId="{D4D4F366-8A96-4941-8E6F-C146B4F3FDEB}" destId="{D0671DC8-4807-489E-B8AE-A760AE7FD835}" srcOrd="0" destOrd="0" presId="urn:microsoft.com/office/officeart/2005/8/layout/radial6"/>
    <dgm:cxn modelId="{4462D89F-24CF-48E7-925F-502283D63542}" type="presOf" srcId="{67559249-24D7-454D-9726-B3656EE01B6C}" destId="{F2E2B337-2597-42F8-93A7-0C8A1168389B}" srcOrd="0" destOrd="0" presId="urn:microsoft.com/office/officeart/2005/8/layout/radial6"/>
    <dgm:cxn modelId="{CF1AAAC6-6F9B-459C-B107-F8C160CE86B2}" type="presOf" srcId="{954C23DB-33ED-4561-867A-B5E2D225091B}" destId="{C3481059-9E1E-4340-B7D7-48B3FA8A7CC3}" srcOrd="0" destOrd="0" presId="urn:microsoft.com/office/officeart/2005/8/layout/radial6"/>
    <dgm:cxn modelId="{787B81C7-E199-4E50-98FC-8B3D8CEDE9DC}" type="presOf" srcId="{DE1456E1-6406-4097-8263-0CFC3054F6E9}" destId="{6B491D43-485B-409E-B6BF-9BBA74D28797}" srcOrd="0" destOrd="0" presId="urn:microsoft.com/office/officeart/2005/8/layout/radial6"/>
    <dgm:cxn modelId="{AB9E4BD5-6B1F-4C15-8E44-8EC24CBC2D8E}" type="presOf" srcId="{4A7FAAED-B5EE-4C2B-963C-A9F52F05EBC6}" destId="{C92DF2D9-ECE5-4EBC-95E1-7BB6A52B7077}" srcOrd="0" destOrd="0" presId="urn:microsoft.com/office/officeart/2005/8/layout/radial6"/>
    <dgm:cxn modelId="{B898BCD5-0C64-4B8F-8B1E-821814A23BA7}" type="presOf" srcId="{C9BFCBF0-C1D7-4E9E-875C-8B8257765175}" destId="{7B5CC76D-B5E2-468F-9BB9-42F52A51444F}" srcOrd="0" destOrd="0" presId="urn:microsoft.com/office/officeart/2005/8/layout/radial6"/>
    <dgm:cxn modelId="{5EDB0BD8-4D4A-4F12-8212-B140EF43E1AB}" srcId="{24A8FE9D-E80B-44E8-9077-ADF89006D8D5}" destId="{D4D4F366-8A96-4941-8E6F-C146B4F3FDEB}" srcOrd="3" destOrd="0" parTransId="{669638F9-D84D-4774-B52E-57BC6720C0DB}" sibTransId="{FE65B4F2-74F5-49B4-92B2-F4EC17E8E8AC}"/>
    <dgm:cxn modelId="{353F1DE6-7A71-4F69-925D-FE76632F4E01}" srcId="{24A8FE9D-E80B-44E8-9077-ADF89006D8D5}" destId="{E17D47C2-F907-43C8-B6E4-20AF9B4F18BF}" srcOrd="2" destOrd="0" parTransId="{54ACEFBD-E597-4D93-AF8E-23A400D72199}" sibTransId="{36A5E41D-D4B0-48DB-BD6B-3E5EF5E6EE6D}"/>
    <dgm:cxn modelId="{6B61AAFE-1595-4025-88D2-64C82F0C537F}" srcId="{4A7FAAED-B5EE-4C2B-963C-A9F52F05EBC6}" destId="{24A8FE9D-E80B-44E8-9077-ADF89006D8D5}" srcOrd="0" destOrd="0" parTransId="{1D26C7E5-2A55-46AE-9478-72850265C6DE}" sibTransId="{0B881FB4-6467-45C6-BDC8-700948A915FC}"/>
    <dgm:cxn modelId="{AC1B7B87-B1EB-4BF2-80A8-F204E2448186}" type="presParOf" srcId="{C92DF2D9-ECE5-4EBC-95E1-7BB6A52B7077}" destId="{1013F5A7-D608-483E-AFEB-C35D0006C6F8}" srcOrd="0" destOrd="0" presId="urn:microsoft.com/office/officeart/2005/8/layout/radial6"/>
    <dgm:cxn modelId="{56F0F973-6778-4458-9714-98FB5A791518}" type="presParOf" srcId="{C92DF2D9-ECE5-4EBC-95E1-7BB6A52B7077}" destId="{C3481059-9E1E-4340-B7D7-48B3FA8A7CC3}" srcOrd="1" destOrd="0" presId="urn:microsoft.com/office/officeart/2005/8/layout/radial6"/>
    <dgm:cxn modelId="{3EBCF549-B9E5-4FA1-B8B3-524968DC0B4C}" type="presParOf" srcId="{C92DF2D9-ECE5-4EBC-95E1-7BB6A52B7077}" destId="{520425DE-DBB0-4DF5-8123-DF8956D628BE}" srcOrd="2" destOrd="0" presId="urn:microsoft.com/office/officeart/2005/8/layout/radial6"/>
    <dgm:cxn modelId="{4B2D71B6-922D-40F9-BCEB-86A2268B9D16}" type="presParOf" srcId="{C92DF2D9-ECE5-4EBC-95E1-7BB6A52B7077}" destId="{7B5CC76D-B5E2-468F-9BB9-42F52A51444F}" srcOrd="3" destOrd="0" presId="urn:microsoft.com/office/officeart/2005/8/layout/radial6"/>
    <dgm:cxn modelId="{78B2DC10-DAE8-4242-9DFA-5161088F36E5}" type="presParOf" srcId="{C92DF2D9-ECE5-4EBC-95E1-7BB6A52B7077}" destId="{6B491D43-485B-409E-B6BF-9BBA74D28797}" srcOrd="4" destOrd="0" presId="urn:microsoft.com/office/officeart/2005/8/layout/radial6"/>
    <dgm:cxn modelId="{B9FF8786-277F-4273-8FEE-65866F81F9B3}" type="presParOf" srcId="{C92DF2D9-ECE5-4EBC-95E1-7BB6A52B7077}" destId="{61885D17-3E7A-4315-9975-97CE4F9C5045}" srcOrd="5" destOrd="0" presId="urn:microsoft.com/office/officeart/2005/8/layout/radial6"/>
    <dgm:cxn modelId="{D4C51E6C-EA20-4D62-808A-10A8F209E515}" type="presParOf" srcId="{C92DF2D9-ECE5-4EBC-95E1-7BB6A52B7077}" destId="{F2E2B337-2597-42F8-93A7-0C8A1168389B}" srcOrd="6" destOrd="0" presId="urn:microsoft.com/office/officeart/2005/8/layout/radial6"/>
    <dgm:cxn modelId="{552A4E48-2442-47DF-BC92-2BDC35506007}" type="presParOf" srcId="{C92DF2D9-ECE5-4EBC-95E1-7BB6A52B7077}" destId="{DD33117D-A7EF-4CE2-9AE8-8FC2593010FD}" srcOrd="7" destOrd="0" presId="urn:microsoft.com/office/officeart/2005/8/layout/radial6"/>
    <dgm:cxn modelId="{2191FD88-A7FE-4C2B-B947-3DE18247392E}" type="presParOf" srcId="{C92DF2D9-ECE5-4EBC-95E1-7BB6A52B7077}" destId="{A116CB15-A6BA-4F34-8479-6A294F949D34}" srcOrd="8" destOrd="0" presId="urn:microsoft.com/office/officeart/2005/8/layout/radial6"/>
    <dgm:cxn modelId="{F7745A7F-E326-4FDC-B326-C6F9954AA4CF}" type="presParOf" srcId="{C92DF2D9-ECE5-4EBC-95E1-7BB6A52B7077}" destId="{99BBC07B-299A-4234-9153-19ED10CBDB8E}" srcOrd="9" destOrd="0" presId="urn:microsoft.com/office/officeart/2005/8/layout/radial6"/>
    <dgm:cxn modelId="{76B24F16-926C-42B5-BA97-BC19D2342265}" type="presParOf" srcId="{C92DF2D9-ECE5-4EBC-95E1-7BB6A52B7077}" destId="{D0671DC8-4807-489E-B8AE-A760AE7FD835}" srcOrd="10" destOrd="0" presId="urn:microsoft.com/office/officeart/2005/8/layout/radial6"/>
    <dgm:cxn modelId="{DEFBE91A-8CC1-4081-AEC6-22C76676032C}" type="presParOf" srcId="{C92DF2D9-ECE5-4EBC-95E1-7BB6A52B7077}" destId="{26C46527-672F-46F7-A573-A284533CF921}" srcOrd="11" destOrd="0" presId="urn:microsoft.com/office/officeart/2005/8/layout/radial6"/>
    <dgm:cxn modelId="{18494014-E832-4840-81D9-549EEEFD4FE9}" type="presParOf" srcId="{C92DF2D9-ECE5-4EBC-95E1-7BB6A52B7077}" destId="{8227CCCA-3C8F-40E6-AEC6-383D3549F410}" srcOrd="12" destOrd="0" presId="urn:microsoft.com/office/officeart/2005/8/layout/radial6"/>
  </dgm:cxnLst>
  <dgm:bg>
    <a:noFill/>
  </dgm:bg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3.xml><?xml version="1.0" encoding="utf-8"?>
<dgm:dataModel xmlns:dgm="http://schemas.openxmlformats.org/drawingml/2006/diagram" xmlns:a="http://schemas.openxmlformats.org/drawingml/2006/main">
  <dgm:ptLst>
    <dgm:pt modelId="{B2406C2D-47AC-4B4D-AD9E-FA56CBF87167}" type="doc">
      <dgm:prSet loTypeId="urn:microsoft.com/office/officeart/2005/8/layout/vList5" loCatId="list" qsTypeId="urn:microsoft.com/office/officeart/2005/8/quickstyle/3d2" qsCatId="3D" csTypeId="urn:microsoft.com/office/officeart/2005/8/colors/colorful4" csCatId="colorful" phldr="1"/>
      <dgm:spPr/>
      <dgm:t>
        <a:bodyPr/>
        <a:lstStyle/>
        <a:p>
          <a:endParaRPr lang="en-US"/>
        </a:p>
      </dgm:t>
    </dgm:pt>
    <dgm:pt modelId="{AC6FC927-5160-4144-89EA-C5F6920F1BEF}">
      <dgm:prSet phldrT="[Texto]"/>
      <dgm:spPr/>
      <dgm:t>
        <a:bodyPr/>
        <a:lstStyle/>
        <a:p>
          <a:r>
            <a:rPr lang="en-US">
              <a:latin typeface="Bahnschrift Condensed" panose="020B0502040204020203" pitchFamily="34" charset="0"/>
            </a:rPr>
            <a:t>Reporte de Asistencia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"/>
          </dgm14:cNvPr>
        </a:ext>
      </dgm:extLst>
    </dgm:pt>
    <dgm:pt modelId="{E331E512-8B4A-4EEC-A6E6-4A2C881AD177}" type="parTrans" cxnId="{2A1AD7AA-2ECB-4D60-97F1-9C5ABDFCC63D}">
      <dgm:prSet/>
      <dgm:spPr/>
      <dgm:t>
        <a:bodyPr/>
        <a:lstStyle/>
        <a:p>
          <a:endParaRPr lang="en-US">
            <a:latin typeface="Bahnschrift Condensed" panose="020B0502040204020203" pitchFamily="34" charset="0"/>
          </a:endParaRPr>
        </a:p>
      </dgm:t>
    </dgm:pt>
    <dgm:pt modelId="{1A617F84-C9A4-4E01-9E0D-E176A0C228BF}" type="sibTrans" cxnId="{2A1AD7AA-2ECB-4D60-97F1-9C5ABDFCC63D}">
      <dgm:prSet/>
      <dgm:spPr/>
      <dgm:t>
        <a:bodyPr/>
        <a:lstStyle/>
        <a:p>
          <a:endParaRPr lang="en-US">
            <a:latin typeface="Bahnschrift Condensed" panose="020B0502040204020203" pitchFamily="34" charset="0"/>
          </a:endParaRPr>
        </a:p>
      </dgm:t>
    </dgm:pt>
    <dgm:pt modelId="{DFDE6077-1E01-4BBE-853E-D6AB1BF848E6}">
      <dgm:prSet phldrT="[Texto]"/>
      <dgm:spPr/>
      <dgm:t>
        <a:bodyPr/>
        <a:lstStyle/>
        <a:p>
          <a:r>
            <a:rPr lang="en-US">
              <a:latin typeface="Bahnschrift Condensed" panose="020B0502040204020203" pitchFamily="34" charset="0"/>
            </a:rPr>
            <a:t>Informe de Progreso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4BB13DC1-6E3F-4A1E-AC0A-8CAC9CE082A3}" type="parTrans" cxnId="{B893D14B-13A7-498A-B76A-5AB7DAF23565}">
      <dgm:prSet/>
      <dgm:spPr/>
      <dgm:t>
        <a:bodyPr/>
        <a:lstStyle/>
        <a:p>
          <a:endParaRPr lang="en-US">
            <a:latin typeface="Bahnschrift Condensed" panose="020B0502040204020203" pitchFamily="34" charset="0"/>
          </a:endParaRPr>
        </a:p>
      </dgm:t>
    </dgm:pt>
    <dgm:pt modelId="{7E7951CC-C132-492E-BF2D-7E084DAAA1FC}" type="sibTrans" cxnId="{B893D14B-13A7-498A-B76A-5AB7DAF23565}">
      <dgm:prSet/>
      <dgm:spPr/>
      <dgm:t>
        <a:bodyPr/>
        <a:lstStyle/>
        <a:p>
          <a:endParaRPr lang="en-US">
            <a:latin typeface="Bahnschrift Condensed" panose="020B0502040204020203" pitchFamily="34" charset="0"/>
          </a:endParaRPr>
        </a:p>
      </dgm:t>
    </dgm:pt>
    <dgm:pt modelId="{C0E0C227-709B-4897-A216-B1DDB52D95AF}">
      <dgm:prSet phldrT="[Texto]"/>
      <dgm:spPr/>
      <dgm:t>
        <a:bodyPr/>
        <a:lstStyle/>
        <a:p>
          <a:r>
            <a:rPr lang="en-US">
              <a:latin typeface="Bahnschrift Condensed" panose="020B0502040204020203" pitchFamily="34" charset="0"/>
            </a:rPr>
            <a:t>Desglose Imprimible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EB9BE554-FAD6-4430-BFF0-5C663BCD4999}" type="parTrans" cxnId="{2CD54BFD-BE0E-49A0-BD81-35B1F162486F}">
      <dgm:prSet/>
      <dgm:spPr/>
      <dgm:t>
        <a:bodyPr/>
        <a:lstStyle/>
        <a:p>
          <a:endParaRPr lang="en-US">
            <a:latin typeface="Bahnschrift Condensed" panose="020B0502040204020203" pitchFamily="34" charset="0"/>
          </a:endParaRPr>
        </a:p>
      </dgm:t>
    </dgm:pt>
    <dgm:pt modelId="{8663F533-CB6E-463B-9FD2-B71C83D99C2C}" type="sibTrans" cxnId="{2CD54BFD-BE0E-49A0-BD81-35B1F162486F}">
      <dgm:prSet/>
      <dgm:spPr/>
      <dgm:t>
        <a:bodyPr/>
        <a:lstStyle/>
        <a:p>
          <a:endParaRPr lang="en-US">
            <a:latin typeface="Bahnschrift Condensed" panose="020B0502040204020203" pitchFamily="34" charset="0"/>
          </a:endParaRPr>
        </a:p>
      </dgm:t>
    </dgm:pt>
    <dgm:pt modelId="{285C2745-0E47-4454-A8A6-78839DAB8A9C}">
      <dgm:prSet/>
      <dgm:spPr/>
      <dgm:t>
        <a:bodyPr/>
        <a:lstStyle/>
        <a:p>
          <a:r>
            <a:rPr lang="en-US">
              <a:latin typeface="Bahnschrift Condensed" panose="020B0502040204020203" pitchFamily="34" charset="0"/>
            </a:rPr>
            <a:t>Acta del Primer Semestre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11506E13-97AA-4A0C-B8B1-D27F580DF3DF}" type="parTrans" cxnId="{3431D700-0B54-4E96-A07F-6791D2629355}">
      <dgm:prSet/>
      <dgm:spPr/>
      <dgm:t>
        <a:bodyPr/>
        <a:lstStyle/>
        <a:p>
          <a:endParaRPr lang="en-US">
            <a:latin typeface="Bahnschrift Condensed" panose="020B0502040204020203" pitchFamily="34" charset="0"/>
          </a:endParaRPr>
        </a:p>
      </dgm:t>
    </dgm:pt>
    <dgm:pt modelId="{6FD071A2-95C4-44F4-B55D-091270945C14}" type="sibTrans" cxnId="{3431D700-0B54-4E96-A07F-6791D2629355}">
      <dgm:prSet/>
      <dgm:spPr/>
      <dgm:t>
        <a:bodyPr/>
        <a:lstStyle/>
        <a:p>
          <a:endParaRPr lang="en-US">
            <a:latin typeface="Bahnschrift Condensed" panose="020B0502040204020203" pitchFamily="34" charset="0"/>
          </a:endParaRPr>
        </a:p>
      </dgm:t>
    </dgm:pt>
    <dgm:pt modelId="{E8EE0ABF-ECB2-41F1-B8DC-D70AC034BFDC}">
      <dgm:prSet/>
      <dgm:spPr/>
      <dgm:t>
        <a:bodyPr/>
        <a:lstStyle/>
        <a:p>
          <a:r>
            <a:rPr lang="en-US">
              <a:latin typeface="Bahnschrift Condensed" panose="020B0502040204020203" pitchFamily="34" charset="0"/>
            </a:rPr>
            <a:t>Estadísticas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198419C4-5962-4A6C-AE46-9FB35FC1866E}" type="parTrans" cxnId="{54B6706B-92C3-4621-8D4E-49B64173DBED}">
      <dgm:prSet/>
      <dgm:spPr/>
      <dgm:t>
        <a:bodyPr/>
        <a:lstStyle/>
        <a:p>
          <a:endParaRPr lang="en-US">
            <a:latin typeface="Bahnschrift Condensed" panose="020B0502040204020203" pitchFamily="34" charset="0"/>
          </a:endParaRPr>
        </a:p>
      </dgm:t>
    </dgm:pt>
    <dgm:pt modelId="{991975D9-16C7-4144-AFF4-AB893C39CA5E}" type="sibTrans" cxnId="{54B6706B-92C3-4621-8D4E-49B64173DBED}">
      <dgm:prSet/>
      <dgm:spPr/>
      <dgm:t>
        <a:bodyPr/>
        <a:lstStyle/>
        <a:p>
          <a:endParaRPr lang="en-US">
            <a:latin typeface="Bahnschrift Condensed" panose="020B0502040204020203" pitchFamily="34" charset="0"/>
          </a:endParaRPr>
        </a:p>
      </dgm:t>
    </dgm:pt>
    <dgm:pt modelId="{BCC094B5-19EE-481B-8850-5455F9A39141}" type="pres">
      <dgm:prSet presAssocID="{B2406C2D-47AC-4B4D-AD9E-FA56CBF87167}" presName="Name0" presStyleCnt="0">
        <dgm:presLayoutVars>
          <dgm:dir/>
          <dgm:animLvl val="lvl"/>
          <dgm:resizeHandles val="exact"/>
        </dgm:presLayoutVars>
      </dgm:prSet>
      <dgm:spPr/>
    </dgm:pt>
    <dgm:pt modelId="{78B89576-AA26-41E1-A37E-F6823C983668}" type="pres">
      <dgm:prSet presAssocID="{AC6FC927-5160-4144-89EA-C5F6920F1BEF}" presName="linNode" presStyleCnt="0"/>
      <dgm:spPr/>
    </dgm:pt>
    <dgm:pt modelId="{70DF14AC-235F-4517-AFE7-29782204CD28}" type="pres">
      <dgm:prSet presAssocID="{AC6FC927-5160-4144-89EA-C5F6920F1BEF}" presName="parentText" presStyleLbl="node1" presStyleIdx="0" presStyleCnt="5">
        <dgm:presLayoutVars>
          <dgm:chMax val="1"/>
          <dgm:bulletEnabled val="1"/>
        </dgm:presLayoutVars>
      </dgm:prSet>
      <dgm:spPr/>
    </dgm:pt>
    <dgm:pt modelId="{A70A8E33-A882-4C62-92DF-A1F22D4C747B}" type="pres">
      <dgm:prSet presAssocID="{1A617F84-C9A4-4E01-9E0D-E176A0C228BF}" presName="sp" presStyleCnt="0"/>
      <dgm:spPr/>
    </dgm:pt>
    <dgm:pt modelId="{41FE53AC-E088-4C22-AF02-9EF2F7D3AF96}" type="pres">
      <dgm:prSet presAssocID="{DFDE6077-1E01-4BBE-853E-D6AB1BF848E6}" presName="linNode" presStyleCnt="0"/>
      <dgm:spPr/>
    </dgm:pt>
    <dgm:pt modelId="{3A0970C2-0839-4958-AA4D-9477802A4668}" type="pres">
      <dgm:prSet presAssocID="{DFDE6077-1E01-4BBE-853E-D6AB1BF848E6}" presName="parentText" presStyleLbl="node1" presStyleIdx="1" presStyleCnt="5">
        <dgm:presLayoutVars>
          <dgm:chMax val="1"/>
          <dgm:bulletEnabled val="1"/>
        </dgm:presLayoutVars>
      </dgm:prSet>
      <dgm:spPr/>
    </dgm:pt>
    <dgm:pt modelId="{BA226743-C187-496A-9317-C7DDDFA8BE7A}" type="pres">
      <dgm:prSet presAssocID="{7E7951CC-C132-492E-BF2D-7E084DAAA1FC}" presName="sp" presStyleCnt="0"/>
      <dgm:spPr/>
    </dgm:pt>
    <dgm:pt modelId="{9CC0CD31-38F6-44E8-BFA2-DC14FCB147A9}" type="pres">
      <dgm:prSet presAssocID="{285C2745-0E47-4454-A8A6-78839DAB8A9C}" presName="linNode" presStyleCnt="0"/>
      <dgm:spPr/>
    </dgm:pt>
    <dgm:pt modelId="{62D12CEA-3E53-4E5C-A9BF-76B129E27992}" type="pres">
      <dgm:prSet presAssocID="{285C2745-0E47-4454-A8A6-78839DAB8A9C}" presName="parentText" presStyleLbl="node1" presStyleIdx="2" presStyleCnt="5">
        <dgm:presLayoutVars>
          <dgm:chMax val="1"/>
          <dgm:bulletEnabled val="1"/>
        </dgm:presLayoutVars>
      </dgm:prSet>
      <dgm:spPr/>
    </dgm:pt>
    <dgm:pt modelId="{F411781F-3741-441D-BEB8-17DDC1A911B4}" type="pres">
      <dgm:prSet presAssocID="{6FD071A2-95C4-44F4-B55D-091270945C14}" presName="sp" presStyleCnt="0"/>
      <dgm:spPr/>
    </dgm:pt>
    <dgm:pt modelId="{48288E81-844D-4C80-BD02-6B586397753F}" type="pres">
      <dgm:prSet presAssocID="{E8EE0ABF-ECB2-41F1-B8DC-D70AC034BFDC}" presName="linNode" presStyleCnt="0"/>
      <dgm:spPr/>
    </dgm:pt>
    <dgm:pt modelId="{DE575ADE-2D61-4920-88BD-E12AC459A405}" type="pres">
      <dgm:prSet presAssocID="{E8EE0ABF-ECB2-41F1-B8DC-D70AC034BFDC}" presName="parentText" presStyleLbl="node1" presStyleIdx="3" presStyleCnt="5">
        <dgm:presLayoutVars>
          <dgm:chMax val="1"/>
          <dgm:bulletEnabled val="1"/>
        </dgm:presLayoutVars>
      </dgm:prSet>
      <dgm:spPr/>
    </dgm:pt>
    <dgm:pt modelId="{E7514D00-F4F3-4DAE-ACF8-C61CC3E96B00}" type="pres">
      <dgm:prSet presAssocID="{991975D9-16C7-4144-AFF4-AB893C39CA5E}" presName="sp" presStyleCnt="0"/>
      <dgm:spPr/>
    </dgm:pt>
    <dgm:pt modelId="{BCFB9F7C-A7F5-47DD-9503-E61EB9AA6DD6}" type="pres">
      <dgm:prSet presAssocID="{C0E0C227-709B-4897-A216-B1DDB52D95AF}" presName="linNode" presStyleCnt="0"/>
      <dgm:spPr/>
    </dgm:pt>
    <dgm:pt modelId="{764E56C5-30FC-431C-879C-E7608CDA7724}" type="pres">
      <dgm:prSet presAssocID="{C0E0C227-709B-4897-A216-B1DDB52D95AF}" presName="parentText" presStyleLbl="node1" presStyleIdx="4" presStyleCnt="5">
        <dgm:presLayoutVars>
          <dgm:chMax val="1"/>
          <dgm:bulletEnabled val="1"/>
        </dgm:presLayoutVars>
      </dgm:prSet>
      <dgm:spPr/>
    </dgm:pt>
  </dgm:ptLst>
  <dgm:cxnLst>
    <dgm:cxn modelId="{3431D700-0B54-4E96-A07F-6791D2629355}" srcId="{B2406C2D-47AC-4B4D-AD9E-FA56CBF87167}" destId="{285C2745-0E47-4454-A8A6-78839DAB8A9C}" srcOrd="2" destOrd="0" parTransId="{11506E13-97AA-4A0C-B8B1-D27F580DF3DF}" sibTransId="{6FD071A2-95C4-44F4-B55D-091270945C14}"/>
    <dgm:cxn modelId="{42237710-011E-4A93-9CA1-26B7C2CFE46E}" type="presOf" srcId="{285C2745-0E47-4454-A8A6-78839DAB8A9C}" destId="{62D12CEA-3E53-4E5C-A9BF-76B129E27992}" srcOrd="0" destOrd="0" presId="urn:microsoft.com/office/officeart/2005/8/layout/vList5"/>
    <dgm:cxn modelId="{54B6706B-92C3-4621-8D4E-49B64173DBED}" srcId="{B2406C2D-47AC-4B4D-AD9E-FA56CBF87167}" destId="{E8EE0ABF-ECB2-41F1-B8DC-D70AC034BFDC}" srcOrd="3" destOrd="0" parTransId="{198419C4-5962-4A6C-AE46-9FB35FC1866E}" sibTransId="{991975D9-16C7-4144-AFF4-AB893C39CA5E}"/>
    <dgm:cxn modelId="{B893D14B-13A7-498A-B76A-5AB7DAF23565}" srcId="{B2406C2D-47AC-4B4D-AD9E-FA56CBF87167}" destId="{DFDE6077-1E01-4BBE-853E-D6AB1BF848E6}" srcOrd="1" destOrd="0" parTransId="{4BB13DC1-6E3F-4A1E-AC0A-8CAC9CE082A3}" sibTransId="{7E7951CC-C132-492E-BF2D-7E084DAAA1FC}"/>
    <dgm:cxn modelId="{A7B5B984-9D59-4144-958E-32A19743A782}" type="presOf" srcId="{DFDE6077-1E01-4BBE-853E-D6AB1BF848E6}" destId="{3A0970C2-0839-4958-AA4D-9477802A4668}" srcOrd="0" destOrd="0" presId="urn:microsoft.com/office/officeart/2005/8/layout/vList5"/>
    <dgm:cxn modelId="{AAE4869A-CFCC-460A-B959-FA9D229B0780}" type="presOf" srcId="{C0E0C227-709B-4897-A216-B1DDB52D95AF}" destId="{764E56C5-30FC-431C-879C-E7608CDA7724}" srcOrd="0" destOrd="0" presId="urn:microsoft.com/office/officeart/2005/8/layout/vList5"/>
    <dgm:cxn modelId="{2A1AD7AA-2ECB-4D60-97F1-9C5ABDFCC63D}" srcId="{B2406C2D-47AC-4B4D-AD9E-FA56CBF87167}" destId="{AC6FC927-5160-4144-89EA-C5F6920F1BEF}" srcOrd="0" destOrd="0" parTransId="{E331E512-8B4A-4EEC-A6E6-4A2C881AD177}" sibTransId="{1A617F84-C9A4-4E01-9E0D-E176A0C228BF}"/>
    <dgm:cxn modelId="{A7F8F9B4-29F9-4175-8D38-0412BE44719E}" type="presOf" srcId="{E8EE0ABF-ECB2-41F1-B8DC-D70AC034BFDC}" destId="{DE575ADE-2D61-4920-88BD-E12AC459A405}" srcOrd="0" destOrd="0" presId="urn:microsoft.com/office/officeart/2005/8/layout/vList5"/>
    <dgm:cxn modelId="{8759B8E2-65D8-45BB-915B-AEF1D912E74E}" type="presOf" srcId="{B2406C2D-47AC-4B4D-AD9E-FA56CBF87167}" destId="{BCC094B5-19EE-481B-8850-5455F9A39141}" srcOrd="0" destOrd="0" presId="urn:microsoft.com/office/officeart/2005/8/layout/vList5"/>
    <dgm:cxn modelId="{CA61D6F9-8AAF-4E87-9E51-39E22E371D65}" type="presOf" srcId="{AC6FC927-5160-4144-89EA-C5F6920F1BEF}" destId="{70DF14AC-235F-4517-AFE7-29782204CD28}" srcOrd="0" destOrd="0" presId="urn:microsoft.com/office/officeart/2005/8/layout/vList5"/>
    <dgm:cxn modelId="{2CD54BFD-BE0E-49A0-BD81-35B1F162486F}" srcId="{B2406C2D-47AC-4B4D-AD9E-FA56CBF87167}" destId="{C0E0C227-709B-4897-A216-B1DDB52D95AF}" srcOrd="4" destOrd="0" parTransId="{EB9BE554-FAD6-4430-BFF0-5C663BCD4999}" sibTransId="{8663F533-CB6E-463B-9FD2-B71C83D99C2C}"/>
    <dgm:cxn modelId="{2900353C-EB44-48F4-8A32-3DEF4B832473}" type="presParOf" srcId="{BCC094B5-19EE-481B-8850-5455F9A39141}" destId="{78B89576-AA26-41E1-A37E-F6823C983668}" srcOrd="0" destOrd="0" presId="urn:microsoft.com/office/officeart/2005/8/layout/vList5"/>
    <dgm:cxn modelId="{16E9EA3D-8708-48A0-B18C-98675D67EF6E}" type="presParOf" srcId="{78B89576-AA26-41E1-A37E-F6823C983668}" destId="{70DF14AC-235F-4517-AFE7-29782204CD28}" srcOrd="0" destOrd="0" presId="urn:microsoft.com/office/officeart/2005/8/layout/vList5"/>
    <dgm:cxn modelId="{59E944A4-278E-4317-91F1-4B41B6B80B61}" type="presParOf" srcId="{BCC094B5-19EE-481B-8850-5455F9A39141}" destId="{A70A8E33-A882-4C62-92DF-A1F22D4C747B}" srcOrd="1" destOrd="0" presId="urn:microsoft.com/office/officeart/2005/8/layout/vList5"/>
    <dgm:cxn modelId="{5CC1C29F-1DBB-4B3B-BBDA-C00A43DAFF40}" type="presParOf" srcId="{BCC094B5-19EE-481B-8850-5455F9A39141}" destId="{41FE53AC-E088-4C22-AF02-9EF2F7D3AF96}" srcOrd="2" destOrd="0" presId="urn:microsoft.com/office/officeart/2005/8/layout/vList5"/>
    <dgm:cxn modelId="{93E27F0D-2BC8-4187-879E-781EA184A44B}" type="presParOf" srcId="{41FE53AC-E088-4C22-AF02-9EF2F7D3AF96}" destId="{3A0970C2-0839-4958-AA4D-9477802A4668}" srcOrd="0" destOrd="0" presId="urn:microsoft.com/office/officeart/2005/8/layout/vList5"/>
    <dgm:cxn modelId="{78F9CA81-A943-4613-A190-75115496F17F}" type="presParOf" srcId="{BCC094B5-19EE-481B-8850-5455F9A39141}" destId="{BA226743-C187-496A-9317-C7DDDFA8BE7A}" srcOrd="3" destOrd="0" presId="urn:microsoft.com/office/officeart/2005/8/layout/vList5"/>
    <dgm:cxn modelId="{B02AC66B-DCAB-4D5A-9AEB-0F85342652B4}" type="presParOf" srcId="{BCC094B5-19EE-481B-8850-5455F9A39141}" destId="{9CC0CD31-38F6-44E8-BFA2-DC14FCB147A9}" srcOrd="4" destOrd="0" presId="urn:microsoft.com/office/officeart/2005/8/layout/vList5"/>
    <dgm:cxn modelId="{EF9E3D9C-FAA2-4B77-B5A2-3C386E81D92C}" type="presParOf" srcId="{9CC0CD31-38F6-44E8-BFA2-DC14FCB147A9}" destId="{62D12CEA-3E53-4E5C-A9BF-76B129E27992}" srcOrd="0" destOrd="0" presId="urn:microsoft.com/office/officeart/2005/8/layout/vList5"/>
    <dgm:cxn modelId="{CCBB19AC-4E80-4E46-8C6B-554285C3E4D0}" type="presParOf" srcId="{BCC094B5-19EE-481B-8850-5455F9A39141}" destId="{F411781F-3741-441D-BEB8-17DDC1A911B4}" srcOrd="5" destOrd="0" presId="urn:microsoft.com/office/officeart/2005/8/layout/vList5"/>
    <dgm:cxn modelId="{391DC9DE-573E-4209-9592-B101E4599F45}" type="presParOf" srcId="{BCC094B5-19EE-481B-8850-5455F9A39141}" destId="{48288E81-844D-4C80-BD02-6B586397753F}" srcOrd="6" destOrd="0" presId="urn:microsoft.com/office/officeart/2005/8/layout/vList5"/>
    <dgm:cxn modelId="{A13F3C4E-1C62-4E21-9D09-6AFCF905427C}" type="presParOf" srcId="{48288E81-844D-4C80-BD02-6B586397753F}" destId="{DE575ADE-2D61-4920-88BD-E12AC459A405}" srcOrd="0" destOrd="0" presId="urn:microsoft.com/office/officeart/2005/8/layout/vList5"/>
    <dgm:cxn modelId="{59155C28-1C7C-4676-B5FC-4B21513C0C15}" type="presParOf" srcId="{BCC094B5-19EE-481B-8850-5455F9A39141}" destId="{E7514D00-F4F3-4DAE-ACF8-C61CC3E96B00}" srcOrd="7" destOrd="0" presId="urn:microsoft.com/office/officeart/2005/8/layout/vList5"/>
    <dgm:cxn modelId="{F2EBD825-9419-4D7C-B71E-5F0653CCBFA4}" type="presParOf" srcId="{BCC094B5-19EE-481B-8850-5455F9A39141}" destId="{BCFB9F7C-A7F5-47DD-9503-E61EB9AA6DD6}" srcOrd="8" destOrd="0" presId="urn:microsoft.com/office/officeart/2005/8/layout/vList5"/>
    <dgm:cxn modelId="{14067F9A-D367-47E8-B70A-9BBA905242A0}" type="presParOf" srcId="{BCFB9F7C-A7F5-47DD-9503-E61EB9AA6DD6}" destId="{764E56C5-30FC-431C-879C-E7608CDA7724}" srcOrd="0" destOrd="0" presId="urn:microsoft.com/office/officeart/2005/8/layout/vList5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4.xml><?xml version="1.0" encoding="utf-8"?>
<dgm:dataModel xmlns:dgm="http://schemas.openxmlformats.org/drawingml/2006/diagram" xmlns:a="http://schemas.openxmlformats.org/drawingml/2006/main">
  <dgm:ptLst>
    <dgm:pt modelId="{4A7FAAED-B5EE-4C2B-963C-A9F52F05EBC6}" type="doc">
      <dgm:prSet loTypeId="urn:microsoft.com/office/officeart/2005/8/layout/radial6" loCatId="cycle" qsTypeId="urn:microsoft.com/office/officeart/2005/8/quickstyle/3d2" qsCatId="3D" csTypeId="urn:microsoft.com/office/officeart/2005/8/colors/colorful5" csCatId="colorful" phldr="1"/>
      <dgm:spPr/>
      <dgm:t>
        <a:bodyPr/>
        <a:lstStyle/>
        <a:p>
          <a:endParaRPr lang="en-US"/>
        </a:p>
      </dgm:t>
    </dgm:pt>
    <dgm:pt modelId="{24A8FE9D-E80B-44E8-9077-ADF89006D8D5}">
      <dgm:prSet phldrT="[Texto]" custT="1"/>
      <dgm:spPr/>
      <dgm:t>
        <a:bodyPr anchor="ctr"/>
        <a:lstStyle/>
        <a:p>
          <a:pPr algn="ctr"/>
          <a:r>
            <a:rPr lang="en-US" sz="2000">
              <a:latin typeface="Bahnschrift Condensed" panose="020B0502040204020203" pitchFamily="34" charset="0"/>
            </a:rPr>
            <a:t>Registro</a:t>
          </a:r>
          <a:endParaRPr lang="en-US" sz="2600">
            <a:latin typeface="Bahnschrift Condensed" panose="020B0502040204020203" pitchFamily="34" charset="0"/>
          </a:endParaRPr>
        </a:p>
        <a:p>
          <a:pPr algn="ctr"/>
          <a:r>
            <a:rPr lang="en-US" sz="2600">
              <a:latin typeface="Bahnschrift Condensed" panose="020B0502040204020203" pitchFamily="34" charset="0"/>
            </a:rPr>
            <a:t>General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"/>
          </dgm14:cNvPr>
        </a:ext>
      </dgm:extLst>
    </dgm:pt>
    <dgm:pt modelId="{1D26C7E5-2A55-46AE-9478-72850265C6DE}" type="parTrans" cxnId="{6B61AAFE-1595-4025-88D2-64C82F0C537F}">
      <dgm:prSet/>
      <dgm:spPr/>
      <dgm:t>
        <a:bodyPr/>
        <a:lstStyle/>
        <a:p>
          <a:endParaRPr lang="en-US">
            <a:solidFill>
              <a:schemeClr val="bg1"/>
            </a:solidFill>
            <a:latin typeface="Bahnschrift Condensed" panose="020B0502040204020203" pitchFamily="34" charset="0"/>
          </a:endParaRPr>
        </a:p>
      </dgm:t>
    </dgm:pt>
    <dgm:pt modelId="{0B881FB4-6467-45C6-BDC8-700948A915FC}" type="sibTrans" cxnId="{6B61AAFE-1595-4025-88D2-64C82F0C537F}">
      <dgm:prSet/>
      <dgm:spPr/>
      <dgm:t>
        <a:bodyPr/>
        <a:lstStyle/>
        <a:p>
          <a:endParaRPr lang="en-US">
            <a:solidFill>
              <a:schemeClr val="bg1"/>
            </a:solidFill>
            <a:latin typeface="Bahnschrift Condensed" panose="020B0502040204020203" pitchFamily="34" charset="0"/>
          </a:endParaRPr>
        </a:p>
      </dgm:t>
    </dgm:pt>
    <dgm:pt modelId="{954C23DB-33ED-4561-867A-B5E2D225091B}">
      <dgm:prSet phldrT="[Texto]"/>
      <dgm:spPr/>
      <dgm:t>
        <a:bodyPr/>
        <a:lstStyle/>
        <a:p>
          <a:r>
            <a:rPr lang="en-US">
              <a:latin typeface="Bahnschrift Condensed" panose="020B0502040204020203" pitchFamily="34" charset="0"/>
            </a:rPr>
            <a:t>Cotidiano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186B4B3D-466A-4CD2-A560-304272EA4EE8}" type="parTrans" cxnId="{C0EDB016-350D-4B4A-B9E1-73CB8400DF1C}">
      <dgm:prSet/>
      <dgm:spPr/>
      <dgm:t>
        <a:bodyPr/>
        <a:lstStyle/>
        <a:p>
          <a:endParaRPr lang="en-US">
            <a:solidFill>
              <a:schemeClr val="bg1"/>
            </a:solidFill>
            <a:latin typeface="Bahnschrift Condensed" panose="020B0502040204020203" pitchFamily="34" charset="0"/>
          </a:endParaRPr>
        </a:p>
      </dgm:t>
    </dgm:pt>
    <dgm:pt modelId="{C9BFCBF0-C1D7-4E9E-875C-8B8257765175}" type="sibTrans" cxnId="{C0EDB016-350D-4B4A-B9E1-73CB8400DF1C}">
      <dgm:prSet/>
      <dgm:spPr/>
      <dgm:t>
        <a:bodyPr/>
        <a:lstStyle/>
        <a:p>
          <a:endParaRPr lang="en-US">
            <a:solidFill>
              <a:schemeClr val="bg1"/>
            </a:solidFill>
            <a:latin typeface="Bahnschrift Condensed" panose="020B0502040204020203" pitchFamily="34" charset="0"/>
          </a:endParaRPr>
        </a:p>
      </dgm:t>
    </dgm:pt>
    <dgm:pt modelId="{DE1456E1-6406-4097-8263-0CFC3054F6E9}">
      <dgm:prSet phldrT="[Texto]"/>
      <dgm:spPr/>
      <dgm:t>
        <a:bodyPr/>
        <a:lstStyle/>
        <a:p>
          <a:r>
            <a:rPr lang="en-US">
              <a:latin typeface="Bahnschrift Condensed" panose="020B0502040204020203" pitchFamily="34" charset="0"/>
            </a:rPr>
            <a:t>Exámenes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BA4F6542-9201-4CFA-9908-2D4BE77F7979}" type="parTrans" cxnId="{F50C9230-7774-452D-8CEF-C9D4AC289FA5}">
      <dgm:prSet/>
      <dgm:spPr/>
      <dgm:t>
        <a:bodyPr/>
        <a:lstStyle/>
        <a:p>
          <a:endParaRPr lang="en-US">
            <a:solidFill>
              <a:schemeClr val="bg1"/>
            </a:solidFill>
            <a:latin typeface="Bahnschrift Condensed" panose="020B0502040204020203" pitchFamily="34" charset="0"/>
          </a:endParaRPr>
        </a:p>
      </dgm:t>
    </dgm:pt>
    <dgm:pt modelId="{67559249-24D7-454D-9726-B3656EE01B6C}" type="sibTrans" cxnId="{F50C9230-7774-452D-8CEF-C9D4AC289FA5}">
      <dgm:prSet/>
      <dgm:spPr/>
      <dgm:t>
        <a:bodyPr/>
        <a:lstStyle/>
        <a:p>
          <a:endParaRPr lang="en-US">
            <a:solidFill>
              <a:schemeClr val="bg1"/>
            </a:solidFill>
            <a:latin typeface="Bahnschrift Condensed" panose="020B0502040204020203" pitchFamily="34" charset="0"/>
          </a:endParaRPr>
        </a:p>
      </dgm:t>
    </dgm:pt>
    <dgm:pt modelId="{E17D47C2-F907-43C8-B6E4-20AF9B4F18BF}">
      <dgm:prSet phldrT="[Texto]"/>
      <dgm:spPr/>
      <dgm:t>
        <a:bodyPr/>
        <a:lstStyle/>
        <a:p>
          <a:r>
            <a:rPr lang="en-US">
              <a:latin typeface="Bahnschrift Condensed" panose="020B0502040204020203" pitchFamily="34" charset="0"/>
            </a:rPr>
            <a:t>Asistencia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54ACEFBD-E597-4D93-AF8E-23A400D72199}" type="parTrans" cxnId="{353F1DE6-7A71-4F69-925D-FE76632F4E01}">
      <dgm:prSet/>
      <dgm:spPr/>
      <dgm:t>
        <a:bodyPr/>
        <a:lstStyle/>
        <a:p>
          <a:endParaRPr lang="en-US">
            <a:solidFill>
              <a:schemeClr val="bg1"/>
            </a:solidFill>
            <a:latin typeface="Bahnschrift Condensed" panose="020B0502040204020203" pitchFamily="34" charset="0"/>
          </a:endParaRPr>
        </a:p>
      </dgm:t>
    </dgm:pt>
    <dgm:pt modelId="{36A5E41D-D4B0-48DB-BD6B-3E5EF5E6EE6D}" type="sibTrans" cxnId="{353F1DE6-7A71-4F69-925D-FE76632F4E01}">
      <dgm:prSet/>
      <dgm:spPr/>
      <dgm:t>
        <a:bodyPr/>
        <a:lstStyle/>
        <a:p>
          <a:endParaRPr lang="en-US">
            <a:solidFill>
              <a:schemeClr val="bg1"/>
            </a:solidFill>
            <a:latin typeface="Bahnschrift Condensed" panose="020B0502040204020203" pitchFamily="34" charset="0"/>
          </a:endParaRPr>
        </a:p>
      </dgm:t>
    </dgm:pt>
    <dgm:pt modelId="{D4D4F366-8A96-4941-8E6F-C146B4F3FDEB}">
      <dgm:prSet phldrT="[Texto]"/>
      <dgm:spPr/>
      <dgm:t>
        <a:bodyPr/>
        <a:lstStyle/>
        <a:p>
          <a:r>
            <a:rPr lang="en-US">
              <a:latin typeface="Bahnschrift Condensed" panose="020B0502040204020203" pitchFamily="34" charset="0"/>
            </a:rPr>
            <a:t>Tareas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669638F9-D84D-4774-B52E-57BC6720C0DB}" type="parTrans" cxnId="{5EDB0BD8-4D4A-4F12-8212-B140EF43E1AB}">
      <dgm:prSet/>
      <dgm:spPr/>
      <dgm:t>
        <a:bodyPr/>
        <a:lstStyle/>
        <a:p>
          <a:endParaRPr lang="en-US">
            <a:solidFill>
              <a:schemeClr val="bg1"/>
            </a:solidFill>
            <a:latin typeface="Bahnschrift Condensed" panose="020B0502040204020203" pitchFamily="34" charset="0"/>
          </a:endParaRPr>
        </a:p>
      </dgm:t>
    </dgm:pt>
    <dgm:pt modelId="{FE65B4F2-74F5-49B4-92B2-F4EC17E8E8AC}" type="sibTrans" cxnId="{5EDB0BD8-4D4A-4F12-8212-B140EF43E1AB}">
      <dgm:prSet/>
      <dgm:spPr/>
      <dgm:t>
        <a:bodyPr/>
        <a:lstStyle/>
        <a:p>
          <a:endParaRPr lang="en-US">
            <a:solidFill>
              <a:schemeClr val="bg1"/>
            </a:solidFill>
            <a:latin typeface="Bahnschrift Condensed" panose="020B0502040204020203" pitchFamily="34" charset="0"/>
          </a:endParaRPr>
        </a:p>
      </dgm:t>
    </dgm:pt>
    <dgm:pt modelId="{C92DF2D9-ECE5-4EBC-95E1-7BB6A52B7077}" type="pres">
      <dgm:prSet presAssocID="{4A7FAAED-B5EE-4C2B-963C-A9F52F05EBC6}" presName="Name0" presStyleCnt="0">
        <dgm:presLayoutVars>
          <dgm:chMax val="1"/>
          <dgm:dir/>
          <dgm:animLvl val="ctr"/>
          <dgm:resizeHandles val="exact"/>
        </dgm:presLayoutVars>
      </dgm:prSet>
      <dgm:spPr/>
    </dgm:pt>
    <dgm:pt modelId="{1013F5A7-D608-483E-AFEB-C35D0006C6F8}" type="pres">
      <dgm:prSet presAssocID="{24A8FE9D-E80B-44E8-9077-ADF89006D8D5}" presName="centerShape" presStyleLbl="node0" presStyleIdx="0" presStyleCnt="1"/>
      <dgm:spPr/>
    </dgm:pt>
    <dgm:pt modelId="{C3481059-9E1E-4340-B7D7-48B3FA8A7CC3}" type="pres">
      <dgm:prSet presAssocID="{954C23DB-33ED-4561-867A-B5E2D225091B}" presName="node" presStyleLbl="node1" presStyleIdx="0" presStyleCnt="4">
        <dgm:presLayoutVars>
          <dgm:bulletEnabled val="1"/>
        </dgm:presLayoutVars>
      </dgm:prSet>
      <dgm:spPr/>
    </dgm:pt>
    <dgm:pt modelId="{520425DE-DBB0-4DF5-8123-DF8956D628BE}" type="pres">
      <dgm:prSet presAssocID="{954C23DB-33ED-4561-867A-B5E2D225091B}" presName="dummy" presStyleCnt="0"/>
      <dgm:spPr/>
    </dgm:pt>
    <dgm:pt modelId="{7B5CC76D-B5E2-468F-9BB9-42F52A51444F}" type="pres">
      <dgm:prSet presAssocID="{C9BFCBF0-C1D7-4E9E-875C-8B8257765175}" presName="sibTrans" presStyleLbl="sibTrans2D1" presStyleIdx="0" presStyleCnt="4" custLinFactNeighborX="-501" custLinFactNeighborY="-1285"/>
      <dgm:spPr/>
    </dgm:pt>
    <dgm:pt modelId="{6B491D43-485B-409E-B6BF-9BBA74D28797}" type="pres">
      <dgm:prSet presAssocID="{DE1456E1-6406-4097-8263-0CFC3054F6E9}" presName="node" presStyleLbl="node1" presStyleIdx="1" presStyleCnt="4">
        <dgm:presLayoutVars>
          <dgm:bulletEnabled val="1"/>
        </dgm:presLayoutVars>
      </dgm:prSet>
      <dgm:spPr/>
    </dgm:pt>
    <dgm:pt modelId="{61885D17-3E7A-4315-9975-97CE4F9C5045}" type="pres">
      <dgm:prSet presAssocID="{DE1456E1-6406-4097-8263-0CFC3054F6E9}" presName="dummy" presStyleCnt="0"/>
      <dgm:spPr/>
    </dgm:pt>
    <dgm:pt modelId="{F2E2B337-2597-42F8-93A7-0C8A1168389B}" type="pres">
      <dgm:prSet presAssocID="{67559249-24D7-454D-9726-B3656EE01B6C}" presName="sibTrans" presStyleLbl="sibTrans2D1" presStyleIdx="1" presStyleCnt="4"/>
      <dgm:spPr/>
    </dgm:pt>
    <dgm:pt modelId="{DD33117D-A7EF-4CE2-9AE8-8FC2593010FD}" type="pres">
      <dgm:prSet presAssocID="{E17D47C2-F907-43C8-B6E4-20AF9B4F18BF}" presName="node" presStyleLbl="node1" presStyleIdx="2" presStyleCnt="4">
        <dgm:presLayoutVars>
          <dgm:bulletEnabled val="1"/>
        </dgm:presLayoutVars>
      </dgm:prSet>
      <dgm:spPr/>
    </dgm:pt>
    <dgm:pt modelId="{A116CB15-A6BA-4F34-8479-6A294F949D34}" type="pres">
      <dgm:prSet presAssocID="{E17D47C2-F907-43C8-B6E4-20AF9B4F18BF}" presName="dummy" presStyleCnt="0"/>
      <dgm:spPr/>
    </dgm:pt>
    <dgm:pt modelId="{99BBC07B-299A-4234-9153-19ED10CBDB8E}" type="pres">
      <dgm:prSet presAssocID="{36A5E41D-D4B0-48DB-BD6B-3E5EF5E6EE6D}" presName="sibTrans" presStyleLbl="sibTrans2D1" presStyleIdx="2" presStyleCnt="4"/>
      <dgm:spPr/>
    </dgm:pt>
    <dgm:pt modelId="{D0671DC8-4807-489E-B8AE-A760AE7FD835}" type="pres">
      <dgm:prSet presAssocID="{D4D4F366-8A96-4941-8E6F-C146B4F3FDEB}" presName="node" presStyleLbl="node1" presStyleIdx="3" presStyleCnt="4">
        <dgm:presLayoutVars>
          <dgm:bulletEnabled val="1"/>
        </dgm:presLayoutVars>
      </dgm:prSet>
      <dgm:spPr/>
    </dgm:pt>
    <dgm:pt modelId="{26C46527-672F-46F7-A573-A284533CF921}" type="pres">
      <dgm:prSet presAssocID="{D4D4F366-8A96-4941-8E6F-C146B4F3FDEB}" presName="dummy" presStyleCnt="0"/>
      <dgm:spPr/>
    </dgm:pt>
    <dgm:pt modelId="{8227CCCA-3C8F-40E6-AEC6-383D3549F410}" type="pres">
      <dgm:prSet presAssocID="{FE65B4F2-74F5-49B4-92B2-F4EC17E8E8AC}" presName="sibTrans" presStyleLbl="sibTrans2D1" presStyleIdx="3" presStyleCnt="4"/>
      <dgm:spPr/>
    </dgm:pt>
  </dgm:ptLst>
  <dgm:cxnLst>
    <dgm:cxn modelId="{EBE97B13-47BF-4028-BDD6-12F29CA22BB6}" type="presOf" srcId="{DE1456E1-6406-4097-8263-0CFC3054F6E9}" destId="{6B491D43-485B-409E-B6BF-9BBA74D28797}" srcOrd="0" destOrd="0" presId="urn:microsoft.com/office/officeart/2005/8/layout/radial6"/>
    <dgm:cxn modelId="{C0EDB016-350D-4B4A-B9E1-73CB8400DF1C}" srcId="{24A8FE9D-E80B-44E8-9077-ADF89006D8D5}" destId="{954C23DB-33ED-4561-867A-B5E2D225091B}" srcOrd="0" destOrd="0" parTransId="{186B4B3D-466A-4CD2-A560-304272EA4EE8}" sibTransId="{C9BFCBF0-C1D7-4E9E-875C-8B8257765175}"/>
    <dgm:cxn modelId="{F50C9230-7774-452D-8CEF-C9D4AC289FA5}" srcId="{24A8FE9D-E80B-44E8-9077-ADF89006D8D5}" destId="{DE1456E1-6406-4097-8263-0CFC3054F6E9}" srcOrd="1" destOrd="0" parTransId="{BA4F6542-9201-4CFA-9908-2D4BE77F7979}" sibTransId="{67559249-24D7-454D-9726-B3656EE01B6C}"/>
    <dgm:cxn modelId="{3289566E-76FF-4C2F-8CEF-299A255B0212}" type="presOf" srcId="{954C23DB-33ED-4561-867A-B5E2D225091B}" destId="{C3481059-9E1E-4340-B7D7-48B3FA8A7CC3}" srcOrd="0" destOrd="0" presId="urn:microsoft.com/office/officeart/2005/8/layout/radial6"/>
    <dgm:cxn modelId="{31BBA67F-47F2-42E1-BF26-2E27AA9CBB26}" type="presOf" srcId="{C9BFCBF0-C1D7-4E9E-875C-8B8257765175}" destId="{7B5CC76D-B5E2-468F-9BB9-42F52A51444F}" srcOrd="0" destOrd="0" presId="urn:microsoft.com/office/officeart/2005/8/layout/radial6"/>
    <dgm:cxn modelId="{9D3E2A85-B11F-4B34-8302-B77C1067807E}" type="presOf" srcId="{24A8FE9D-E80B-44E8-9077-ADF89006D8D5}" destId="{1013F5A7-D608-483E-AFEB-C35D0006C6F8}" srcOrd="0" destOrd="0" presId="urn:microsoft.com/office/officeart/2005/8/layout/radial6"/>
    <dgm:cxn modelId="{F3134990-8B86-4640-BDD1-2477A9E1BAB3}" type="presOf" srcId="{67559249-24D7-454D-9726-B3656EE01B6C}" destId="{F2E2B337-2597-42F8-93A7-0C8A1168389B}" srcOrd="0" destOrd="0" presId="urn:microsoft.com/office/officeart/2005/8/layout/radial6"/>
    <dgm:cxn modelId="{6E862999-00D4-44CC-9ADA-4A87FAD5202C}" type="presOf" srcId="{FE65B4F2-74F5-49B4-92B2-F4EC17E8E8AC}" destId="{8227CCCA-3C8F-40E6-AEC6-383D3549F410}" srcOrd="0" destOrd="0" presId="urn:microsoft.com/office/officeart/2005/8/layout/radial6"/>
    <dgm:cxn modelId="{FBA5CAD3-9860-4D18-8227-84C6528FAA60}" type="presOf" srcId="{4A7FAAED-B5EE-4C2B-963C-A9F52F05EBC6}" destId="{C92DF2D9-ECE5-4EBC-95E1-7BB6A52B7077}" srcOrd="0" destOrd="0" presId="urn:microsoft.com/office/officeart/2005/8/layout/radial6"/>
    <dgm:cxn modelId="{5EDB0BD8-4D4A-4F12-8212-B140EF43E1AB}" srcId="{24A8FE9D-E80B-44E8-9077-ADF89006D8D5}" destId="{D4D4F366-8A96-4941-8E6F-C146B4F3FDEB}" srcOrd="3" destOrd="0" parTransId="{669638F9-D84D-4774-B52E-57BC6720C0DB}" sibTransId="{FE65B4F2-74F5-49B4-92B2-F4EC17E8E8AC}"/>
    <dgm:cxn modelId="{B2E81CE2-E6AE-4199-92E7-7FBA178A22F5}" type="presOf" srcId="{D4D4F366-8A96-4941-8E6F-C146B4F3FDEB}" destId="{D0671DC8-4807-489E-B8AE-A760AE7FD835}" srcOrd="0" destOrd="0" presId="urn:microsoft.com/office/officeart/2005/8/layout/radial6"/>
    <dgm:cxn modelId="{353F1DE6-7A71-4F69-925D-FE76632F4E01}" srcId="{24A8FE9D-E80B-44E8-9077-ADF89006D8D5}" destId="{E17D47C2-F907-43C8-B6E4-20AF9B4F18BF}" srcOrd="2" destOrd="0" parTransId="{54ACEFBD-E597-4D93-AF8E-23A400D72199}" sibTransId="{36A5E41D-D4B0-48DB-BD6B-3E5EF5E6EE6D}"/>
    <dgm:cxn modelId="{EC5A58E6-169F-459C-9BEC-A20C924AC01E}" type="presOf" srcId="{36A5E41D-D4B0-48DB-BD6B-3E5EF5E6EE6D}" destId="{99BBC07B-299A-4234-9153-19ED10CBDB8E}" srcOrd="0" destOrd="0" presId="urn:microsoft.com/office/officeart/2005/8/layout/radial6"/>
    <dgm:cxn modelId="{528928E8-1BF5-4B27-94EC-FEF4111B1413}" type="presOf" srcId="{E17D47C2-F907-43C8-B6E4-20AF9B4F18BF}" destId="{DD33117D-A7EF-4CE2-9AE8-8FC2593010FD}" srcOrd="0" destOrd="0" presId="urn:microsoft.com/office/officeart/2005/8/layout/radial6"/>
    <dgm:cxn modelId="{6B61AAFE-1595-4025-88D2-64C82F0C537F}" srcId="{4A7FAAED-B5EE-4C2B-963C-A9F52F05EBC6}" destId="{24A8FE9D-E80B-44E8-9077-ADF89006D8D5}" srcOrd="0" destOrd="0" parTransId="{1D26C7E5-2A55-46AE-9478-72850265C6DE}" sibTransId="{0B881FB4-6467-45C6-BDC8-700948A915FC}"/>
    <dgm:cxn modelId="{2C46394A-48BD-489C-872F-7B85661C7185}" type="presParOf" srcId="{C92DF2D9-ECE5-4EBC-95E1-7BB6A52B7077}" destId="{1013F5A7-D608-483E-AFEB-C35D0006C6F8}" srcOrd="0" destOrd="0" presId="urn:microsoft.com/office/officeart/2005/8/layout/radial6"/>
    <dgm:cxn modelId="{E2756259-AB68-436A-B677-B17AC6BC5EC8}" type="presParOf" srcId="{C92DF2D9-ECE5-4EBC-95E1-7BB6A52B7077}" destId="{C3481059-9E1E-4340-B7D7-48B3FA8A7CC3}" srcOrd="1" destOrd="0" presId="urn:microsoft.com/office/officeart/2005/8/layout/radial6"/>
    <dgm:cxn modelId="{900ED3C8-5EB1-43B7-9DD2-3FD08A3D217E}" type="presParOf" srcId="{C92DF2D9-ECE5-4EBC-95E1-7BB6A52B7077}" destId="{520425DE-DBB0-4DF5-8123-DF8956D628BE}" srcOrd="2" destOrd="0" presId="urn:microsoft.com/office/officeart/2005/8/layout/radial6"/>
    <dgm:cxn modelId="{C0920FAD-9490-4012-9C91-9872702198D4}" type="presParOf" srcId="{C92DF2D9-ECE5-4EBC-95E1-7BB6A52B7077}" destId="{7B5CC76D-B5E2-468F-9BB9-42F52A51444F}" srcOrd="3" destOrd="0" presId="urn:microsoft.com/office/officeart/2005/8/layout/radial6"/>
    <dgm:cxn modelId="{ABF00399-51CB-411F-8998-A0293E5766C4}" type="presParOf" srcId="{C92DF2D9-ECE5-4EBC-95E1-7BB6A52B7077}" destId="{6B491D43-485B-409E-B6BF-9BBA74D28797}" srcOrd="4" destOrd="0" presId="urn:microsoft.com/office/officeart/2005/8/layout/radial6"/>
    <dgm:cxn modelId="{0FF8DE3C-EBD9-47FA-BC5C-BAC0BC3EE4BA}" type="presParOf" srcId="{C92DF2D9-ECE5-4EBC-95E1-7BB6A52B7077}" destId="{61885D17-3E7A-4315-9975-97CE4F9C5045}" srcOrd="5" destOrd="0" presId="urn:microsoft.com/office/officeart/2005/8/layout/radial6"/>
    <dgm:cxn modelId="{9403B84A-5E07-496F-A72F-D70B025B17AA}" type="presParOf" srcId="{C92DF2D9-ECE5-4EBC-95E1-7BB6A52B7077}" destId="{F2E2B337-2597-42F8-93A7-0C8A1168389B}" srcOrd="6" destOrd="0" presId="urn:microsoft.com/office/officeart/2005/8/layout/radial6"/>
    <dgm:cxn modelId="{3D3BEEDC-15BB-40ED-8985-0FE1CA32AD79}" type="presParOf" srcId="{C92DF2D9-ECE5-4EBC-95E1-7BB6A52B7077}" destId="{DD33117D-A7EF-4CE2-9AE8-8FC2593010FD}" srcOrd="7" destOrd="0" presId="urn:microsoft.com/office/officeart/2005/8/layout/radial6"/>
    <dgm:cxn modelId="{DE4ED920-1692-4835-9F5A-335EF19EAD74}" type="presParOf" srcId="{C92DF2D9-ECE5-4EBC-95E1-7BB6A52B7077}" destId="{A116CB15-A6BA-4F34-8479-6A294F949D34}" srcOrd="8" destOrd="0" presId="urn:microsoft.com/office/officeart/2005/8/layout/radial6"/>
    <dgm:cxn modelId="{15CB450A-F308-4AB4-94C4-F2C823B7C338}" type="presParOf" srcId="{C92DF2D9-ECE5-4EBC-95E1-7BB6A52B7077}" destId="{99BBC07B-299A-4234-9153-19ED10CBDB8E}" srcOrd="9" destOrd="0" presId="urn:microsoft.com/office/officeart/2005/8/layout/radial6"/>
    <dgm:cxn modelId="{171A2F48-0E1B-409A-93D7-23F1CBF9101F}" type="presParOf" srcId="{C92DF2D9-ECE5-4EBC-95E1-7BB6A52B7077}" destId="{D0671DC8-4807-489E-B8AE-A760AE7FD835}" srcOrd="10" destOrd="0" presId="urn:microsoft.com/office/officeart/2005/8/layout/radial6"/>
    <dgm:cxn modelId="{8C8ECDC5-5414-4E25-BADA-C3EFC44C2FF6}" type="presParOf" srcId="{C92DF2D9-ECE5-4EBC-95E1-7BB6A52B7077}" destId="{26C46527-672F-46F7-A573-A284533CF921}" srcOrd="11" destOrd="0" presId="urn:microsoft.com/office/officeart/2005/8/layout/radial6"/>
    <dgm:cxn modelId="{4B86C0B5-1AA4-4F51-9C95-775DDD28F3AC}" type="presParOf" srcId="{C92DF2D9-ECE5-4EBC-95E1-7BB6A52B7077}" destId="{8227CCCA-3C8F-40E6-AEC6-383D3549F410}" srcOrd="12" destOrd="0" presId="urn:microsoft.com/office/officeart/2005/8/layout/radial6"/>
  </dgm:cxnLst>
  <dgm:bg>
    <a:noFill/>
  </dgm:bg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5.xml><?xml version="1.0" encoding="utf-8"?>
<dgm:dataModel xmlns:dgm="http://schemas.openxmlformats.org/drawingml/2006/diagram" xmlns:a="http://schemas.openxmlformats.org/drawingml/2006/main">
  <dgm:ptLst>
    <dgm:pt modelId="{B2406C2D-47AC-4B4D-AD9E-FA56CBF87167}" type="doc">
      <dgm:prSet loTypeId="urn:microsoft.com/office/officeart/2005/8/layout/vList5" loCatId="list" qsTypeId="urn:microsoft.com/office/officeart/2005/8/quickstyle/3d2" qsCatId="3D" csTypeId="urn:microsoft.com/office/officeart/2005/8/colors/colorful4" csCatId="colorful" phldr="1"/>
      <dgm:spPr/>
      <dgm:t>
        <a:bodyPr/>
        <a:lstStyle/>
        <a:p>
          <a:endParaRPr lang="en-US"/>
        </a:p>
      </dgm:t>
    </dgm:pt>
    <dgm:pt modelId="{AC6FC927-5160-4144-89EA-C5F6920F1BEF}">
      <dgm:prSet phldrT="[Texto]"/>
      <dgm:spPr/>
      <dgm:t>
        <a:bodyPr/>
        <a:lstStyle/>
        <a:p>
          <a:r>
            <a:rPr lang="en-US">
              <a:latin typeface="Bahnschrift Condensed" panose="020B0502040204020203" pitchFamily="34" charset="0"/>
            </a:rPr>
            <a:t>Reporte de Asistencia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"/>
          </dgm14:cNvPr>
        </a:ext>
      </dgm:extLst>
    </dgm:pt>
    <dgm:pt modelId="{E331E512-8B4A-4EEC-A6E6-4A2C881AD177}" type="parTrans" cxnId="{2A1AD7AA-2ECB-4D60-97F1-9C5ABDFCC63D}">
      <dgm:prSet/>
      <dgm:spPr/>
      <dgm:t>
        <a:bodyPr/>
        <a:lstStyle/>
        <a:p>
          <a:endParaRPr lang="en-US">
            <a:latin typeface="Bahnschrift Condensed" panose="020B0502040204020203" pitchFamily="34" charset="0"/>
          </a:endParaRPr>
        </a:p>
      </dgm:t>
    </dgm:pt>
    <dgm:pt modelId="{1A617F84-C9A4-4E01-9E0D-E176A0C228BF}" type="sibTrans" cxnId="{2A1AD7AA-2ECB-4D60-97F1-9C5ABDFCC63D}">
      <dgm:prSet/>
      <dgm:spPr/>
      <dgm:t>
        <a:bodyPr/>
        <a:lstStyle/>
        <a:p>
          <a:endParaRPr lang="en-US">
            <a:latin typeface="Bahnschrift Condensed" panose="020B0502040204020203" pitchFamily="34" charset="0"/>
          </a:endParaRPr>
        </a:p>
      </dgm:t>
    </dgm:pt>
    <dgm:pt modelId="{DFDE6077-1E01-4BBE-853E-D6AB1BF848E6}">
      <dgm:prSet phldrT="[Texto]"/>
      <dgm:spPr/>
      <dgm:t>
        <a:bodyPr/>
        <a:lstStyle/>
        <a:p>
          <a:r>
            <a:rPr lang="en-US">
              <a:latin typeface="Bahnschrift Condensed" panose="020B0502040204020203" pitchFamily="34" charset="0"/>
            </a:rPr>
            <a:t>Informe de Progreso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4BB13DC1-6E3F-4A1E-AC0A-8CAC9CE082A3}" type="parTrans" cxnId="{B893D14B-13A7-498A-B76A-5AB7DAF23565}">
      <dgm:prSet/>
      <dgm:spPr/>
      <dgm:t>
        <a:bodyPr/>
        <a:lstStyle/>
        <a:p>
          <a:endParaRPr lang="en-US">
            <a:latin typeface="Bahnschrift Condensed" panose="020B0502040204020203" pitchFamily="34" charset="0"/>
          </a:endParaRPr>
        </a:p>
      </dgm:t>
    </dgm:pt>
    <dgm:pt modelId="{7E7951CC-C132-492E-BF2D-7E084DAAA1FC}" type="sibTrans" cxnId="{B893D14B-13A7-498A-B76A-5AB7DAF23565}">
      <dgm:prSet/>
      <dgm:spPr/>
      <dgm:t>
        <a:bodyPr/>
        <a:lstStyle/>
        <a:p>
          <a:endParaRPr lang="en-US">
            <a:latin typeface="Bahnschrift Condensed" panose="020B0502040204020203" pitchFamily="34" charset="0"/>
          </a:endParaRPr>
        </a:p>
      </dgm:t>
    </dgm:pt>
    <dgm:pt modelId="{C0E0C227-709B-4897-A216-B1DDB52D95AF}">
      <dgm:prSet phldrT="[Texto]"/>
      <dgm:spPr/>
      <dgm:t>
        <a:bodyPr/>
        <a:lstStyle/>
        <a:p>
          <a:r>
            <a:rPr lang="en-US">
              <a:latin typeface="Bahnschrift Condensed" panose="020B0502040204020203" pitchFamily="34" charset="0"/>
            </a:rPr>
            <a:t>Desglose Imprimible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EB9BE554-FAD6-4430-BFF0-5C663BCD4999}" type="parTrans" cxnId="{2CD54BFD-BE0E-49A0-BD81-35B1F162486F}">
      <dgm:prSet/>
      <dgm:spPr/>
      <dgm:t>
        <a:bodyPr/>
        <a:lstStyle/>
        <a:p>
          <a:endParaRPr lang="en-US">
            <a:latin typeface="Bahnschrift Condensed" panose="020B0502040204020203" pitchFamily="34" charset="0"/>
          </a:endParaRPr>
        </a:p>
      </dgm:t>
    </dgm:pt>
    <dgm:pt modelId="{8663F533-CB6E-463B-9FD2-B71C83D99C2C}" type="sibTrans" cxnId="{2CD54BFD-BE0E-49A0-BD81-35B1F162486F}">
      <dgm:prSet/>
      <dgm:spPr/>
      <dgm:t>
        <a:bodyPr/>
        <a:lstStyle/>
        <a:p>
          <a:endParaRPr lang="en-US">
            <a:latin typeface="Bahnschrift Condensed" panose="020B0502040204020203" pitchFamily="34" charset="0"/>
          </a:endParaRPr>
        </a:p>
      </dgm:t>
    </dgm:pt>
    <dgm:pt modelId="{285C2745-0E47-4454-A8A6-78839DAB8A9C}">
      <dgm:prSet/>
      <dgm:spPr/>
      <dgm:t>
        <a:bodyPr/>
        <a:lstStyle/>
        <a:p>
          <a:r>
            <a:rPr lang="en-US">
              <a:latin typeface="Bahnschrift Condensed" panose="020B0502040204020203" pitchFamily="34" charset="0"/>
            </a:rPr>
            <a:t>Acta del Segundo Semestre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11506E13-97AA-4A0C-B8B1-D27F580DF3DF}" type="parTrans" cxnId="{3431D700-0B54-4E96-A07F-6791D2629355}">
      <dgm:prSet/>
      <dgm:spPr/>
      <dgm:t>
        <a:bodyPr/>
        <a:lstStyle/>
        <a:p>
          <a:endParaRPr lang="en-US">
            <a:latin typeface="Bahnschrift Condensed" panose="020B0502040204020203" pitchFamily="34" charset="0"/>
          </a:endParaRPr>
        </a:p>
      </dgm:t>
    </dgm:pt>
    <dgm:pt modelId="{6FD071A2-95C4-44F4-B55D-091270945C14}" type="sibTrans" cxnId="{3431D700-0B54-4E96-A07F-6791D2629355}">
      <dgm:prSet/>
      <dgm:spPr/>
      <dgm:t>
        <a:bodyPr/>
        <a:lstStyle/>
        <a:p>
          <a:endParaRPr lang="en-US">
            <a:latin typeface="Bahnschrift Condensed" panose="020B0502040204020203" pitchFamily="34" charset="0"/>
          </a:endParaRPr>
        </a:p>
      </dgm:t>
    </dgm:pt>
    <dgm:pt modelId="{E8EE0ABF-ECB2-41F1-B8DC-D70AC034BFDC}">
      <dgm:prSet/>
      <dgm:spPr/>
      <dgm:t>
        <a:bodyPr/>
        <a:lstStyle/>
        <a:p>
          <a:r>
            <a:rPr lang="en-US">
              <a:latin typeface="Bahnschrift Condensed" panose="020B0502040204020203" pitchFamily="34" charset="0"/>
            </a:rPr>
            <a:t>Estadísticas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198419C4-5962-4A6C-AE46-9FB35FC1866E}" type="parTrans" cxnId="{54B6706B-92C3-4621-8D4E-49B64173DBED}">
      <dgm:prSet/>
      <dgm:spPr/>
      <dgm:t>
        <a:bodyPr/>
        <a:lstStyle/>
        <a:p>
          <a:endParaRPr lang="en-US">
            <a:latin typeface="Bahnschrift Condensed" panose="020B0502040204020203" pitchFamily="34" charset="0"/>
          </a:endParaRPr>
        </a:p>
      </dgm:t>
    </dgm:pt>
    <dgm:pt modelId="{991975D9-16C7-4144-AFF4-AB893C39CA5E}" type="sibTrans" cxnId="{54B6706B-92C3-4621-8D4E-49B64173DBED}">
      <dgm:prSet/>
      <dgm:spPr/>
      <dgm:t>
        <a:bodyPr/>
        <a:lstStyle/>
        <a:p>
          <a:endParaRPr lang="en-US">
            <a:latin typeface="Bahnschrift Condensed" panose="020B0502040204020203" pitchFamily="34" charset="0"/>
          </a:endParaRPr>
        </a:p>
      </dgm:t>
    </dgm:pt>
    <dgm:pt modelId="{57AFBB68-1D67-45F8-A60F-AF21F0080E17}">
      <dgm:prSet/>
      <dgm:spPr/>
      <dgm:t>
        <a:bodyPr/>
        <a:lstStyle/>
        <a:p>
          <a:r>
            <a:rPr lang="en-US">
              <a:latin typeface="Bahnschrift Condensed" panose="020B0502040204020203" pitchFamily="34" charset="0"/>
            </a:rPr>
            <a:t>Acta</a:t>
          </a:r>
          <a:r>
            <a:rPr lang="en-US"/>
            <a:t> </a:t>
          </a:r>
          <a:r>
            <a:rPr lang="en-US">
              <a:latin typeface="Bahnschrift Condensed" panose="020B0502040204020203" pitchFamily="34" charset="0"/>
            </a:rPr>
            <a:t>Anual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6"/>
          </dgm14:cNvPr>
        </a:ext>
      </dgm:extLst>
    </dgm:pt>
    <dgm:pt modelId="{1B6C075A-2C64-4C45-A486-F03DF777C4F0}" type="parTrans" cxnId="{AABA12D2-A0C2-480A-82F8-5E725269D8C5}">
      <dgm:prSet/>
      <dgm:spPr/>
      <dgm:t>
        <a:bodyPr/>
        <a:lstStyle/>
        <a:p>
          <a:endParaRPr lang="en-US"/>
        </a:p>
      </dgm:t>
    </dgm:pt>
    <dgm:pt modelId="{A3B514A1-A0FD-4EDE-B9B1-0A779558D616}" type="sibTrans" cxnId="{AABA12D2-A0C2-480A-82F8-5E725269D8C5}">
      <dgm:prSet/>
      <dgm:spPr/>
      <dgm:t>
        <a:bodyPr/>
        <a:lstStyle/>
        <a:p>
          <a:endParaRPr lang="en-US"/>
        </a:p>
      </dgm:t>
    </dgm:pt>
    <dgm:pt modelId="{BCC094B5-19EE-481B-8850-5455F9A39141}" type="pres">
      <dgm:prSet presAssocID="{B2406C2D-47AC-4B4D-AD9E-FA56CBF87167}" presName="Name0" presStyleCnt="0">
        <dgm:presLayoutVars>
          <dgm:dir/>
          <dgm:animLvl val="lvl"/>
          <dgm:resizeHandles val="exact"/>
        </dgm:presLayoutVars>
      </dgm:prSet>
      <dgm:spPr/>
    </dgm:pt>
    <dgm:pt modelId="{78B89576-AA26-41E1-A37E-F6823C983668}" type="pres">
      <dgm:prSet presAssocID="{AC6FC927-5160-4144-89EA-C5F6920F1BEF}" presName="linNode" presStyleCnt="0"/>
      <dgm:spPr/>
    </dgm:pt>
    <dgm:pt modelId="{70DF14AC-235F-4517-AFE7-29782204CD28}" type="pres">
      <dgm:prSet presAssocID="{AC6FC927-5160-4144-89EA-C5F6920F1BEF}" presName="parentText" presStyleLbl="node1" presStyleIdx="0" presStyleCnt="6">
        <dgm:presLayoutVars>
          <dgm:chMax val="1"/>
          <dgm:bulletEnabled val="1"/>
        </dgm:presLayoutVars>
      </dgm:prSet>
      <dgm:spPr/>
    </dgm:pt>
    <dgm:pt modelId="{A70A8E33-A882-4C62-92DF-A1F22D4C747B}" type="pres">
      <dgm:prSet presAssocID="{1A617F84-C9A4-4E01-9E0D-E176A0C228BF}" presName="sp" presStyleCnt="0"/>
      <dgm:spPr/>
    </dgm:pt>
    <dgm:pt modelId="{41FE53AC-E088-4C22-AF02-9EF2F7D3AF96}" type="pres">
      <dgm:prSet presAssocID="{DFDE6077-1E01-4BBE-853E-D6AB1BF848E6}" presName="linNode" presStyleCnt="0"/>
      <dgm:spPr/>
    </dgm:pt>
    <dgm:pt modelId="{3A0970C2-0839-4958-AA4D-9477802A4668}" type="pres">
      <dgm:prSet presAssocID="{DFDE6077-1E01-4BBE-853E-D6AB1BF848E6}" presName="parentText" presStyleLbl="node1" presStyleIdx="1" presStyleCnt="6">
        <dgm:presLayoutVars>
          <dgm:chMax val="1"/>
          <dgm:bulletEnabled val="1"/>
        </dgm:presLayoutVars>
      </dgm:prSet>
      <dgm:spPr/>
    </dgm:pt>
    <dgm:pt modelId="{BA226743-C187-496A-9317-C7DDDFA8BE7A}" type="pres">
      <dgm:prSet presAssocID="{7E7951CC-C132-492E-BF2D-7E084DAAA1FC}" presName="sp" presStyleCnt="0"/>
      <dgm:spPr/>
    </dgm:pt>
    <dgm:pt modelId="{9CC0CD31-38F6-44E8-BFA2-DC14FCB147A9}" type="pres">
      <dgm:prSet presAssocID="{285C2745-0E47-4454-A8A6-78839DAB8A9C}" presName="linNode" presStyleCnt="0"/>
      <dgm:spPr/>
    </dgm:pt>
    <dgm:pt modelId="{62D12CEA-3E53-4E5C-A9BF-76B129E27992}" type="pres">
      <dgm:prSet presAssocID="{285C2745-0E47-4454-A8A6-78839DAB8A9C}" presName="parentText" presStyleLbl="node1" presStyleIdx="2" presStyleCnt="6">
        <dgm:presLayoutVars>
          <dgm:chMax val="1"/>
          <dgm:bulletEnabled val="1"/>
        </dgm:presLayoutVars>
      </dgm:prSet>
      <dgm:spPr/>
    </dgm:pt>
    <dgm:pt modelId="{F411781F-3741-441D-BEB8-17DDC1A911B4}" type="pres">
      <dgm:prSet presAssocID="{6FD071A2-95C4-44F4-B55D-091270945C14}" presName="sp" presStyleCnt="0"/>
      <dgm:spPr/>
    </dgm:pt>
    <dgm:pt modelId="{48288E81-844D-4C80-BD02-6B586397753F}" type="pres">
      <dgm:prSet presAssocID="{E8EE0ABF-ECB2-41F1-B8DC-D70AC034BFDC}" presName="linNode" presStyleCnt="0"/>
      <dgm:spPr/>
    </dgm:pt>
    <dgm:pt modelId="{DE575ADE-2D61-4920-88BD-E12AC459A405}" type="pres">
      <dgm:prSet presAssocID="{E8EE0ABF-ECB2-41F1-B8DC-D70AC034BFDC}" presName="parentText" presStyleLbl="node1" presStyleIdx="3" presStyleCnt="6" custLinFactY="4224" custLinFactNeighborX="-500" custLinFactNeighborY="100000">
        <dgm:presLayoutVars>
          <dgm:chMax val="1"/>
          <dgm:bulletEnabled val="1"/>
        </dgm:presLayoutVars>
      </dgm:prSet>
      <dgm:spPr/>
    </dgm:pt>
    <dgm:pt modelId="{E7514D00-F4F3-4DAE-ACF8-C61CC3E96B00}" type="pres">
      <dgm:prSet presAssocID="{991975D9-16C7-4144-AFF4-AB893C39CA5E}" presName="sp" presStyleCnt="0"/>
      <dgm:spPr/>
    </dgm:pt>
    <dgm:pt modelId="{C092DD97-428B-4EFD-AA2B-DFA33F5F4A94}" type="pres">
      <dgm:prSet presAssocID="{57AFBB68-1D67-45F8-A60F-AF21F0080E17}" presName="linNode" presStyleCnt="0"/>
      <dgm:spPr/>
    </dgm:pt>
    <dgm:pt modelId="{366FC22B-0B05-445A-A0F3-F617BCCE777E}" type="pres">
      <dgm:prSet presAssocID="{57AFBB68-1D67-45F8-A60F-AF21F0080E17}" presName="parentText" presStyleLbl="node1" presStyleIdx="4" presStyleCnt="6" custLinFactY="-5990" custLinFactNeighborX="-801" custLinFactNeighborY="-100000">
        <dgm:presLayoutVars>
          <dgm:chMax val="1"/>
          <dgm:bulletEnabled val="1"/>
        </dgm:presLayoutVars>
      </dgm:prSet>
      <dgm:spPr/>
    </dgm:pt>
    <dgm:pt modelId="{F4ABCAC7-5627-45D2-8F20-91CDDCDE22F5}" type="pres">
      <dgm:prSet presAssocID="{A3B514A1-A0FD-4EDE-B9B1-0A779558D616}" presName="sp" presStyleCnt="0"/>
      <dgm:spPr/>
    </dgm:pt>
    <dgm:pt modelId="{BCFB9F7C-A7F5-47DD-9503-E61EB9AA6DD6}" type="pres">
      <dgm:prSet presAssocID="{C0E0C227-709B-4897-A216-B1DDB52D95AF}" presName="linNode" presStyleCnt="0"/>
      <dgm:spPr/>
    </dgm:pt>
    <dgm:pt modelId="{764E56C5-30FC-431C-879C-E7608CDA7724}" type="pres">
      <dgm:prSet presAssocID="{C0E0C227-709B-4897-A216-B1DDB52D95AF}" presName="parentText" presStyleLbl="node1" presStyleIdx="5" presStyleCnt="6">
        <dgm:presLayoutVars>
          <dgm:chMax val="1"/>
          <dgm:bulletEnabled val="1"/>
        </dgm:presLayoutVars>
      </dgm:prSet>
      <dgm:spPr/>
    </dgm:pt>
  </dgm:ptLst>
  <dgm:cxnLst>
    <dgm:cxn modelId="{3431D700-0B54-4E96-A07F-6791D2629355}" srcId="{B2406C2D-47AC-4B4D-AD9E-FA56CBF87167}" destId="{285C2745-0E47-4454-A8A6-78839DAB8A9C}" srcOrd="2" destOrd="0" parTransId="{11506E13-97AA-4A0C-B8B1-D27F580DF3DF}" sibTransId="{6FD071A2-95C4-44F4-B55D-091270945C14}"/>
    <dgm:cxn modelId="{C6D89103-3E27-4709-ABA8-AA3ED833DFD5}" type="presOf" srcId="{285C2745-0E47-4454-A8A6-78839DAB8A9C}" destId="{62D12CEA-3E53-4E5C-A9BF-76B129E27992}" srcOrd="0" destOrd="0" presId="urn:microsoft.com/office/officeart/2005/8/layout/vList5"/>
    <dgm:cxn modelId="{5A6AEF13-55D5-4A8E-B945-5E94F1E2C47E}" type="presOf" srcId="{57AFBB68-1D67-45F8-A60F-AF21F0080E17}" destId="{366FC22B-0B05-445A-A0F3-F617BCCE777E}" srcOrd="0" destOrd="0" presId="urn:microsoft.com/office/officeart/2005/8/layout/vList5"/>
    <dgm:cxn modelId="{6B1D5B1F-C0EF-4203-A3B7-4A7BB57DB2E9}" type="presOf" srcId="{DFDE6077-1E01-4BBE-853E-D6AB1BF848E6}" destId="{3A0970C2-0839-4958-AA4D-9477802A4668}" srcOrd="0" destOrd="0" presId="urn:microsoft.com/office/officeart/2005/8/layout/vList5"/>
    <dgm:cxn modelId="{5AA35C46-D151-4144-B70B-2B987B18D538}" type="presOf" srcId="{B2406C2D-47AC-4B4D-AD9E-FA56CBF87167}" destId="{BCC094B5-19EE-481B-8850-5455F9A39141}" srcOrd="0" destOrd="0" presId="urn:microsoft.com/office/officeart/2005/8/layout/vList5"/>
    <dgm:cxn modelId="{54B6706B-92C3-4621-8D4E-49B64173DBED}" srcId="{B2406C2D-47AC-4B4D-AD9E-FA56CBF87167}" destId="{E8EE0ABF-ECB2-41F1-B8DC-D70AC034BFDC}" srcOrd="3" destOrd="0" parTransId="{198419C4-5962-4A6C-AE46-9FB35FC1866E}" sibTransId="{991975D9-16C7-4144-AFF4-AB893C39CA5E}"/>
    <dgm:cxn modelId="{B893D14B-13A7-498A-B76A-5AB7DAF23565}" srcId="{B2406C2D-47AC-4B4D-AD9E-FA56CBF87167}" destId="{DFDE6077-1E01-4BBE-853E-D6AB1BF848E6}" srcOrd="1" destOrd="0" parTransId="{4BB13DC1-6E3F-4A1E-AC0A-8CAC9CE082A3}" sibTransId="{7E7951CC-C132-492E-BF2D-7E084DAAA1FC}"/>
    <dgm:cxn modelId="{A0BD344F-CB13-4E64-B2D3-FB1FEC51D9CF}" type="presOf" srcId="{E8EE0ABF-ECB2-41F1-B8DC-D70AC034BFDC}" destId="{DE575ADE-2D61-4920-88BD-E12AC459A405}" srcOrd="0" destOrd="0" presId="urn:microsoft.com/office/officeart/2005/8/layout/vList5"/>
    <dgm:cxn modelId="{52A9684F-6899-4FB9-B3B5-9F333D810F9F}" type="presOf" srcId="{C0E0C227-709B-4897-A216-B1DDB52D95AF}" destId="{764E56C5-30FC-431C-879C-E7608CDA7724}" srcOrd="0" destOrd="0" presId="urn:microsoft.com/office/officeart/2005/8/layout/vList5"/>
    <dgm:cxn modelId="{2A1AD7AA-2ECB-4D60-97F1-9C5ABDFCC63D}" srcId="{B2406C2D-47AC-4B4D-AD9E-FA56CBF87167}" destId="{AC6FC927-5160-4144-89EA-C5F6920F1BEF}" srcOrd="0" destOrd="0" parTransId="{E331E512-8B4A-4EEC-A6E6-4A2C881AD177}" sibTransId="{1A617F84-C9A4-4E01-9E0D-E176A0C228BF}"/>
    <dgm:cxn modelId="{9FED66CD-6E29-4EBD-B551-17CC7375C20E}" type="presOf" srcId="{AC6FC927-5160-4144-89EA-C5F6920F1BEF}" destId="{70DF14AC-235F-4517-AFE7-29782204CD28}" srcOrd="0" destOrd="0" presId="urn:microsoft.com/office/officeart/2005/8/layout/vList5"/>
    <dgm:cxn modelId="{AABA12D2-A0C2-480A-82F8-5E725269D8C5}" srcId="{B2406C2D-47AC-4B4D-AD9E-FA56CBF87167}" destId="{57AFBB68-1D67-45F8-A60F-AF21F0080E17}" srcOrd="4" destOrd="0" parTransId="{1B6C075A-2C64-4C45-A486-F03DF777C4F0}" sibTransId="{A3B514A1-A0FD-4EDE-B9B1-0A779558D616}"/>
    <dgm:cxn modelId="{2CD54BFD-BE0E-49A0-BD81-35B1F162486F}" srcId="{B2406C2D-47AC-4B4D-AD9E-FA56CBF87167}" destId="{C0E0C227-709B-4897-A216-B1DDB52D95AF}" srcOrd="5" destOrd="0" parTransId="{EB9BE554-FAD6-4430-BFF0-5C663BCD4999}" sibTransId="{8663F533-CB6E-463B-9FD2-B71C83D99C2C}"/>
    <dgm:cxn modelId="{EBC080FA-F252-4FDD-A2DD-9008A78A212B}" type="presParOf" srcId="{BCC094B5-19EE-481B-8850-5455F9A39141}" destId="{78B89576-AA26-41E1-A37E-F6823C983668}" srcOrd="0" destOrd="0" presId="urn:microsoft.com/office/officeart/2005/8/layout/vList5"/>
    <dgm:cxn modelId="{DD7820D5-880D-43BD-A208-BE09E442FA81}" type="presParOf" srcId="{78B89576-AA26-41E1-A37E-F6823C983668}" destId="{70DF14AC-235F-4517-AFE7-29782204CD28}" srcOrd="0" destOrd="0" presId="urn:microsoft.com/office/officeart/2005/8/layout/vList5"/>
    <dgm:cxn modelId="{79FE12CB-77A3-4B17-990D-2BDFA4B799E4}" type="presParOf" srcId="{BCC094B5-19EE-481B-8850-5455F9A39141}" destId="{A70A8E33-A882-4C62-92DF-A1F22D4C747B}" srcOrd="1" destOrd="0" presId="urn:microsoft.com/office/officeart/2005/8/layout/vList5"/>
    <dgm:cxn modelId="{924398AC-4C07-4677-893A-A699A2778C4A}" type="presParOf" srcId="{BCC094B5-19EE-481B-8850-5455F9A39141}" destId="{41FE53AC-E088-4C22-AF02-9EF2F7D3AF96}" srcOrd="2" destOrd="0" presId="urn:microsoft.com/office/officeart/2005/8/layout/vList5"/>
    <dgm:cxn modelId="{1CE2D3B7-C296-4632-A9C6-84FE7703B030}" type="presParOf" srcId="{41FE53AC-E088-4C22-AF02-9EF2F7D3AF96}" destId="{3A0970C2-0839-4958-AA4D-9477802A4668}" srcOrd="0" destOrd="0" presId="urn:microsoft.com/office/officeart/2005/8/layout/vList5"/>
    <dgm:cxn modelId="{5ADF5B11-8128-4EB5-9898-D3C1ED9B1F00}" type="presParOf" srcId="{BCC094B5-19EE-481B-8850-5455F9A39141}" destId="{BA226743-C187-496A-9317-C7DDDFA8BE7A}" srcOrd="3" destOrd="0" presId="urn:microsoft.com/office/officeart/2005/8/layout/vList5"/>
    <dgm:cxn modelId="{A25ACD9C-D290-4BEE-B7A2-B7EC65003242}" type="presParOf" srcId="{BCC094B5-19EE-481B-8850-5455F9A39141}" destId="{9CC0CD31-38F6-44E8-BFA2-DC14FCB147A9}" srcOrd="4" destOrd="0" presId="urn:microsoft.com/office/officeart/2005/8/layout/vList5"/>
    <dgm:cxn modelId="{B2205A65-191E-486F-9260-D6C5005BB559}" type="presParOf" srcId="{9CC0CD31-38F6-44E8-BFA2-DC14FCB147A9}" destId="{62D12CEA-3E53-4E5C-A9BF-76B129E27992}" srcOrd="0" destOrd="0" presId="urn:microsoft.com/office/officeart/2005/8/layout/vList5"/>
    <dgm:cxn modelId="{451D027C-39D3-4518-9076-13D2757744CC}" type="presParOf" srcId="{BCC094B5-19EE-481B-8850-5455F9A39141}" destId="{F411781F-3741-441D-BEB8-17DDC1A911B4}" srcOrd="5" destOrd="0" presId="urn:microsoft.com/office/officeart/2005/8/layout/vList5"/>
    <dgm:cxn modelId="{5F654600-28AA-4ABC-BCD7-210AF7CB19F9}" type="presParOf" srcId="{BCC094B5-19EE-481B-8850-5455F9A39141}" destId="{48288E81-844D-4C80-BD02-6B586397753F}" srcOrd="6" destOrd="0" presId="urn:microsoft.com/office/officeart/2005/8/layout/vList5"/>
    <dgm:cxn modelId="{416F611A-521C-4E0F-A985-4DD6787D12A6}" type="presParOf" srcId="{48288E81-844D-4C80-BD02-6B586397753F}" destId="{DE575ADE-2D61-4920-88BD-E12AC459A405}" srcOrd="0" destOrd="0" presId="urn:microsoft.com/office/officeart/2005/8/layout/vList5"/>
    <dgm:cxn modelId="{B0FBFB79-452F-4DD1-B1B3-E24FBF82BC96}" type="presParOf" srcId="{BCC094B5-19EE-481B-8850-5455F9A39141}" destId="{E7514D00-F4F3-4DAE-ACF8-C61CC3E96B00}" srcOrd="7" destOrd="0" presId="urn:microsoft.com/office/officeart/2005/8/layout/vList5"/>
    <dgm:cxn modelId="{838D6D6C-7F4E-41F7-B67A-205B1940EACF}" type="presParOf" srcId="{BCC094B5-19EE-481B-8850-5455F9A39141}" destId="{C092DD97-428B-4EFD-AA2B-DFA33F5F4A94}" srcOrd="8" destOrd="0" presId="urn:microsoft.com/office/officeart/2005/8/layout/vList5"/>
    <dgm:cxn modelId="{8FF5BD52-5877-4F29-850F-B97A18708F13}" type="presParOf" srcId="{C092DD97-428B-4EFD-AA2B-DFA33F5F4A94}" destId="{366FC22B-0B05-445A-A0F3-F617BCCE777E}" srcOrd="0" destOrd="0" presId="urn:microsoft.com/office/officeart/2005/8/layout/vList5"/>
    <dgm:cxn modelId="{A463F0DE-59C8-4BA4-BD68-9F480C5939D9}" type="presParOf" srcId="{BCC094B5-19EE-481B-8850-5455F9A39141}" destId="{F4ABCAC7-5627-45D2-8F20-91CDDCDE22F5}" srcOrd="9" destOrd="0" presId="urn:microsoft.com/office/officeart/2005/8/layout/vList5"/>
    <dgm:cxn modelId="{6D363385-D9EE-4646-B304-0721531F4C40}" type="presParOf" srcId="{BCC094B5-19EE-481B-8850-5455F9A39141}" destId="{BCFB9F7C-A7F5-47DD-9503-E61EB9AA6DD6}" srcOrd="10" destOrd="0" presId="urn:microsoft.com/office/officeart/2005/8/layout/vList5"/>
    <dgm:cxn modelId="{DB7E4EF1-407E-46C2-8A30-822E19EB746A}" type="presParOf" srcId="{BCFB9F7C-A7F5-47DD-9503-E61EB9AA6DD6}" destId="{764E56C5-30FC-431C-879C-E7608CDA7724}" srcOrd="0" destOrd="0" presId="urn:microsoft.com/office/officeart/2005/8/layout/vList5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ACD02493-A87E-4684-8EF1-8A97185A9FF6}">
      <dsp:nvSpPr>
        <dsp:cNvPr id="0" name=""/>
        <dsp:cNvSpPr/>
      </dsp:nvSpPr>
      <dsp:spPr>
        <a:xfrm>
          <a:off x="2696944" y="1953990"/>
          <a:ext cx="792323" cy="503443"/>
        </a:xfrm>
        <a:prstGeom prst="roundRect">
          <a:avLst>
            <a:gd name="adj" fmla="val 10000"/>
          </a:avLst>
        </a:prstGeom>
        <a:gradFill rotWithShape="0">
          <a:gsLst>
            <a:gs pos="0">
              <a:schemeClr val="dk2">
                <a:tint val="40000"/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dk2">
                <a:tint val="40000"/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dk2">
                <a:tint val="40000"/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threePt" dir="t">
            <a:rot lat="0" lon="0" rev="7500000"/>
          </a:lightRig>
        </a:scene3d>
        <a:sp3d z="-152400" extrusionH="63500" prstMaterial="matte">
          <a:bevelT w="144450" h="6350" prst="relaxedInset"/>
          <a:contourClr>
            <a:schemeClr val="bg1"/>
          </a:contourClr>
        </a:sp3d>
      </dsp:spPr>
      <dsp:style>
        <a:lnRef idx="0">
          <a:scrgbClr r="0" g="0" b="0"/>
        </a:lnRef>
        <a:fillRef idx="3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6670" tIns="26670" rIns="26670" bIns="26670" numCol="1" spcCol="1270" anchor="ctr" anchorCtr="0">
          <a:noAutofit/>
        </a:bodyPr>
        <a:lstStyle/>
        <a:p>
          <a:pPr marL="0" lvl="0" indent="0" algn="ctr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700" kern="1200"/>
        </a:p>
      </dsp:txBody>
      <dsp:txXfrm>
        <a:off x="2696944" y="1953990"/>
        <a:ext cx="792323" cy="151033"/>
      </dsp:txXfrm>
    </dsp:sp>
    <dsp:sp modelId="{B6875F0C-21EF-4D99-8690-C362FBF972A7}">
      <dsp:nvSpPr>
        <dsp:cNvPr id="0" name=""/>
        <dsp:cNvSpPr/>
      </dsp:nvSpPr>
      <dsp:spPr>
        <a:xfrm>
          <a:off x="589958" y="1287016"/>
          <a:ext cx="4803052" cy="548261"/>
        </a:xfrm>
        <a:prstGeom prst="roundRect">
          <a:avLst>
            <a:gd name="adj" fmla="val 10000"/>
          </a:avLst>
        </a:prstGeom>
        <a:solidFill>
          <a:schemeClr val="accent5"/>
        </a:solidFill>
        <a:ln>
          <a:noFill/>
        </a:ln>
        <a:effectLst/>
        <a:scene3d>
          <a:camera prst="orthographicFront"/>
          <a:lightRig rig="threePt" dir="t">
            <a:rot lat="0" lon="0" rev="7500000"/>
          </a:lightRig>
        </a:scene3d>
        <a:sp3d prstMaterial="plastic">
          <a:bevelT w="127000" h="25400" prst="relaxedInset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73660" tIns="55245" rIns="73660" bIns="55245" numCol="1" spcCol="1270" anchor="ctr" anchorCtr="0">
          <a:noAutofit/>
        </a:bodyPr>
        <a:lstStyle/>
        <a:p>
          <a:pPr marL="0" lvl="0" indent="0" algn="ctr" defTabSz="1289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2900" kern="1200"/>
            <a:t>I SEMESTRE</a:t>
          </a:r>
        </a:p>
      </dsp:txBody>
      <dsp:txXfrm>
        <a:off x="606016" y="1303074"/>
        <a:ext cx="4770936" cy="516145"/>
      </dsp:txXfrm>
    </dsp:sp>
    <dsp:sp modelId="{0BAD4C6B-BB80-4F76-A332-2BF91CEE2CCF}">
      <dsp:nvSpPr>
        <dsp:cNvPr id="0" name=""/>
        <dsp:cNvSpPr/>
      </dsp:nvSpPr>
      <dsp:spPr>
        <a:xfrm>
          <a:off x="600381" y="669911"/>
          <a:ext cx="4803052" cy="548261"/>
        </a:xfrm>
        <a:prstGeom prst="roundRect">
          <a:avLst>
            <a:gd name="adj" fmla="val 10000"/>
          </a:avLst>
        </a:prstGeom>
        <a:solidFill>
          <a:schemeClr val="accent4"/>
        </a:solidFill>
        <a:ln>
          <a:noFill/>
        </a:ln>
        <a:effectLst/>
        <a:scene3d>
          <a:camera prst="orthographicFront"/>
          <a:lightRig rig="threePt" dir="t">
            <a:rot lat="0" lon="0" rev="7500000"/>
          </a:lightRig>
        </a:scene3d>
        <a:sp3d prstMaterial="plastic">
          <a:bevelT w="127000" h="25400" prst="relaxedInset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73660" tIns="55245" rIns="73660" bIns="55245" numCol="1" spcCol="1270" anchor="ctr" anchorCtr="0">
          <a:noAutofit/>
        </a:bodyPr>
        <a:lstStyle/>
        <a:p>
          <a:pPr marL="0" lvl="0" indent="0" algn="ctr" defTabSz="1289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2900" kern="1200"/>
            <a:t>Registro de Datos</a:t>
          </a:r>
        </a:p>
      </dsp:txBody>
      <dsp:txXfrm>
        <a:off x="616439" y="685969"/>
        <a:ext cx="4770936" cy="516145"/>
      </dsp:txXfrm>
    </dsp:sp>
    <dsp:sp modelId="{C732ECD2-FFFD-4343-B569-711B68D71BDD}">
      <dsp:nvSpPr>
        <dsp:cNvPr id="0" name=""/>
        <dsp:cNvSpPr/>
      </dsp:nvSpPr>
      <dsp:spPr>
        <a:xfrm>
          <a:off x="596779" y="2538425"/>
          <a:ext cx="4803052" cy="548261"/>
        </a:xfrm>
        <a:prstGeom prst="roundRect">
          <a:avLst>
            <a:gd name="adj" fmla="val 10000"/>
          </a:avLst>
        </a:prstGeom>
        <a:solidFill>
          <a:schemeClr val="accent5"/>
        </a:solidFill>
        <a:ln>
          <a:noFill/>
        </a:ln>
        <a:effectLst/>
        <a:scene3d>
          <a:camera prst="orthographicFront"/>
          <a:lightRig rig="threePt" dir="t">
            <a:rot lat="0" lon="0" rev="7500000"/>
          </a:lightRig>
        </a:scene3d>
        <a:sp3d prstMaterial="plastic">
          <a:bevelT w="127000" h="25400" prst="relaxedInset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73660" tIns="55245" rIns="73660" bIns="55245" numCol="1" spcCol="1270" anchor="ctr" anchorCtr="0">
          <a:noAutofit/>
        </a:bodyPr>
        <a:lstStyle/>
        <a:p>
          <a:pPr marL="0" lvl="0" indent="0" algn="ctr" defTabSz="1289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2900" kern="1200"/>
            <a:t>Alerta Temprana</a:t>
          </a:r>
        </a:p>
      </dsp:txBody>
      <dsp:txXfrm>
        <a:off x="612837" y="2554483"/>
        <a:ext cx="4770936" cy="516145"/>
      </dsp:txXfrm>
    </dsp:sp>
    <dsp:sp modelId="{F6D7E588-8E1F-4821-9EC5-E4C322A202B4}">
      <dsp:nvSpPr>
        <dsp:cNvPr id="0" name=""/>
        <dsp:cNvSpPr/>
      </dsp:nvSpPr>
      <dsp:spPr>
        <a:xfrm>
          <a:off x="600381" y="1921320"/>
          <a:ext cx="4803052" cy="548261"/>
        </a:xfrm>
        <a:prstGeom prst="roundRect">
          <a:avLst>
            <a:gd name="adj" fmla="val 10000"/>
          </a:avLst>
        </a:prstGeom>
        <a:solidFill>
          <a:schemeClr val="accent4"/>
        </a:solidFill>
        <a:ln>
          <a:noFill/>
        </a:ln>
        <a:effectLst/>
        <a:scene3d>
          <a:camera prst="orthographicFront"/>
          <a:lightRig rig="threePt" dir="t">
            <a:rot lat="0" lon="0" rev="7500000"/>
          </a:lightRig>
        </a:scene3d>
        <a:sp3d prstMaterial="plastic">
          <a:bevelT w="127000" h="25400" prst="relaxedInset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73660" tIns="55245" rIns="73660" bIns="55245" numCol="1" spcCol="1270" anchor="ctr" anchorCtr="0">
          <a:noAutofit/>
        </a:bodyPr>
        <a:lstStyle/>
        <a:p>
          <a:pPr marL="0" lvl="0" indent="0" algn="ctr" defTabSz="1289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2900" kern="1200"/>
            <a:t>II SEMESTRE</a:t>
          </a:r>
        </a:p>
      </dsp:txBody>
      <dsp:txXfrm>
        <a:off x="616439" y="1937378"/>
        <a:ext cx="4770936" cy="516145"/>
      </dsp:txXfrm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227CCCA-3C8F-40E6-AEC6-383D3549F410}">
      <dsp:nvSpPr>
        <dsp:cNvPr id="0" name=""/>
        <dsp:cNvSpPr/>
      </dsp:nvSpPr>
      <dsp:spPr>
        <a:xfrm>
          <a:off x="1082403" y="501345"/>
          <a:ext cx="3350167" cy="3350167"/>
        </a:xfrm>
        <a:prstGeom prst="blockArc">
          <a:avLst>
            <a:gd name="adj1" fmla="val 10799931"/>
            <a:gd name="adj2" fmla="val 16220016"/>
            <a:gd name="adj3" fmla="val 4635"/>
          </a:avLst>
        </a:prstGeom>
        <a:solidFill>
          <a:schemeClr val="accent5">
            <a:hueOff val="-7353344"/>
            <a:satOff val="-10228"/>
            <a:lumOff val="-3922"/>
            <a:alphaOff val="0"/>
          </a:schemeClr>
        </a:solidFill>
        <a:ln>
          <a:noFill/>
        </a:ln>
        <a:effectLst/>
        <a:scene3d>
          <a:camera prst="orthographicFront"/>
          <a:lightRig rig="threePt" dir="t">
            <a:rot lat="0" lon="0" rev="7500000"/>
          </a:lightRig>
        </a:scene3d>
        <a:sp3d z="-70000" extrusionH="63500" prstMaterial="matte">
          <a:bevelT w="25400" h="6350" prst="relaxedInset"/>
          <a:contourClr>
            <a:schemeClr val="bg1"/>
          </a:contourClr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</dsp:sp>
    <dsp:sp modelId="{99BBC07B-299A-4234-9153-19ED10CBDB8E}">
      <dsp:nvSpPr>
        <dsp:cNvPr id="0" name=""/>
        <dsp:cNvSpPr/>
      </dsp:nvSpPr>
      <dsp:spPr>
        <a:xfrm>
          <a:off x="1082403" y="501378"/>
          <a:ext cx="3350167" cy="3350167"/>
        </a:xfrm>
        <a:prstGeom prst="blockArc">
          <a:avLst>
            <a:gd name="adj1" fmla="val 5400000"/>
            <a:gd name="adj2" fmla="val 10800000"/>
            <a:gd name="adj3" fmla="val 4635"/>
          </a:avLst>
        </a:prstGeom>
        <a:solidFill>
          <a:schemeClr val="accent5">
            <a:hueOff val="-4902230"/>
            <a:satOff val="-6819"/>
            <a:lumOff val="-2615"/>
            <a:alphaOff val="0"/>
          </a:schemeClr>
        </a:solidFill>
        <a:ln>
          <a:noFill/>
        </a:ln>
        <a:effectLst/>
        <a:scene3d>
          <a:camera prst="orthographicFront"/>
          <a:lightRig rig="threePt" dir="t">
            <a:rot lat="0" lon="0" rev="7500000"/>
          </a:lightRig>
        </a:scene3d>
        <a:sp3d z="-70000" extrusionH="63500" prstMaterial="matte">
          <a:bevelT w="25400" h="6350" prst="relaxedInset"/>
          <a:contourClr>
            <a:schemeClr val="bg1"/>
          </a:contourClr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</dsp:sp>
    <dsp:sp modelId="{F2E2B337-2597-42F8-93A7-0C8A1168389B}">
      <dsp:nvSpPr>
        <dsp:cNvPr id="0" name=""/>
        <dsp:cNvSpPr/>
      </dsp:nvSpPr>
      <dsp:spPr>
        <a:xfrm>
          <a:off x="1082403" y="501378"/>
          <a:ext cx="3350167" cy="3350167"/>
        </a:xfrm>
        <a:prstGeom prst="blockArc">
          <a:avLst>
            <a:gd name="adj1" fmla="val 0"/>
            <a:gd name="adj2" fmla="val 5400000"/>
            <a:gd name="adj3" fmla="val 4635"/>
          </a:avLst>
        </a:prstGeom>
        <a:solidFill>
          <a:schemeClr val="accent5">
            <a:hueOff val="-2451115"/>
            <a:satOff val="-3409"/>
            <a:lumOff val="-1307"/>
            <a:alphaOff val="0"/>
          </a:schemeClr>
        </a:solidFill>
        <a:ln>
          <a:noFill/>
        </a:ln>
        <a:effectLst/>
        <a:scene3d>
          <a:camera prst="orthographicFront"/>
          <a:lightRig rig="threePt" dir="t">
            <a:rot lat="0" lon="0" rev="7500000"/>
          </a:lightRig>
        </a:scene3d>
        <a:sp3d z="-70000" extrusionH="63500" prstMaterial="matte">
          <a:bevelT w="25400" h="6350" prst="relaxedInset"/>
          <a:contourClr>
            <a:schemeClr val="bg1"/>
          </a:contourClr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</dsp:sp>
    <dsp:sp modelId="{7B5CC76D-B5E2-468F-9BB9-42F52A51444F}">
      <dsp:nvSpPr>
        <dsp:cNvPr id="0" name=""/>
        <dsp:cNvSpPr/>
      </dsp:nvSpPr>
      <dsp:spPr>
        <a:xfrm>
          <a:off x="1065618" y="458296"/>
          <a:ext cx="3350167" cy="3350167"/>
        </a:xfrm>
        <a:prstGeom prst="blockArc">
          <a:avLst>
            <a:gd name="adj1" fmla="val 16220016"/>
            <a:gd name="adj2" fmla="val 69"/>
            <a:gd name="adj3" fmla="val 4635"/>
          </a:avLst>
        </a:prstGeom>
        <a:solidFill>
          <a:schemeClr val="accent5">
            <a:hueOff val="0"/>
            <a:satOff val="0"/>
            <a:lumOff val="0"/>
            <a:alphaOff val="0"/>
          </a:schemeClr>
        </a:solidFill>
        <a:ln>
          <a:noFill/>
        </a:ln>
        <a:effectLst/>
        <a:scene3d>
          <a:camera prst="orthographicFront"/>
          <a:lightRig rig="threePt" dir="t">
            <a:rot lat="0" lon="0" rev="7500000"/>
          </a:lightRig>
        </a:scene3d>
        <a:sp3d z="-70000" extrusionH="63500" prstMaterial="matte">
          <a:bevelT w="25400" h="6350" prst="relaxedInset"/>
          <a:contourClr>
            <a:schemeClr val="bg1"/>
          </a:contourClr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</dsp:sp>
    <dsp:sp modelId="{1013F5A7-D608-483E-AFEB-C35D0006C6F8}">
      <dsp:nvSpPr>
        <dsp:cNvPr id="0" name=""/>
        <dsp:cNvSpPr/>
      </dsp:nvSpPr>
      <dsp:spPr>
        <a:xfrm>
          <a:off x="1987329" y="1406304"/>
          <a:ext cx="1540315" cy="1540315"/>
        </a:xfrm>
        <a:prstGeom prst="ellipse">
          <a:avLst/>
        </a:prstGeom>
        <a:gradFill rotWithShape="0">
          <a:gsLst>
            <a:gs pos="0">
              <a:schemeClr val="accent4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4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4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threePt" dir="t">
            <a:rot lat="0" lon="0" rev="7500000"/>
          </a:lightRig>
        </a:scene3d>
        <a:sp3d prstMaterial="plastic">
          <a:bevelT w="127000" h="25400" prst="relaxedInset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25400" tIns="25400" rIns="25400" bIns="25400" numCol="1" spcCol="1270" anchor="ctr" anchorCtr="0">
          <a:noAutofit/>
        </a:bodyPr>
        <a:lstStyle/>
        <a:p>
          <a:pPr marL="0" lvl="0" indent="0" algn="ctr" defTabSz="8890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2000" kern="1200">
              <a:latin typeface="Bahnschrift Condensed" panose="020B0502040204020203" pitchFamily="34" charset="0"/>
            </a:rPr>
            <a:t>Registro</a:t>
          </a:r>
          <a:endParaRPr lang="en-US" sz="2600" kern="1200">
            <a:latin typeface="Bahnschrift Condensed" panose="020B0502040204020203" pitchFamily="34" charset="0"/>
          </a:endParaRPr>
        </a:p>
        <a:p>
          <a:pPr marL="0" lvl="0" indent="0" algn="ctr" defTabSz="8890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2600" kern="1200">
              <a:latin typeface="Bahnschrift Condensed" panose="020B0502040204020203" pitchFamily="34" charset="0"/>
            </a:rPr>
            <a:t>General</a:t>
          </a:r>
        </a:p>
      </dsp:txBody>
      <dsp:txXfrm>
        <a:off x="2212903" y="1631878"/>
        <a:ext cx="1089167" cy="1089167"/>
      </dsp:txXfrm>
    </dsp:sp>
    <dsp:sp modelId="{C3481059-9E1E-4340-B7D7-48B3FA8A7CC3}">
      <dsp:nvSpPr>
        <dsp:cNvPr id="0" name=""/>
        <dsp:cNvSpPr/>
      </dsp:nvSpPr>
      <dsp:spPr>
        <a:xfrm>
          <a:off x="2227903" y="1079"/>
          <a:ext cx="1078220" cy="1078220"/>
        </a:xfrm>
        <a:prstGeom prst="ellipse">
          <a:avLst/>
        </a:prstGeom>
        <a:gradFill rotWithShape="0">
          <a:gsLst>
            <a:gs pos="0">
              <a:schemeClr val="accent5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5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5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threePt" dir="t">
            <a:rot lat="0" lon="0" rev="7500000"/>
          </a:lightRig>
        </a:scene3d>
        <a:sp3d prstMaterial="plastic">
          <a:bevelT w="127000" h="25400" prst="relaxedInset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20320" tIns="20320" rIns="20320" bIns="20320" numCol="1" spcCol="1270" anchor="ctr" anchorCtr="0">
          <a:noAutofit/>
        </a:bodyPr>
        <a:lstStyle/>
        <a:p>
          <a:pPr marL="0" lvl="0" indent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600" kern="1200">
              <a:latin typeface="Bahnschrift Condensed" panose="020B0502040204020203" pitchFamily="34" charset="0"/>
            </a:rPr>
            <a:t>Cotidiano</a:t>
          </a:r>
        </a:p>
      </dsp:txBody>
      <dsp:txXfrm>
        <a:off x="2385805" y="158981"/>
        <a:ext cx="762416" cy="762416"/>
      </dsp:txXfrm>
    </dsp:sp>
    <dsp:sp modelId="{6B491D43-485B-409E-B6BF-9BBA74D28797}">
      <dsp:nvSpPr>
        <dsp:cNvPr id="0" name=""/>
        <dsp:cNvSpPr/>
      </dsp:nvSpPr>
      <dsp:spPr>
        <a:xfrm>
          <a:off x="3854644" y="1637352"/>
          <a:ext cx="1078220" cy="1078220"/>
        </a:xfrm>
        <a:prstGeom prst="ellipse">
          <a:avLst/>
        </a:prstGeom>
        <a:gradFill rotWithShape="0">
          <a:gsLst>
            <a:gs pos="0">
              <a:schemeClr val="accent5">
                <a:hueOff val="-2451115"/>
                <a:satOff val="-3409"/>
                <a:lumOff val="-1307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5">
                <a:hueOff val="-2451115"/>
                <a:satOff val="-3409"/>
                <a:lumOff val="-1307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5">
                <a:hueOff val="-2451115"/>
                <a:satOff val="-3409"/>
                <a:lumOff val="-1307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threePt" dir="t">
            <a:rot lat="0" lon="0" rev="7500000"/>
          </a:lightRig>
        </a:scene3d>
        <a:sp3d prstMaterial="plastic">
          <a:bevelT w="127000" h="25400" prst="relaxedInset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20320" tIns="20320" rIns="20320" bIns="20320" numCol="1" spcCol="1270" anchor="ctr" anchorCtr="0">
          <a:noAutofit/>
        </a:bodyPr>
        <a:lstStyle/>
        <a:p>
          <a:pPr marL="0" lvl="0" indent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600" kern="1200">
              <a:latin typeface="Bahnschrift Condensed" panose="020B0502040204020203" pitchFamily="34" charset="0"/>
            </a:rPr>
            <a:t>Exámenes</a:t>
          </a:r>
        </a:p>
      </dsp:txBody>
      <dsp:txXfrm>
        <a:off x="4012546" y="1795254"/>
        <a:ext cx="762416" cy="762416"/>
      </dsp:txXfrm>
    </dsp:sp>
    <dsp:sp modelId="{DD33117D-A7EF-4CE2-9AE8-8FC2593010FD}">
      <dsp:nvSpPr>
        <dsp:cNvPr id="0" name=""/>
        <dsp:cNvSpPr/>
      </dsp:nvSpPr>
      <dsp:spPr>
        <a:xfrm>
          <a:off x="2218376" y="3273620"/>
          <a:ext cx="1078220" cy="1078220"/>
        </a:xfrm>
        <a:prstGeom prst="ellipse">
          <a:avLst/>
        </a:prstGeom>
        <a:gradFill rotWithShape="0">
          <a:gsLst>
            <a:gs pos="0">
              <a:schemeClr val="accent5">
                <a:hueOff val="-4902230"/>
                <a:satOff val="-6819"/>
                <a:lumOff val="-2615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5">
                <a:hueOff val="-4902230"/>
                <a:satOff val="-6819"/>
                <a:lumOff val="-2615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5">
                <a:hueOff val="-4902230"/>
                <a:satOff val="-6819"/>
                <a:lumOff val="-2615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threePt" dir="t">
            <a:rot lat="0" lon="0" rev="7500000"/>
          </a:lightRig>
        </a:scene3d>
        <a:sp3d prstMaterial="plastic">
          <a:bevelT w="127000" h="25400" prst="relaxedInset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20320" tIns="20320" rIns="20320" bIns="20320" numCol="1" spcCol="1270" anchor="ctr" anchorCtr="0">
          <a:noAutofit/>
        </a:bodyPr>
        <a:lstStyle/>
        <a:p>
          <a:pPr marL="0" lvl="0" indent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600" kern="1200">
              <a:latin typeface="Bahnschrift Condensed" panose="020B0502040204020203" pitchFamily="34" charset="0"/>
            </a:rPr>
            <a:t>Asistencia</a:t>
          </a:r>
        </a:p>
      </dsp:txBody>
      <dsp:txXfrm>
        <a:off x="2376278" y="3431522"/>
        <a:ext cx="762416" cy="762416"/>
      </dsp:txXfrm>
    </dsp:sp>
    <dsp:sp modelId="{D0671DC8-4807-489E-B8AE-A760AE7FD835}">
      <dsp:nvSpPr>
        <dsp:cNvPr id="0" name=""/>
        <dsp:cNvSpPr/>
      </dsp:nvSpPr>
      <dsp:spPr>
        <a:xfrm>
          <a:off x="582108" y="1637352"/>
          <a:ext cx="1078220" cy="1078220"/>
        </a:xfrm>
        <a:prstGeom prst="ellipse">
          <a:avLst/>
        </a:prstGeom>
        <a:gradFill rotWithShape="0">
          <a:gsLst>
            <a:gs pos="0">
              <a:schemeClr val="accent5">
                <a:hueOff val="-7353344"/>
                <a:satOff val="-10228"/>
                <a:lumOff val="-3922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5">
                <a:hueOff val="-7353344"/>
                <a:satOff val="-10228"/>
                <a:lumOff val="-3922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5">
                <a:hueOff val="-7353344"/>
                <a:satOff val="-10228"/>
                <a:lumOff val="-3922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threePt" dir="t">
            <a:rot lat="0" lon="0" rev="7500000"/>
          </a:lightRig>
        </a:scene3d>
        <a:sp3d prstMaterial="plastic">
          <a:bevelT w="127000" h="25400" prst="relaxedInset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20320" tIns="20320" rIns="20320" bIns="20320" numCol="1" spcCol="1270" anchor="ctr" anchorCtr="0">
          <a:noAutofit/>
        </a:bodyPr>
        <a:lstStyle/>
        <a:p>
          <a:pPr marL="0" lvl="0" indent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600" kern="1200">
              <a:latin typeface="Bahnschrift Condensed" panose="020B0502040204020203" pitchFamily="34" charset="0"/>
            </a:rPr>
            <a:t>Tareas</a:t>
          </a:r>
        </a:p>
      </dsp:txBody>
      <dsp:txXfrm>
        <a:off x="740010" y="1795254"/>
        <a:ext cx="762416" cy="762416"/>
      </dsp:txXfrm>
    </dsp:sp>
  </dsp:spTree>
</dsp:drawing>
</file>

<file path=xl/diagrams/drawing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70DF14AC-235F-4517-AFE7-29782204CD28}">
      <dsp:nvSpPr>
        <dsp:cNvPr id="0" name=""/>
        <dsp:cNvSpPr/>
      </dsp:nvSpPr>
      <dsp:spPr>
        <a:xfrm>
          <a:off x="1691640" y="1481"/>
          <a:ext cx="1903095" cy="647862"/>
        </a:xfrm>
        <a:prstGeom prst="roundRect">
          <a:avLst/>
        </a:prstGeom>
        <a:gradFill rotWithShape="0">
          <a:gsLst>
            <a:gs pos="0">
              <a:schemeClr val="accent4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4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4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threePt" dir="t">
            <a:rot lat="0" lon="0" rev="7500000"/>
          </a:lightRig>
        </a:scene3d>
        <a:sp3d prstMaterial="plastic">
          <a:bevelT w="127000" h="25400" prst="relaxedInset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68580" tIns="34290" rIns="68580" bIns="34290" numCol="1" spcCol="1270" anchor="ctr" anchorCtr="0">
          <a:noAutofit/>
        </a:bodyPr>
        <a:lstStyle/>
        <a:p>
          <a:pPr marL="0" lvl="0" indent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>
              <a:latin typeface="Bahnschrift Condensed" panose="020B0502040204020203" pitchFamily="34" charset="0"/>
            </a:rPr>
            <a:t>Reporte de Asistencia</a:t>
          </a:r>
        </a:p>
      </dsp:txBody>
      <dsp:txXfrm>
        <a:off x="1723266" y="33107"/>
        <a:ext cx="1839843" cy="584610"/>
      </dsp:txXfrm>
    </dsp:sp>
    <dsp:sp modelId="{3A0970C2-0839-4958-AA4D-9477802A4668}">
      <dsp:nvSpPr>
        <dsp:cNvPr id="0" name=""/>
        <dsp:cNvSpPr/>
      </dsp:nvSpPr>
      <dsp:spPr>
        <a:xfrm>
          <a:off x="1691640" y="681737"/>
          <a:ext cx="1903095" cy="647862"/>
        </a:xfrm>
        <a:prstGeom prst="roundRect">
          <a:avLst/>
        </a:prstGeom>
        <a:gradFill rotWithShape="0">
          <a:gsLst>
            <a:gs pos="0">
              <a:schemeClr val="accent4">
                <a:hueOff val="2598923"/>
                <a:satOff val="-11992"/>
                <a:lumOff val="441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4">
                <a:hueOff val="2598923"/>
                <a:satOff val="-11992"/>
                <a:lumOff val="441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4">
                <a:hueOff val="2598923"/>
                <a:satOff val="-11992"/>
                <a:lumOff val="441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threePt" dir="t">
            <a:rot lat="0" lon="0" rev="7500000"/>
          </a:lightRig>
        </a:scene3d>
        <a:sp3d prstMaterial="plastic">
          <a:bevelT w="127000" h="25400" prst="relaxedInset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68580" tIns="34290" rIns="68580" bIns="34290" numCol="1" spcCol="1270" anchor="ctr" anchorCtr="0">
          <a:noAutofit/>
        </a:bodyPr>
        <a:lstStyle/>
        <a:p>
          <a:pPr marL="0" lvl="0" indent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>
              <a:latin typeface="Bahnschrift Condensed" panose="020B0502040204020203" pitchFamily="34" charset="0"/>
            </a:rPr>
            <a:t>Informe de Progreso</a:t>
          </a:r>
        </a:p>
      </dsp:txBody>
      <dsp:txXfrm>
        <a:off x="1723266" y="713363"/>
        <a:ext cx="1839843" cy="584610"/>
      </dsp:txXfrm>
    </dsp:sp>
    <dsp:sp modelId="{62D12CEA-3E53-4E5C-A9BF-76B129E27992}">
      <dsp:nvSpPr>
        <dsp:cNvPr id="0" name=""/>
        <dsp:cNvSpPr/>
      </dsp:nvSpPr>
      <dsp:spPr>
        <a:xfrm>
          <a:off x="1691640" y="1361993"/>
          <a:ext cx="1903095" cy="647862"/>
        </a:xfrm>
        <a:prstGeom prst="roundRect">
          <a:avLst/>
        </a:prstGeom>
        <a:gradFill rotWithShape="0">
          <a:gsLst>
            <a:gs pos="0">
              <a:schemeClr val="accent4">
                <a:hueOff val="5197846"/>
                <a:satOff val="-23984"/>
                <a:lumOff val="883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4">
                <a:hueOff val="5197846"/>
                <a:satOff val="-23984"/>
                <a:lumOff val="883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4">
                <a:hueOff val="5197846"/>
                <a:satOff val="-23984"/>
                <a:lumOff val="883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threePt" dir="t">
            <a:rot lat="0" lon="0" rev="7500000"/>
          </a:lightRig>
        </a:scene3d>
        <a:sp3d prstMaterial="plastic">
          <a:bevelT w="127000" h="25400" prst="relaxedInset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68580" tIns="34290" rIns="68580" bIns="34290" numCol="1" spcCol="1270" anchor="ctr" anchorCtr="0">
          <a:noAutofit/>
        </a:bodyPr>
        <a:lstStyle/>
        <a:p>
          <a:pPr marL="0" lvl="0" indent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>
              <a:latin typeface="Bahnschrift Condensed" panose="020B0502040204020203" pitchFamily="34" charset="0"/>
            </a:rPr>
            <a:t>Acta del Primer Semestre</a:t>
          </a:r>
        </a:p>
      </dsp:txBody>
      <dsp:txXfrm>
        <a:off x="1723266" y="1393619"/>
        <a:ext cx="1839843" cy="584610"/>
      </dsp:txXfrm>
    </dsp:sp>
    <dsp:sp modelId="{DE575ADE-2D61-4920-88BD-E12AC459A405}">
      <dsp:nvSpPr>
        <dsp:cNvPr id="0" name=""/>
        <dsp:cNvSpPr/>
      </dsp:nvSpPr>
      <dsp:spPr>
        <a:xfrm>
          <a:off x="1691640" y="2042248"/>
          <a:ext cx="1903095" cy="647862"/>
        </a:xfrm>
        <a:prstGeom prst="roundRect">
          <a:avLst/>
        </a:prstGeom>
        <a:gradFill rotWithShape="0">
          <a:gsLst>
            <a:gs pos="0">
              <a:schemeClr val="accent4">
                <a:hueOff val="7796769"/>
                <a:satOff val="-35976"/>
                <a:lumOff val="1324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4">
                <a:hueOff val="7796769"/>
                <a:satOff val="-35976"/>
                <a:lumOff val="1324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4">
                <a:hueOff val="7796769"/>
                <a:satOff val="-35976"/>
                <a:lumOff val="1324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threePt" dir="t">
            <a:rot lat="0" lon="0" rev="7500000"/>
          </a:lightRig>
        </a:scene3d>
        <a:sp3d prstMaterial="plastic">
          <a:bevelT w="127000" h="25400" prst="relaxedInset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68580" tIns="34290" rIns="68580" bIns="34290" numCol="1" spcCol="1270" anchor="ctr" anchorCtr="0">
          <a:noAutofit/>
        </a:bodyPr>
        <a:lstStyle/>
        <a:p>
          <a:pPr marL="0" lvl="0" indent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>
              <a:latin typeface="Bahnschrift Condensed" panose="020B0502040204020203" pitchFamily="34" charset="0"/>
            </a:rPr>
            <a:t>Estadísticas</a:t>
          </a:r>
        </a:p>
      </dsp:txBody>
      <dsp:txXfrm>
        <a:off x="1723266" y="2073874"/>
        <a:ext cx="1839843" cy="584610"/>
      </dsp:txXfrm>
    </dsp:sp>
    <dsp:sp modelId="{764E56C5-30FC-431C-879C-E7608CDA7724}">
      <dsp:nvSpPr>
        <dsp:cNvPr id="0" name=""/>
        <dsp:cNvSpPr/>
      </dsp:nvSpPr>
      <dsp:spPr>
        <a:xfrm>
          <a:off x="1691640" y="2722504"/>
          <a:ext cx="1903095" cy="647862"/>
        </a:xfrm>
        <a:prstGeom prst="roundRect">
          <a:avLst/>
        </a:prstGeom>
        <a:gradFill rotWithShape="0">
          <a:gsLst>
            <a:gs pos="0">
              <a:schemeClr val="accent4">
                <a:hueOff val="10395692"/>
                <a:satOff val="-47968"/>
                <a:lumOff val="1765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4">
                <a:hueOff val="10395692"/>
                <a:satOff val="-47968"/>
                <a:lumOff val="1765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4">
                <a:hueOff val="10395692"/>
                <a:satOff val="-47968"/>
                <a:lumOff val="1765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threePt" dir="t">
            <a:rot lat="0" lon="0" rev="7500000"/>
          </a:lightRig>
        </a:scene3d>
        <a:sp3d prstMaterial="plastic">
          <a:bevelT w="127000" h="25400" prst="relaxedInset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68580" tIns="34290" rIns="68580" bIns="34290" numCol="1" spcCol="1270" anchor="ctr" anchorCtr="0">
          <a:noAutofit/>
        </a:bodyPr>
        <a:lstStyle/>
        <a:p>
          <a:pPr marL="0" lvl="0" indent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>
              <a:latin typeface="Bahnschrift Condensed" panose="020B0502040204020203" pitchFamily="34" charset="0"/>
            </a:rPr>
            <a:t>Desglose Imprimible</a:t>
          </a:r>
        </a:p>
      </dsp:txBody>
      <dsp:txXfrm>
        <a:off x="1723266" y="2754130"/>
        <a:ext cx="1839843" cy="584610"/>
      </dsp:txXfrm>
    </dsp:sp>
  </dsp:spTree>
</dsp:drawing>
</file>

<file path=xl/diagrams/drawing4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227CCCA-3C8F-40E6-AEC6-383D3549F410}">
      <dsp:nvSpPr>
        <dsp:cNvPr id="0" name=""/>
        <dsp:cNvSpPr/>
      </dsp:nvSpPr>
      <dsp:spPr>
        <a:xfrm>
          <a:off x="1082403" y="501378"/>
          <a:ext cx="3350167" cy="3350167"/>
        </a:xfrm>
        <a:prstGeom prst="blockArc">
          <a:avLst>
            <a:gd name="adj1" fmla="val 10800000"/>
            <a:gd name="adj2" fmla="val 16200000"/>
            <a:gd name="adj3" fmla="val 4635"/>
          </a:avLst>
        </a:prstGeom>
        <a:solidFill>
          <a:schemeClr val="accent5">
            <a:hueOff val="-7353344"/>
            <a:satOff val="-10228"/>
            <a:lumOff val="-3922"/>
            <a:alphaOff val="0"/>
          </a:schemeClr>
        </a:solidFill>
        <a:ln>
          <a:noFill/>
        </a:ln>
        <a:effectLst/>
        <a:scene3d>
          <a:camera prst="orthographicFront"/>
          <a:lightRig rig="threePt" dir="t">
            <a:rot lat="0" lon="0" rev="7500000"/>
          </a:lightRig>
        </a:scene3d>
        <a:sp3d z="-70000" extrusionH="63500" prstMaterial="matte">
          <a:bevelT w="25400" h="6350" prst="relaxedInset"/>
          <a:contourClr>
            <a:schemeClr val="bg1"/>
          </a:contourClr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</dsp:sp>
    <dsp:sp modelId="{99BBC07B-299A-4234-9153-19ED10CBDB8E}">
      <dsp:nvSpPr>
        <dsp:cNvPr id="0" name=""/>
        <dsp:cNvSpPr/>
      </dsp:nvSpPr>
      <dsp:spPr>
        <a:xfrm>
          <a:off x="1082403" y="501378"/>
          <a:ext cx="3350167" cy="3350167"/>
        </a:xfrm>
        <a:prstGeom prst="blockArc">
          <a:avLst>
            <a:gd name="adj1" fmla="val 5400000"/>
            <a:gd name="adj2" fmla="val 10800000"/>
            <a:gd name="adj3" fmla="val 4635"/>
          </a:avLst>
        </a:prstGeom>
        <a:solidFill>
          <a:schemeClr val="accent5">
            <a:hueOff val="-4902230"/>
            <a:satOff val="-6819"/>
            <a:lumOff val="-2615"/>
            <a:alphaOff val="0"/>
          </a:schemeClr>
        </a:solidFill>
        <a:ln>
          <a:noFill/>
        </a:ln>
        <a:effectLst/>
        <a:scene3d>
          <a:camera prst="orthographicFront"/>
          <a:lightRig rig="threePt" dir="t">
            <a:rot lat="0" lon="0" rev="7500000"/>
          </a:lightRig>
        </a:scene3d>
        <a:sp3d z="-70000" extrusionH="63500" prstMaterial="matte">
          <a:bevelT w="25400" h="6350" prst="relaxedInset"/>
          <a:contourClr>
            <a:schemeClr val="bg1"/>
          </a:contourClr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</dsp:sp>
    <dsp:sp modelId="{F2E2B337-2597-42F8-93A7-0C8A1168389B}">
      <dsp:nvSpPr>
        <dsp:cNvPr id="0" name=""/>
        <dsp:cNvSpPr/>
      </dsp:nvSpPr>
      <dsp:spPr>
        <a:xfrm>
          <a:off x="1082403" y="501378"/>
          <a:ext cx="3350167" cy="3350167"/>
        </a:xfrm>
        <a:prstGeom prst="blockArc">
          <a:avLst>
            <a:gd name="adj1" fmla="val 0"/>
            <a:gd name="adj2" fmla="val 5400000"/>
            <a:gd name="adj3" fmla="val 4635"/>
          </a:avLst>
        </a:prstGeom>
        <a:solidFill>
          <a:schemeClr val="accent5">
            <a:hueOff val="-2451115"/>
            <a:satOff val="-3409"/>
            <a:lumOff val="-1307"/>
            <a:alphaOff val="0"/>
          </a:schemeClr>
        </a:solidFill>
        <a:ln>
          <a:noFill/>
        </a:ln>
        <a:effectLst/>
        <a:scene3d>
          <a:camera prst="orthographicFront"/>
          <a:lightRig rig="threePt" dir="t">
            <a:rot lat="0" lon="0" rev="7500000"/>
          </a:lightRig>
        </a:scene3d>
        <a:sp3d z="-70000" extrusionH="63500" prstMaterial="matte">
          <a:bevelT w="25400" h="6350" prst="relaxedInset"/>
          <a:contourClr>
            <a:schemeClr val="bg1"/>
          </a:contourClr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</dsp:sp>
    <dsp:sp modelId="{7B5CC76D-B5E2-468F-9BB9-42F52A51444F}">
      <dsp:nvSpPr>
        <dsp:cNvPr id="0" name=""/>
        <dsp:cNvSpPr/>
      </dsp:nvSpPr>
      <dsp:spPr>
        <a:xfrm>
          <a:off x="1065618" y="458329"/>
          <a:ext cx="3350167" cy="3350167"/>
        </a:xfrm>
        <a:prstGeom prst="blockArc">
          <a:avLst>
            <a:gd name="adj1" fmla="val 16200000"/>
            <a:gd name="adj2" fmla="val 0"/>
            <a:gd name="adj3" fmla="val 4635"/>
          </a:avLst>
        </a:prstGeom>
        <a:solidFill>
          <a:schemeClr val="accent5">
            <a:hueOff val="0"/>
            <a:satOff val="0"/>
            <a:lumOff val="0"/>
            <a:alphaOff val="0"/>
          </a:schemeClr>
        </a:solidFill>
        <a:ln>
          <a:noFill/>
        </a:ln>
        <a:effectLst/>
        <a:scene3d>
          <a:camera prst="orthographicFront"/>
          <a:lightRig rig="threePt" dir="t">
            <a:rot lat="0" lon="0" rev="7500000"/>
          </a:lightRig>
        </a:scene3d>
        <a:sp3d z="-70000" extrusionH="63500" prstMaterial="matte">
          <a:bevelT w="25400" h="6350" prst="relaxedInset"/>
          <a:contourClr>
            <a:schemeClr val="bg1"/>
          </a:contourClr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</dsp:sp>
    <dsp:sp modelId="{1013F5A7-D608-483E-AFEB-C35D0006C6F8}">
      <dsp:nvSpPr>
        <dsp:cNvPr id="0" name=""/>
        <dsp:cNvSpPr/>
      </dsp:nvSpPr>
      <dsp:spPr>
        <a:xfrm>
          <a:off x="1987329" y="1406304"/>
          <a:ext cx="1540315" cy="1540315"/>
        </a:xfrm>
        <a:prstGeom prst="ellipse">
          <a:avLst/>
        </a:prstGeom>
        <a:gradFill rotWithShape="0">
          <a:gsLst>
            <a:gs pos="0">
              <a:schemeClr val="accent4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4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4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threePt" dir="t">
            <a:rot lat="0" lon="0" rev="7500000"/>
          </a:lightRig>
        </a:scene3d>
        <a:sp3d prstMaterial="plastic">
          <a:bevelT w="127000" h="25400" prst="relaxedInset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25400" tIns="25400" rIns="25400" bIns="25400" numCol="1" spcCol="1270" anchor="ctr" anchorCtr="0">
          <a:noAutofit/>
        </a:bodyPr>
        <a:lstStyle/>
        <a:p>
          <a:pPr marL="0" lvl="0" indent="0" algn="ctr" defTabSz="8890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2000" kern="1200">
              <a:latin typeface="Bahnschrift Condensed" panose="020B0502040204020203" pitchFamily="34" charset="0"/>
            </a:rPr>
            <a:t>Registro</a:t>
          </a:r>
          <a:endParaRPr lang="en-US" sz="2600" kern="1200">
            <a:latin typeface="Bahnschrift Condensed" panose="020B0502040204020203" pitchFamily="34" charset="0"/>
          </a:endParaRPr>
        </a:p>
        <a:p>
          <a:pPr marL="0" lvl="0" indent="0" algn="ctr" defTabSz="8890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2600" kern="1200">
              <a:latin typeface="Bahnschrift Condensed" panose="020B0502040204020203" pitchFamily="34" charset="0"/>
            </a:rPr>
            <a:t>General</a:t>
          </a:r>
        </a:p>
      </dsp:txBody>
      <dsp:txXfrm>
        <a:off x="2212903" y="1631878"/>
        <a:ext cx="1089167" cy="1089167"/>
      </dsp:txXfrm>
    </dsp:sp>
    <dsp:sp modelId="{C3481059-9E1E-4340-B7D7-48B3FA8A7CC3}">
      <dsp:nvSpPr>
        <dsp:cNvPr id="0" name=""/>
        <dsp:cNvSpPr/>
      </dsp:nvSpPr>
      <dsp:spPr>
        <a:xfrm>
          <a:off x="2218376" y="1084"/>
          <a:ext cx="1078220" cy="1078220"/>
        </a:xfrm>
        <a:prstGeom prst="ellipse">
          <a:avLst/>
        </a:prstGeom>
        <a:gradFill rotWithShape="0">
          <a:gsLst>
            <a:gs pos="0">
              <a:schemeClr val="accent5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5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5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threePt" dir="t">
            <a:rot lat="0" lon="0" rev="7500000"/>
          </a:lightRig>
        </a:scene3d>
        <a:sp3d prstMaterial="plastic">
          <a:bevelT w="127000" h="25400" prst="relaxedInset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15240" tIns="15240" rIns="15240" bIns="1524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200" kern="1200">
              <a:latin typeface="Bahnschrift Condensed" panose="020B0502040204020203" pitchFamily="34" charset="0"/>
            </a:rPr>
            <a:t>Cotidiano</a:t>
          </a:r>
        </a:p>
      </dsp:txBody>
      <dsp:txXfrm>
        <a:off x="2376278" y="158986"/>
        <a:ext cx="762416" cy="762416"/>
      </dsp:txXfrm>
    </dsp:sp>
    <dsp:sp modelId="{6B491D43-485B-409E-B6BF-9BBA74D28797}">
      <dsp:nvSpPr>
        <dsp:cNvPr id="0" name=""/>
        <dsp:cNvSpPr/>
      </dsp:nvSpPr>
      <dsp:spPr>
        <a:xfrm>
          <a:off x="3854644" y="1637352"/>
          <a:ext cx="1078220" cy="1078220"/>
        </a:xfrm>
        <a:prstGeom prst="ellipse">
          <a:avLst/>
        </a:prstGeom>
        <a:gradFill rotWithShape="0">
          <a:gsLst>
            <a:gs pos="0">
              <a:schemeClr val="accent5">
                <a:hueOff val="-2451115"/>
                <a:satOff val="-3409"/>
                <a:lumOff val="-1307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5">
                <a:hueOff val="-2451115"/>
                <a:satOff val="-3409"/>
                <a:lumOff val="-1307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5">
                <a:hueOff val="-2451115"/>
                <a:satOff val="-3409"/>
                <a:lumOff val="-1307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threePt" dir="t">
            <a:rot lat="0" lon="0" rev="7500000"/>
          </a:lightRig>
        </a:scene3d>
        <a:sp3d prstMaterial="plastic">
          <a:bevelT w="127000" h="25400" prst="relaxedInset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15240" tIns="15240" rIns="15240" bIns="1524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200" kern="1200">
              <a:latin typeface="Bahnschrift Condensed" panose="020B0502040204020203" pitchFamily="34" charset="0"/>
            </a:rPr>
            <a:t>Exámenes</a:t>
          </a:r>
        </a:p>
      </dsp:txBody>
      <dsp:txXfrm>
        <a:off x="4012546" y="1795254"/>
        <a:ext cx="762416" cy="762416"/>
      </dsp:txXfrm>
    </dsp:sp>
    <dsp:sp modelId="{DD33117D-A7EF-4CE2-9AE8-8FC2593010FD}">
      <dsp:nvSpPr>
        <dsp:cNvPr id="0" name=""/>
        <dsp:cNvSpPr/>
      </dsp:nvSpPr>
      <dsp:spPr>
        <a:xfrm>
          <a:off x="2218376" y="3273620"/>
          <a:ext cx="1078220" cy="1078220"/>
        </a:xfrm>
        <a:prstGeom prst="ellipse">
          <a:avLst/>
        </a:prstGeom>
        <a:gradFill rotWithShape="0">
          <a:gsLst>
            <a:gs pos="0">
              <a:schemeClr val="accent5">
                <a:hueOff val="-4902230"/>
                <a:satOff val="-6819"/>
                <a:lumOff val="-2615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5">
                <a:hueOff val="-4902230"/>
                <a:satOff val="-6819"/>
                <a:lumOff val="-2615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5">
                <a:hueOff val="-4902230"/>
                <a:satOff val="-6819"/>
                <a:lumOff val="-2615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threePt" dir="t">
            <a:rot lat="0" lon="0" rev="7500000"/>
          </a:lightRig>
        </a:scene3d>
        <a:sp3d prstMaterial="plastic">
          <a:bevelT w="127000" h="25400" prst="relaxedInset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15240" tIns="15240" rIns="15240" bIns="1524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200" kern="1200">
              <a:latin typeface="Bahnschrift Condensed" panose="020B0502040204020203" pitchFamily="34" charset="0"/>
            </a:rPr>
            <a:t>Asistencia</a:t>
          </a:r>
        </a:p>
      </dsp:txBody>
      <dsp:txXfrm>
        <a:off x="2376278" y="3431522"/>
        <a:ext cx="762416" cy="762416"/>
      </dsp:txXfrm>
    </dsp:sp>
    <dsp:sp modelId="{D0671DC8-4807-489E-B8AE-A760AE7FD835}">
      <dsp:nvSpPr>
        <dsp:cNvPr id="0" name=""/>
        <dsp:cNvSpPr/>
      </dsp:nvSpPr>
      <dsp:spPr>
        <a:xfrm>
          <a:off x="582108" y="1637352"/>
          <a:ext cx="1078220" cy="1078220"/>
        </a:xfrm>
        <a:prstGeom prst="ellipse">
          <a:avLst/>
        </a:prstGeom>
        <a:gradFill rotWithShape="0">
          <a:gsLst>
            <a:gs pos="0">
              <a:schemeClr val="accent5">
                <a:hueOff val="-7353344"/>
                <a:satOff val="-10228"/>
                <a:lumOff val="-3922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5">
                <a:hueOff val="-7353344"/>
                <a:satOff val="-10228"/>
                <a:lumOff val="-3922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5">
                <a:hueOff val="-7353344"/>
                <a:satOff val="-10228"/>
                <a:lumOff val="-3922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threePt" dir="t">
            <a:rot lat="0" lon="0" rev="7500000"/>
          </a:lightRig>
        </a:scene3d>
        <a:sp3d prstMaterial="plastic">
          <a:bevelT w="127000" h="25400" prst="relaxedInset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15240" tIns="15240" rIns="15240" bIns="1524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200" kern="1200">
              <a:latin typeface="Bahnschrift Condensed" panose="020B0502040204020203" pitchFamily="34" charset="0"/>
            </a:rPr>
            <a:t>Tareas</a:t>
          </a:r>
        </a:p>
      </dsp:txBody>
      <dsp:txXfrm>
        <a:off x="740010" y="1795254"/>
        <a:ext cx="762416" cy="762416"/>
      </dsp:txXfrm>
    </dsp:sp>
  </dsp:spTree>
</dsp:drawing>
</file>

<file path=xl/diagrams/drawing5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70DF14AC-235F-4517-AFE7-29782204CD28}">
      <dsp:nvSpPr>
        <dsp:cNvPr id="0" name=""/>
        <dsp:cNvSpPr/>
      </dsp:nvSpPr>
      <dsp:spPr>
        <a:xfrm>
          <a:off x="1691640" y="926"/>
          <a:ext cx="1903095" cy="539199"/>
        </a:xfrm>
        <a:prstGeom prst="roundRect">
          <a:avLst/>
        </a:prstGeom>
        <a:gradFill rotWithShape="0">
          <a:gsLst>
            <a:gs pos="0">
              <a:schemeClr val="accent4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4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4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threePt" dir="t">
            <a:rot lat="0" lon="0" rev="7500000"/>
          </a:lightRig>
        </a:scene3d>
        <a:sp3d prstMaterial="plastic">
          <a:bevelT w="127000" h="25400" prst="relaxedInset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7150" tIns="28575" rIns="57150" bIns="28575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500" kern="1200">
              <a:latin typeface="Bahnschrift Condensed" panose="020B0502040204020203" pitchFamily="34" charset="0"/>
            </a:rPr>
            <a:t>Reporte de Asistencia</a:t>
          </a:r>
        </a:p>
      </dsp:txBody>
      <dsp:txXfrm>
        <a:off x="1717962" y="27248"/>
        <a:ext cx="1850451" cy="486555"/>
      </dsp:txXfrm>
    </dsp:sp>
    <dsp:sp modelId="{3A0970C2-0839-4958-AA4D-9477802A4668}">
      <dsp:nvSpPr>
        <dsp:cNvPr id="0" name=""/>
        <dsp:cNvSpPr/>
      </dsp:nvSpPr>
      <dsp:spPr>
        <a:xfrm>
          <a:off x="1691640" y="567085"/>
          <a:ext cx="1903095" cy="539199"/>
        </a:xfrm>
        <a:prstGeom prst="roundRect">
          <a:avLst/>
        </a:prstGeom>
        <a:gradFill rotWithShape="0">
          <a:gsLst>
            <a:gs pos="0">
              <a:schemeClr val="accent4">
                <a:hueOff val="2079139"/>
                <a:satOff val="-9594"/>
                <a:lumOff val="353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4">
                <a:hueOff val="2079139"/>
                <a:satOff val="-9594"/>
                <a:lumOff val="353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4">
                <a:hueOff val="2079139"/>
                <a:satOff val="-9594"/>
                <a:lumOff val="353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threePt" dir="t">
            <a:rot lat="0" lon="0" rev="7500000"/>
          </a:lightRig>
        </a:scene3d>
        <a:sp3d prstMaterial="plastic">
          <a:bevelT w="127000" h="25400" prst="relaxedInset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7150" tIns="28575" rIns="57150" bIns="28575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500" kern="1200">
              <a:latin typeface="Bahnschrift Condensed" panose="020B0502040204020203" pitchFamily="34" charset="0"/>
            </a:rPr>
            <a:t>Informe de Progreso</a:t>
          </a:r>
        </a:p>
      </dsp:txBody>
      <dsp:txXfrm>
        <a:off x="1717962" y="593407"/>
        <a:ext cx="1850451" cy="486555"/>
      </dsp:txXfrm>
    </dsp:sp>
    <dsp:sp modelId="{62D12CEA-3E53-4E5C-A9BF-76B129E27992}">
      <dsp:nvSpPr>
        <dsp:cNvPr id="0" name=""/>
        <dsp:cNvSpPr/>
      </dsp:nvSpPr>
      <dsp:spPr>
        <a:xfrm>
          <a:off x="1691640" y="1133245"/>
          <a:ext cx="1903095" cy="539199"/>
        </a:xfrm>
        <a:prstGeom prst="roundRect">
          <a:avLst/>
        </a:prstGeom>
        <a:gradFill rotWithShape="0">
          <a:gsLst>
            <a:gs pos="0">
              <a:schemeClr val="accent4">
                <a:hueOff val="4158277"/>
                <a:satOff val="-19187"/>
                <a:lumOff val="706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4">
                <a:hueOff val="4158277"/>
                <a:satOff val="-19187"/>
                <a:lumOff val="706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4">
                <a:hueOff val="4158277"/>
                <a:satOff val="-19187"/>
                <a:lumOff val="706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threePt" dir="t">
            <a:rot lat="0" lon="0" rev="7500000"/>
          </a:lightRig>
        </a:scene3d>
        <a:sp3d prstMaterial="plastic">
          <a:bevelT w="127000" h="25400" prst="relaxedInset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7150" tIns="28575" rIns="57150" bIns="28575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500" kern="1200">
              <a:latin typeface="Bahnschrift Condensed" panose="020B0502040204020203" pitchFamily="34" charset="0"/>
            </a:rPr>
            <a:t>Acta del Segundo Semestre</a:t>
          </a:r>
        </a:p>
      </dsp:txBody>
      <dsp:txXfrm>
        <a:off x="1717962" y="1159567"/>
        <a:ext cx="1850451" cy="486555"/>
      </dsp:txXfrm>
    </dsp:sp>
    <dsp:sp modelId="{DE575ADE-2D61-4920-88BD-E12AC459A405}">
      <dsp:nvSpPr>
        <dsp:cNvPr id="0" name=""/>
        <dsp:cNvSpPr/>
      </dsp:nvSpPr>
      <dsp:spPr>
        <a:xfrm>
          <a:off x="1682124" y="2261379"/>
          <a:ext cx="1903095" cy="539199"/>
        </a:xfrm>
        <a:prstGeom prst="roundRect">
          <a:avLst/>
        </a:prstGeom>
        <a:gradFill rotWithShape="0">
          <a:gsLst>
            <a:gs pos="0">
              <a:schemeClr val="accent4">
                <a:hueOff val="6237415"/>
                <a:satOff val="-28781"/>
                <a:lumOff val="1059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4">
                <a:hueOff val="6237415"/>
                <a:satOff val="-28781"/>
                <a:lumOff val="1059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4">
                <a:hueOff val="6237415"/>
                <a:satOff val="-28781"/>
                <a:lumOff val="1059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threePt" dir="t">
            <a:rot lat="0" lon="0" rev="7500000"/>
          </a:lightRig>
        </a:scene3d>
        <a:sp3d prstMaterial="plastic">
          <a:bevelT w="127000" h="25400" prst="relaxedInset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7150" tIns="28575" rIns="57150" bIns="28575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500" kern="1200">
              <a:latin typeface="Bahnschrift Condensed" panose="020B0502040204020203" pitchFamily="34" charset="0"/>
            </a:rPr>
            <a:t>Estadísticas</a:t>
          </a:r>
        </a:p>
      </dsp:txBody>
      <dsp:txXfrm>
        <a:off x="1708446" y="2287701"/>
        <a:ext cx="1850451" cy="486555"/>
      </dsp:txXfrm>
    </dsp:sp>
    <dsp:sp modelId="{366FC22B-0B05-445A-A0F3-F617BCCE777E}">
      <dsp:nvSpPr>
        <dsp:cNvPr id="0" name=""/>
        <dsp:cNvSpPr/>
      </dsp:nvSpPr>
      <dsp:spPr>
        <a:xfrm>
          <a:off x="1676396" y="1694066"/>
          <a:ext cx="1903095" cy="539199"/>
        </a:xfrm>
        <a:prstGeom prst="roundRect">
          <a:avLst/>
        </a:prstGeom>
        <a:gradFill rotWithShape="0">
          <a:gsLst>
            <a:gs pos="0">
              <a:schemeClr val="accent4">
                <a:hueOff val="8316554"/>
                <a:satOff val="-38374"/>
                <a:lumOff val="1412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4">
                <a:hueOff val="8316554"/>
                <a:satOff val="-38374"/>
                <a:lumOff val="1412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4">
                <a:hueOff val="8316554"/>
                <a:satOff val="-38374"/>
                <a:lumOff val="1412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threePt" dir="t">
            <a:rot lat="0" lon="0" rev="7500000"/>
          </a:lightRig>
        </a:scene3d>
        <a:sp3d prstMaterial="plastic">
          <a:bevelT w="127000" h="25400" prst="relaxedInset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7150" tIns="28575" rIns="57150" bIns="28575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500" kern="1200">
              <a:latin typeface="Bahnschrift Condensed" panose="020B0502040204020203" pitchFamily="34" charset="0"/>
            </a:rPr>
            <a:t>Acta</a:t>
          </a:r>
          <a:r>
            <a:rPr lang="en-US" sz="1500" kern="1200"/>
            <a:t> </a:t>
          </a:r>
          <a:r>
            <a:rPr lang="en-US" sz="1500" kern="1200">
              <a:latin typeface="Bahnschrift Condensed" panose="020B0502040204020203" pitchFamily="34" charset="0"/>
            </a:rPr>
            <a:t>Anual</a:t>
          </a:r>
        </a:p>
      </dsp:txBody>
      <dsp:txXfrm>
        <a:off x="1702718" y="1720388"/>
        <a:ext cx="1850451" cy="486555"/>
      </dsp:txXfrm>
    </dsp:sp>
    <dsp:sp modelId="{764E56C5-30FC-431C-879C-E7608CDA7724}">
      <dsp:nvSpPr>
        <dsp:cNvPr id="0" name=""/>
        <dsp:cNvSpPr/>
      </dsp:nvSpPr>
      <dsp:spPr>
        <a:xfrm>
          <a:off x="1691640" y="2831723"/>
          <a:ext cx="1903095" cy="539199"/>
        </a:xfrm>
        <a:prstGeom prst="roundRect">
          <a:avLst/>
        </a:prstGeom>
        <a:gradFill rotWithShape="0">
          <a:gsLst>
            <a:gs pos="0">
              <a:schemeClr val="accent4">
                <a:hueOff val="10395692"/>
                <a:satOff val="-47968"/>
                <a:lumOff val="1765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4">
                <a:hueOff val="10395692"/>
                <a:satOff val="-47968"/>
                <a:lumOff val="1765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4">
                <a:hueOff val="10395692"/>
                <a:satOff val="-47968"/>
                <a:lumOff val="1765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threePt" dir="t">
            <a:rot lat="0" lon="0" rev="7500000"/>
          </a:lightRig>
        </a:scene3d>
        <a:sp3d prstMaterial="plastic">
          <a:bevelT w="127000" h="25400" prst="relaxedInset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7150" tIns="28575" rIns="57150" bIns="28575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500" kern="1200">
              <a:latin typeface="Bahnschrift Condensed" panose="020B0502040204020203" pitchFamily="34" charset="0"/>
            </a:rPr>
            <a:t>Desglose Imprimible</a:t>
          </a:r>
        </a:p>
      </dsp:txBody>
      <dsp:txXfrm>
        <a:off x="1717962" y="2858045"/>
        <a:ext cx="1850451" cy="48655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lProcess2">
  <dgm:title val=""/>
  <dgm:desc val=""/>
  <dgm:catLst>
    <dgm:cat type="list" pri="10000"/>
    <dgm:cat type="relationship" pri="13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32">
          <dgm:prSet phldr="1"/>
        </dgm:pt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14" srcId="1" destId="12" srcOrd="0" destOrd="0"/>
        <dgm:cxn modelId="23" srcId="2" destId="21" srcOrd="0" destOrd="0"/>
        <dgm:cxn modelId="24" srcId="2" destId="22" srcOrd="0" destOrd="0"/>
        <dgm:cxn modelId="33" srcId="3" destId="31" srcOrd="0" destOrd="0"/>
        <dgm:cxn modelId="34" srcId="3" destId="32" srcOrd="0" destOrd="0"/>
      </dgm:cxnLst>
      <dgm:bg/>
      <dgm:whole/>
    </dgm:dataModel>
  </dgm:sampData>
  <dgm:styleData useDef="1">
    <dgm:dataModel>
      <dgm:ptLst/>
      <dgm:bg/>
      <dgm:whole/>
    </dgm:dataModel>
  </dgm:styleData>
  <dgm:clrData useDef="1">
    <dgm:dataModel>
      <dgm:ptLst/>
      <dgm:bg/>
      <dgm:whole/>
    </dgm:dataModel>
  </dgm:clrData>
  <dgm:layoutNode name="theList">
    <dgm:varLst>
      <dgm:dir/>
      <dgm:animLvl val="lvl"/>
      <dgm:resizeHandles val="exact"/>
    </dgm:varLst>
    <dgm:choose name="Name0">
      <dgm:if name="Name1" func="var" arg="dir" op="equ" val="norm">
        <dgm:alg type="lin"/>
      </dgm:if>
      <dgm:else name="Name2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h" for="ch" forName="compNode" refType="h"/>
      <dgm:constr type="w" for="ch" forName="aSpace" refType="w" fact="0.075"/>
      <dgm:constr type="h" for="des" forName="aSpace2" refType="h" fact="0.1"/>
      <dgm:constr type="primFontSz" for="des" forName="textNode" op="equ"/>
      <dgm:constr type="primFontSz" for="des" forName="childNode" op="equ"/>
    </dgm:constrLst>
    <dgm:ruleLst/>
    <dgm:forEach name="aNodeForEach" axis="ch" ptType="node">
      <dgm:layoutNode name="compNode">
        <dgm:alg type="composite"/>
        <dgm:shape xmlns:r="http://schemas.openxmlformats.org/officeDocument/2006/relationships" r:blip="">
          <dgm:adjLst/>
        </dgm:shape>
        <dgm:presOf/>
        <dgm:constrLst>
          <dgm:constr type="w" for="ch" forName="aNode" refType="w"/>
          <dgm:constr type="h" for="ch" forName="aNode" refType="h"/>
          <dgm:constr type="w" for="ch" forName="textNode" refType="w"/>
          <dgm:constr type="h" for="ch" forName="textNode" refType="h" fact="0.3"/>
          <dgm:constr type="ctrX" for="ch" forName="textNode" refType="w" fact="0.5"/>
          <dgm:constr type="w" for="ch" forName="compChildNode" refType="w" fact="0.8"/>
          <dgm:constr type="h" for="ch" forName="compChildNode" refType="h" fact="0.65"/>
          <dgm:constr type="t" for="ch" forName="compChildNode" refType="h" fact="0.3"/>
          <dgm:constr type="ctrX" for="ch" forName="compChildNode" refType="w" fact="0.5"/>
        </dgm:constrLst>
        <dgm:ruleLst/>
        <dgm:layoutNode name="aNode" styleLbl="bgShp">
          <dgm:alg type="sp"/>
          <dgm:shape xmlns:r="http://schemas.openxmlformats.org/officeDocument/2006/relationships" type="roundRect" r:blip="">
            <dgm:adjLst>
              <dgm:adj idx="1" val="0.1"/>
            </dgm:adjLst>
          </dgm:shape>
          <dgm:presOf axis="self"/>
          <dgm:constrLst/>
          <dgm:ruleLst/>
        </dgm:layoutNode>
        <dgm:layoutNode name="textNode" styleLbl="bgShp">
          <dgm:alg type="tx"/>
          <dgm:shape xmlns:r="http://schemas.openxmlformats.org/officeDocument/2006/relationships" type="rect" r:blip="" hideGeom="1">
            <dgm:adjLst>
              <dgm:adj idx="1" val="0.1"/>
            </dgm:adjLst>
          </dgm:shape>
          <dgm:presOf axis="self"/>
          <dgm:constrLst>
            <dgm:constr type="primFontSz" val="65"/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ompChildNode">
          <dgm:alg type="composite"/>
          <dgm:shape xmlns:r="http://schemas.openxmlformats.org/officeDocument/2006/relationships" r:blip="">
            <dgm:adjLst/>
          </dgm:shape>
          <dgm:presOf/>
          <dgm:constrLst>
            <dgm:constr type="w" for="des" forName="childNode" refType="w"/>
            <dgm:constr type="h" for="des" forName="childNode" refType="h"/>
          </dgm:constrLst>
          <dgm:ruleLst/>
          <dgm:layoutNode name="theInnerList">
            <dgm:alg type="lin">
              <dgm:param type="linDir" val="fromT"/>
            </dgm:alg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childNodeForEach" axis="ch" ptType="node">
              <dgm:layoutNode name="childNode" styleLbl="node1">
                <dgm:varLst>
                  <dgm:bulletEnabled val="1"/>
                </dgm:varLst>
                <dgm:alg type="tx"/>
                <dgm:shape xmlns:r="http://schemas.openxmlformats.org/officeDocument/2006/relationships" type="roundRect" r:blip="">
                  <dgm:adjLst>
                    <dgm:adj idx="1" val="0.1"/>
                  </dgm:adjLst>
                </dgm:shape>
                <dgm:presOf axis="desOrSelf" ptType="node"/>
                <dgm:constrLst>
                  <dgm:constr type="primFontSz" val="65"/>
                  <dgm:constr type="tMarg" refType="primFontSz" fact="0.15"/>
                  <dgm:constr type="bMarg" refType="primFontSz" fact="0.15"/>
                  <dgm:constr type="lMarg" refType="primFontSz" fact="0.2"/>
                  <dgm:constr type="rMarg" refType="primFontSz" fact="0.2"/>
                </dgm:constrLst>
                <dgm:ruleLst>
                  <dgm:rule type="primFontSz" val="5" fact="NaN" max="NaN"/>
                </dgm:ruleLst>
              </dgm:layoutNode>
              <dgm:choose name="Name3">
                <dgm:if name="Name4" axis="self" ptType="node" func="revPos" op="equ" val="1"/>
                <dgm:else name="Name5">
                  <dgm:layoutNode name="aSpace2">
                    <dgm:alg type="sp"/>
                    <dgm:shape xmlns:r="http://schemas.openxmlformats.org/officeDocument/2006/relationships" r:blip="">
                      <dgm:adjLst/>
                    </dgm:shape>
                    <dgm:presOf/>
                    <dgm:constrLst/>
                    <dgm:ruleLst/>
                  </dgm:layoutNode>
                </dgm:else>
              </dgm:choose>
            </dgm:forEach>
          </dgm:layoutNode>
        </dgm:layoutNode>
      </dgm:layoutNode>
      <dgm:choose name="Name6">
        <dgm:if name="Name7" axis="self" ptType="node" func="revPos" op="equ" val="1"/>
        <dgm:else name="Name8">
          <dgm:layoutNode name="aSpace">
            <dgm:alg type="sp"/>
            <dgm:shape xmlns:r="http://schemas.openxmlformats.org/officeDocument/2006/relationships" r:blip="">
              <dgm:adjLst/>
            </dgm:shape>
            <dgm:presOf/>
            <dgm:constrLst/>
            <dgm:ruleLst/>
          </dgm:layoutNode>
        </dgm:else>
      </dgm:choose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radial6">
  <dgm:title val=""/>
  <dgm:desc val=""/>
  <dgm:catLst>
    <dgm:cat type="cycle" pri="9000"/>
    <dgm:cat type="relationship" pri="21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  <dgm:pt modelId="14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  <dgm:cxn modelId="6" srcId="1" destId="14" srcOrd="3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12"/>
        <dgm:pt modelId="13"/>
      </dgm:ptLst>
      <dgm:cxnLst>
        <dgm:cxn modelId="2" srcId="0" destId="1" srcOrd="0" destOrd="0"/>
        <dgm:cxn modelId="15" srcId="1" destId="11" srcOrd="0" destOrd="0"/>
        <dgm:cxn modelId="16" srcId="1" destId="12" srcOrd="1" destOrd="0"/>
        <dgm:cxn modelId="17" srcId="1" destId="13" srcOrd="2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12"/>
        <dgm:pt modelId="13"/>
        <dgm:pt modelId="14"/>
        <dgm:pt modelId="15"/>
        <dgm:pt modelId="16"/>
      </dgm:ptLst>
      <dgm:cxnLst>
        <dgm:cxn modelId="2" srcId="0" destId="1" srcOrd="0" destOrd="0"/>
        <dgm:cxn modelId="16" srcId="1" destId="11" srcOrd="0" destOrd="0"/>
        <dgm:cxn modelId="17" srcId="1" destId="12" srcOrd="1" destOrd="0"/>
        <dgm:cxn modelId="18" srcId="1" destId="13" srcOrd="2" destOrd="0"/>
        <dgm:cxn modelId="19" srcId="1" destId="14" srcOrd="3" destOrd="0"/>
        <dgm:cxn modelId="20" srcId="1" destId="15" srcOrd="4" destOrd="0"/>
        <dgm:cxn modelId="21" srcId="1" destId="16" srcOrd="5" destOrd="0"/>
      </dgm:cxnLst>
      <dgm:bg/>
      <dgm:whole/>
    </dgm:dataModel>
  </dgm:clrData>
  <dgm:layoutNode name="Name0">
    <dgm:varLst>
      <dgm:chMax val="1"/>
      <dgm:dir/>
      <dgm:animLvl val="ctr"/>
      <dgm:resizeHandles val="exact"/>
    </dgm:varLst>
    <dgm:choose name="Name1">
      <dgm:if name="Name2" func="var" arg="dir" op="equ" val="norm">
        <dgm:choose name="Name3">
          <dgm:if name="Name4" axis="ch ch" ptType="node node" st="1 1" cnt="1 0" func="cnt" op="lte" val="1">
            <dgm:alg type="cycle">
              <dgm:param type="stAng" val="90"/>
              <dgm:param type="spanAng" val="360"/>
              <dgm:param type="ctrShpMap" val="fNode"/>
            </dgm:alg>
          </dgm:if>
          <dgm:else name="Name5">
            <dgm:alg type="cycle">
              <dgm:param type="stAng" val="0"/>
              <dgm:param type="spanAng" val="360"/>
              <dgm:param type="ctrShpMap" val="fNode"/>
            </dgm:alg>
          </dgm:else>
        </dgm:choose>
      </dgm:if>
      <dgm:else name="Name6">
        <dgm:choose name="Name7">
          <dgm:if name="Name8" axis="ch ch" ptType="node node" st="1 1" cnt="1 0" func="cnt" op="lte" val="1">
            <dgm:alg type="cycle">
              <dgm:param type="stAng" val="-90"/>
              <dgm:param type="spanAng" val="360"/>
              <dgm:param type="ctrShpMap" val="fNode"/>
            </dgm:alg>
          </dgm:if>
          <dgm:else name="Name9">
            <dgm:alg type="cycle">
              <dgm:param type="stAng" val="0"/>
              <dgm:param type="spanAng" val="-360"/>
              <dgm:param type="ctrShpMap" val="fNode"/>
            </dgm:alg>
          </dgm:else>
        </dgm:choose>
      </dgm:else>
    </dgm:choose>
    <dgm:shape xmlns:r="http://schemas.openxmlformats.org/officeDocument/2006/relationships" r:blip="">
      <dgm:adjLst/>
    </dgm:shape>
    <dgm:presOf/>
    <dgm:choose name="Name10">
      <dgm:if name="Name11" func="var" arg="dir" op="equ" val="norm">
        <dgm:choose name="Name12">
          <dgm:if name="Name13" axis="ch ch" ptType="node node" st="1 1" cnt="1 0" func="cnt" op="equ" val="1">
            <dgm:constrLst>
              <dgm:constr type="diam" val="170"/>
              <dgm:constr type="w" for="ch" forName="centerShape" refType="w"/>
              <dgm:constr type="w" for="ch" forName="oneComp" refType="w" refFor="ch" refForName="centerShape" op="equ" fact="0.7"/>
              <dgm:constr type="sp" refType="w" refFor="ch" refForName="oneComp" fact="0.3"/>
              <dgm:constr type="sibSp" refType="w" refFor="ch" refForName="oneComp" fact="0.3"/>
              <dgm:constr type="primFontSz" for="ch" forName="centerShape" val="65"/>
              <dgm:constr type="primFontSz" for="des" forName="oneNode" refType="primFontSz" refFor="ch" refForName="centerShape" fact="0.95"/>
              <dgm:constr type="primFontSz" for="des" forName="oneNode" refType="primFontSz" refFor="ch" refForName="centerShape" op="lte" fact="0.95"/>
              <dgm:constr type="diam" for="ch" forName="singleconn" refType="diam" op="equ" fact="-1"/>
              <dgm:constr type="h" for="ch" forName="singleconn" refType="w" refFor="ch" refForName="oneComp" fact="0.24"/>
              <dgm:constr type="w" for="ch" forName="dummya" refType="w" refFor="ch" refForName="oneComp" op="equ"/>
              <dgm:constr type="w" for="ch" forName="dummyb" refType="w" refFor="ch" refForName="oneComp" op="equ"/>
              <dgm:constr type="w" for="ch" forName="dummyc" refType="w" refFor="ch" refForName="oneComp" op="equ"/>
            </dgm:constrLst>
          </dgm:if>
          <dgm:else name="Name14">
            <dgm:constrLst>
              <dgm:constr type="diam" val="170"/>
              <dgm:constr type="w" for="ch" forName="centerShape" refType="w"/>
              <dgm:constr type="w" for="ch" forName="node" refType="w" refFor="ch" refForName="centerShape" op="equ" fact="0.7"/>
              <dgm:constr type="sp" refType="w" refFor="ch" refForName="node" fact="0.3"/>
              <dgm:constr type="sibSp" refType="w" refFor="ch" refForName="node" fact="0.3"/>
              <dgm:constr type="primFontSz" for="ch" forName="centerShape" val="65"/>
              <dgm:constr type="primFontSz" for="des" forName="node" refType="primFontSz" refFor="ch" refForName="centerShape" fact="0.78"/>
              <dgm:constr type="primFontSz" for="ch" forName="node" refType="primFontSz" refFor="ch" refForName="centerShape" op="lte" fact="0.95"/>
              <dgm:constr type="diam" for="ch" forName="sibTrans" refType="diam" op="equ"/>
              <dgm:constr type="h" for="ch" forName="sibTrans" refType="w" refFor="ch" refForName="node" fact="0.24"/>
              <dgm:constr type="w" for="ch" forName="dummy" val="1"/>
            </dgm:constrLst>
          </dgm:else>
        </dgm:choose>
      </dgm:if>
      <dgm:else name="Name15">
        <dgm:choose name="Name16">
          <dgm:if name="Name17" axis="ch ch" ptType="node node" st="1 1" cnt="1 0" func="cnt" op="equ" val="1">
            <dgm:constrLst>
              <dgm:constr type="diam" val="170"/>
              <dgm:constr type="w" for="ch" forName="centerShape" refType="w"/>
              <dgm:constr type="w" for="ch" forName="oneComp" refType="w" refFor="ch" refForName="centerShape" op="equ" fact="0.7"/>
              <dgm:constr type="sp" refType="w" refFor="ch" refForName="oneComp" fact="0.3"/>
              <dgm:constr type="sibSp" refType="w" refFor="ch" refForName="oneComp" fact="0.3"/>
              <dgm:constr type="primFontSz" for="ch" forName="centerShape" val="65"/>
              <dgm:constr type="primFontSz" for="des" forName="oneNode" refType="primFontSz" refFor="ch" refForName="centerShape" fact="0.95"/>
              <dgm:constr type="primFontSz" for="ch" forName="oneNode" refType="primFontSz" refFor="ch" refForName="centerShape" op="lte" fact="0.95"/>
              <dgm:constr type="diam" for="ch" forName="singleconn" refType="diam"/>
              <dgm:constr type="h" for="ch" forName="singleconn" refType="w" refFor="ch" refForName="oneComp" fact="0.24"/>
              <dgm:constr type="diam" for="ch" refType="diam" op="equ"/>
              <dgm:constr type="w" for="ch" forName="dummya" refType="w" refFor="ch" refForName="oneComp" op="equ"/>
              <dgm:constr type="w" for="ch" forName="dummyb" refType="w" refFor="ch" refForName="oneComp" op="equ"/>
              <dgm:constr type="w" for="ch" forName="dummyc" refType="w" refFor="ch" refForName="oneComp" op="equ"/>
            </dgm:constrLst>
          </dgm:if>
          <dgm:else name="Name18">
            <dgm:constrLst>
              <dgm:constr type="diam" val="170"/>
              <dgm:constr type="w" for="ch" forName="centerShape" refType="w"/>
              <dgm:constr type="w" for="ch" forName="node" refType="w" refFor="ch" refForName="centerShape" op="equ" fact="0.7"/>
              <dgm:constr type="sp" refType="w" refFor="ch" refForName="node" fact="0.3"/>
              <dgm:constr type="sibSp" refType="w" refFor="ch" refForName="node" fact="0.3"/>
              <dgm:constr type="primFontSz" for="ch" forName="centerShape" val="65"/>
              <dgm:constr type="primFontSz" for="des" forName="node" refType="primFontSz" refFor="ch" refForName="centerShape" fact="0.78"/>
              <dgm:constr type="primFontSz" for="ch" forName="node" refType="primFontSz" refFor="ch" refForName="centerShape" op="lte" fact="0.95"/>
              <dgm:constr type="diam" for="ch" ptType="sibTrans" refType="diam" fact="-1"/>
              <dgm:constr type="h" for="ch" forName="sibTrans" refType="w" refFor="ch" refForName="node" fact="0.24"/>
              <dgm:constr type="diam" for="ch" refType="diam" op="equ" fact="-1"/>
              <dgm:constr type="w" for="ch" forName="dummy" val="1"/>
            </dgm:constrLst>
          </dgm:else>
        </dgm:choose>
      </dgm:else>
    </dgm:choose>
    <dgm:ruleLst>
      <dgm:rule type="diam" val="INF" fact="NaN" max="NaN"/>
    </dgm:ruleLst>
    <dgm:forEach name="Name19" axis="ch" ptType="node" cnt="1">
      <dgm:layoutNode name="centerShape" styleLbl="node0">
        <dgm:alg type="tx"/>
        <dgm:shape xmlns:r="http://schemas.openxmlformats.org/officeDocument/2006/relationships" type="ellipse" r:blip="">
          <dgm:adjLst/>
        </dgm:shape>
        <dgm:presOf axis="self"/>
        <dgm:constrLst>
          <dgm:constr type="h" refType="w"/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forEach name="Name20" axis="ch">
        <dgm:forEach name="Name21" axis="self" ptType="node">
          <dgm:choose name="Name22">
            <dgm:if name="Name23" axis="par ch" ptType="node node" func="cnt" op="gt" val="1">
              <dgm:layoutNode name="node" styleLbl="node1">
                <dgm:varLst>
                  <dgm:bulletEnabled val="1"/>
                </dgm:varLst>
                <dgm:alg type="tx">
                  <dgm:param type="txAnchorVertCh" val="mid"/>
                </dgm:alg>
                <dgm:shape xmlns:r="http://schemas.openxmlformats.org/officeDocument/2006/relationships" type="ellipse" r:blip="">
                  <dgm:adjLst/>
                </dgm:shape>
                <dgm:presOf axis="desOrSelf" ptType="node"/>
                <dgm:constrLst>
                  <dgm:constr type="h" refType="w"/>
                  <dgm:constr type="tMarg" refType="primFontSz" fact="0.1"/>
                  <dgm:constr type="bMarg" refType="primFontSz" fact="0.1"/>
                  <dgm:constr type="lMarg" refType="primFontSz" fact="0.1"/>
                  <dgm:constr type="rMarg" refType="primFontSz" fact="0.1"/>
                </dgm:constrLst>
                <dgm:ruleLst>
                  <dgm:rule type="primFontSz" val="5" fact="NaN" max="NaN"/>
                </dgm:ruleLst>
              </dgm:layoutNode>
              <dgm:layoutNode name="dummy">
                <dgm:alg type="sp"/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</dgm:constrLst>
                <dgm:ruleLst/>
              </dgm:layoutNode>
              <dgm:forEach name="sibTransForEach" axis="followSib" ptType="sibTrans" hideLastTrans="0" cnt="1">
                <dgm:layoutNode name="sibTrans" styleLbl="sibTrans2D1">
                  <dgm:alg type="conn">
                    <dgm:param type="connRout" val="curve"/>
                    <dgm:param type="begPts" val="ctr"/>
                    <dgm:param type="endPts" val="ctr"/>
                    <dgm:param type="begSty" val="noArr"/>
                    <dgm:param type="endSty" val="noArr"/>
                    <dgm:param type="dstNode" val="node"/>
                  </dgm:alg>
                  <dgm:shape xmlns:r="http://schemas.openxmlformats.org/officeDocument/2006/relationships" type="conn" r:blip="" zOrderOff="-999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</dgm:if>
            <dgm:if name="Name24" axis="par ch" ptType="node node" func="cnt" op="equ" val="1">
              <dgm:layoutNode name="oneComp">
                <dgm:alg type="composite">
                  <dgm:param type="ar" val="1"/>
                </dgm:alg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  <dgm:constr type="l" for="ch" forName="dummyConnPt" refType="w" fact="0.5"/>
                  <dgm:constr type="t" for="ch" forName="dummyConnPt" refType="w" fact="0.5"/>
                  <dgm:constr type="l" for="ch" forName="oneNode"/>
                  <dgm:constr type="t" for="ch" forName="oneNode"/>
                  <dgm:constr type="h" for="ch" forName="oneNode" refType="h"/>
                  <dgm:constr type="w" for="ch" forName="oneNode" refType="w"/>
                </dgm:constrLst>
                <dgm:ruleLst/>
                <dgm:layoutNode name="dummyConnPt" styleLbl="node1">
                  <dgm:alg type="sp"/>
                  <dgm:shape xmlns:r="http://schemas.openxmlformats.org/officeDocument/2006/relationships" r:blip="">
                    <dgm:adjLst/>
                  </dgm:shape>
                  <dgm:presOf/>
                  <dgm:constrLst>
                    <dgm:constr type="w" val="1"/>
                    <dgm:constr type="h" val="1"/>
                  </dgm:constrLst>
                  <dgm:ruleLst/>
                </dgm:layoutNode>
                <dgm:layoutNode name="oneNode" styleLbl="node1">
                  <dgm:varLst>
                    <dgm:bulletEnabled val="1"/>
                  </dgm:varLst>
                  <dgm:alg type="tx">
                    <dgm:param type="txAnchorVertCh" val="mid"/>
                  </dgm:alg>
                  <dgm:shape xmlns:r="http://schemas.openxmlformats.org/officeDocument/2006/relationships" type="ellipse" r:blip="">
                    <dgm:adjLst/>
                  </dgm:shape>
                  <dgm:presOf axis="desOrSelf" ptType="node"/>
                  <dgm:constrLst>
                    <dgm:constr type="h" refType="w"/>
                    <dgm:constr type="tMarg" refType="primFontSz" fact="0.1"/>
                    <dgm:constr type="bMarg" refType="primFontSz" fact="0.1"/>
                    <dgm:constr type="lMarg" refType="primFontSz" fact="0.1"/>
                    <dgm:constr type="rMarg" refType="primFontSz" fact="0.1"/>
                  </dgm:constrLst>
                  <dgm:ruleLst>
                    <dgm:rule type="primFontSz" val="5" fact="NaN" max="NaN"/>
                  </dgm:ruleLst>
                </dgm:layoutNode>
              </dgm:layoutNode>
              <dgm:layoutNode name="dummya">
                <dgm:alg type="sp"/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</dgm:constrLst>
                <dgm:ruleLst/>
              </dgm:layoutNode>
              <dgm:layoutNode name="dummyb">
                <dgm:alg type="sp"/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</dgm:constrLst>
                <dgm:ruleLst/>
              </dgm:layoutNode>
              <dgm:layoutNode name="dummyc">
                <dgm:alg type="sp"/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</dgm:constrLst>
                <dgm:ruleLst/>
              </dgm:layoutNode>
              <dgm:forEach name="sibTransForEach1" axis="followSib" ptType="sibTrans" hideLastTrans="0" cnt="1">
                <dgm:layoutNode name="singleconn" styleLbl="sibTrans2D1">
                  <dgm:alg type="conn">
                    <dgm:param type="connRout" val="longCurve"/>
                    <dgm:param type="begPts" val="bCtr"/>
                    <dgm:param type="endPts" val="tCtr"/>
                    <dgm:param type="begSty" val="noArr"/>
                    <dgm:param type="endSty" val="noArr"/>
                    <dgm:param type="srcNode" val="dummyConnPt"/>
                    <dgm:param type="dstNode" val="dummyConnPt"/>
                  </dgm:alg>
                  <dgm:shape xmlns:r="http://schemas.openxmlformats.org/officeDocument/2006/relationships" type="conn" r:blip="" zOrderOff="-999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</dgm:if>
            <dgm:else name="Name25"/>
          </dgm:choose>
        </dgm:forEach>
      </dgm:forEach>
    </dgm:forEach>
  </dgm:layoutNode>
</dgm:layoutDef>
</file>

<file path=xl/diagrams/layout3.xml><?xml version="1.0" encoding="utf-8"?>
<dgm:layoutDef xmlns:dgm="http://schemas.openxmlformats.org/drawingml/2006/diagram" xmlns:a="http://schemas.openxmlformats.org/drawingml/2006/main" uniqueId="urn:microsoft.com/office/officeart/2005/8/layout/vList5">
  <dgm:title val=""/>
  <dgm:desc val=""/>
  <dgm:catLst>
    <dgm:cat type="list" pri="15000"/>
    <dgm:cat type="convert" pri="2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32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2" destOrd="0"/>
        <dgm:cxn modelId="13" srcId="1" destId="11" srcOrd="0" destOrd="0"/>
        <dgm:cxn modelId="14" srcId="1" destId="12" srcOrd="1" destOrd="0"/>
        <dgm:cxn modelId="23" srcId="2" destId="21" srcOrd="0" destOrd="0"/>
        <dgm:cxn modelId="24" srcId="2" destId="22" srcOrd="1" destOrd="0"/>
        <dgm:cxn modelId="33" srcId="3" destId="31" srcOrd="0" destOrd="0"/>
        <dgm:cxn modelId="34" srcId="3" destId="32" srcOrd="1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2"/>
        <dgm:pt modelId="21"/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23" srcId="2" destId="21" srcOrd="0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2"/>
        <dgm:pt modelId="21"/>
        <dgm:pt modelId="3"/>
        <dgm:pt modelId="31"/>
        <dgm:pt modelId="4"/>
        <dgm:pt modelId="41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  <dgm:cxn modelId="13" srcId="1" destId="11" srcOrd="0" destOrd="0"/>
        <dgm:cxn modelId="23" srcId="2" destId="21" srcOrd="0" destOrd="0"/>
        <dgm:cxn modelId="33" srcId="3" destId="31" srcOrd="0" destOrd="0"/>
        <dgm:cxn modelId="43" srcId="4" destId="41" srcOrd="0" destOrd="0"/>
      </dgm:cxnLst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>
          <dgm:param type="linDir" val="fromT"/>
          <dgm:param type="nodeHorzAlign" val="l"/>
        </dgm:alg>
      </dgm:if>
      <dgm:else name="Name3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h" for="ch" forName="linNode" refType="h"/>
      <dgm:constr type="w" for="ch" forName="linNode" refType="w"/>
      <dgm:constr type="h" for="ch" forName="sp" refType="h" fact="0.05"/>
      <dgm:constr type="primFontSz" for="des" forName="parentText" op="equ" val="65"/>
      <dgm:constr type="secFontSz" for="des" forName="descendantText" op="equ"/>
    </dgm:constrLst>
    <dgm:ruleLst/>
    <dgm:forEach name="Name4" axis="ch" ptType="node">
      <dgm:layoutNode name="linNode">
        <dgm:choose name="Name5">
          <dgm:if name="Name6" func="var" arg="dir" op="equ" val="norm">
            <dgm:alg type="lin">
              <dgm:param type="linDir" val="fromL"/>
            </dgm:alg>
          </dgm:if>
          <dgm:else name="Name7">
            <dgm:alg type="lin">
              <dgm:param type="linDir" val="fromR"/>
            </dgm:alg>
          </dgm:else>
        </dgm:choose>
        <dgm:shape xmlns:r="http://schemas.openxmlformats.org/officeDocument/2006/relationships" r:blip="">
          <dgm:adjLst/>
        </dgm:shape>
        <dgm:presOf/>
        <dgm:constrLst>
          <dgm:constr type="w" for="ch" forName="parentText" refType="w" fact="0.36"/>
          <dgm:constr type="w" for="ch" forName="descendantText" refType="w" fact="0.64"/>
          <dgm:constr type="h" for="ch" forName="parentText" refType="h"/>
          <dgm:constr type="h" for="ch" forName="descendantText" refType="h" refFor="ch" refForName="parentText" fact="0.8"/>
        </dgm:constrLst>
        <dgm:ruleLst/>
        <dgm:layoutNode name="parentText">
          <dgm:varLst>
            <dgm:chMax val="1"/>
            <dgm:bulletEnabled val="1"/>
          </dgm:varLst>
          <dgm:alg type="tx"/>
          <dgm:shape xmlns:r="http://schemas.openxmlformats.org/officeDocument/2006/relationships" type="roundRect" r:blip="" zOrderOff="3">
            <dgm:adjLst/>
          </dgm:shape>
          <dgm:presOf axis="self" ptType="node"/>
          <dgm:constrLst>
            <dgm:constr type="tMarg" refType="primFontSz" fact="0.15"/>
            <dgm:constr type="bMarg" refType="primFontSz" fact="0.15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choose name="Name8">
          <dgm:if name="Name9" axis="ch" ptType="node" func="cnt" op="gte" val="1">
            <dgm:layoutNode name="descendantText" styleLbl="alignAccFollowNode1">
              <dgm:varLst>
                <dgm:bulletEnabled val="1"/>
              </dgm:varLst>
              <dgm:alg type="tx">
                <dgm:param type="stBulletLvl" val="1"/>
                <dgm:param type="txAnchorVertCh" val="mid"/>
              </dgm:alg>
              <dgm:choose name="Name10">
                <dgm:if name="Name11" func="var" arg="dir" op="equ" val="norm">
                  <dgm:shape xmlns:r="http://schemas.openxmlformats.org/officeDocument/2006/relationships" rot="90" type="round2SameRect" r:blip="">
                    <dgm:adjLst/>
                  </dgm:shape>
                </dgm:if>
                <dgm:else name="Name12">
                  <dgm:shape xmlns:r="http://schemas.openxmlformats.org/officeDocument/2006/relationships" rot="-90" type="round2SameRect" r:blip="">
                    <dgm:adjLst/>
                  </dgm:shape>
                </dgm:else>
              </dgm:choose>
              <dgm:presOf axis="des" ptType="node"/>
              <dgm:constrLst>
                <dgm:constr type="secFontSz" val="65"/>
                <dgm:constr type="primFontSz" refType="secFontSz"/>
                <dgm:constr type="lMarg" refType="secFontSz" fact="0.3"/>
                <dgm:constr type="rMarg" refType="secFontSz" fact="0.3"/>
                <dgm:constr type="tMarg" refType="secFontSz" fact="0.15"/>
                <dgm:constr type="bMarg" refType="secFontSz" fact="0.15"/>
              </dgm:constrLst>
              <dgm:ruleLst>
                <dgm:rule type="secFontSz" val="5" fact="NaN" max="NaN"/>
              </dgm:ruleLst>
            </dgm:layoutNode>
          </dgm:if>
          <dgm:else name="Name13"/>
        </dgm:choose>
      </dgm:layoutNode>
      <dgm:forEach name="Name14" axis="followSib" ptType="sibTrans" cnt="1">
        <dgm:layoutNode name="sp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layout4.xml><?xml version="1.0" encoding="utf-8"?>
<dgm:layoutDef xmlns:dgm="http://schemas.openxmlformats.org/drawingml/2006/diagram" xmlns:a="http://schemas.openxmlformats.org/drawingml/2006/main" uniqueId="urn:microsoft.com/office/officeart/2005/8/layout/radial6">
  <dgm:title val=""/>
  <dgm:desc val=""/>
  <dgm:catLst>
    <dgm:cat type="cycle" pri="9000"/>
    <dgm:cat type="relationship" pri="21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  <dgm:pt modelId="14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  <dgm:cxn modelId="6" srcId="1" destId="14" srcOrd="3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12"/>
        <dgm:pt modelId="13"/>
      </dgm:ptLst>
      <dgm:cxnLst>
        <dgm:cxn modelId="2" srcId="0" destId="1" srcOrd="0" destOrd="0"/>
        <dgm:cxn modelId="15" srcId="1" destId="11" srcOrd="0" destOrd="0"/>
        <dgm:cxn modelId="16" srcId="1" destId="12" srcOrd="1" destOrd="0"/>
        <dgm:cxn modelId="17" srcId="1" destId="13" srcOrd="2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12"/>
        <dgm:pt modelId="13"/>
        <dgm:pt modelId="14"/>
        <dgm:pt modelId="15"/>
        <dgm:pt modelId="16"/>
      </dgm:ptLst>
      <dgm:cxnLst>
        <dgm:cxn modelId="2" srcId="0" destId="1" srcOrd="0" destOrd="0"/>
        <dgm:cxn modelId="16" srcId="1" destId="11" srcOrd="0" destOrd="0"/>
        <dgm:cxn modelId="17" srcId="1" destId="12" srcOrd="1" destOrd="0"/>
        <dgm:cxn modelId="18" srcId="1" destId="13" srcOrd="2" destOrd="0"/>
        <dgm:cxn modelId="19" srcId="1" destId="14" srcOrd="3" destOrd="0"/>
        <dgm:cxn modelId="20" srcId="1" destId="15" srcOrd="4" destOrd="0"/>
        <dgm:cxn modelId="21" srcId="1" destId="16" srcOrd="5" destOrd="0"/>
      </dgm:cxnLst>
      <dgm:bg/>
      <dgm:whole/>
    </dgm:dataModel>
  </dgm:clrData>
  <dgm:layoutNode name="Name0">
    <dgm:varLst>
      <dgm:chMax val="1"/>
      <dgm:dir/>
      <dgm:animLvl val="ctr"/>
      <dgm:resizeHandles val="exact"/>
    </dgm:varLst>
    <dgm:choose name="Name1">
      <dgm:if name="Name2" func="var" arg="dir" op="equ" val="norm">
        <dgm:choose name="Name3">
          <dgm:if name="Name4" axis="ch ch" ptType="node node" st="1 1" cnt="1 0" func="cnt" op="lte" val="1">
            <dgm:alg type="cycle">
              <dgm:param type="stAng" val="90"/>
              <dgm:param type="spanAng" val="360"/>
              <dgm:param type="ctrShpMap" val="fNode"/>
            </dgm:alg>
          </dgm:if>
          <dgm:else name="Name5">
            <dgm:alg type="cycle">
              <dgm:param type="stAng" val="0"/>
              <dgm:param type="spanAng" val="360"/>
              <dgm:param type="ctrShpMap" val="fNode"/>
            </dgm:alg>
          </dgm:else>
        </dgm:choose>
      </dgm:if>
      <dgm:else name="Name6">
        <dgm:choose name="Name7">
          <dgm:if name="Name8" axis="ch ch" ptType="node node" st="1 1" cnt="1 0" func="cnt" op="lte" val="1">
            <dgm:alg type="cycle">
              <dgm:param type="stAng" val="-90"/>
              <dgm:param type="spanAng" val="360"/>
              <dgm:param type="ctrShpMap" val="fNode"/>
            </dgm:alg>
          </dgm:if>
          <dgm:else name="Name9">
            <dgm:alg type="cycle">
              <dgm:param type="stAng" val="0"/>
              <dgm:param type="spanAng" val="-360"/>
              <dgm:param type="ctrShpMap" val="fNode"/>
            </dgm:alg>
          </dgm:else>
        </dgm:choose>
      </dgm:else>
    </dgm:choose>
    <dgm:shape xmlns:r="http://schemas.openxmlformats.org/officeDocument/2006/relationships" r:blip="">
      <dgm:adjLst/>
    </dgm:shape>
    <dgm:presOf/>
    <dgm:choose name="Name10">
      <dgm:if name="Name11" func="var" arg="dir" op="equ" val="norm">
        <dgm:choose name="Name12">
          <dgm:if name="Name13" axis="ch ch" ptType="node node" st="1 1" cnt="1 0" func="cnt" op="equ" val="1">
            <dgm:constrLst>
              <dgm:constr type="diam" val="170"/>
              <dgm:constr type="w" for="ch" forName="centerShape" refType="w"/>
              <dgm:constr type="w" for="ch" forName="oneComp" refType="w" refFor="ch" refForName="centerShape" op="equ" fact="0.7"/>
              <dgm:constr type="sp" refType="w" refFor="ch" refForName="oneComp" fact="0.3"/>
              <dgm:constr type="sibSp" refType="w" refFor="ch" refForName="oneComp" fact="0.3"/>
              <dgm:constr type="primFontSz" for="ch" forName="centerShape" val="65"/>
              <dgm:constr type="primFontSz" for="des" forName="oneNode" refType="primFontSz" refFor="ch" refForName="centerShape" fact="0.95"/>
              <dgm:constr type="primFontSz" for="des" forName="oneNode" refType="primFontSz" refFor="ch" refForName="centerShape" op="lte" fact="0.95"/>
              <dgm:constr type="diam" for="ch" forName="singleconn" refType="diam" op="equ" fact="-1"/>
              <dgm:constr type="h" for="ch" forName="singleconn" refType="w" refFor="ch" refForName="oneComp" fact="0.24"/>
              <dgm:constr type="w" for="ch" forName="dummya" refType="w" refFor="ch" refForName="oneComp" op="equ"/>
              <dgm:constr type="w" for="ch" forName="dummyb" refType="w" refFor="ch" refForName="oneComp" op="equ"/>
              <dgm:constr type="w" for="ch" forName="dummyc" refType="w" refFor="ch" refForName="oneComp" op="equ"/>
            </dgm:constrLst>
          </dgm:if>
          <dgm:else name="Name14">
            <dgm:constrLst>
              <dgm:constr type="diam" val="170"/>
              <dgm:constr type="w" for="ch" forName="centerShape" refType="w"/>
              <dgm:constr type="w" for="ch" forName="node" refType="w" refFor="ch" refForName="centerShape" op="equ" fact="0.7"/>
              <dgm:constr type="sp" refType="w" refFor="ch" refForName="node" fact="0.3"/>
              <dgm:constr type="sibSp" refType="w" refFor="ch" refForName="node" fact="0.3"/>
              <dgm:constr type="primFontSz" for="ch" forName="centerShape" val="65"/>
              <dgm:constr type="primFontSz" for="des" forName="node" refType="primFontSz" refFor="ch" refForName="centerShape" fact="0.78"/>
              <dgm:constr type="primFontSz" for="ch" forName="node" refType="primFontSz" refFor="ch" refForName="centerShape" op="lte" fact="0.95"/>
              <dgm:constr type="diam" for="ch" forName="sibTrans" refType="diam" op="equ"/>
              <dgm:constr type="h" for="ch" forName="sibTrans" refType="w" refFor="ch" refForName="node" fact="0.24"/>
              <dgm:constr type="w" for="ch" forName="dummy" val="1"/>
            </dgm:constrLst>
          </dgm:else>
        </dgm:choose>
      </dgm:if>
      <dgm:else name="Name15">
        <dgm:choose name="Name16">
          <dgm:if name="Name17" axis="ch ch" ptType="node node" st="1 1" cnt="1 0" func="cnt" op="equ" val="1">
            <dgm:constrLst>
              <dgm:constr type="diam" val="170"/>
              <dgm:constr type="w" for="ch" forName="centerShape" refType="w"/>
              <dgm:constr type="w" for="ch" forName="oneComp" refType="w" refFor="ch" refForName="centerShape" op="equ" fact="0.7"/>
              <dgm:constr type="sp" refType="w" refFor="ch" refForName="oneComp" fact="0.3"/>
              <dgm:constr type="sibSp" refType="w" refFor="ch" refForName="oneComp" fact="0.3"/>
              <dgm:constr type="primFontSz" for="ch" forName="centerShape" val="65"/>
              <dgm:constr type="primFontSz" for="des" forName="oneNode" refType="primFontSz" refFor="ch" refForName="centerShape" fact="0.95"/>
              <dgm:constr type="primFontSz" for="ch" forName="oneNode" refType="primFontSz" refFor="ch" refForName="centerShape" op="lte" fact="0.95"/>
              <dgm:constr type="diam" for="ch" forName="singleconn" refType="diam"/>
              <dgm:constr type="h" for="ch" forName="singleconn" refType="w" refFor="ch" refForName="oneComp" fact="0.24"/>
              <dgm:constr type="diam" for="ch" refType="diam" op="equ"/>
              <dgm:constr type="w" for="ch" forName="dummya" refType="w" refFor="ch" refForName="oneComp" op="equ"/>
              <dgm:constr type="w" for="ch" forName="dummyb" refType="w" refFor="ch" refForName="oneComp" op="equ"/>
              <dgm:constr type="w" for="ch" forName="dummyc" refType="w" refFor="ch" refForName="oneComp" op="equ"/>
            </dgm:constrLst>
          </dgm:if>
          <dgm:else name="Name18">
            <dgm:constrLst>
              <dgm:constr type="diam" val="170"/>
              <dgm:constr type="w" for="ch" forName="centerShape" refType="w"/>
              <dgm:constr type="w" for="ch" forName="node" refType="w" refFor="ch" refForName="centerShape" op="equ" fact="0.7"/>
              <dgm:constr type="sp" refType="w" refFor="ch" refForName="node" fact="0.3"/>
              <dgm:constr type="sibSp" refType="w" refFor="ch" refForName="node" fact="0.3"/>
              <dgm:constr type="primFontSz" for="ch" forName="centerShape" val="65"/>
              <dgm:constr type="primFontSz" for="des" forName="node" refType="primFontSz" refFor="ch" refForName="centerShape" fact="0.78"/>
              <dgm:constr type="primFontSz" for="ch" forName="node" refType="primFontSz" refFor="ch" refForName="centerShape" op="lte" fact="0.95"/>
              <dgm:constr type="diam" for="ch" ptType="sibTrans" refType="diam" fact="-1"/>
              <dgm:constr type="h" for="ch" forName="sibTrans" refType="w" refFor="ch" refForName="node" fact="0.24"/>
              <dgm:constr type="diam" for="ch" refType="diam" op="equ" fact="-1"/>
              <dgm:constr type="w" for="ch" forName="dummy" val="1"/>
            </dgm:constrLst>
          </dgm:else>
        </dgm:choose>
      </dgm:else>
    </dgm:choose>
    <dgm:ruleLst>
      <dgm:rule type="diam" val="INF" fact="NaN" max="NaN"/>
    </dgm:ruleLst>
    <dgm:forEach name="Name19" axis="ch" ptType="node" cnt="1">
      <dgm:layoutNode name="centerShape" styleLbl="node0">
        <dgm:alg type="tx"/>
        <dgm:shape xmlns:r="http://schemas.openxmlformats.org/officeDocument/2006/relationships" type="ellipse" r:blip="">
          <dgm:adjLst/>
        </dgm:shape>
        <dgm:presOf axis="self"/>
        <dgm:constrLst>
          <dgm:constr type="h" refType="w"/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forEach name="Name20" axis="ch">
        <dgm:forEach name="Name21" axis="self" ptType="node">
          <dgm:choose name="Name22">
            <dgm:if name="Name23" axis="par ch" ptType="node node" func="cnt" op="gt" val="1">
              <dgm:layoutNode name="node" styleLbl="node1">
                <dgm:varLst>
                  <dgm:bulletEnabled val="1"/>
                </dgm:varLst>
                <dgm:alg type="tx">
                  <dgm:param type="txAnchorVertCh" val="mid"/>
                </dgm:alg>
                <dgm:shape xmlns:r="http://schemas.openxmlformats.org/officeDocument/2006/relationships" type="ellipse" r:blip="">
                  <dgm:adjLst/>
                </dgm:shape>
                <dgm:presOf axis="desOrSelf" ptType="node"/>
                <dgm:constrLst>
                  <dgm:constr type="h" refType="w"/>
                  <dgm:constr type="tMarg" refType="primFontSz" fact="0.1"/>
                  <dgm:constr type="bMarg" refType="primFontSz" fact="0.1"/>
                  <dgm:constr type="lMarg" refType="primFontSz" fact="0.1"/>
                  <dgm:constr type="rMarg" refType="primFontSz" fact="0.1"/>
                </dgm:constrLst>
                <dgm:ruleLst>
                  <dgm:rule type="primFontSz" val="5" fact="NaN" max="NaN"/>
                </dgm:ruleLst>
              </dgm:layoutNode>
              <dgm:layoutNode name="dummy">
                <dgm:alg type="sp"/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</dgm:constrLst>
                <dgm:ruleLst/>
              </dgm:layoutNode>
              <dgm:forEach name="sibTransForEach" axis="followSib" ptType="sibTrans" hideLastTrans="0" cnt="1">
                <dgm:layoutNode name="sibTrans" styleLbl="sibTrans2D1">
                  <dgm:alg type="conn">
                    <dgm:param type="connRout" val="curve"/>
                    <dgm:param type="begPts" val="ctr"/>
                    <dgm:param type="endPts" val="ctr"/>
                    <dgm:param type="begSty" val="noArr"/>
                    <dgm:param type="endSty" val="noArr"/>
                    <dgm:param type="dstNode" val="node"/>
                  </dgm:alg>
                  <dgm:shape xmlns:r="http://schemas.openxmlformats.org/officeDocument/2006/relationships" type="conn" r:blip="" zOrderOff="-999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</dgm:if>
            <dgm:if name="Name24" axis="par ch" ptType="node node" func="cnt" op="equ" val="1">
              <dgm:layoutNode name="oneComp">
                <dgm:alg type="composite">
                  <dgm:param type="ar" val="1"/>
                </dgm:alg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  <dgm:constr type="l" for="ch" forName="dummyConnPt" refType="w" fact="0.5"/>
                  <dgm:constr type="t" for="ch" forName="dummyConnPt" refType="w" fact="0.5"/>
                  <dgm:constr type="l" for="ch" forName="oneNode"/>
                  <dgm:constr type="t" for="ch" forName="oneNode"/>
                  <dgm:constr type="h" for="ch" forName="oneNode" refType="h"/>
                  <dgm:constr type="w" for="ch" forName="oneNode" refType="w"/>
                </dgm:constrLst>
                <dgm:ruleLst/>
                <dgm:layoutNode name="dummyConnPt" styleLbl="node1">
                  <dgm:alg type="sp"/>
                  <dgm:shape xmlns:r="http://schemas.openxmlformats.org/officeDocument/2006/relationships" r:blip="">
                    <dgm:adjLst/>
                  </dgm:shape>
                  <dgm:presOf/>
                  <dgm:constrLst>
                    <dgm:constr type="w" val="1"/>
                    <dgm:constr type="h" val="1"/>
                  </dgm:constrLst>
                  <dgm:ruleLst/>
                </dgm:layoutNode>
                <dgm:layoutNode name="oneNode" styleLbl="node1">
                  <dgm:varLst>
                    <dgm:bulletEnabled val="1"/>
                  </dgm:varLst>
                  <dgm:alg type="tx">
                    <dgm:param type="txAnchorVertCh" val="mid"/>
                  </dgm:alg>
                  <dgm:shape xmlns:r="http://schemas.openxmlformats.org/officeDocument/2006/relationships" type="ellipse" r:blip="">
                    <dgm:adjLst/>
                  </dgm:shape>
                  <dgm:presOf axis="desOrSelf" ptType="node"/>
                  <dgm:constrLst>
                    <dgm:constr type="h" refType="w"/>
                    <dgm:constr type="tMarg" refType="primFontSz" fact="0.1"/>
                    <dgm:constr type="bMarg" refType="primFontSz" fact="0.1"/>
                    <dgm:constr type="lMarg" refType="primFontSz" fact="0.1"/>
                    <dgm:constr type="rMarg" refType="primFontSz" fact="0.1"/>
                  </dgm:constrLst>
                  <dgm:ruleLst>
                    <dgm:rule type="primFontSz" val="5" fact="NaN" max="NaN"/>
                  </dgm:ruleLst>
                </dgm:layoutNode>
              </dgm:layoutNode>
              <dgm:layoutNode name="dummya">
                <dgm:alg type="sp"/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</dgm:constrLst>
                <dgm:ruleLst/>
              </dgm:layoutNode>
              <dgm:layoutNode name="dummyb">
                <dgm:alg type="sp"/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</dgm:constrLst>
                <dgm:ruleLst/>
              </dgm:layoutNode>
              <dgm:layoutNode name="dummyc">
                <dgm:alg type="sp"/>
                <dgm:shape xmlns:r="http://schemas.openxmlformats.org/officeDocument/2006/relationships" r:blip="">
                  <dgm:adjLst/>
                </dgm:shape>
                <dgm:presOf/>
                <dgm:constrLst>
                  <dgm:constr type="h" refType="w"/>
                </dgm:constrLst>
                <dgm:ruleLst/>
              </dgm:layoutNode>
              <dgm:forEach name="sibTransForEach1" axis="followSib" ptType="sibTrans" hideLastTrans="0" cnt="1">
                <dgm:layoutNode name="singleconn" styleLbl="sibTrans2D1">
                  <dgm:alg type="conn">
                    <dgm:param type="connRout" val="longCurve"/>
                    <dgm:param type="begPts" val="bCtr"/>
                    <dgm:param type="endPts" val="tCtr"/>
                    <dgm:param type="begSty" val="noArr"/>
                    <dgm:param type="endSty" val="noArr"/>
                    <dgm:param type="srcNode" val="dummyConnPt"/>
                    <dgm:param type="dstNode" val="dummyConnPt"/>
                  </dgm:alg>
                  <dgm:shape xmlns:r="http://schemas.openxmlformats.org/officeDocument/2006/relationships" type="conn" r:blip="" zOrderOff="-999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</dgm:if>
            <dgm:else name="Name25"/>
          </dgm:choose>
        </dgm:forEach>
      </dgm:forEach>
    </dgm:forEach>
  </dgm:layoutNode>
</dgm:layoutDef>
</file>

<file path=xl/diagrams/layout5.xml><?xml version="1.0" encoding="utf-8"?>
<dgm:layoutDef xmlns:dgm="http://schemas.openxmlformats.org/drawingml/2006/diagram" xmlns:a="http://schemas.openxmlformats.org/drawingml/2006/main" uniqueId="urn:microsoft.com/office/officeart/2005/8/layout/vList5">
  <dgm:title val=""/>
  <dgm:desc val=""/>
  <dgm:catLst>
    <dgm:cat type="list" pri="15000"/>
    <dgm:cat type="convert" pri="2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32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2" destOrd="0"/>
        <dgm:cxn modelId="13" srcId="1" destId="11" srcOrd="0" destOrd="0"/>
        <dgm:cxn modelId="14" srcId="1" destId="12" srcOrd="1" destOrd="0"/>
        <dgm:cxn modelId="23" srcId="2" destId="21" srcOrd="0" destOrd="0"/>
        <dgm:cxn modelId="24" srcId="2" destId="22" srcOrd="1" destOrd="0"/>
        <dgm:cxn modelId="33" srcId="3" destId="31" srcOrd="0" destOrd="0"/>
        <dgm:cxn modelId="34" srcId="3" destId="32" srcOrd="1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2"/>
        <dgm:pt modelId="21"/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23" srcId="2" destId="21" srcOrd="0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2"/>
        <dgm:pt modelId="21"/>
        <dgm:pt modelId="3"/>
        <dgm:pt modelId="31"/>
        <dgm:pt modelId="4"/>
        <dgm:pt modelId="41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  <dgm:cxn modelId="13" srcId="1" destId="11" srcOrd="0" destOrd="0"/>
        <dgm:cxn modelId="23" srcId="2" destId="21" srcOrd="0" destOrd="0"/>
        <dgm:cxn modelId="33" srcId="3" destId="31" srcOrd="0" destOrd="0"/>
        <dgm:cxn modelId="43" srcId="4" destId="41" srcOrd="0" destOrd="0"/>
      </dgm:cxnLst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>
          <dgm:param type="linDir" val="fromT"/>
          <dgm:param type="nodeHorzAlign" val="l"/>
        </dgm:alg>
      </dgm:if>
      <dgm:else name="Name3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h" for="ch" forName="linNode" refType="h"/>
      <dgm:constr type="w" for="ch" forName="linNode" refType="w"/>
      <dgm:constr type="h" for="ch" forName="sp" refType="h" fact="0.05"/>
      <dgm:constr type="primFontSz" for="des" forName="parentText" op="equ" val="65"/>
      <dgm:constr type="secFontSz" for="des" forName="descendantText" op="equ"/>
    </dgm:constrLst>
    <dgm:ruleLst/>
    <dgm:forEach name="Name4" axis="ch" ptType="node">
      <dgm:layoutNode name="linNode">
        <dgm:choose name="Name5">
          <dgm:if name="Name6" func="var" arg="dir" op="equ" val="norm">
            <dgm:alg type="lin">
              <dgm:param type="linDir" val="fromL"/>
            </dgm:alg>
          </dgm:if>
          <dgm:else name="Name7">
            <dgm:alg type="lin">
              <dgm:param type="linDir" val="fromR"/>
            </dgm:alg>
          </dgm:else>
        </dgm:choose>
        <dgm:shape xmlns:r="http://schemas.openxmlformats.org/officeDocument/2006/relationships" r:blip="">
          <dgm:adjLst/>
        </dgm:shape>
        <dgm:presOf/>
        <dgm:constrLst>
          <dgm:constr type="w" for="ch" forName="parentText" refType="w" fact="0.36"/>
          <dgm:constr type="w" for="ch" forName="descendantText" refType="w" fact="0.64"/>
          <dgm:constr type="h" for="ch" forName="parentText" refType="h"/>
          <dgm:constr type="h" for="ch" forName="descendantText" refType="h" refFor="ch" refForName="parentText" fact="0.8"/>
        </dgm:constrLst>
        <dgm:ruleLst/>
        <dgm:layoutNode name="parentText">
          <dgm:varLst>
            <dgm:chMax val="1"/>
            <dgm:bulletEnabled val="1"/>
          </dgm:varLst>
          <dgm:alg type="tx"/>
          <dgm:shape xmlns:r="http://schemas.openxmlformats.org/officeDocument/2006/relationships" type="roundRect" r:blip="" zOrderOff="3">
            <dgm:adjLst/>
          </dgm:shape>
          <dgm:presOf axis="self" ptType="node"/>
          <dgm:constrLst>
            <dgm:constr type="tMarg" refType="primFontSz" fact="0.15"/>
            <dgm:constr type="bMarg" refType="primFontSz" fact="0.15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choose name="Name8">
          <dgm:if name="Name9" axis="ch" ptType="node" func="cnt" op="gte" val="1">
            <dgm:layoutNode name="descendantText" styleLbl="alignAccFollowNode1">
              <dgm:varLst>
                <dgm:bulletEnabled val="1"/>
              </dgm:varLst>
              <dgm:alg type="tx">
                <dgm:param type="stBulletLvl" val="1"/>
                <dgm:param type="txAnchorVertCh" val="mid"/>
              </dgm:alg>
              <dgm:choose name="Name10">
                <dgm:if name="Name11" func="var" arg="dir" op="equ" val="norm">
                  <dgm:shape xmlns:r="http://schemas.openxmlformats.org/officeDocument/2006/relationships" rot="90" type="round2SameRect" r:blip="">
                    <dgm:adjLst/>
                  </dgm:shape>
                </dgm:if>
                <dgm:else name="Name12">
                  <dgm:shape xmlns:r="http://schemas.openxmlformats.org/officeDocument/2006/relationships" rot="-90" type="round2SameRect" r:blip="">
                    <dgm:adjLst/>
                  </dgm:shape>
                </dgm:else>
              </dgm:choose>
              <dgm:presOf axis="des" ptType="node"/>
              <dgm:constrLst>
                <dgm:constr type="secFontSz" val="65"/>
                <dgm:constr type="primFontSz" refType="secFontSz"/>
                <dgm:constr type="lMarg" refType="secFontSz" fact="0.3"/>
                <dgm:constr type="rMarg" refType="secFontSz" fact="0.3"/>
                <dgm:constr type="tMarg" refType="secFontSz" fact="0.15"/>
                <dgm:constr type="bMarg" refType="secFontSz" fact="0.15"/>
              </dgm:constrLst>
              <dgm:ruleLst>
                <dgm:rule type="secFontSz" val="5" fact="NaN" max="NaN"/>
              </dgm:ruleLst>
            </dgm:layoutNode>
          </dgm:if>
          <dgm:else name="Name13"/>
        </dgm:choose>
      </dgm:layoutNode>
      <dgm:forEach name="Name14" axis="followSib" ptType="sibTrans" cnt="1">
        <dgm:layoutNode name="sp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3d2">
  <dgm:title val=""/>
  <dgm:desc val=""/>
  <dgm:catLst>
    <dgm:cat type="3D" pri="11200"/>
  </dgm:catLst>
  <dgm:scene3d>
    <a:camera prst="orthographicFront"/>
    <a:lightRig rig="threePt" dir="t"/>
  </dgm:scene3d>
  <dgm:styleLbl name="node0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tx1"/>
      </a:fontRef>
    </dgm:style>
  </dgm:styleLbl>
  <dgm:styleLbl name="alingNode1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>
        <a:rot lat="0" lon="0" rev="7500000"/>
      </a:lightRig>
    </dgm:scene3d>
    <dgm:sp3d z="152400" extrusionH="63500" prstMaterial="matte">
      <a:bevelT w="50800" h="190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>
        <a:rot lat="0" lon="0" rev="7500000"/>
      </a:lightRig>
    </dgm:scene3d>
    <dgm:sp3d z="254000" extrusionH="63500" contourW="127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>
        <a:rot lat="0" lon="0" rev="7500000"/>
      </a:lightRig>
    </dgm:scene3d>
    <dgm:sp3d z="-152400" extrusionH="63500" contourW="127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>
        <a:rot lat="0" lon="0" rev="7500000"/>
      </a:lightRig>
    </dgm:scene3d>
    <dgm:sp3d z="-70000" extrusionH="63500" prstMaterial="matte">
      <a:bevelT w="25400" h="63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>
        <a:rot lat="0" lon="0" rev="7500000"/>
      </a:lightRig>
    </dgm:scene3d>
    <dgm:sp3d z="152400" extrusionH="63500" prstMaterial="matte">
      <a:bevelT w="25400" h="63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>
        <a:rot lat="0" lon="0" rev="7500000"/>
      </a:lightRig>
    </dgm:scene3d>
    <dgm:sp3d z="-152400" extrusionH="63500" prstMaterial="matte">
      <a:bevelT w="25400" h="63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>
        <a:rot lat="0" lon="0" rev="7500000"/>
      </a:lightRig>
    </dgm:scene3d>
    <dgm:sp3d z="-40000" prstMaterial="matte"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>
        <a:rot lat="0" lon="0" rev="7500000"/>
      </a:lightRig>
    </dgm:scene3d>
    <dgm:sp3d z="127000" prstMaterial="matte"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>
        <a:rot lat="0" lon="0" rev="7500000"/>
      </a:lightRig>
    </dgm:scene3d>
    <dgm:sp3d extrusionH="63500" prstMaterial="matte">
      <a:bevelT w="50800" h="190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>
        <a:rot lat="0" lon="0" rev="7500000"/>
      </a:lightRig>
    </dgm:scene3d>
    <dgm:sp3d extrusionH="63500" prstMaterial="matte">
      <a:bevelT w="50800" h="190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>
        <a:rot lat="0" lon="0" rev="7500000"/>
      </a:lightRig>
    </dgm:scene3d>
    <dgm:sp3d z="60000" prstMaterial="flat">
      <a:bevelT w="120900" h="88900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>
        <a:rot lat="0" lon="0" rev="7500000"/>
      </a:lightRig>
    </dgm:scene3d>
    <dgm:sp3d z="60000" prstMaterial="flat">
      <a:bevelT w="120900" h="88900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>
        <a:rot lat="0" lon="0" rev="7500000"/>
      </a:lightRig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>
        <a:rot lat="0" lon="0" rev="7500000"/>
      </a:lightRig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>
        <a:rot lat="0" lon="0" rev="7500000"/>
      </a:lightRig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>
        <a:rot lat="0" lon="0" rev="7500000"/>
      </a:lightRig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>
        <a:rot lat="0" lon="0" rev="7500000"/>
      </a:lightRig>
    </dgm:scene3d>
    <dgm:sp3d z="152400" extrusionH="63500" prstMaterial="dkEdge">
      <a:bevelT w="135400" h="1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conFgAcc1">
    <dgm:scene3d>
      <a:camera prst="orthographicFront"/>
      <a:lightRig rig="threePt" dir="t">
        <a:rot lat="0" lon="0" rev="7500000"/>
      </a:lightRig>
    </dgm:scene3d>
    <dgm:sp3d z="152400" extrusionH="63500" prstMaterial="dkEdge">
      <a:bevelT w="135400" h="1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1">
    <dgm:scene3d>
      <a:camera prst="orthographicFront"/>
      <a:lightRig rig="threePt" dir="t">
        <a:rot lat="0" lon="0" rev="7500000"/>
      </a:lightRig>
    </dgm:scene3d>
    <dgm:sp3d extrusionH="190500" prstMaterial="dkEdge">
      <a:bevelT w="135400" h="1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AlignAcc1">
    <dgm:scene3d>
      <a:camera prst="orthographicFront"/>
      <a:lightRig rig="threePt" dir="t">
        <a:rot lat="0" lon="0" rev="7500000"/>
      </a:lightRig>
    </dgm:scene3d>
    <dgm:sp3d prstMaterial="plastic">
      <a:bevelT w="127000" h="354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Acc1">
    <dgm:scene3d>
      <a:camera prst="orthographicFront"/>
      <a:lightRig rig="threePt" dir="t">
        <a:rot lat="0" lon="0" rev="7500000"/>
      </a:lightRig>
    </dgm:scene3d>
    <dgm:sp3d z="-152400" extrusionH="63500" prstMaterial="dkEdge">
      <a:bevelT w="124450" h="1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>
        <a:rot lat="0" lon="0" rev="7500000"/>
      </a:lightRig>
    </dgm:scene3d>
    <dgm:sp3d z="152400" extrusionH="63500" prstMaterial="dkEdge">
      <a:bevelT w="120800" h="190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AlignAcc1">
    <dgm:scene3d>
      <a:camera prst="orthographicFront"/>
      <a:lightRig rig="threePt" dir="t">
        <a:rot lat="0" lon="0" rev="7500000"/>
      </a:lightRig>
    </dgm:scene3d>
    <dgm:sp3d extrusionH="190500" prstMaterial="dkEdge">
      <a:bevelT w="120650" h="3810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BgAcc1">
    <dgm:scene3d>
      <a:camera prst="orthographicFront"/>
      <a:lightRig rig="threePt" dir="t">
        <a:rot lat="0" lon="0" rev="7500000"/>
      </a:lightRig>
    </dgm:scene3d>
    <dgm:sp3d z="-152400" extrusionH="63500" prstMaterial="dkEdge">
      <a:bevelT w="14445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>
        <a:rot lat="0" lon="0" rev="7500000"/>
      </a:lightRig>
    </dgm:scene3d>
    <dgm:sp3d z="152400" extrusionH="63500" prstMaterial="dkEdge">
      <a:bevelT w="12540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>
        <a:rot lat="0" lon="0" rev="7500000"/>
      </a:lightRig>
    </dgm:scene3d>
    <dgm:sp3d extrusionH="190500" prstMaterial="dkEdge">
      <a:bevelT w="120650" h="38100" prst="relaxedInset"/>
      <a:bevelB w="120650" h="571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FollowNode1">
    <dgm:scene3d>
      <a:camera prst="orthographicFront"/>
      <a:lightRig rig="threePt" dir="t">
        <a:rot lat="0" lon="0" rev="7500000"/>
      </a:lightRig>
    </dgm:scene3d>
    <dgm:sp3d z="-152400" extrusionH="63500" prstMaterial="dkEdge">
      <a:bevelT w="14445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0">
    <dgm:scene3d>
      <a:camera prst="orthographicFront"/>
      <a:lightRig rig="threePt" dir="t">
        <a:rot lat="0" lon="0" rev="7500000"/>
      </a:lightRig>
    </dgm:scene3d>
    <dgm:sp3d z="152400" extrusionH="63500" prstMaterial="dkEdge">
      <a:bevelT w="12540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2">
    <dgm:scene3d>
      <a:camera prst="orthographicFront"/>
      <a:lightRig rig="threePt" dir="t">
        <a:rot lat="0" lon="0" rev="7500000"/>
      </a:lightRig>
    </dgm:scene3d>
    <dgm:sp3d z="152400" extrusionH="63500" prstMaterial="dkEdge">
      <a:bevelT w="12540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3">
    <dgm:scene3d>
      <a:camera prst="orthographicFront"/>
      <a:lightRig rig="threePt" dir="t">
        <a:rot lat="0" lon="0" rev="7500000"/>
      </a:lightRig>
    </dgm:scene3d>
    <dgm:sp3d z="152400" extrusionH="63500" prstMaterial="dkEdge">
      <a:bevelT w="12540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4">
    <dgm:scene3d>
      <a:camera prst="orthographicFront"/>
      <a:lightRig rig="threePt" dir="t">
        <a:rot lat="0" lon="0" rev="7500000"/>
      </a:lightRig>
    </dgm:scene3d>
    <dgm:sp3d z="152400" extrusionH="63500" prstMaterial="dkEdge">
      <a:bevelT w="12540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Shp">
    <dgm:scene3d>
      <a:camera prst="orthographicFront"/>
      <a:lightRig rig="threePt" dir="t">
        <a:rot lat="0" lon="0" rev="7500000"/>
      </a:lightRig>
    </dgm:scene3d>
    <dgm:sp3d z="-152400" extrusionH="63500" prstMaterial="matte">
      <a:bevelT w="144450" h="6350" prst="relaxedInset"/>
      <a:contourClr>
        <a:schemeClr val="bg1"/>
      </a:contourClr>
    </dgm:sp3d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  <a:bevelB w="88900" h="121750" prst="angle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trBgShp">
    <dgm:scene3d>
      <a:camera prst="orthographicFront"/>
      <a:lightRig rig="threePt" dir="t"/>
    </dgm:scene3d>
    <dgm:sp3d z="-152400" prstMaterial="matte"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>
        <a:rot lat="0" lon="0" rev="7500000"/>
      </a:lightRig>
    </dgm:scene3d>
    <dgm:sp3d z="152400" extrusionH="63500" prstMaterial="matte">
      <a:bevelT w="50800" h="190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3d2">
  <dgm:title val=""/>
  <dgm:desc val=""/>
  <dgm:catLst>
    <dgm:cat type="3D" pri="11200"/>
  </dgm:catLst>
  <dgm:scene3d>
    <a:camera prst="orthographicFront"/>
    <a:lightRig rig="threePt" dir="t"/>
  </dgm:scene3d>
  <dgm:styleLbl name="node0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tx1"/>
      </a:fontRef>
    </dgm:style>
  </dgm:styleLbl>
  <dgm:styleLbl name="alingNode1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>
        <a:rot lat="0" lon="0" rev="7500000"/>
      </a:lightRig>
    </dgm:scene3d>
    <dgm:sp3d z="152400" extrusionH="63500" prstMaterial="matte">
      <a:bevelT w="50800" h="190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>
        <a:rot lat="0" lon="0" rev="7500000"/>
      </a:lightRig>
    </dgm:scene3d>
    <dgm:sp3d z="254000" extrusionH="63500" contourW="127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>
        <a:rot lat="0" lon="0" rev="7500000"/>
      </a:lightRig>
    </dgm:scene3d>
    <dgm:sp3d z="-152400" extrusionH="63500" contourW="127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>
        <a:rot lat="0" lon="0" rev="7500000"/>
      </a:lightRig>
    </dgm:scene3d>
    <dgm:sp3d z="-70000" extrusionH="63500" prstMaterial="matte">
      <a:bevelT w="25400" h="63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>
        <a:rot lat="0" lon="0" rev="7500000"/>
      </a:lightRig>
    </dgm:scene3d>
    <dgm:sp3d z="152400" extrusionH="63500" prstMaterial="matte">
      <a:bevelT w="25400" h="63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>
        <a:rot lat="0" lon="0" rev="7500000"/>
      </a:lightRig>
    </dgm:scene3d>
    <dgm:sp3d z="-152400" extrusionH="63500" prstMaterial="matte">
      <a:bevelT w="25400" h="63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>
        <a:rot lat="0" lon="0" rev="7500000"/>
      </a:lightRig>
    </dgm:scene3d>
    <dgm:sp3d z="-40000" prstMaterial="matte"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>
        <a:rot lat="0" lon="0" rev="7500000"/>
      </a:lightRig>
    </dgm:scene3d>
    <dgm:sp3d z="127000" prstMaterial="matte"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>
        <a:rot lat="0" lon="0" rev="7500000"/>
      </a:lightRig>
    </dgm:scene3d>
    <dgm:sp3d extrusionH="63500" prstMaterial="matte">
      <a:bevelT w="50800" h="190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>
        <a:rot lat="0" lon="0" rev="7500000"/>
      </a:lightRig>
    </dgm:scene3d>
    <dgm:sp3d extrusionH="63500" prstMaterial="matte">
      <a:bevelT w="50800" h="190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>
        <a:rot lat="0" lon="0" rev="7500000"/>
      </a:lightRig>
    </dgm:scene3d>
    <dgm:sp3d z="60000" prstMaterial="flat">
      <a:bevelT w="120900" h="88900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>
        <a:rot lat="0" lon="0" rev="7500000"/>
      </a:lightRig>
    </dgm:scene3d>
    <dgm:sp3d z="60000" prstMaterial="flat">
      <a:bevelT w="120900" h="88900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>
        <a:rot lat="0" lon="0" rev="7500000"/>
      </a:lightRig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>
        <a:rot lat="0" lon="0" rev="7500000"/>
      </a:lightRig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>
        <a:rot lat="0" lon="0" rev="7500000"/>
      </a:lightRig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>
        <a:rot lat="0" lon="0" rev="7500000"/>
      </a:lightRig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>
        <a:rot lat="0" lon="0" rev="7500000"/>
      </a:lightRig>
    </dgm:scene3d>
    <dgm:sp3d z="152400" extrusionH="63500" prstMaterial="dkEdge">
      <a:bevelT w="135400" h="1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conFgAcc1">
    <dgm:scene3d>
      <a:camera prst="orthographicFront"/>
      <a:lightRig rig="threePt" dir="t">
        <a:rot lat="0" lon="0" rev="7500000"/>
      </a:lightRig>
    </dgm:scene3d>
    <dgm:sp3d z="152400" extrusionH="63500" prstMaterial="dkEdge">
      <a:bevelT w="135400" h="1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1">
    <dgm:scene3d>
      <a:camera prst="orthographicFront"/>
      <a:lightRig rig="threePt" dir="t">
        <a:rot lat="0" lon="0" rev="7500000"/>
      </a:lightRig>
    </dgm:scene3d>
    <dgm:sp3d extrusionH="190500" prstMaterial="dkEdge">
      <a:bevelT w="135400" h="1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AlignAcc1">
    <dgm:scene3d>
      <a:camera prst="orthographicFront"/>
      <a:lightRig rig="threePt" dir="t">
        <a:rot lat="0" lon="0" rev="7500000"/>
      </a:lightRig>
    </dgm:scene3d>
    <dgm:sp3d prstMaterial="plastic">
      <a:bevelT w="127000" h="354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Acc1">
    <dgm:scene3d>
      <a:camera prst="orthographicFront"/>
      <a:lightRig rig="threePt" dir="t">
        <a:rot lat="0" lon="0" rev="7500000"/>
      </a:lightRig>
    </dgm:scene3d>
    <dgm:sp3d z="-152400" extrusionH="63500" prstMaterial="dkEdge">
      <a:bevelT w="124450" h="1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>
        <a:rot lat="0" lon="0" rev="7500000"/>
      </a:lightRig>
    </dgm:scene3d>
    <dgm:sp3d z="152400" extrusionH="63500" prstMaterial="dkEdge">
      <a:bevelT w="120800" h="190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AlignAcc1">
    <dgm:scene3d>
      <a:camera prst="orthographicFront"/>
      <a:lightRig rig="threePt" dir="t">
        <a:rot lat="0" lon="0" rev="7500000"/>
      </a:lightRig>
    </dgm:scene3d>
    <dgm:sp3d extrusionH="190500" prstMaterial="dkEdge">
      <a:bevelT w="120650" h="3810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BgAcc1">
    <dgm:scene3d>
      <a:camera prst="orthographicFront"/>
      <a:lightRig rig="threePt" dir="t">
        <a:rot lat="0" lon="0" rev="7500000"/>
      </a:lightRig>
    </dgm:scene3d>
    <dgm:sp3d z="-152400" extrusionH="63500" prstMaterial="dkEdge">
      <a:bevelT w="14445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>
        <a:rot lat="0" lon="0" rev="7500000"/>
      </a:lightRig>
    </dgm:scene3d>
    <dgm:sp3d z="152400" extrusionH="63500" prstMaterial="dkEdge">
      <a:bevelT w="12540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>
        <a:rot lat="0" lon="0" rev="7500000"/>
      </a:lightRig>
    </dgm:scene3d>
    <dgm:sp3d extrusionH="190500" prstMaterial="dkEdge">
      <a:bevelT w="120650" h="38100" prst="relaxedInset"/>
      <a:bevelB w="120650" h="571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FollowNode1">
    <dgm:scene3d>
      <a:camera prst="orthographicFront"/>
      <a:lightRig rig="threePt" dir="t">
        <a:rot lat="0" lon="0" rev="7500000"/>
      </a:lightRig>
    </dgm:scene3d>
    <dgm:sp3d z="-152400" extrusionH="63500" prstMaterial="dkEdge">
      <a:bevelT w="14445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0">
    <dgm:scene3d>
      <a:camera prst="orthographicFront"/>
      <a:lightRig rig="threePt" dir="t">
        <a:rot lat="0" lon="0" rev="7500000"/>
      </a:lightRig>
    </dgm:scene3d>
    <dgm:sp3d z="152400" extrusionH="63500" prstMaterial="dkEdge">
      <a:bevelT w="12540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2">
    <dgm:scene3d>
      <a:camera prst="orthographicFront"/>
      <a:lightRig rig="threePt" dir="t">
        <a:rot lat="0" lon="0" rev="7500000"/>
      </a:lightRig>
    </dgm:scene3d>
    <dgm:sp3d z="152400" extrusionH="63500" prstMaterial="dkEdge">
      <a:bevelT w="12540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3">
    <dgm:scene3d>
      <a:camera prst="orthographicFront"/>
      <a:lightRig rig="threePt" dir="t">
        <a:rot lat="0" lon="0" rev="7500000"/>
      </a:lightRig>
    </dgm:scene3d>
    <dgm:sp3d z="152400" extrusionH="63500" prstMaterial="dkEdge">
      <a:bevelT w="12540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4">
    <dgm:scene3d>
      <a:camera prst="orthographicFront"/>
      <a:lightRig rig="threePt" dir="t">
        <a:rot lat="0" lon="0" rev="7500000"/>
      </a:lightRig>
    </dgm:scene3d>
    <dgm:sp3d z="152400" extrusionH="63500" prstMaterial="dkEdge">
      <a:bevelT w="12540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Shp">
    <dgm:scene3d>
      <a:camera prst="orthographicFront"/>
      <a:lightRig rig="threePt" dir="t">
        <a:rot lat="0" lon="0" rev="7500000"/>
      </a:lightRig>
    </dgm:scene3d>
    <dgm:sp3d z="-152400" extrusionH="63500" prstMaterial="matte">
      <a:bevelT w="144450" h="6350" prst="relaxedInset"/>
      <a:contourClr>
        <a:schemeClr val="bg1"/>
      </a:contourClr>
    </dgm:sp3d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  <a:bevelB w="88900" h="121750" prst="angle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trBgShp">
    <dgm:scene3d>
      <a:camera prst="orthographicFront"/>
      <a:lightRig rig="threePt" dir="t"/>
    </dgm:scene3d>
    <dgm:sp3d z="-152400" prstMaterial="matte"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>
        <a:rot lat="0" lon="0" rev="7500000"/>
      </a:lightRig>
    </dgm:scene3d>
    <dgm:sp3d z="152400" extrusionH="63500" prstMaterial="matte">
      <a:bevelT w="50800" h="190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.xml><?xml version="1.0" encoding="utf-8"?>
<dgm:styleDef xmlns:dgm="http://schemas.openxmlformats.org/drawingml/2006/diagram" xmlns:a="http://schemas.openxmlformats.org/drawingml/2006/main" uniqueId="urn:microsoft.com/office/officeart/2005/8/quickstyle/3d2">
  <dgm:title val=""/>
  <dgm:desc val=""/>
  <dgm:catLst>
    <dgm:cat type="3D" pri="11200"/>
  </dgm:catLst>
  <dgm:scene3d>
    <a:camera prst="orthographicFront"/>
    <a:lightRig rig="threePt" dir="t"/>
  </dgm:scene3d>
  <dgm:styleLbl name="node0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tx1"/>
      </a:fontRef>
    </dgm:style>
  </dgm:styleLbl>
  <dgm:styleLbl name="alingNode1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>
        <a:rot lat="0" lon="0" rev="7500000"/>
      </a:lightRig>
    </dgm:scene3d>
    <dgm:sp3d z="152400" extrusionH="63500" prstMaterial="matte">
      <a:bevelT w="50800" h="190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>
        <a:rot lat="0" lon="0" rev="7500000"/>
      </a:lightRig>
    </dgm:scene3d>
    <dgm:sp3d z="254000" extrusionH="63500" contourW="127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>
        <a:rot lat="0" lon="0" rev="7500000"/>
      </a:lightRig>
    </dgm:scene3d>
    <dgm:sp3d z="-152400" extrusionH="63500" contourW="127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>
        <a:rot lat="0" lon="0" rev="7500000"/>
      </a:lightRig>
    </dgm:scene3d>
    <dgm:sp3d z="-70000" extrusionH="63500" prstMaterial="matte">
      <a:bevelT w="25400" h="63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>
        <a:rot lat="0" lon="0" rev="7500000"/>
      </a:lightRig>
    </dgm:scene3d>
    <dgm:sp3d z="152400" extrusionH="63500" prstMaterial="matte">
      <a:bevelT w="25400" h="63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>
        <a:rot lat="0" lon="0" rev="7500000"/>
      </a:lightRig>
    </dgm:scene3d>
    <dgm:sp3d z="-152400" extrusionH="63500" prstMaterial="matte">
      <a:bevelT w="25400" h="63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>
        <a:rot lat="0" lon="0" rev="7500000"/>
      </a:lightRig>
    </dgm:scene3d>
    <dgm:sp3d z="-40000" prstMaterial="matte"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>
        <a:rot lat="0" lon="0" rev="7500000"/>
      </a:lightRig>
    </dgm:scene3d>
    <dgm:sp3d z="127000" prstMaterial="matte"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>
        <a:rot lat="0" lon="0" rev="7500000"/>
      </a:lightRig>
    </dgm:scene3d>
    <dgm:sp3d extrusionH="63500" prstMaterial="matte">
      <a:bevelT w="50800" h="190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>
        <a:rot lat="0" lon="0" rev="7500000"/>
      </a:lightRig>
    </dgm:scene3d>
    <dgm:sp3d extrusionH="63500" prstMaterial="matte">
      <a:bevelT w="50800" h="190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>
        <a:rot lat="0" lon="0" rev="7500000"/>
      </a:lightRig>
    </dgm:scene3d>
    <dgm:sp3d z="60000" prstMaterial="flat">
      <a:bevelT w="120900" h="88900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>
        <a:rot lat="0" lon="0" rev="7500000"/>
      </a:lightRig>
    </dgm:scene3d>
    <dgm:sp3d z="60000" prstMaterial="flat">
      <a:bevelT w="120900" h="88900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>
        <a:rot lat="0" lon="0" rev="7500000"/>
      </a:lightRig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>
        <a:rot lat="0" lon="0" rev="7500000"/>
      </a:lightRig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>
        <a:rot lat="0" lon="0" rev="7500000"/>
      </a:lightRig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>
        <a:rot lat="0" lon="0" rev="7500000"/>
      </a:lightRig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>
        <a:rot lat="0" lon="0" rev="7500000"/>
      </a:lightRig>
    </dgm:scene3d>
    <dgm:sp3d z="152400" extrusionH="63500" prstMaterial="dkEdge">
      <a:bevelT w="135400" h="1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conFgAcc1">
    <dgm:scene3d>
      <a:camera prst="orthographicFront"/>
      <a:lightRig rig="threePt" dir="t">
        <a:rot lat="0" lon="0" rev="7500000"/>
      </a:lightRig>
    </dgm:scene3d>
    <dgm:sp3d z="152400" extrusionH="63500" prstMaterial="dkEdge">
      <a:bevelT w="135400" h="1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1">
    <dgm:scene3d>
      <a:camera prst="orthographicFront"/>
      <a:lightRig rig="threePt" dir="t">
        <a:rot lat="0" lon="0" rev="7500000"/>
      </a:lightRig>
    </dgm:scene3d>
    <dgm:sp3d extrusionH="190500" prstMaterial="dkEdge">
      <a:bevelT w="135400" h="1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AlignAcc1">
    <dgm:scene3d>
      <a:camera prst="orthographicFront"/>
      <a:lightRig rig="threePt" dir="t">
        <a:rot lat="0" lon="0" rev="7500000"/>
      </a:lightRig>
    </dgm:scene3d>
    <dgm:sp3d prstMaterial="plastic">
      <a:bevelT w="127000" h="354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Acc1">
    <dgm:scene3d>
      <a:camera prst="orthographicFront"/>
      <a:lightRig rig="threePt" dir="t">
        <a:rot lat="0" lon="0" rev="7500000"/>
      </a:lightRig>
    </dgm:scene3d>
    <dgm:sp3d z="-152400" extrusionH="63500" prstMaterial="dkEdge">
      <a:bevelT w="124450" h="1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>
        <a:rot lat="0" lon="0" rev="7500000"/>
      </a:lightRig>
    </dgm:scene3d>
    <dgm:sp3d z="152400" extrusionH="63500" prstMaterial="dkEdge">
      <a:bevelT w="120800" h="190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AlignAcc1">
    <dgm:scene3d>
      <a:camera prst="orthographicFront"/>
      <a:lightRig rig="threePt" dir="t">
        <a:rot lat="0" lon="0" rev="7500000"/>
      </a:lightRig>
    </dgm:scene3d>
    <dgm:sp3d extrusionH="190500" prstMaterial="dkEdge">
      <a:bevelT w="120650" h="3810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BgAcc1">
    <dgm:scene3d>
      <a:camera prst="orthographicFront"/>
      <a:lightRig rig="threePt" dir="t">
        <a:rot lat="0" lon="0" rev="7500000"/>
      </a:lightRig>
    </dgm:scene3d>
    <dgm:sp3d z="-152400" extrusionH="63500" prstMaterial="dkEdge">
      <a:bevelT w="14445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>
        <a:rot lat="0" lon="0" rev="7500000"/>
      </a:lightRig>
    </dgm:scene3d>
    <dgm:sp3d z="152400" extrusionH="63500" prstMaterial="dkEdge">
      <a:bevelT w="12540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>
        <a:rot lat="0" lon="0" rev="7500000"/>
      </a:lightRig>
    </dgm:scene3d>
    <dgm:sp3d extrusionH="190500" prstMaterial="dkEdge">
      <a:bevelT w="120650" h="38100" prst="relaxedInset"/>
      <a:bevelB w="120650" h="571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FollowNode1">
    <dgm:scene3d>
      <a:camera prst="orthographicFront"/>
      <a:lightRig rig="threePt" dir="t">
        <a:rot lat="0" lon="0" rev="7500000"/>
      </a:lightRig>
    </dgm:scene3d>
    <dgm:sp3d z="-152400" extrusionH="63500" prstMaterial="dkEdge">
      <a:bevelT w="14445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0">
    <dgm:scene3d>
      <a:camera prst="orthographicFront"/>
      <a:lightRig rig="threePt" dir="t">
        <a:rot lat="0" lon="0" rev="7500000"/>
      </a:lightRig>
    </dgm:scene3d>
    <dgm:sp3d z="152400" extrusionH="63500" prstMaterial="dkEdge">
      <a:bevelT w="12540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2">
    <dgm:scene3d>
      <a:camera prst="orthographicFront"/>
      <a:lightRig rig="threePt" dir="t">
        <a:rot lat="0" lon="0" rev="7500000"/>
      </a:lightRig>
    </dgm:scene3d>
    <dgm:sp3d z="152400" extrusionH="63500" prstMaterial="dkEdge">
      <a:bevelT w="12540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3">
    <dgm:scene3d>
      <a:camera prst="orthographicFront"/>
      <a:lightRig rig="threePt" dir="t">
        <a:rot lat="0" lon="0" rev="7500000"/>
      </a:lightRig>
    </dgm:scene3d>
    <dgm:sp3d z="152400" extrusionH="63500" prstMaterial="dkEdge">
      <a:bevelT w="12540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4">
    <dgm:scene3d>
      <a:camera prst="orthographicFront"/>
      <a:lightRig rig="threePt" dir="t">
        <a:rot lat="0" lon="0" rev="7500000"/>
      </a:lightRig>
    </dgm:scene3d>
    <dgm:sp3d z="152400" extrusionH="63500" prstMaterial="dkEdge">
      <a:bevelT w="12540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Shp">
    <dgm:scene3d>
      <a:camera prst="orthographicFront"/>
      <a:lightRig rig="threePt" dir="t">
        <a:rot lat="0" lon="0" rev="7500000"/>
      </a:lightRig>
    </dgm:scene3d>
    <dgm:sp3d z="-152400" extrusionH="63500" prstMaterial="matte">
      <a:bevelT w="144450" h="6350" prst="relaxedInset"/>
      <a:contourClr>
        <a:schemeClr val="bg1"/>
      </a:contourClr>
    </dgm:sp3d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  <a:bevelB w="88900" h="121750" prst="angle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trBgShp">
    <dgm:scene3d>
      <a:camera prst="orthographicFront"/>
      <a:lightRig rig="threePt" dir="t"/>
    </dgm:scene3d>
    <dgm:sp3d z="-152400" prstMaterial="matte"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>
        <a:rot lat="0" lon="0" rev="7500000"/>
      </a:lightRig>
    </dgm:scene3d>
    <dgm:sp3d z="152400" extrusionH="63500" prstMaterial="matte">
      <a:bevelT w="50800" h="190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4.xml><?xml version="1.0" encoding="utf-8"?>
<dgm:styleDef xmlns:dgm="http://schemas.openxmlformats.org/drawingml/2006/diagram" xmlns:a="http://schemas.openxmlformats.org/drawingml/2006/main" uniqueId="urn:microsoft.com/office/officeart/2005/8/quickstyle/3d2">
  <dgm:title val=""/>
  <dgm:desc val=""/>
  <dgm:catLst>
    <dgm:cat type="3D" pri="11200"/>
  </dgm:catLst>
  <dgm:scene3d>
    <a:camera prst="orthographicFront"/>
    <a:lightRig rig="threePt" dir="t"/>
  </dgm:scene3d>
  <dgm:styleLbl name="node0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tx1"/>
      </a:fontRef>
    </dgm:style>
  </dgm:styleLbl>
  <dgm:styleLbl name="alingNode1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>
        <a:rot lat="0" lon="0" rev="7500000"/>
      </a:lightRig>
    </dgm:scene3d>
    <dgm:sp3d z="152400" extrusionH="63500" prstMaterial="matte">
      <a:bevelT w="50800" h="190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>
        <a:rot lat="0" lon="0" rev="7500000"/>
      </a:lightRig>
    </dgm:scene3d>
    <dgm:sp3d z="254000" extrusionH="63500" contourW="127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>
        <a:rot lat="0" lon="0" rev="7500000"/>
      </a:lightRig>
    </dgm:scene3d>
    <dgm:sp3d z="-152400" extrusionH="63500" contourW="127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>
        <a:rot lat="0" lon="0" rev="7500000"/>
      </a:lightRig>
    </dgm:scene3d>
    <dgm:sp3d z="-70000" extrusionH="63500" prstMaterial="matte">
      <a:bevelT w="25400" h="63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>
        <a:rot lat="0" lon="0" rev="7500000"/>
      </a:lightRig>
    </dgm:scene3d>
    <dgm:sp3d z="152400" extrusionH="63500" prstMaterial="matte">
      <a:bevelT w="25400" h="63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>
        <a:rot lat="0" lon="0" rev="7500000"/>
      </a:lightRig>
    </dgm:scene3d>
    <dgm:sp3d z="-152400" extrusionH="63500" prstMaterial="matte">
      <a:bevelT w="25400" h="63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>
        <a:rot lat="0" lon="0" rev="7500000"/>
      </a:lightRig>
    </dgm:scene3d>
    <dgm:sp3d z="-40000" prstMaterial="matte"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>
        <a:rot lat="0" lon="0" rev="7500000"/>
      </a:lightRig>
    </dgm:scene3d>
    <dgm:sp3d z="127000" prstMaterial="matte"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>
        <a:rot lat="0" lon="0" rev="7500000"/>
      </a:lightRig>
    </dgm:scene3d>
    <dgm:sp3d extrusionH="63500" prstMaterial="matte">
      <a:bevelT w="50800" h="190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>
        <a:rot lat="0" lon="0" rev="7500000"/>
      </a:lightRig>
    </dgm:scene3d>
    <dgm:sp3d extrusionH="63500" prstMaterial="matte">
      <a:bevelT w="50800" h="190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>
        <a:rot lat="0" lon="0" rev="7500000"/>
      </a:lightRig>
    </dgm:scene3d>
    <dgm:sp3d z="60000" prstMaterial="flat">
      <a:bevelT w="120900" h="88900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>
        <a:rot lat="0" lon="0" rev="7500000"/>
      </a:lightRig>
    </dgm:scene3d>
    <dgm:sp3d z="60000" prstMaterial="flat">
      <a:bevelT w="120900" h="88900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>
        <a:rot lat="0" lon="0" rev="7500000"/>
      </a:lightRig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>
        <a:rot lat="0" lon="0" rev="7500000"/>
      </a:lightRig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>
        <a:rot lat="0" lon="0" rev="7500000"/>
      </a:lightRig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>
        <a:rot lat="0" lon="0" rev="7500000"/>
      </a:lightRig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>
        <a:rot lat="0" lon="0" rev="7500000"/>
      </a:lightRig>
    </dgm:scene3d>
    <dgm:sp3d z="152400" extrusionH="63500" prstMaterial="dkEdge">
      <a:bevelT w="135400" h="1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conFgAcc1">
    <dgm:scene3d>
      <a:camera prst="orthographicFront"/>
      <a:lightRig rig="threePt" dir="t">
        <a:rot lat="0" lon="0" rev="7500000"/>
      </a:lightRig>
    </dgm:scene3d>
    <dgm:sp3d z="152400" extrusionH="63500" prstMaterial="dkEdge">
      <a:bevelT w="135400" h="1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1">
    <dgm:scene3d>
      <a:camera prst="orthographicFront"/>
      <a:lightRig rig="threePt" dir="t">
        <a:rot lat="0" lon="0" rev="7500000"/>
      </a:lightRig>
    </dgm:scene3d>
    <dgm:sp3d extrusionH="190500" prstMaterial="dkEdge">
      <a:bevelT w="135400" h="1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AlignAcc1">
    <dgm:scene3d>
      <a:camera prst="orthographicFront"/>
      <a:lightRig rig="threePt" dir="t">
        <a:rot lat="0" lon="0" rev="7500000"/>
      </a:lightRig>
    </dgm:scene3d>
    <dgm:sp3d prstMaterial="plastic">
      <a:bevelT w="127000" h="354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Acc1">
    <dgm:scene3d>
      <a:camera prst="orthographicFront"/>
      <a:lightRig rig="threePt" dir="t">
        <a:rot lat="0" lon="0" rev="7500000"/>
      </a:lightRig>
    </dgm:scene3d>
    <dgm:sp3d z="-152400" extrusionH="63500" prstMaterial="dkEdge">
      <a:bevelT w="124450" h="1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>
        <a:rot lat="0" lon="0" rev="7500000"/>
      </a:lightRig>
    </dgm:scene3d>
    <dgm:sp3d z="152400" extrusionH="63500" prstMaterial="dkEdge">
      <a:bevelT w="120800" h="190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AlignAcc1">
    <dgm:scene3d>
      <a:camera prst="orthographicFront"/>
      <a:lightRig rig="threePt" dir="t">
        <a:rot lat="0" lon="0" rev="7500000"/>
      </a:lightRig>
    </dgm:scene3d>
    <dgm:sp3d extrusionH="190500" prstMaterial="dkEdge">
      <a:bevelT w="120650" h="3810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BgAcc1">
    <dgm:scene3d>
      <a:camera prst="orthographicFront"/>
      <a:lightRig rig="threePt" dir="t">
        <a:rot lat="0" lon="0" rev="7500000"/>
      </a:lightRig>
    </dgm:scene3d>
    <dgm:sp3d z="-152400" extrusionH="63500" prstMaterial="dkEdge">
      <a:bevelT w="14445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>
        <a:rot lat="0" lon="0" rev="7500000"/>
      </a:lightRig>
    </dgm:scene3d>
    <dgm:sp3d z="152400" extrusionH="63500" prstMaterial="dkEdge">
      <a:bevelT w="12540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>
        <a:rot lat="0" lon="0" rev="7500000"/>
      </a:lightRig>
    </dgm:scene3d>
    <dgm:sp3d extrusionH="190500" prstMaterial="dkEdge">
      <a:bevelT w="120650" h="38100" prst="relaxedInset"/>
      <a:bevelB w="120650" h="571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FollowNode1">
    <dgm:scene3d>
      <a:camera prst="orthographicFront"/>
      <a:lightRig rig="threePt" dir="t">
        <a:rot lat="0" lon="0" rev="7500000"/>
      </a:lightRig>
    </dgm:scene3d>
    <dgm:sp3d z="-152400" extrusionH="63500" prstMaterial="dkEdge">
      <a:bevelT w="14445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0">
    <dgm:scene3d>
      <a:camera prst="orthographicFront"/>
      <a:lightRig rig="threePt" dir="t">
        <a:rot lat="0" lon="0" rev="7500000"/>
      </a:lightRig>
    </dgm:scene3d>
    <dgm:sp3d z="152400" extrusionH="63500" prstMaterial="dkEdge">
      <a:bevelT w="12540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2">
    <dgm:scene3d>
      <a:camera prst="orthographicFront"/>
      <a:lightRig rig="threePt" dir="t">
        <a:rot lat="0" lon="0" rev="7500000"/>
      </a:lightRig>
    </dgm:scene3d>
    <dgm:sp3d z="152400" extrusionH="63500" prstMaterial="dkEdge">
      <a:bevelT w="12540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3">
    <dgm:scene3d>
      <a:camera prst="orthographicFront"/>
      <a:lightRig rig="threePt" dir="t">
        <a:rot lat="0" lon="0" rev="7500000"/>
      </a:lightRig>
    </dgm:scene3d>
    <dgm:sp3d z="152400" extrusionH="63500" prstMaterial="dkEdge">
      <a:bevelT w="12540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4">
    <dgm:scene3d>
      <a:camera prst="orthographicFront"/>
      <a:lightRig rig="threePt" dir="t">
        <a:rot lat="0" lon="0" rev="7500000"/>
      </a:lightRig>
    </dgm:scene3d>
    <dgm:sp3d z="152400" extrusionH="63500" prstMaterial="dkEdge">
      <a:bevelT w="12540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Shp">
    <dgm:scene3d>
      <a:camera prst="orthographicFront"/>
      <a:lightRig rig="threePt" dir="t">
        <a:rot lat="0" lon="0" rev="7500000"/>
      </a:lightRig>
    </dgm:scene3d>
    <dgm:sp3d z="-152400" extrusionH="63500" prstMaterial="matte">
      <a:bevelT w="144450" h="6350" prst="relaxedInset"/>
      <a:contourClr>
        <a:schemeClr val="bg1"/>
      </a:contourClr>
    </dgm:sp3d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  <a:bevelB w="88900" h="121750" prst="angle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trBgShp">
    <dgm:scene3d>
      <a:camera prst="orthographicFront"/>
      <a:lightRig rig="threePt" dir="t"/>
    </dgm:scene3d>
    <dgm:sp3d z="-152400" prstMaterial="matte"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>
        <a:rot lat="0" lon="0" rev="7500000"/>
      </a:lightRig>
    </dgm:scene3d>
    <dgm:sp3d z="152400" extrusionH="63500" prstMaterial="matte">
      <a:bevelT w="50800" h="190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5.xml><?xml version="1.0" encoding="utf-8"?>
<dgm:styleDef xmlns:dgm="http://schemas.openxmlformats.org/drawingml/2006/diagram" xmlns:a="http://schemas.openxmlformats.org/drawingml/2006/main" uniqueId="urn:microsoft.com/office/officeart/2005/8/quickstyle/3d2">
  <dgm:title val=""/>
  <dgm:desc val=""/>
  <dgm:catLst>
    <dgm:cat type="3D" pri="11200"/>
  </dgm:catLst>
  <dgm:scene3d>
    <a:camera prst="orthographicFront"/>
    <a:lightRig rig="threePt" dir="t"/>
  </dgm:scene3d>
  <dgm:styleLbl name="node0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tx1"/>
      </a:fontRef>
    </dgm:style>
  </dgm:styleLbl>
  <dgm:styleLbl name="alingNode1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>
        <a:rot lat="0" lon="0" rev="7500000"/>
      </a:lightRig>
    </dgm:scene3d>
    <dgm:sp3d z="152400" extrusionH="63500" prstMaterial="matte">
      <a:bevelT w="50800" h="190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>
        <a:rot lat="0" lon="0" rev="7500000"/>
      </a:lightRig>
    </dgm:scene3d>
    <dgm:sp3d z="254000" extrusionH="63500" contourW="127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>
        <a:rot lat="0" lon="0" rev="7500000"/>
      </a:lightRig>
    </dgm:scene3d>
    <dgm:sp3d z="-152400" extrusionH="63500" contourW="127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>
        <a:rot lat="0" lon="0" rev="7500000"/>
      </a:lightRig>
    </dgm:scene3d>
    <dgm:sp3d z="-70000" extrusionH="63500" prstMaterial="matte">
      <a:bevelT w="25400" h="63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>
        <a:rot lat="0" lon="0" rev="7500000"/>
      </a:lightRig>
    </dgm:scene3d>
    <dgm:sp3d z="152400" extrusionH="63500" prstMaterial="matte">
      <a:bevelT w="25400" h="63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>
        <a:rot lat="0" lon="0" rev="7500000"/>
      </a:lightRig>
    </dgm:scene3d>
    <dgm:sp3d z="-152400" extrusionH="63500" prstMaterial="matte">
      <a:bevelT w="25400" h="63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>
        <a:rot lat="0" lon="0" rev="7500000"/>
      </a:lightRig>
    </dgm:scene3d>
    <dgm:sp3d z="-40000" prstMaterial="matte"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>
        <a:rot lat="0" lon="0" rev="7500000"/>
      </a:lightRig>
    </dgm:scene3d>
    <dgm:sp3d z="127000" prstMaterial="matte"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>
        <a:rot lat="0" lon="0" rev="7500000"/>
      </a:lightRig>
    </dgm:scene3d>
    <dgm:sp3d extrusionH="63500" prstMaterial="matte">
      <a:bevelT w="50800" h="190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>
        <a:rot lat="0" lon="0" rev="7500000"/>
      </a:lightRig>
    </dgm:scene3d>
    <dgm:sp3d extrusionH="63500" prstMaterial="matte">
      <a:bevelT w="50800" h="190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>
        <a:rot lat="0" lon="0" rev="7500000"/>
      </a:lightRig>
    </dgm:scene3d>
    <dgm:sp3d z="60000" prstMaterial="flat">
      <a:bevelT w="120900" h="88900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>
        <a:rot lat="0" lon="0" rev="7500000"/>
      </a:lightRig>
    </dgm:scene3d>
    <dgm:sp3d z="60000" prstMaterial="flat">
      <a:bevelT w="120900" h="88900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>
        <a:rot lat="0" lon="0" rev="7500000"/>
      </a:lightRig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>
        <a:rot lat="0" lon="0" rev="7500000"/>
      </a:lightRig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>
        <a:rot lat="0" lon="0" rev="7500000"/>
      </a:lightRig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>
        <a:rot lat="0" lon="0" rev="7500000"/>
      </a:lightRig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>
        <a:rot lat="0" lon="0" rev="7500000"/>
      </a:lightRig>
    </dgm:scene3d>
    <dgm:sp3d z="152400" extrusionH="63500" prstMaterial="dkEdge">
      <a:bevelT w="135400" h="1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conFgAcc1">
    <dgm:scene3d>
      <a:camera prst="orthographicFront"/>
      <a:lightRig rig="threePt" dir="t">
        <a:rot lat="0" lon="0" rev="7500000"/>
      </a:lightRig>
    </dgm:scene3d>
    <dgm:sp3d z="152400" extrusionH="63500" prstMaterial="dkEdge">
      <a:bevelT w="135400" h="1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1">
    <dgm:scene3d>
      <a:camera prst="orthographicFront"/>
      <a:lightRig rig="threePt" dir="t">
        <a:rot lat="0" lon="0" rev="7500000"/>
      </a:lightRig>
    </dgm:scene3d>
    <dgm:sp3d extrusionH="190500" prstMaterial="dkEdge">
      <a:bevelT w="135400" h="1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AlignAcc1">
    <dgm:scene3d>
      <a:camera prst="orthographicFront"/>
      <a:lightRig rig="threePt" dir="t">
        <a:rot lat="0" lon="0" rev="7500000"/>
      </a:lightRig>
    </dgm:scene3d>
    <dgm:sp3d prstMaterial="plastic">
      <a:bevelT w="127000" h="354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Acc1">
    <dgm:scene3d>
      <a:camera prst="orthographicFront"/>
      <a:lightRig rig="threePt" dir="t">
        <a:rot lat="0" lon="0" rev="7500000"/>
      </a:lightRig>
    </dgm:scene3d>
    <dgm:sp3d z="-152400" extrusionH="63500" prstMaterial="dkEdge">
      <a:bevelT w="124450" h="1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>
        <a:rot lat="0" lon="0" rev="7500000"/>
      </a:lightRig>
    </dgm:scene3d>
    <dgm:sp3d z="152400" extrusionH="63500" prstMaterial="dkEdge">
      <a:bevelT w="120800" h="190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AlignAcc1">
    <dgm:scene3d>
      <a:camera prst="orthographicFront"/>
      <a:lightRig rig="threePt" dir="t">
        <a:rot lat="0" lon="0" rev="7500000"/>
      </a:lightRig>
    </dgm:scene3d>
    <dgm:sp3d extrusionH="190500" prstMaterial="dkEdge">
      <a:bevelT w="120650" h="3810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BgAcc1">
    <dgm:scene3d>
      <a:camera prst="orthographicFront"/>
      <a:lightRig rig="threePt" dir="t">
        <a:rot lat="0" lon="0" rev="7500000"/>
      </a:lightRig>
    </dgm:scene3d>
    <dgm:sp3d z="-152400" extrusionH="63500" prstMaterial="dkEdge">
      <a:bevelT w="14445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>
        <a:rot lat="0" lon="0" rev="7500000"/>
      </a:lightRig>
    </dgm:scene3d>
    <dgm:sp3d z="152400" extrusionH="63500" prstMaterial="dkEdge">
      <a:bevelT w="12540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>
        <a:rot lat="0" lon="0" rev="7500000"/>
      </a:lightRig>
    </dgm:scene3d>
    <dgm:sp3d extrusionH="190500" prstMaterial="dkEdge">
      <a:bevelT w="120650" h="38100" prst="relaxedInset"/>
      <a:bevelB w="120650" h="571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FollowNode1">
    <dgm:scene3d>
      <a:camera prst="orthographicFront"/>
      <a:lightRig rig="threePt" dir="t">
        <a:rot lat="0" lon="0" rev="7500000"/>
      </a:lightRig>
    </dgm:scene3d>
    <dgm:sp3d z="-152400" extrusionH="63500" prstMaterial="dkEdge">
      <a:bevelT w="14445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0">
    <dgm:scene3d>
      <a:camera prst="orthographicFront"/>
      <a:lightRig rig="threePt" dir="t">
        <a:rot lat="0" lon="0" rev="7500000"/>
      </a:lightRig>
    </dgm:scene3d>
    <dgm:sp3d z="152400" extrusionH="63500" prstMaterial="dkEdge">
      <a:bevelT w="12540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2">
    <dgm:scene3d>
      <a:camera prst="orthographicFront"/>
      <a:lightRig rig="threePt" dir="t">
        <a:rot lat="0" lon="0" rev="7500000"/>
      </a:lightRig>
    </dgm:scene3d>
    <dgm:sp3d z="152400" extrusionH="63500" prstMaterial="dkEdge">
      <a:bevelT w="12540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3">
    <dgm:scene3d>
      <a:camera prst="orthographicFront"/>
      <a:lightRig rig="threePt" dir="t">
        <a:rot lat="0" lon="0" rev="7500000"/>
      </a:lightRig>
    </dgm:scene3d>
    <dgm:sp3d z="152400" extrusionH="63500" prstMaterial="dkEdge">
      <a:bevelT w="12540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4">
    <dgm:scene3d>
      <a:camera prst="orthographicFront"/>
      <a:lightRig rig="threePt" dir="t">
        <a:rot lat="0" lon="0" rev="7500000"/>
      </a:lightRig>
    </dgm:scene3d>
    <dgm:sp3d z="152400" extrusionH="63500" prstMaterial="dkEdge">
      <a:bevelT w="12540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Shp">
    <dgm:scene3d>
      <a:camera prst="orthographicFront"/>
      <a:lightRig rig="threePt" dir="t">
        <a:rot lat="0" lon="0" rev="7500000"/>
      </a:lightRig>
    </dgm:scene3d>
    <dgm:sp3d z="-152400" extrusionH="63500" prstMaterial="matte">
      <a:bevelT w="144450" h="6350" prst="relaxedInset"/>
      <a:contourClr>
        <a:schemeClr val="bg1"/>
      </a:contourClr>
    </dgm:sp3d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  <a:bevelB w="88900" h="121750" prst="angle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trBgShp">
    <dgm:scene3d>
      <a:camera prst="orthographicFront"/>
      <a:lightRig rig="threePt" dir="t"/>
    </dgm:scene3d>
    <dgm:sp3d z="-152400" prstMaterial="matte"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>
        <a:rot lat="0" lon="0" rev="7500000"/>
      </a:lightRig>
    </dgm:scene3d>
    <dgm:sp3d z="152400" extrusionH="63500" prstMaterial="matte">
      <a:bevelT w="50800" h="190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SEMESTREI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'SEMESTRE II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3.xml"/><Relationship Id="rId3" Type="http://schemas.openxmlformats.org/officeDocument/2006/relationships/diagramQuickStyle" Target="../diagrams/quickStyle2.xml"/><Relationship Id="rId7" Type="http://schemas.openxmlformats.org/officeDocument/2006/relationships/diagramLayout" Target="../diagrams/layout3.xml"/><Relationship Id="rId12" Type="http://schemas.openxmlformats.org/officeDocument/2006/relationships/hyperlink" Target="#'Indicadores + Descripci&#243;n'!A1"/><Relationship Id="rId2" Type="http://schemas.openxmlformats.org/officeDocument/2006/relationships/diagramLayout" Target="../diagrams/layout2.xml"/><Relationship Id="rId1" Type="http://schemas.openxmlformats.org/officeDocument/2006/relationships/diagramData" Target="../diagrams/data2.xml"/><Relationship Id="rId6" Type="http://schemas.openxmlformats.org/officeDocument/2006/relationships/diagramData" Target="../diagrams/data3.xml"/><Relationship Id="rId11" Type="http://schemas.openxmlformats.org/officeDocument/2006/relationships/hyperlink" Target="#FACE!A1"/><Relationship Id="rId5" Type="http://schemas.microsoft.com/office/2007/relationships/diagramDrawing" Target="../diagrams/drawing2.xml"/><Relationship Id="rId10" Type="http://schemas.microsoft.com/office/2007/relationships/diagramDrawing" Target="../diagrams/drawing3.xml"/><Relationship Id="rId4" Type="http://schemas.openxmlformats.org/officeDocument/2006/relationships/diagramColors" Target="../diagrams/colors2.xml"/><Relationship Id="rId9" Type="http://schemas.openxmlformats.org/officeDocument/2006/relationships/diagramColors" Target="../diagrams/colors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5.xml"/><Relationship Id="rId3" Type="http://schemas.openxmlformats.org/officeDocument/2006/relationships/diagramQuickStyle" Target="../diagrams/quickStyle4.xml"/><Relationship Id="rId7" Type="http://schemas.openxmlformats.org/officeDocument/2006/relationships/diagramLayout" Target="../diagrams/layout5.xml"/><Relationship Id="rId12" Type="http://schemas.openxmlformats.org/officeDocument/2006/relationships/hyperlink" Target="#'Indicadores + Descripci&#243;n IIS'!A1"/><Relationship Id="rId2" Type="http://schemas.openxmlformats.org/officeDocument/2006/relationships/diagramLayout" Target="../diagrams/layout4.xml"/><Relationship Id="rId1" Type="http://schemas.openxmlformats.org/officeDocument/2006/relationships/diagramData" Target="../diagrams/data4.xml"/><Relationship Id="rId6" Type="http://schemas.openxmlformats.org/officeDocument/2006/relationships/diagramData" Target="../diagrams/data5.xml"/><Relationship Id="rId11" Type="http://schemas.openxmlformats.org/officeDocument/2006/relationships/hyperlink" Target="#FACE!A1"/><Relationship Id="rId5" Type="http://schemas.microsoft.com/office/2007/relationships/diagramDrawing" Target="../diagrams/drawing4.xml"/><Relationship Id="rId10" Type="http://schemas.microsoft.com/office/2007/relationships/diagramDrawing" Target="../diagrams/drawing5.xml"/><Relationship Id="rId4" Type="http://schemas.openxmlformats.org/officeDocument/2006/relationships/diagramColors" Target="../diagrams/colors4.xml"/><Relationship Id="rId9" Type="http://schemas.openxmlformats.org/officeDocument/2006/relationships/diagramColors" Target="../diagrams/colors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'REGISTRO DATOS'!A1"/><Relationship Id="rId1" Type="http://schemas.openxmlformats.org/officeDocument/2006/relationships/hyperlink" Target="#FACE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hyperlink" Target="#SEMESTREI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5.png"/><Relationship Id="rId1" Type="http://schemas.openxmlformats.org/officeDocument/2006/relationships/image" Target="../media/image3.png"/><Relationship Id="rId4" Type="http://schemas.openxmlformats.org/officeDocument/2006/relationships/hyperlink" Target="#'SEMESTRE II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FACE!A1"/><Relationship Id="rId2" Type="http://schemas.openxmlformats.org/officeDocument/2006/relationships/hyperlink" Target="#'TAREAS - IS'!A1"/><Relationship Id="rId1" Type="http://schemas.openxmlformats.org/officeDocument/2006/relationships/hyperlink" Target="#SEMESTREI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SEMESTRE II'!A1"/><Relationship Id="rId2" Type="http://schemas.openxmlformats.org/officeDocument/2006/relationships/hyperlink" Target="#'TAREAS - IS'!A1"/><Relationship Id="rId1" Type="http://schemas.openxmlformats.org/officeDocument/2006/relationships/image" Target="../media/image6.png"/><Relationship Id="rId4" Type="http://schemas.openxmlformats.org/officeDocument/2006/relationships/hyperlink" Target="#FACE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FACE!A1"/><Relationship Id="rId2" Type="http://schemas.openxmlformats.org/officeDocument/2006/relationships/hyperlink" Target="#'EXAMENES - IS'!A1"/><Relationship Id="rId1" Type="http://schemas.openxmlformats.org/officeDocument/2006/relationships/hyperlink" Target="#SEMESTREI!A1"/><Relationship Id="rId4" Type="http://schemas.openxmlformats.org/officeDocument/2006/relationships/hyperlink" Target="#TABLA.EP.I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'EXAMENES - IIS'!A1"/><Relationship Id="rId1" Type="http://schemas.openxmlformats.org/officeDocument/2006/relationships/image" Target="../media/image7.jpe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'EXAMENES - IS'!A1"/><Relationship Id="rId1" Type="http://schemas.openxmlformats.org/officeDocument/2006/relationships/image" Target="../media/image7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EXAMENES - IS'!A1"/><Relationship Id="rId2" Type="http://schemas.openxmlformats.org/officeDocument/2006/relationships/hyperlink" Target="#'SEMESTRE II'!A1"/><Relationship Id="rId1" Type="http://schemas.openxmlformats.org/officeDocument/2006/relationships/image" Target="../media/image8.png"/><Relationship Id="rId5" Type="http://schemas.openxmlformats.org/officeDocument/2006/relationships/hyperlink" Target="#TABLA.EP.IIS!A1"/><Relationship Id="rId4" Type="http://schemas.openxmlformats.org/officeDocument/2006/relationships/hyperlink" Target="#FACE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SEMESTRE II'!A1"/><Relationship Id="rId2" Type="http://schemas.openxmlformats.org/officeDocument/2006/relationships/hyperlink" Target="#FACE!A1"/><Relationship Id="rId1" Type="http://schemas.openxmlformats.org/officeDocument/2006/relationships/image" Target="../media/image7.jpeg"/><Relationship Id="rId4" Type="http://schemas.openxmlformats.org/officeDocument/2006/relationships/hyperlink" Target="#'COTIDIANO - IS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COTIDIANO - IS'!A1"/><Relationship Id="rId2" Type="http://schemas.openxmlformats.org/officeDocument/2006/relationships/hyperlink" Target="#SEMESTREI!A1"/><Relationship Id="rId1" Type="http://schemas.openxmlformats.org/officeDocument/2006/relationships/hyperlink" Target="#FACE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hyperlink" Target="#SEMESTREI!A1"/><Relationship Id="rId1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hyperlink" Target="#'SEMESTRE II'!A1"/><Relationship Id="rId1" Type="http://schemas.openxmlformats.org/officeDocument/2006/relationships/image" Target="../media/image10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4.png"/><Relationship Id="rId1" Type="http://schemas.openxmlformats.org/officeDocument/2006/relationships/chart" Target="../charts/chart1.xml"/><Relationship Id="rId6" Type="http://schemas.openxmlformats.org/officeDocument/2006/relationships/hyperlink" Target="#'SEMESTRE II'!A1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hyperlink" Target="#SEMESTREI!A1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4.png"/><Relationship Id="rId1" Type="http://schemas.openxmlformats.org/officeDocument/2006/relationships/image" Target="../media/image11.png"/><Relationship Id="rId4" Type="http://schemas.openxmlformats.org/officeDocument/2006/relationships/hyperlink" Target="#SEMESTREI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4.png"/><Relationship Id="rId1" Type="http://schemas.openxmlformats.org/officeDocument/2006/relationships/image" Target="../media/image11.png"/><Relationship Id="rId4" Type="http://schemas.openxmlformats.org/officeDocument/2006/relationships/hyperlink" Target="#SEMESTREI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4.png"/><Relationship Id="rId1" Type="http://schemas.openxmlformats.org/officeDocument/2006/relationships/image" Target="../media/image11.png"/><Relationship Id="rId4" Type="http://schemas.openxmlformats.org/officeDocument/2006/relationships/hyperlink" Target="#'SEMESTRE II'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FACE!A1"/><Relationship Id="rId2" Type="http://schemas.openxmlformats.org/officeDocument/2006/relationships/hyperlink" Target="#ASISTENCIA!A1"/><Relationship Id="rId1" Type="http://schemas.openxmlformats.org/officeDocument/2006/relationships/hyperlink" Target="#SEMESTREI!A1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FACE!A1"/><Relationship Id="rId2" Type="http://schemas.openxmlformats.org/officeDocument/2006/relationships/hyperlink" Target="#ASISTENCIA!A1"/><Relationship Id="rId1" Type="http://schemas.openxmlformats.org/officeDocument/2006/relationships/hyperlink" Target="#'SEMESTRE II'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4.png"/><Relationship Id="rId1" Type="http://schemas.openxmlformats.org/officeDocument/2006/relationships/image" Target="../media/image11.png"/><Relationship Id="rId4" Type="http://schemas.openxmlformats.org/officeDocument/2006/relationships/hyperlink" Target="#'SEMESTRE II'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jpg"/><Relationship Id="rId1" Type="http://schemas.openxmlformats.org/officeDocument/2006/relationships/image" Target="../media/image15.jpg"/><Relationship Id="rId4" Type="http://schemas.openxmlformats.org/officeDocument/2006/relationships/image" Target="../media/image18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SEMESTREI!A1"/><Relationship Id="rId1" Type="http://schemas.openxmlformats.org/officeDocument/2006/relationships/image" Target="../media/image19.png"/><Relationship Id="rId5" Type="http://schemas.openxmlformats.org/officeDocument/2006/relationships/image" Target="../media/image21.png"/><Relationship Id="rId4" Type="http://schemas.openxmlformats.org/officeDocument/2006/relationships/image" Target="../media/image20.jpe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4.png"/><Relationship Id="rId1" Type="http://schemas.openxmlformats.org/officeDocument/2006/relationships/image" Target="../media/image22.png"/><Relationship Id="rId5" Type="http://schemas.openxmlformats.org/officeDocument/2006/relationships/hyperlink" Target="#'SEMESTRE II'!A1"/><Relationship Id="rId4" Type="http://schemas.openxmlformats.org/officeDocument/2006/relationships/image" Target="../media/image20.jpe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hyperlink" Target="#'SEMESTRE II'!A1"/><Relationship Id="rId2" Type="http://schemas.openxmlformats.org/officeDocument/2006/relationships/image" Target="../media/image4.png"/><Relationship Id="rId1" Type="http://schemas.openxmlformats.org/officeDocument/2006/relationships/image" Target="../media/image24.png"/><Relationship Id="rId5" Type="http://schemas.openxmlformats.org/officeDocument/2006/relationships/image" Target="../media/image20.jpeg"/><Relationship Id="rId4" Type="http://schemas.openxmlformats.org/officeDocument/2006/relationships/image" Target="../media/image23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FACE!A1"/><Relationship Id="rId2" Type="http://schemas.openxmlformats.org/officeDocument/2006/relationships/image" Target="../media/image25.png"/><Relationship Id="rId1" Type="http://schemas.openxmlformats.org/officeDocument/2006/relationships/image" Target="../media/image20.jpeg"/><Relationship Id="rId4" Type="http://schemas.openxmlformats.org/officeDocument/2006/relationships/image" Target="../media/image4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'EXAMENES - IS'!A1"/><Relationship Id="rId1" Type="http://schemas.openxmlformats.org/officeDocument/2006/relationships/image" Target="../media/image26.png"/><Relationship Id="rId4" Type="http://schemas.openxmlformats.org/officeDocument/2006/relationships/hyperlink" Target="#SEMESTREI!A1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hyperlink" Target="#'SEMESTRE II'!A1"/><Relationship Id="rId2" Type="http://schemas.openxmlformats.org/officeDocument/2006/relationships/image" Target="../media/image4.png"/><Relationship Id="rId1" Type="http://schemas.openxmlformats.org/officeDocument/2006/relationships/image" Target="../media/image27.png"/><Relationship Id="rId5" Type="http://schemas.openxmlformats.org/officeDocument/2006/relationships/hyperlink" Target="#'EXAMENES - IS'!A1"/><Relationship Id="rId4" Type="http://schemas.openxmlformats.org/officeDocument/2006/relationships/hyperlink" Target="#'EXAMENES - II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2115111</xdr:colOff>
      <xdr:row>4</xdr:row>
      <xdr:rowOff>14006</xdr:rowOff>
    </xdr:from>
    <xdr:to>
      <xdr:col>26</xdr:col>
      <xdr:colOff>802842</xdr:colOff>
      <xdr:row>6</xdr:row>
      <xdr:rowOff>140072</xdr:rowOff>
    </xdr:to>
    <xdr:sp macro="" textlink="">
      <xdr:nvSpPr>
        <xdr:cNvPr id="3" name="Flecha derech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0800000">
          <a:off x="12368493" y="1246653"/>
          <a:ext cx="844864" cy="630331"/>
        </a:xfrm>
        <a:prstGeom prst="rightArrow">
          <a:avLst/>
        </a:prstGeom>
        <a:solidFill>
          <a:schemeClr val="accent4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463717</xdr:colOff>
      <xdr:row>2</xdr:row>
      <xdr:rowOff>62665</xdr:rowOff>
    </xdr:from>
    <xdr:to>
      <xdr:col>25</xdr:col>
      <xdr:colOff>1842334</xdr:colOff>
      <xdr:row>9</xdr:row>
      <xdr:rowOff>18017</xdr:rowOff>
    </xdr:to>
    <xdr:pic>
      <xdr:nvPicPr>
        <xdr:cNvPr id="3" name="Imagen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84" b="984"/>
        <a:stretch/>
      </xdr:blipFill>
      <xdr:spPr>
        <a:xfrm>
          <a:off x="9913122" y="788379"/>
          <a:ext cx="2013617" cy="1799876"/>
        </a:xfrm>
        <a:prstGeom prst="rect">
          <a:avLst/>
        </a:prstGeom>
      </xdr:spPr>
    </xdr:pic>
    <xdr:clientData/>
  </xdr:twoCellAnchor>
  <xdr:twoCellAnchor>
    <xdr:from>
      <xdr:col>25</xdr:col>
      <xdr:colOff>2000248</xdr:colOff>
      <xdr:row>3</xdr:row>
      <xdr:rowOff>204105</xdr:rowOff>
    </xdr:from>
    <xdr:to>
      <xdr:col>26</xdr:col>
      <xdr:colOff>789214</xdr:colOff>
      <xdr:row>5</xdr:row>
      <xdr:rowOff>217712</xdr:rowOff>
    </xdr:to>
    <xdr:sp macro="" textlink="">
      <xdr:nvSpPr>
        <xdr:cNvPr id="4" name="Flecha derecha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10800000">
          <a:off x="12069534" y="1224641"/>
          <a:ext cx="952501" cy="585107"/>
        </a:xfrm>
        <a:prstGeom prst="rightArrow">
          <a:avLst/>
        </a:prstGeom>
        <a:solidFill>
          <a:srgbClr val="00CC66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19439</xdr:colOff>
      <xdr:row>0</xdr:row>
      <xdr:rowOff>0</xdr:rowOff>
    </xdr:from>
    <xdr:to>
      <xdr:col>22</xdr:col>
      <xdr:colOff>651199</xdr:colOff>
      <xdr:row>40</xdr:row>
      <xdr:rowOff>145790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9439" y="0"/>
          <a:ext cx="16863138" cy="79213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136981</xdr:colOff>
      <xdr:row>3</xdr:row>
      <xdr:rowOff>42397</xdr:rowOff>
    </xdr:from>
    <xdr:to>
      <xdr:col>12</xdr:col>
      <xdr:colOff>44797</xdr:colOff>
      <xdr:row>22</xdr:row>
      <xdr:rowOff>186398</xdr:rowOff>
    </xdr:to>
    <xdr:graphicFrame macro="">
      <xdr:nvGraphicFramePr>
        <xdr:cNvPr id="5" name="Diagrama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293525</xdr:colOff>
      <xdr:row>41</xdr:row>
      <xdr:rowOff>110800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0" y="0"/>
          <a:ext cx="13247525" cy="79213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542926</xdr:colOff>
      <xdr:row>2</xdr:row>
      <xdr:rowOff>171449</xdr:rowOff>
    </xdr:from>
    <xdr:to>
      <xdr:col>11</xdr:col>
      <xdr:colOff>723900</xdr:colOff>
      <xdr:row>25</xdr:row>
      <xdr:rowOff>142874</xdr:rowOff>
    </xdr:to>
    <xdr:graphicFrame macro="">
      <xdr:nvGraphicFramePr>
        <xdr:cNvPr id="2" name="Diagrama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11</xdr:col>
      <xdr:colOff>161925</xdr:colOff>
      <xdr:row>1</xdr:row>
      <xdr:rowOff>57150</xdr:rowOff>
    </xdr:from>
    <xdr:to>
      <xdr:col>18</xdr:col>
      <xdr:colOff>114300</xdr:colOff>
      <xdr:row>18</xdr:row>
      <xdr:rowOff>190499</xdr:rowOff>
    </xdr:to>
    <xdr:graphicFrame macro="">
      <xdr:nvGraphicFramePr>
        <xdr:cNvPr id="5" name="Diagrama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6" r:lo="rId7" r:qs="rId8" r:cs="rId9"/>
        </a:graphicData>
      </a:graphic>
    </xdr:graphicFrame>
    <xdr:clientData/>
  </xdr:twoCellAnchor>
  <xdr:twoCellAnchor>
    <xdr:from>
      <xdr:col>0</xdr:col>
      <xdr:colOff>114300</xdr:colOff>
      <xdr:row>18</xdr:row>
      <xdr:rowOff>114300</xdr:rowOff>
    </xdr:from>
    <xdr:to>
      <xdr:col>1</xdr:col>
      <xdr:colOff>680291</xdr:colOff>
      <xdr:row>22</xdr:row>
      <xdr:rowOff>19775</xdr:rowOff>
    </xdr:to>
    <xdr:sp macro="" textlink="">
      <xdr:nvSpPr>
        <xdr:cNvPr id="9" name="Flecha derecha 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14300" y="3543300"/>
          <a:ext cx="1327991" cy="667475"/>
        </a:xfrm>
        <a:prstGeom prst="rightArrow">
          <a:avLst/>
        </a:prstGeom>
        <a:solidFill>
          <a:schemeClr val="accent5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Menú</a:t>
          </a:r>
          <a:r>
            <a:rPr lang="en-US" sz="1100" b="0" baseline="0"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 Principal</a:t>
          </a:r>
          <a:endParaRPr lang="en-US" sz="1100" b="0">
            <a:latin typeface="Arial Unicode MS" panose="020B0604020202020204" pitchFamily="34" charset="-128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  <xdr:twoCellAnchor>
    <xdr:from>
      <xdr:col>0</xdr:col>
      <xdr:colOff>228600</xdr:colOff>
      <xdr:row>1</xdr:row>
      <xdr:rowOff>47626</xdr:rowOff>
    </xdr:from>
    <xdr:to>
      <xdr:col>3</xdr:col>
      <xdr:colOff>352425</xdr:colOff>
      <xdr:row>3</xdr:row>
      <xdr:rowOff>171450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228600" y="238126"/>
          <a:ext cx="2409825" cy="504824"/>
          <a:chOff x="1691640" y="1361993"/>
          <a:chExt cx="1903095" cy="647862"/>
        </a:xfrm>
        <a:solidFill>
          <a:schemeClr val="accent1">
            <a:lumMod val="75000"/>
          </a:schemeClr>
        </a:solidFill>
        <a:scene3d>
          <a:camera prst="orthographicFront"/>
          <a:lightRig rig="threePt" dir="t">
            <a:rot lat="0" lon="0" rev="7500000"/>
          </a:lightRig>
        </a:scene3d>
      </xdr:grpSpPr>
      <xdr:sp macro="" textlink="">
        <xdr:nvSpPr>
          <xdr:cNvPr id="11" name="Rectángulo redondeado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1691640" y="1361993"/>
            <a:ext cx="1903095" cy="647862"/>
          </a:xfrm>
          <a:prstGeom prst="roundRect">
            <a:avLst/>
          </a:prstGeom>
          <a:grpFill/>
          <a:sp3d prstMaterial="plastic">
            <a:bevelT w="127000" h="25400" prst="relaxedInset"/>
          </a:sp3d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4">
              <a:hueOff val="5197846"/>
              <a:satOff val="-23984"/>
              <a:lumOff val="883"/>
              <a:alphaOff val="0"/>
            </a:schemeClr>
          </a:fillRef>
          <a:effectRef idx="2">
            <a:schemeClr val="accent4">
              <a:hueOff val="5197846"/>
              <a:satOff val="-23984"/>
              <a:lumOff val="883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2" name="Rectángulo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1723266" y="1393619"/>
            <a:ext cx="1839843" cy="584610"/>
          </a:xfrm>
          <a:prstGeom prst="rect">
            <a:avLst/>
          </a:prstGeom>
          <a:grpFill/>
          <a:sp3d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68580" tIns="34290" rIns="68580" bIns="34290" numCol="1" spcCol="1270" anchor="ctr" anchorCtr="0">
            <a:noAutofit/>
          </a:bodyPr>
          <a:lstStyle/>
          <a:p>
            <a:pPr lvl="0" algn="ctr" defTabSz="8001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2800" b="1" kern="1200">
                <a:latin typeface="+mj-lt"/>
              </a:rPr>
              <a:t>I</a:t>
            </a:r>
            <a:r>
              <a:rPr lang="en-US" sz="2800" b="1" kern="1200" baseline="0">
                <a:latin typeface="+mj-lt"/>
              </a:rPr>
              <a:t> SEMESTRE</a:t>
            </a:r>
            <a:endParaRPr lang="en-US" sz="2800" b="1" kern="1200">
              <a:latin typeface="+mj-lt"/>
            </a:endParaRPr>
          </a:p>
        </xdr:txBody>
      </xdr:sp>
    </xdr:grpSp>
    <xdr:clientData/>
  </xdr:twoCellAnchor>
  <xdr:twoCellAnchor>
    <xdr:from>
      <xdr:col>1</xdr:col>
      <xdr:colOff>619125</xdr:colOff>
      <xdr:row>10</xdr:row>
      <xdr:rowOff>28575</xdr:rowOff>
    </xdr:from>
    <xdr:to>
      <xdr:col>4</xdr:col>
      <xdr:colOff>371475</xdr:colOff>
      <xdr:row>13</xdr:row>
      <xdr:rowOff>85725</xdr:rowOff>
    </xdr:to>
    <xdr:sp macro="" textlink="">
      <xdr:nvSpPr>
        <xdr:cNvPr id="3" name="Pergamino horizontal 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381125" y="1933575"/>
          <a:ext cx="2038350" cy="628650"/>
        </a:xfrm>
        <a:prstGeom prst="horizontalScroll">
          <a:avLst/>
        </a:prstGeom>
        <a:solidFill>
          <a:srgbClr val="FFC000"/>
        </a:solidFill>
        <a:effectLst>
          <a:reflection blurRad="6350" stA="50000" endA="300" endPos="55000" dir="5400000" sy="-100000" algn="bl" rotWithShape="0"/>
        </a:effectLst>
        <a:scene3d>
          <a:camera prst="orthographicFront"/>
          <a:lightRig rig="threePt" dir="t"/>
        </a:scene3d>
        <a:sp3d prstMaterial="metal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i="0"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Indicadores</a:t>
          </a:r>
          <a:r>
            <a:rPr lang="en-US" sz="1600" b="1" i="0" baseline="0"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 </a:t>
          </a:r>
          <a:endParaRPr lang="en-US" sz="1600" b="1" i="0">
            <a:latin typeface="Arial Unicode MS" panose="020B0604020202020204" pitchFamily="34" charset="-128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293525</xdr:colOff>
      <xdr:row>41</xdr:row>
      <xdr:rowOff>110800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0" y="0"/>
          <a:ext cx="13247525" cy="79213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638176</xdr:colOff>
      <xdr:row>1</xdr:row>
      <xdr:rowOff>180974</xdr:rowOff>
    </xdr:from>
    <xdr:to>
      <xdr:col>12</xdr:col>
      <xdr:colOff>57150</xdr:colOff>
      <xdr:row>24</xdr:row>
      <xdr:rowOff>152399</xdr:rowOff>
    </xdr:to>
    <xdr:graphicFrame macro="">
      <xdr:nvGraphicFramePr>
        <xdr:cNvPr id="2" name="Diagram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11</xdr:col>
      <xdr:colOff>161925</xdr:colOff>
      <xdr:row>1</xdr:row>
      <xdr:rowOff>57150</xdr:rowOff>
    </xdr:from>
    <xdr:to>
      <xdr:col>18</xdr:col>
      <xdr:colOff>114300</xdr:colOff>
      <xdr:row>18</xdr:row>
      <xdr:rowOff>190499</xdr:rowOff>
    </xdr:to>
    <xdr:graphicFrame macro="">
      <xdr:nvGraphicFramePr>
        <xdr:cNvPr id="3" name="Diagrama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6" r:lo="rId7" r:qs="rId8" r:cs="rId9"/>
        </a:graphicData>
      </a:graphic>
    </xdr:graphicFrame>
    <xdr:clientData/>
  </xdr:twoCellAnchor>
  <xdr:twoCellAnchor>
    <xdr:from>
      <xdr:col>0</xdr:col>
      <xdr:colOff>114300</xdr:colOff>
      <xdr:row>18</xdr:row>
      <xdr:rowOff>114300</xdr:rowOff>
    </xdr:from>
    <xdr:to>
      <xdr:col>1</xdr:col>
      <xdr:colOff>680291</xdr:colOff>
      <xdr:row>22</xdr:row>
      <xdr:rowOff>19775</xdr:rowOff>
    </xdr:to>
    <xdr:sp macro="" textlink="">
      <xdr:nvSpPr>
        <xdr:cNvPr id="4" name="Flecha derecha 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14300" y="3543300"/>
          <a:ext cx="1327991" cy="667475"/>
        </a:xfrm>
        <a:prstGeom prst="rightArrow">
          <a:avLst/>
        </a:prstGeom>
        <a:solidFill>
          <a:schemeClr val="accent5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Menú</a:t>
          </a:r>
          <a:r>
            <a:rPr lang="en-US" sz="1100" b="0" baseline="0"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 Principal</a:t>
          </a:r>
          <a:endParaRPr lang="en-US" sz="1100" b="0">
            <a:latin typeface="Arial Unicode MS" panose="020B0604020202020204" pitchFamily="34" charset="-128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  <xdr:twoCellAnchor>
    <xdr:from>
      <xdr:col>0</xdr:col>
      <xdr:colOff>133350</xdr:colOff>
      <xdr:row>0</xdr:row>
      <xdr:rowOff>171451</xdr:rowOff>
    </xdr:from>
    <xdr:to>
      <xdr:col>3</xdr:col>
      <xdr:colOff>257175</xdr:colOff>
      <xdr:row>3</xdr:row>
      <xdr:rowOff>104775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133350" y="171451"/>
          <a:ext cx="2415483" cy="499166"/>
          <a:chOff x="1691640" y="1361993"/>
          <a:chExt cx="1903095" cy="647862"/>
        </a:xfrm>
        <a:solidFill>
          <a:srgbClr val="FCA904"/>
        </a:solidFill>
        <a:scene3d>
          <a:camera prst="orthographicFront"/>
          <a:lightRig rig="threePt" dir="t">
            <a:rot lat="0" lon="0" rev="7500000"/>
          </a:lightRig>
        </a:scene3d>
      </xdr:grpSpPr>
      <xdr:sp macro="" textlink="">
        <xdr:nvSpPr>
          <xdr:cNvPr id="6" name="Rectángulo redondeado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>
          <a:xfrm>
            <a:off x="1691640" y="1361993"/>
            <a:ext cx="1903095" cy="647862"/>
          </a:xfrm>
          <a:prstGeom prst="roundRect">
            <a:avLst/>
          </a:prstGeom>
          <a:grpFill/>
          <a:sp3d prstMaterial="plastic">
            <a:bevelT w="127000" h="25400" prst="relaxedInset"/>
          </a:sp3d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4">
              <a:hueOff val="5197846"/>
              <a:satOff val="-23984"/>
              <a:lumOff val="883"/>
              <a:alphaOff val="0"/>
            </a:schemeClr>
          </a:fillRef>
          <a:effectRef idx="2">
            <a:schemeClr val="accent4">
              <a:hueOff val="5197846"/>
              <a:satOff val="-23984"/>
              <a:lumOff val="883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7" name="Rectángulo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1723266" y="1393619"/>
            <a:ext cx="1839843" cy="584610"/>
          </a:xfrm>
          <a:prstGeom prst="rect">
            <a:avLst/>
          </a:prstGeom>
          <a:grpFill/>
          <a:sp3d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68580" tIns="34290" rIns="68580" bIns="34290" numCol="1" spcCol="1270" anchor="ctr" anchorCtr="0">
            <a:noAutofit/>
          </a:bodyPr>
          <a:lstStyle/>
          <a:p>
            <a:pPr lvl="0" algn="ctr" defTabSz="8001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2800" b="1" kern="1200">
                <a:latin typeface="+mj-lt"/>
              </a:rPr>
              <a:t>II</a:t>
            </a:r>
            <a:r>
              <a:rPr lang="en-US" sz="2800" b="1" kern="1200" baseline="0">
                <a:latin typeface="+mj-lt"/>
              </a:rPr>
              <a:t> SEMESTRE</a:t>
            </a:r>
            <a:endParaRPr lang="en-US" sz="2800" b="1" kern="1200">
              <a:latin typeface="+mj-lt"/>
            </a:endParaRPr>
          </a:p>
        </xdr:txBody>
      </xdr:sp>
    </xdr:grpSp>
    <xdr:clientData/>
  </xdr:twoCellAnchor>
  <xdr:twoCellAnchor>
    <xdr:from>
      <xdr:col>1</xdr:col>
      <xdr:colOff>619125</xdr:colOff>
      <xdr:row>10</xdr:row>
      <xdr:rowOff>28575</xdr:rowOff>
    </xdr:from>
    <xdr:to>
      <xdr:col>4</xdr:col>
      <xdr:colOff>371475</xdr:colOff>
      <xdr:row>13</xdr:row>
      <xdr:rowOff>85725</xdr:rowOff>
    </xdr:to>
    <xdr:sp macro="" textlink="">
      <xdr:nvSpPr>
        <xdr:cNvPr id="8" name="Pergamino horizontal 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1381125" y="1933575"/>
          <a:ext cx="2038350" cy="628650"/>
        </a:xfrm>
        <a:prstGeom prst="horizontalScroll">
          <a:avLst/>
        </a:prstGeom>
        <a:solidFill>
          <a:schemeClr val="accent5"/>
        </a:solidFill>
        <a:effectLst>
          <a:reflection blurRad="6350" stA="50000" endA="300" endPos="55000" dir="5400000" sy="-100000" algn="bl" rotWithShape="0"/>
        </a:effectLst>
        <a:scene3d>
          <a:camera prst="orthographicFront"/>
          <a:lightRig rig="threePt" dir="t"/>
        </a:scene3d>
        <a:sp3d prstMaterial="dkEdg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i="0"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Indicadores</a:t>
          </a:r>
          <a:r>
            <a:rPr lang="en-US" sz="1600" b="1" i="0" baseline="0"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 </a:t>
          </a:r>
          <a:endParaRPr lang="en-US" sz="1600" b="1" i="0">
            <a:latin typeface="Arial Unicode MS" panose="020B0604020202020204" pitchFamily="34" charset="-128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264583</xdr:colOff>
      <xdr:row>5</xdr:row>
      <xdr:rowOff>922</xdr:rowOff>
    </xdr:from>
    <xdr:to>
      <xdr:col>3</xdr:col>
      <xdr:colOff>243416</xdr:colOff>
      <xdr:row>8</xdr:row>
      <xdr:rowOff>24601</xdr:rowOff>
    </xdr:to>
    <xdr:sp macro="" textlink="">
      <xdr:nvSpPr>
        <xdr:cNvPr id="2" name="Flecha derech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64583" y="1188454"/>
          <a:ext cx="1586950" cy="827738"/>
        </a:xfrm>
        <a:prstGeom prst="rightArrow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0"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Menú</a:t>
          </a:r>
          <a:r>
            <a:rPr lang="en-US" sz="1400" b="0" baseline="0"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 Principal</a:t>
          </a:r>
          <a:endParaRPr lang="en-US" sz="1400" b="0">
            <a:latin typeface="Arial Unicode MS" panose="020B0604020202020204" pitchFamily="34" charset="-128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  <xdr:twoCellAnchor>
    <xdr:from>
      <xdr:col>0</xdr:col>
      <xdr:colOff>247913</xdr:colOff>
      <xdr:row>0</xdr:row>
      <xdr:rowOff>156576</xdr:rowOff>
    </xdr:from>
    <xdr:to>
      <xdr:col>4</xdr:col>
      <xdr:colOff>926405</xdr:colOff>
      <xdr:row>4</xdr:row>
      <xdr:rowOff>0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247913" y="156576"/>
          <a:ext cx="3486511" cy="709333"/>
          <a:chOff x="885369" y="1004528"/>
          <a:chExt cx="7082955" cy="822116"/>
        </a:xfrm>
        <a:solidFill>
          <a:srgbClr val="FFC000"/>
        </a:solidFill>
        <a:scene3d>
          <a:camera prst="orthographicFront"/>
          <a:lightRig rig="threePt" dir="t">
            <a:rot lat="0" lon="0" rev="7500000"/>
          </a:lightRig>
        </a:scene3d>
      </xdr:grpSpPr>
      <xdr:sp macro="" textlink="">
        <xdr:nvSpPr>
          <xdr:cNvPr id="7" name="Rectángulo redondeado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885369" y="1004528"/>
            <a:ext cx="7082955" cy="822116"/>
          </a:xfrm>
          <a:prstGeom prst="roundRect">
            <a:avLst>
              <a:gd name="adj" fmla="val 10000"/>
            </a:avLst>
          </a:prstGeom>
          <a:grpFill/>
          <a:sp3d prstMaterial="plastic">
            <a:bevelT w="127000" h="25400" prst="artDeco"/>
            <a:bevelB w="165100" prst="coolSlant"/>
          </a:sp3d>
        </xdr:spPr>
        <xdr:style>
          <a:lnRef idx="0">
            <a:schemeClr val="lt2">
              <a:hueOff val="0"/>
              <a:satOff val="0"/>
              <a:lumOff val="0"/>
              <a:alphaOff val="0"/>
            </a:schemeClr>
          </a:lnRef>
          <a:fillRef idx="3">
            <a:schemeClr val="dk2">
              <a:hueOff val="0"/>
              <a:satOff val="0"/>
              <a:lumOff val="0"/>
              <a:alphaOff val="0"/>
            </a:schemeClr>
          </a:fillRef>
          <a:effectRef idx="2">
            <a:schemeClr val="dk2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8" name="Rectángulo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/>
        </xdr:nvSpPr>
        <xdr:spPr>
          <a:xfrm>
            <a:off x="909448" y="1028607"/>
            <a:ext cx="7034797" cy="773958"/>
          </a:xfrm>
          <a:prstGeom prst="rect">
            <a:avLst/>
          </a:prstGeom>
          <a:grpFill/>
          <a:sp3d>
            <a:bevelT w="114300" prst="artDeco"/>
            <a:bevelB w="165100" prst="coolSlan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109220" tIns="81915" rIns="109220" bIns="81915" numCol="1" spcCol="1270" anchor="ctr" anchorCtr="0">
            <a:noAutofit/>
          </a:bodyPr>
          <a:lstStyle/>
          <a:p>
            <a:pPr lvl="0" algn="ctr" defTabSz="19113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3200" kern="1200"/>
              <a:t>Registro de Datos</a:t>
            </a:r>
          </a:p>
        </xdr:txBody>
      </xdr:sp>
    </xdr:grpSp>
    <xdr:clientData/>
  </xdr:twoCellAnchor>
  <xdr:twoCellAnchor>
    <xdr:from>
      <xdr:col>11</xdr:col>
      <xdr:colOff>556656</xdr:colOff>
      <xdr:row>10</xdr:row>
      <xdr:rowOff>148440</xdr:rowOff>
    </xdr:from>
    <xdr:to>
      <xdr:col>16</xdr:col>
      <xdr:colOff>383475</xdr:colOff>
      <xdr:row>25</xdr:row>
      <xdr:rowOff>61850</xdr:rowOff>
    </xdr:to>
    <xdr:sp macro="" textlink="">
      <xdr:nvSpPr>
        <xdr:cNvPr id="10" name="Rectángulo redondeado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2530942" y="2783278"/>
          <a:ext cx="2845130" cy="3908962"/>
        </a:xfrm>
        <a:prstGeom prst="roundRect">
          <a:avLst/>
        </a:prstGeom>
        <a:effectLst>
          <a:innerShdw blurRad="63500" dist="50800" dir="18900000">
            <a:schemeClr val="accent4">
              <a:alpha val="50000"/>
            </a:schemeClr>
          </a:innerShdw>
        </a:effectLst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800" b="1" baseline="0">
              <a:solidFill>
                <a:sysClr val="windowText" lastClr="000000"/>
              </a:solidFill>
              <a:latin typeface="Ink Free" panose="03080402000500000000" pitchFamily="66" charset="0"/>
            </a:rPr>
            <a:t>NOTA:</a:t>
          </a:r>
        </a:p>
        <a:p>
          <a:pPr algn="l"/>
          <a:r>
            <a:rPr lang="en-US" sz="1800" b="1" baseline="0">
              <a:solidFill>
                <a:sysClr val="windowText" lastClr="000000"/>
              </a:solidFill>
              <a:latin typeface="Ink Free" panose="03080402000500000000" pitchFamily="66" charset="0"/>
            </a:rPr>
            <a:t>En caso de que dos estudiantes posean el primer apellido igual deberá colocar un "punto final" en uno de los apellidos.</a:t>
          </a:r>
        </a:p>
        <a:p>
          <a:pPr algn="l"/>
          <a:r>
            <a:rPr lang="en-US" sz="1800" b="1" baseline="0">
              <a:solidFill>
                <a:sysClr val="windowText" lastClr="000000"/>
              </a:solidFill>
              <a:latin typeface="Ink Free" panose="03080402000500000000" pitchFamily="66" charset="0"/>
            </a:rPr>
            <a:t> ejemplo:</a:t>
          </a:r>
        </a:p>
        <a:p>
          <a:pPr algn="l"/>
          <a:r>
            <a:rPr lang="en-US" sz="1800" b="1" u="sng" baseline="0">
              <a:solidFill>
                <a:srgbClr val="FF0000"/>
              </a:solidFill>
              <a:latin typeface="Ink Free" panose="03080402000500000000" pitchFamily="66" charset="0"/>
            </a:rPr>
            <a:t>1.Garcia Valverde Juan </a:t>
          </a:r>
        </a:p>
        <a:p>
          <a:pPr algn="l"/>
          <a:r>
            <a:rPr lang="en-US" sz="1800" b="1" baseline="0">
              <a:solidFill>
                <a:sysClr val="windowText" lastClr="000000"/>
              </a:solidFill>
              <a:latin typeface="Ink Free" panose="03080402000500000000" pitchFamily="66" charset="0"/>
            </a:rPr>
            <a:t>2.Garcia Marin Bryan</a:t>
          </a:r>
        </a:p>
        <a:p>
          <a:pPr algn="l"/>
          <a:endParaRPr lang="en-US" sz="1800" b="1" baseline="0">
            <a:solidFill>
              <a:sysClr val="windowText" lastClr="000000"/>
            </a:solidFill>
            <a:latin typeface="Ink Free" panose="03080402000500000000" pitchFamily="66" charset="0"/>
          </a:endParaRPr>
        </a:p>
        <a:p>
          <a:pPr algn="l"/>
          <a:r>
            <a:rPr lang="en-US" sz="1800" b="1" baseline="0">
              <a:solidFill>
                <a:srgbClr val="FF0000"/>
              </a:solidFill>
              <a:latin typeface="Ink Free" panose="03080402000500000000" pitchFamily="66" charset="0"/>
            </a:rPr>
            <a:t>1.Garcia. Valverde Juan</a:t>
          </a:r>
        </a:p>
        <a:p>
          <a:pPr algn="l"/>
          <a:endParaRPr lang="en-US" sz="1800">
            <a:solidFill>
              <a:sysClr val="windowText" lastClr="000000"/>
            </a:solidFill>
            <a:latin typeface="Ink Free" panose="03080402000500000000" pitchFamily="66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915257</xdr:colOff>
      <xdr:row>3</xdr:row>
      <xdr:rowOff>96325</xdr:rowOff>
    </xdr:from>
    <xdr:to>
      <xdr:col>20</xdr:col>
      <xdr:colOff>946171</xdr:colOff>
      <xdr:row>7</xdr:row>
      <xdr:rowOff>355794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71" b="-771"/>
        <a:stretch/>
      </xdr:blipFill>
      <xdr:spPr>
        <a:xfrm>
          <a:off x="14481578" y="1320968"/>
          <a:ext cx="2017557" cy="1973969"/>
        </a:xfrm>
        <a:prstGeom prst="rect">
          <a:avLst/>
        </a:prstGeom>
      </xdr:spPr>
    </xdr:pic>
    <xdr:clientData/>
  </xdr:twoCellAnchor>
  <xdr:twoCellAnchor editAs="oneCell">
    <xdr:from>
      <xdr:col>16</xdr:col>
      <xdr:colOff>164729</xdr:colOff>
      <xdr:row>1</xdr:row>
      <xdr:rowOff>309147</xdr:rowOff>
    </xdr:from>
    <xdr:to>
      <xdr:col>18</xdr:col>
      <xdr:colOff>618586</xdr:colOff>
      <xdr:row>3</xdr:row>
      <xdr:rowOff>380997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0996015" y="989504"/>
          <a:ext cx="1243072" cy="888279"/>
        </a:xfrm>
        <a:prstGeom prst="rect">
          <a:avLst/>
        </a:prstGeom>
      </xdr:spPr>
    </xdr:pic>
    <xdr:clientData/>
  </xdr:twoCellAnchor>
  <xdr:twoCellAnchor editAs="oneCell">
    <xdr:from>
      <xdr:col>19</xdr:col>
      <xdr:colOff>1374318</xdr:colOff>
      <xdr:row>8</xdr:row>
      <xdr:rowOff>176893</xdr:rowOff>
    </xdr:from>
    <xdr:to>
      <xdr:col>20</xdr:col>
      <xdr:colOff>530675</xdr:colOff>
      <xdr:row>11</xdr:row>
      <xdr:rowOff>5286</xdr:rowOff>
    </xdr:to>
    <xdr:pic macro="[0]!PDFActiveSheet">
      <xdr:nvPicPr>
        <xdr:cNvPr id="7" name="Imagen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38461" y="3048000"/>
          <a:ext cx="1143000" cy="1148286"/>
        </a:xfrm>
        <a:prstGeom prst="rect">
          <a:avLst/>
        </a:prstGeom>
      </xdr:spPr>
    </xdr:pic>
    <xdr:clientData/>
  </xdr:twoCellAnchor>
  <xdr:twoCellAnchor>
    <xdr:from>
      <xdr:col>19</xdr:col>
      <xdr:colOff>1374313</xdr:colOff>
      <xdr:row>11</xdr:row>
      <xdr:rowOff>326576</xdr:rowOff>
    </xdr:from>
    <xdr:to>
      <xdr:col>20</xdr:col>
      <xdr:colOff>380997</xdr:colOff>
      <xdr:row>13</xdr:row>
      <xdr:rowOff>231321</xdr:rowOff>
    </xdr:to>
    <xdr:sp macro="" textlink="">
      <xdr:nvSpPr>
        <xdr:cNvPr id="8" name="Flecha derecha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 rot="10800000">
          <a:off x="13933706" y="4340683"/>
          <a:ext cx="993327" cy="666745"/>
        </a:xfrm>
        <a:prstGeom prst="rightArrow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164729</xdr:colOff>
      <xdr:row>1</xdr:row>
      <xdr:rowOff>309147</xdr:rowOff>
    </xdr:from>
    <xdr:to>
      <xdr:col>18</xdr:col>
      <xdr:colOff>618587</xdr:colOff>
      <xdr:row>3</xdr:row>
      <xdr:rowOff>367390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0985129" y="975897"/>
          <a:ext cx="1244433" cy="888279"/>
        </a:xfrm>
        <a:prstGeom prst="rect">
          <a:avLst/>
        </a:prstGeom>
      </xdr:spPr>
    </xdr:pic>
    <xdr:clientData/>
  </xdr:twoCellAnchor>
  <xdr:twoCellAnchor editAs="oneCell">
    <xdr:from>
      <xdr:col>19</xdr:col>
      <xdr:colOff>847221</xdr:colOff>
      <xdr:row>4</xdr:row>
      <xdr:rowOff>164360</xdr:rowOff>
    </xdr:from>
    <xdr:to>
      <xdr:col>20</xdr:col>
      <xdr:colOff>878135</xdr:colOff>
      <xdr:row>9</xdr:row>
      <xdr:rowOff>233329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82" b="1982"/>
        <a:stretch/>
      </xdr:blipFill>
      <xdr:spPr>
        <a:xfrm>
          <a:off x="13665150" y="1579503"/>
          <a:ext cx="2017556" cy="1973969"/>
        </a:xfrm>
        <a:prstGeom prst="rect">
          <a:avLst/>
        </a:prstGeom>
      </xdr:spPr>
    </xdr:pic>
    <xdr:clientData/>
  </xdr:twoCellAnchor>
  <xdr:twoCellAnchor editAs="oneCell">
    <xdr:from>
      <xdr:col>19</xdr:col>
      <xdr:colOff>1347104</xdr:colOff>
      <xdr:row>9</xdr:row>
      <xdr:rowOff>231321</xdr:rowOff>
    </xdr:from>
    <xdr:to>
      <xdr:col>20</xdr:col>
      <xdr:colOff>503461</xdr:colOff>
      <xdr:row>12</xdr:row>
      <xdr:rowOff>236607</xdr:rowOff>
    </xdr:to>
    <xdr:pic macro="[0]!PDFActiveSheet">
      <xdr:nvPicPr>
        <xdr:cNvPr id="10" name="Imagen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97640" y="3429000"/>
          <a:ext cx="1142999" cy="1148286"/>
        </a:xfrm>
        <a:prstGeom prst="rect">
          <a:avLst/>
        </a:prstGeom>
      </xdr:spPr>
    </xdr:pic>
    <xdr:clientData/>
  </xdr:twoCellAnchor>
  <xdr:twoCellAnchor>
    <xdr:from>
      <xdr:col>19</xdr:col>
      <xdr:colOff>1360713</xdr:colOff>
      <xdr:row>12</xdr:row>
      <xdr:rowOff>367393</xdr:rowOff>
    </xdr:from>
    <xdr:to>
      <xdr:col>20</xdr:col>
      <xdr:colOff>427053</xdr:colOff>
      <xdr:row>14</xdr:row>
      <xdr:rowOff>310519</xdr:rowOff>
    </xdr:to>
    <xdr:sp macro="" textlink="">
      <xdr:nvSpPr>
        <xdr:cNvPr id="12" name="Flecha derecha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 rot="10800000">
          <a:off x="13811249" y="4708072"/>
          <a:ext cx="1052983" cy="705126"/>
        </a:xfrm>
        <a:prstGeom prst="rightArrow">
          <a:avLst/>
        </a:prstGeom>
        <a:solidFill>
          <a:srgbClr val="00CC66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112796</xdr:colOff>
      <xdr:row>0</xdr:row>
      <xdr:rowOff>87731</xdr:rowOff>
    </xdr:from>
    <xdr:to>
      <xdr:col>2</xdr:col>
      <xdr:colOff>37989</xdr:colOff>
      <xdr:row>4</xdr:row>
      <xdr:rowOff>12925</xdr:rowOff>
    </xdr:to>
    <xdr:grpSp>
      <xdr:nvGrpSpPr>
        <xdr:cNvPr id="5" name="Grup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325855" y="87731"/>
          <a:ext cx="1078220" cy="1053155"/>
          <a:chOff x="582108" y="1637352"/>
          <a:chExt cx="1078220" cy="1078220"/>
        </a:xfrm>
        <a:scene3d>
          <a:camera prst="orthographicFront"/>
          <a:lightRig rig="threePt" dir="t">
            <a:rot lat="0" lon="0" rev="7500000"/>
          </a:lightRig>
        </a:scene3d>
      </xdr:grpSpPr>
      <xdr:sp macro="" textlink="">
        <xdr:nvSpPr>
          <xdr:cNvPr id="6" name="Elipse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582108" y="1637352"/>
            <a:ext cx="1078220" cy="1078220"/>
          </a:xfrm>
          <a:prstGeom prst="ellipse">
            <a:avLst/>
          </a:prstGeom>
          <a:sp3d prstMaterial="plastic">
            <a:bevelT w="127000" h="25400" prst="relaxedInset"/>
          </a:sp3d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5">
              <a:hueOff val="-7353344"/>
              <a:satOff val="-10228"/>
              <a:lumOff val="-3922"/>
              <a:alphaOff val="0"/>
            </a:schemeClr>
          </a:fillRef>
          <a:effectRef idx="2">
            <a:schemeClr val="accent5">
              <a:hueOff val="-7353344"/>
              <a:satOff val="-10228"/>
              <a:lumOff val="-3922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7" name="Elips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>
            <a:off x="740010" y="1795254"/>
            <a:ext cx="762416" cy="762416"/>
          </a:xfrm>
          <a:prstGeom prst="rect">
            <a:avLst/>
          </a:prstGeom>
          <a:sp3d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20320" tIns="20320" rIns="20320" bIns="20320" numCol="1" spcCol="1270" anchor="ctr" anchorCtr="0">
            <a:noAutofit/>
          </a:bodyPr>
          <a:lstStyle/>
          <a:p>
            <a:pPr lvl="0" algn="ctr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600" kern="1200">
                <a:latin typeface="Bahnschrift Condensed" panose="020B0502040204020203" pitchFamily="34" charset="0"/>
              </a:rPr>
              <a:t>Tareas</a:t>
            </a:r>
          </a:p>
        </xdr:txBody>
      </xdr:sp>
    </xdr:grpSp>
    <xdr:clientData/>
  </xdr:twoCellAnchor>
  <xdr:twoCellAnchor>
    <xdr:from>
      <xdr:col>0</xdr:col>
      <xdr:colOff>100264</xdr:colOff>
      <xdr:row>4</xdr:row>
      <xdr:rowOff>62666</xdr:rowOff>
    </xdr:from>
    <xdr:to>
      <xdr:col>2</xdr:col>
      <xdr:colOff>332261</xdr:colOff>
      <xdr:row>7</xdr:row>
      <xdr:rowOff>71469</xdr:rowOff>
    </xdr:to>
    <xdr:sp macro="" textlink="">
      <xdr:nvSpPr>
        <xdr:cNvPr id="8" name="Flecha derecha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100264" y="1310441"/>
          <a:ext cx="1603597" cy="761278"/>
        </a:xfrm>
        <a:prstGeom prst="rightArrow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0"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Menú</a:t>
          </a:r>
          <a:r>
            <a:rPr lang="en-US" sz="1400" b="0" baseline="0"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 Principal</a:t>
          </a:r>
          <a:endParaRPr lang="en-US" sz="1400" b="0">
            <a:latin typeface="Arial Unicode MS" panose="020B0604020202020204" pitchFamily="34" charset="-128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  <xdr:twoCellAnchor>
    <xdr:from>
      <xdr:col>1</xdr:col>
      <xdr:colOff>187994</xdr:colOff>
      <xdr:row>7</xdr:row>
      <xdr:rowOff>100263</xdr:rowOff>
    </xdr:from>
    <xdr:to>
      <xdr:col>1</xdr:col>
      <xdr:colOff>864770</xdr:colOff>
      <xdr:row>9</xdr:row>
      <xdr:rowOff>100263</xdr:rowOff>
    </xdr:to>
    <xdr:sp macro="" textlink="">
      <xdr:nvSpPr>
        <xdr:cNvPr id="9" name="Flecha derecha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 rot="10800000">
          <a:off x="407069" y="2100513"/>
          <a:ext cx="676776" cy="495300"/>
        </a:xfrm>
        <a:prstGeom prst="rightArrow">
          <a:avLst/>
        </a:prstGeom>
        <a:solidFill>
          <a:srgbClr val="92D050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62665</xdr:colOff>
      <xdr:row>13</xdr:row>
      <xdr:rowOff>25066</xdr:rowOff>
    </xdr:from>
    <xdr:to>
      <xdr:col>18</xdr:col>
      <xdr:colOff>112798</xdr:colOff>
      <xdr:row>28</xdr:row>
      <xdr:rowOff>213060</xdr:rowOff>
    </xdr:to>
    <xdr:sp macro="" textlink="">
      <xdr:nvSpPr>
        <xdr:cNvPr id="10" name="Rectángulo redondead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8910889" y="3133224"/>
          <a:ext cx="2105527" cy="3697204"/>
        </a:xfrm>
        <a:prstGeom prst="roundRect">
          <a:avLst/>
        </a:prstGeom>
        <a:effectLst>
          <a:innerShdw blurRad="63500" dist="50800" dir="18900000">
            <a:schemeClr val="accent4">
              <a:alpha val="50000"/>
            </a:schemeClr>
          </a:innerShdw>
        </a:effectLst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800" b="1">
              <a:solidFill>
                <a:sysClr val="windowText" lastClr="000000"/>
              </a:solidFill>
              <a:latin typeface="Ink Free" panose="03080402000500000000" pitchFamily="66" charset="0"/>
            </a:rPr>
            <a:t>1. Ingrese los puntos</a:t>
          </a:r>
          <a:r>
            <a:rPr lang="en-US" sz="1800" b="1" baseline="0">
              <a:solidFill>
                <a:sysClr val="windowText" lastClr="000000"/>
              </a:solidFill>
              <a:latin typeface="Ink Free" panose="03080402000500000000" pitchFamily="66" charset="0"/>
            </a:rPr>
            <a:t> totales a evaluar de la tarea.</a:t>
          </a:r>
        </a:p>
        <a:p>
          <a:pPr algn="l"/>
          <a:endParaRPr lang="en-US" sz="1800" b="1" baseline="0">
            <a:solidFill>
              <a:sysClr val="windowText" lastClr="000000"/>
            </a:solidFill>
            <a:latin typeface="Ink Free" panose="03080402000500000000" pitchFamily="66" charset="0"/>
          </a:endParaRPr>
        </a:p>
        <a:p>
          <a:pPr algn="l"/>
          <a:r>
            <a:rPr lang="en-US" sz="1800" b="1">
              <a:solidFill>
                <a:sysClr val="windowText" lastClr="000000"/>
              </a:solidFill>
              <a:latin typeface="Ink Free" panose="03080402000500000000" pitchFamily="66" charset="0"/>
            </a:rPr>
            <a:t>2. Escriba</a:t>
          </a:r>
          <a:r>
            <a:rPr lang="en-US" sz="1800" b="1" baseline="0">
              <a:solidFill>
                <a:sysClr val="windowText" lastClr="000000"/>
              </a:solidFill>
              <a:latin typeface="Ink Free" panose="03080402000500000000" pitchFamily="66" charset="0"/>
            </a:rPr>
            <a:t> los puntos obtenidos de la tarea de cada estudiante, el registro le brindará los demás datos.</a:t>
          </a:r>
        </a:p>
        <a:p>
          <a:pPr algn="l"/>
          <a:endParaRPr lang="en-US" sz="1800" b="1" baseline="0">
            <a:solidFill>
              <a:sysClr val="windowText" lastClr="000000"/>
            </a:solidFill>
            <a:latin typeface="Ink Free" panose="03080402000500000000" pitchFamily="66" charset="0"/>
          </a:endParaRPr>
        </a:p>
        <a:p>
          <a:pPr algn="l"/>
          <a:endParaRPr lang="en-US" sz="1800">
            <a:solidFill>
              <a:sysClr val="windowText" lastClr="000000"/>
            </a:solidFill>
            <a:latin typeface="Ink Free" panose="03080402000500000000" pitchFamily="66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50131</xdr:colOff>
      <xdr:row>2</xdr:row>
      <xdr:rowOff>338389</xdr:rowOff>
    </xdr:from>
    <xdr:to>
      <xdr:col>17</xdr:col>
      <xdr:colOff>0</xdr:colOff>
      <xdr:row>9</xdr:row>
      <xdr:rowOff>162928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07" b="407"/>
        <a:stretch/>
      </xdr:blipFill>
      <xdr:spPr>
        <a:xfrm>
          <a:off x="9036217" y="651711"/>
          <a:ext cx="2005263" cy="1892467"/>
        </a:xfrm>
        <a:prstGeom prst="rect">
          <a:avLst/>
        </a:prstGeom>
      </xdr:spPr>
    </xdr:pic>
    <xdr:clientData/>
  </xdr:twoCellAnchor>
  <xdr:twoCellAnchor>
    <xdr:from>
      <xdr:col>1</xdr:col>
      <xdr:colOff>112796</xdr:colOff>
      <xdr:row>1</xdr:row>
      <xdr:rowOff>87731</xdr:rowOff>
    </xdr:from>
    <xdr:to>
      <xdr:col>2</xdr:col>
      <xdr:colOff>37989</xdr:colOff>
      <xdr:row>5</xdr:row>
      <xdr:rowOff>12925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25855" y="275724"/>
          <a:ext cx="1078220" cy="1115819"/>
          <a:chOff x="582108" y="1637352"/>
          <a:chExt cx="1078220" cy="1078220"/>
        </a:xfrm>
        <a:scene3d>
          <a:camera prst="orthographicFront"/>
          <a:lightRig rig="threePt" dir="t">
            <a:rot lat="0" lon="0" rev="7500000"/>
          </a:lightRig>
        </a:scene3d>
      </xdr:grpSpPr>
      <xdr:sp macro="" textlink="">
        <xdr:nvSpPr>
          <xdr:cNvPr id="5" name="Elipse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582108" y="1637352"/>
            <a:ext cx="1078220" cy="1078220"/>
          </a:xfrm>
          <a:prstGeom prst="ellipse">
            <a:avLst/>
          </a:prstGeom>
          <a:sp3d prstMaterial="plastic">
            <a:bevelT w="127000" h="25400" prst="relaxedInset"/>
          </a:sp3d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5">
              <a:hueOff val="-7353344"/>
              <a:satOff val="-10228"/>
              <a:lumOff val="-3922"/>
              <a:alphaOff val="0"/>
            </a:schemeClr>
          </a:fillRef>
          <a:effectRef idx="2">
            <a:schemeClr val="accent5">
              <a:hueOff val="-7353344"/>
              <a:satOff val="-10228"/>
              <a:lumOff val="-3922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6" name="Elipse 4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/>
        </xdr:nvSpPr>
        <xdr:spPr>
          <a:xfrm>
            <a:off x="740010" y="1795254"/>
            <a:ext cx="762416" cy="762416"/>
          </a:xfrm>
          <a:prstGeom prst="rect">
            <a:avLst/>
          </a:prstGeom>
          <a:sp3d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20320" tIns="20320" rIns="20320" bIns="20320" numCol="1" spcCol="1270" anchor="ctr" anchorCtr="0">
            <a:noAutofit/>
          </a:bodyPr>
          <a:lstStyle/>
          <a:p>
            <a:pPr lvl="0" algn="ctr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600" kern="1200">
                <a:latin typeface="Bahnschrift Condensed" panose="020B0502040204020203" pitchFamily="34" charset="0"/>
              </a:rPr>
              <a:t>Tareas</a:t>
            </a:r>
          </a:p>
        </xdr:txBody>
      </xdr:sp>
    </xdr:grpSp>
    <xdr:clientData/>
  </xdr:twoCellAnchor>
  <xdr:twoCellAnchor>
    <xdr:from>
      <xdr:col>0</xdr:col>
      <xdr:colOff>100264</xdr:colOff>
      <xdr:row>5</xdr:row>
      <xdr:rowOff>62666</xdr:rowOff>
    </xdr:from>
    <xdr:to>
      <xdr:col>2</xdr:col>
      <xdr:colOff>332261</xdr:colOff>
      <xdr:row>8</xdr:row>
      <xdr:rowOff>71469</xdr:rowOff>
    </xdr:to>
    <xdr:sp macro="" textlink="">
      <xdr:nvSpPr>
        <xdr:cNvPr id="7" name="Flecha derecha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00264" y="1262816"/>
          <a:ext cx="1603597" cy="761278"/>
        </a:xfrm>
        <a:prstGeom prst="rightArrow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0"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Menú</a:t>
          </a:r>
          <a:r>
            <a:rPr lang="en-US" sz="1400" b="0" baseline="0"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 Principal</a:t>
          </a:r>
          <a:endParaRPr lang="en-US" sz="1400" b="0">
            <a:latin typeface="Arial Unicode MS" panose="020B0604020202020204" pitchFamily="34" charset="-128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  <xdr:twoCellAnchor>
    <xdr:from>
      <xdr:col>1</xdr:col>
      <xdr:colOff>187994</xdr:colOff>
      <xdr:row>8</xdr:row>
      <xdr:rowOff>100263</xdr:rowOff>
    </xdr:from>
    <xdr:to>
      <xdr:col>1</xdr:col>
      <xdr:colOff>864770</xdr:colOff>
      <xdr:row>10</xdr:row>
      <xdr:rowOff>100263</xdr:rowOff>
    </xdr:to>
    <xdr:sp macro="" textlink="">
      <xdr:nvSpPr>
        <xdr:cNvPr id="8" name="Flecha derecha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 rot="10800000">
          <a:off x="407069" y="2052888"/>
          <a:ext cx="676776" cy="495300"/>
        </a:xfrm>
        <a:prstGeom prst="rightArrow">
          <a:avLst/>
        </a:prstGeom>
        <a:solidFill>
          <a:srgbClr val="92D050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150394</xdr:colOff>
      <xdr:row>12</xdr:row>
      <xdr:rowOff>162928</xdr:rowOff>
    </xdr:from>
    <xdr:to>
      <xdr:col>17</xdr:col>
      <xdr:colOff>200527</xdr:colOff>
      <xdr:row>27</xdr:row>
      <xdr:rowOff>200526</xdr:rowOff>
    </xdr:to>
    <xdr:sp macro="" textlink="">
      <xdr:nvSpPr>
        <xdr:cNvPr id="12" name="Rectángulo redondeado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9424736" y="3220954"/>
          <a:ext cx="2105528" cy="3697204"/>
        </a:xfrm>
        <a:prstGeom prst="roundRect">
          <a:avLst/>
        </a:prstGeom>
        <a:effectLst>
          <a:innerShdw blurRad="63500" dist="50800" dir="18900000">
            <a:schemeClr val="accent4">
              <a:alpha val="50000"/>
            </a:schemeClr>
          </a:innerShdw>
        </a:effectLst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800" b="1">
              <a:solidFill>
                <a:sysClr val="windowText" lastClr="000000"/>
              </a:solidFill>
              <a:latin typeface="Ink Free" panose="03080402000500000000" pitchFamily="66" charset="0"/>
            </a:rPr>
            <a:t>1. Ingrese los puntos</a:t>
          </a:r>
          <a:r>
            <a:rPr lang="en-US" sz="1800" b="1" baseline="0">
              <a:solidFill>
                <a:sysClr val="windowText" lastClr="000000"/>
              </a:solidFill>
              <a:latin typeface="Ink Free" panose="03080402000500000000" pitchFamily="66" charset="0"/>
            </a:rPr>
            <a:t> totales a evaluar de la tarea.</a:t>
          </a:r>
        </a:p>
        <a:p>
          <a:pPr algn="l"/>
          <a:endParaRPr lang="en-US" sz="1800" b="1" baseline="0">
            <a:solidFill>
              <a:sysClr val="windowText" lastClr="000000"/>
            </a:solidFill>
            <a:latin typeface="Ink Free" panose="03080402000500000000" pitchFamily="66" charset="0"/>
          </a:endParaRPr>
        </a:p>
        <a:p>
          <a:pPr algn="l"/>
          <a:r>
            <a:rPr lang="en-US" sz="1800" b="1">
              <a:solidFill>
                <a:sysClr val="windowText" lastClr="000000"/>
              </a:solidFill>
              <a:latin typeface="Ink Free" panose="03080402000500000000" pitchFamily="66" charset="0"/>
            </a:rPr>
            <a:t>2. Escriba</a:t>
          </a:r>
          <a:r>
            <a:rPr lang="en-US" sz="1800" b="1" baseline="0">
              <a:solidFill>
                <a:sysClr val="windowText" lastClr="000000"/>
              </a:solidFill>
              <a:latin typeface="Ink Free" panose="03080402000500000000" pitchFamily="66" charset="0"/>
            </a:rPr>
            <a:t> los puntos obtenidos de la tarea de cada estudiante, el registro le brindará los demás datos.</a:t>
          </a:r>
        </a:p>
        <a:p>
          <a:pPr algn="l"/>
          <a:endParaRPr lang="en-US" sz="1800" b="1" baseline="0">
            <a:solidFill>
              <a:sysClr val="windowText" lastClr="000000"/>
            </a:solidFill>
            <a:latin typeface="Ink Free" panose="03080402000500000000" pitchFamily="66" charset="0"/>
          </a:endParaRPr>
        </a:p>
        <a:p>
          <a:pPr algn="l"/>
          <a:endParaRPr lang="en-US" sz="1800">
            <a:solidFill>
              <a:sysClr val="windowText" lastClr="000000"/>
            </a:solidFill>
            <a:latin typeface="Ink Free" panose="03080402000500000000" pitchFamily="66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12534</xdr:colOff>
      <xdr:row>0</xdr:row>
      <xdr:rowOff>75198</xdr:rowOff>
    </xdr:from>
    <xdr:to>
      <xdr:col>1</xdr:col>
      <xdr:colOff>1090754</xdr:colOff>
      <xdr:row>3</xdr:row>
      <xdr:rowOff>200918</xdr:rowOff>
    </xdr:to>
    <xdr:grpSp>
      <xdr:nvGrpSpPr>
        <xdr:cNvPr id="5" name="Grup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pSpPr/>
      </xdr:nvGrpSpPr>
      <xdr:grpSpPr>
        <a:xfrm>
          <a:off x="226579" y="75198"/>
          <a:ext cx="1078220" cy="1088922"/>
          <a:chOff x="3854644" y="1637352"/>
          <a:chExt cx="1078220" cy="1078220"/>
        </a:xfrm>
        <a:scene3d>
          <a:camera prst="orthographicFront"/>
          <a:lightRig rig="threePt" dir="t">
            <a:rot lat="0" lon="0" rev="7500000"/>
          </a:lightRig>
        </a:scene3d>
      </xdr:grpSpPr>
      <xdr:sp macro="" textlink="">
        <xdr:nvSpPr>
          <xdr:cNvPr id="6" name="Elipse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A00-000006000000}"/>
              </a:ext>
            </a:extLst>
          </xdr:cNvPr>
          <xdr:cNvSpPr/>
        </xdr:nvSpPr>
        <xdr:spPr>
          <a:xfrm>
            <a:off x="3854644" y="1637352"/>
            <a:ext cx="1078220" cy="1078220"/>
          </a:xfrm>
          <a:prstGeom prst="ellipse">
            <a:avLst/>
          </a:prstGeom>
          <a:sp3d prstMaterial="plastic">
            <a:bevelT w="127000" h="25400" prst="relaxedInset"/>
          </a:sp3d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5">
              <a:hueOff val="-2451115"/>
              <a:satOff val="-3409"/>
              <a:lumOff val="-1307"/>
              <a:alphaOff val="0"/>
            </a:schemeClr>
          </a:fillRef>
          <a:effectRef idx="2">
            <a:schemeClr val="accent5">
              <a:hueOff val="-2451115"/>
              <a:satOff val="-3409"/>
              <a:lumOff val="-1307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7" name="Elips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4012546" y="1795254"/>
            <a:ext cx="762416" cy="762416"/>
          </a:xfrm>
          <a:prstGeom prst="rect">
            <a:avLst/>
          </a:prstGeom>
          <a:sp3d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20320" tIns="20320" rIns="20320" bIns="20320" numCol="1" spcCol="1270" anchor="ctr" anchorCtr="0">
            <a:noAutofit/>
          </a:bodyPr>
          <a:lstStyle/>
          <a:p>
            <a:pPr lvl="0" algn="ctr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600" kern="1200">
                <a:latin typeface="Bahnschrift Condensed" panose="020B0502040204020203" pitchFamily="34" charset="0"/>
              </a:rPr>
              <a:t>Exámenes</a:t>
            </a:r>
          </a:p>
        </xdr:txBody>
      </xdr:sp>
    </xdr:grpSp>
    <xdr:clientData/>
  </xdr:twoCellAnchor>
  <xdr:twoCellAnchor>
    <xdr:from>
      <xdr:col>0</xdr:col>
      <xdr:colOff>100264</xdr:colOff>
      <xdr:row>4</xdr:row>
      <xdr:rowOff>62666</xdr:rowOff>
    </xdr:from>
    <xdr:to>
      <xdr:col>2</xdr:col>
      <xdr:colOff>332261</xdr:colOff>
      <xdr:row>7</xdr:row>
      <xdr:rowOff>71469</xdr:rowOff>
    </xdr:to>
    <xdr:sp macro="" textlink="">
      <xdr:nvSpPr>
        <xdr:cNvPr id="8" name="Flecha derecha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100264" y="1310441"/>
          <a:ext cx="1603597" cy="761278"/>
        </a:xfrm>
        <a:prstGeom prst="rightArrow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0"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Menú</a:t>
          </a:r>
          <a:r>
            <a:rPr lang="en-US" sz="1400" b="0" baseline="0"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 Principal</a:t>
          </a:r>
          <a:endParaRPr lang="en-US" sz="1400" b="0">
            <a:latin typeface="Arial Unicode MS" panose="020B0604020202020204" pitchFamily="34" charset="-128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  <xdr:twoCellAnchor>
    <xdr:from>
      <xdr:col>1</xdr:col>
      <xdr:colOff>187994</xdr:colOff>
      <xdr:row>7</xdr:row>
      <xdr:rowOff>100263</xdr:rowOff>
    </xdr:from>
    <xdr:to>
      <xdr:col>1</xdr:col>
      <xdr:colOff>864770</xdr:colOff>
      <xdr:row>9</xdr:row>
      <xdr:rowOff>100263</xdr:rowOff>
    </xdr:to>
    <xdr:sp macro="" textlink="">
      <xdr:nvSpPr>
        <xdr:cNvPr id="9" name="Flecha derecha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 rot="10800000">
          <a:off x="407069" y="2100513"/>
          <a:ext cx="676776" cy="495300"/>
        </a:xfrm>
        <a:prstGeom prst="rightArrow">
          <a:avLst/>
        </a:prstGeom>
        <a:solidFill>
          <a:srgbClr val="00CCFF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187993</xdr:colOff>
      <xdr:row>11</xdr:row>
      <xdr:rowOff>25066</xdr:rowOff>
    </xdr:from>
    <xdr:to>
      <xdr:col>20</xdr:col>
      <xdr:colOff>225593</xdr:colOff>
      <xdr:row>39</xdr:row>
      <xdr:rowOff>171236</xdr:rowOff>
    </xdr:to>
    <xdr:sp macro="" textlink="">
      <xdr:nvSpPr>
        <xdr:cNvPr id="10" name="Rectángulo redondeado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7615353" y="2989588"/>
          <a:ext cx="2595437" cy="6653137"/>
        </a:xfrm>
        <a:prstGeom prst="roundRect">
          <a:avLst>
            <a:gd name="adj" fmla="val 25326"/>
          </a:avLst>
        </a:prstGeom>
        <a:ln>
          <a:solidFill>
            <a:schemeClr val="bg1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800" b="1">
              <a:solidFill>
                <a:schemeClr val="bg1"/>
              </a:solidFill>
              <a:latin typeface="Ink Free" panose="03080402000500000000" pitchFamily="66" charset="0"/>
            </a:rPr>
            <a:t>1. Ingrese los puntos</a:t>
          </a:r>
          <a:r>
            <a:rPr lang="en-US" sz="1800" b="1" baseline="0">
              <a:solidFill>
                <a:schemeClr val="bg1"/>
              </a:solidFill>
              <a:latin typeface="Ink Free" panose="03080402000500000000" pitchFamily="66" charset="0"/>
            </a:rPr>
            <a:t> del examen y el porcentaje a evaluar.</a:t>
          </a:r>
        </a:p>
        <a:p>
          <a:pPr algn="l"/>
          <a:endParaRPr lang="en-US" sz="1800" b="1" baseline="0">
            <a:solidFill>
              <a:schemeClr val="bg1"/>
            </a:solidFill>
            <a:latin typeface="Ink Free" panose="03080402000500000000" pitchFamily="66" charset="0"/>
          </a:endParaRPr>
        </a:p>
        <a:p>
          <a:pPr algn="l"/>
          <a:r>
            <a:rPr lang="en-US" sz="1800" b="1" baseline="0">
              <a:solidFill>
                <a:schemeClr val="bg1"/>
              </a:solidFill>
              <a:latin typeface="Ink Free" panose="03080402000500000000" pitchFamily="66" charset="0"/>
            </a:rPr>
            <a:t>2. Ingrese al proyecto presionando el boton que dice "Ir al proyecto"</a:t>
          </a:r>
        </a:p>
        <a:p>
          <a:pPr algn="l"/>
          <a:endParaRPr lang="en-US" sz="1800" b="1" baseline="0">
            <a:solidFill>
              <a:schemeClr val="bg1"/>
            </a:solidFill>
            <a:latin typeface="Ink Free" panose="03080402000500000000" pitchFamily="66" charset="0"/>
          </a:endParaRPr>
        </a:p>
        <a:p>
          <a:pPr algn="l"/>
          <a:r>
            <a:rPr lang="en-US" sz="1800" b="1">
              <a:solidFill>
                <a:schemeClr val="bg1"/>
              </a:solidFill>
              <a:latin typeface="Ink Free" panose="03080402000500000000" pitchFamily="66" charset="0"/>
            </a:rPr>
            <a:t>3. Escriba</a:t>
          </a:r>
          <a:r>
            <a:rPr lang="en-US" sz="1800" b="1" baseline="0">
              <a:solidFill>
                <a:schemeClr val="bg1"/>
              </a:solidFill>
              <a:latin typeface="Ink Free" panose="03080402000500000000" pitchFamily="66" charset="0"/>
            </a:rPr>
            <a:t> los puntos obtenidos del examen a  cada estudiante, el registro le brindará los demás datos.</a:t>
          </a:r>
        </a:p>
        <a:p>
          <a:pPr algn="l"/>
          <a:endParaRPr lang="en-US" sz="1800" b="1" baseline="0">
            <a:solidFill>
              <a:schemeClr val="bg1"/>
            </a:solidFill>
            <a:latin typeface="Ink Free" panose="03080402000500000000" pitchFamily="66" charset="0"/>
          </a:endParaRPr>
        </a:p>
        <a:p>
          <a:pPr algn="l"/>
          <a:r>
            <a:rPr lang="en-US" sz="1800" b="1" baseline="0">
              <a:solidFill>
                <a:schemeClr val="bg1"/>
              </a:solidFill>
              <a:latin typeface="Ink Free" panose="03080402000500000000" pitchFamily="66" charset="0"/>
            </a:rPr>
            <a:t>4. Recuerde que puede revisar el desempeño de esta evaluación  obtenido en la pestaña de ESTADÍSTICA</a:t>
          </a:r>
        </a:p>
        <a:p>
          <a:pPr algn="l"/>
          <a:endParaRPr lang="en-US" sz="1800">
            <a:solidFill>
              <a:schemeClr val="bg1"/>
            </a:solidFill>
            <a:latin typeface="Ink Free" panose="03080402000500000000" pitchFamily="66" charset="0"/>
          </a:endParaRPr>
        </a:p>
      </xdr:txBody>
    </xdr:sp>
    <xdr:clientData/>
  </xdr:twoCellAnchor>
  <xdr:twoCellAnchor>
    <xdr:from>
      <xdr:col>19</xdr:col>
      <xdr:colOff>288250</xdr:colOff>
      <xdr:row>1</xdr:row>
      <xdr:rowOff>300790</xdr:rowOff>
    </xdr:from>
    <xdr:to>
      <xdr:col>21</xdr:col>
      <xdr:colOff>1253288</xdr:colOff>
      <xdr:row>7</xdr:row>
      <xdr:rowOff>112797</xdr:rowOff>
    </xdr:to>
    <xdr:grpSp>
      <xdr:nvGrpSpPr>
        <xdr:cNvPr id="13" name="Grup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pSpPr/>
      </xdr:nvGrpSpPr>
      <xdr:grpSpPr>
        <a:xfrm>
          <a:off x="9770441" y="686071"/>
          <a:ext cx="2099476" cy="1363833"/>
          <a:chOff x="3854644" y="1637352"/>
          <a:chExt cx="1078220" cy="1078220"/>
        </a:xfrm>
        <a:solidFill>
          <a:schemeClr val="accent5">
            <a:lumMod val="75000"/>
          </a:schemeClr>
        </a:solidFill>
        <a:scene3d>
          <a:camera prst="orthographicFront"/>
          <a:lightRig rig="threePt" dir="t">
            <a:rot lat="0" lon="0" rev="7500000"/>
          </a:lightRig>
        </a:scene3d>
      </xdr:grpSpPr>
      <xdr:sp macro="" textlink="">
        <xdr:nvSpPr>
          <xdr:cNvPr id="14" name="Elipse 1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SpPr/>
        </xdr:nvSpPr>
        <xdr:spPr>
          <a:xfrm>
            <a:off x="3854644" y="1637352"/>
            <a:ext cx="1078220" cy="1078220"/>
          </a:xfrm>
          <a:prstGeom prst="ellipse">
            <a:avLst/>
          </a:prstGeom>
          <a:solidFill>
            <a:schemeClr val="accent5">
              <a:lumMod val="75000"/>
            </a:schemeClr>
          </a:solidFill>
          <a:sp3d prstMaterial="plastic">
            <a:bevelT w="127000" h="25400" prst="relaxedInset"/>
          </a:sp3d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5">
              <a:hueOff val="-2451115"/>
              <a:satOff val="-3409"/>
              <a:lumOff val="-1307"/>
              <a:alphaOff val="0"/>
            </a:schemeClr>
          </a:fillRef>
          <a:effectRef idx="2">
            <a:schemeClr val="accent5">
              <a:hueOff val="-2451115"/>
              <a:satOff val="-3409"/>
              <a:lumOff val="-1307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5" name="Elipse 4">
            <a:extLst>
              <a:ext uri="{FF2B5EF4-FFF2-40B4-BE49-F238E27FC236}">
                <a16:creationId xmlns:a16="http://schemas.microsoft.com/office/drawing/2014/main" id="{00000000-0008-0000-0A00-00000F000000}"/>
              </a:ext>
            </a:extLst>
          </xdr:cNvPr>
          <xdr:cNvSpPr/>
        </xdr:nvSpPr>
        <xdr:spPr>
          <a:xfrm>
            <a:off x="4012546" y="1795254"/>
            <a:ext cx="762416" cy="762416"/>
          </a:xfrm>
          <a:prstGeom prst="rect">
            <a:avLst/>
          </a:prstGeom>
          <a:grpFill/>
          <a:sp3d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20320" tIns="20320" rIns="20320" bIns="20320" numCol="1" spcCol="1270" anchor="ctr" anchorCtr="0">
            <a:noAutofit/>
          </a:bodyPr>
          <a:lstStyle/>
          <a:p>
            <a:pPr lvl="0" algn="ctr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2000" kern="1200">
                <a:latin typeface="Bahnschrift Condensed" panose="020B0502040204020203" pitchFamily="34" charset="0"/>
              </a:rPr>
              <a:t>Tabla</a:t>
            </a:r>
            <a:r>
              <a:rPr lang="en-US" sz="2000" kern="1200" baseline="0">
                <a:latin typeface="Bahnschrift Condensed" panose="020B0502040204020203" pitchFamily="34" charset="0"/>
              </a:rPr>
              <a:t> de Especificaciones</a:t>
            </a:r>
            <a:endParaRPr lang="en-US" sz="2000" kern="1200">
              <a:latin typeface="Bahnschrift Condensed" panose="020B0502040204020203" pitchFamily="34" charset="0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257432</xdr:colOff>
      <xdr:row>0</xdr:row>
      <xdr:rowOff>64358</xdr:rowOff>
    </xdr:from>
    <xdr:to>
      <xdr:col>29</xdr:col>
      <xdr:colOff>215446</xdr:colOff>
      <xdr:row>3</xdr:row>
      <xdr:rowOff>45357</xdr:rowOff>
    </xdr:to>
    <xdr:sp macro="" textlink="">
      <xdr:nvSpPr>
        <xdr:cNvPr id="2" name="Rectángulo redondeado 2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3962657" y="64358"/>
          <a:ext cx="7806614" cy="657274"/>
        </a:xfrm>
        <a:prstGeom prst="roundRect">
          <a:avLst/>
        </a:prstGeom>
        <a:solidFill>
          <a:schemeClr val="accent5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R" sz="1050" b="1" i="0" u="none" baseline="0">
              <a:solidFill>
                <a:schemeClr val="tx1"/>
              </a:solidFill>
            </a:rPr>
            <a:t>ARRIBA DE LOS INDICADORES SE DEBE COLOCAR LOS PUNTOS MAXIMOS A OBTENER POR CADA RUBRO A CALIFICAR (SE PUEDEN VARIAR COMO EL EJEMPLO). LAS ETAPAS SON DEFINAS POR EL DOCENTE. EL PORCENTAJE DEL PROYECTO CORRESPONDE A LA SUMA DE SUS PORCENTAJES DE CADA AVANCE.</a:t>
          </a:r>
          <a:endParaRPr lang="es-CR" sz="1050" b="1" i="0" u="none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2</xdr:col>
      <xdr:colOff>635001</xdr:colOff>
      <xdr:row>0</xdr:row>
      <xdr:rowOff>136073</xdr:rowOff>
    </xdr:from>
    <xdr:to>
      <xdr:col>3</xdr:col>
      <xdr:colOff>952501</xdr:colOff>
      <xdr:row>4</xdr:row>
      <xdr:rowOff>274311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0" t="12970" r="17600" b="22594"/>
        <a:stretch/>
      </xdr:blipFill>
      <xdr:spPr>
        <a:xfrm>
          <a:off x="1835151" y="136073"/>
          <a:ext cx="1260475" cy="1185988"/>
        </a:xfrm>
        <a:prstGeom prst="rect">
          <a:avLst/>
        </a:prstGeom>
      </xdr:spPr>
    </xdr:pic>
    <xdr:clientData/>
  </xdr:twoCellAnchor>
  <xdr:twoCellAnchor>
    <xdr:from>
      <xdr:col>30</xdr:col>
      <xdr:colOff>124732</xdr:colOff>
      <xdr:row>1</xdr:row>
      <xdr:rowOff>11339</xdr:rowOff>
    </xdr:from>
    <xdr:to>
      <xdr:col>35</xdr:col>
      <xdr:colOff>249592</xdr:colOff>
      <xdr:row>2</xdr:row>
      <xdr:rowOff>235959</xdr:rowOff>
    </xdr:to>
    <xdr:sp macro="" textlink="">
      <xdr:nvSpPr>
        <xdr:cNvPr id="4" name="Rectángulo: esquinas diagonale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11992882" y="249464"/>
          <a:ext cx="1867935" cy="415120"/>
        </a:xfrm>
        <a:prstGeom prst="round2Diag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>
              <a:solidFill>
                <a:sysClr val="windowText" lastClr="000000"/>
              </a:solidFill>
            </a:rPr>
            <a:t>"REGRESAR</a:t>
          </a:r>
          <a:r>
            <a:rPr lang="en-US" sz="1800" baseline="0">
              <a:solidFill>
                <a:sysClr val="windowText" lastClr="000000"/>
              </a:solidFill>
            </a:rPr>
            <a:t>"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32</xdr:col>
      <xdr:colOff>306161</xdr:colOff>
      <xdr:row>3</xdr:row>
      <xdr:rowOff>351518</xdr:rowOff>
    </xdr:from>
    <xdr:to>
      <xdr:col>41</xdr:col>
      <xdr:colOff>44098</xdr:colOff>
      <xdr:row>25</xdr:row>
      <xdr:rowOff>22678</xdr:rowOff>
    </xdr:to>
    <xdr:sp macro="" textlink="">
      <xdr:nvSpPr>
        <xdr:cNvPr id="7" name="Rectángulo redondeado 9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12983482" y="1031875"/>
          <a:ext cx="2595437" cy="7075714"/>
        </a:xfrm>
        <a:prstGeom prst="roundRect">
          <a:avLst/>
        </a:prstGeom>
        <a:effectLst>
          <a:innerShdw blurRad="63500" dist="50800" dir="18900000">
            <a:schemeClr val="accent4">
              <a:alpha val="50000"/>
            </a:schemeClr>
          </a:innerShdw>
        </a:effectLst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800" b="1">
              <a:solidFill>
                <a:sysClr val="windowText" lastClr="000000"/>
              </a:solidFill>
              <a:latin typeface="Ink Free" panose="03080402000500000000" pitchFamily="66" charset="0"/>
            </a:rPr>
            <a:t>1. Ingrese los puntos</a:t>
          </a:r>
          <a:r>
            <a:rPr lang="en-US" sz="1800" b="1" baseline="0">
              <a:solidFill>
                <a:sysClr val="windowText" lastClr="000000"/>
              </a:solidFill>
              <a:latin typeface="Ink Free" panose="03080402000500000000" pitchFamily="66" charset="0"/>
            </a:rPr>
            <a:t> de cada INDICADOR que desea evaluar, puede dejar indicadores sin puntos, y por lo tanto no se tomarán en el cálculo "ver etapa 1".  </a:t>
          </a:r>
        </a:p>
        <a:p>
          <a:pPr algn="l"/>
          <a:endParaRPr lang="en-US" sz="1800" b="1" baseline="0">
            <a:solidFill>
              <a:sysClr val="windowText" lastClr="000000"/>
            </a:solidFill>
            <a:latin typeface="Ink Free" panose="03080402000500000000" pitchFamily="66" charset="0"/>
          </a:endParaRPr>
        </a:p>
        <a:p>
          <a:pPr algn="l"/>
          <a:r>
            <a:rPr lang="en-US" sz="1800" b="1" baseline="0">
              <a:solidFill>
                <a:sysClr val="windowText" lastClr="000000"/>
              </a:solidFill>
              <a:latin typeface="Ink Free" panose="03080402000500000000" pitchFamily="66" charset="0"/>
            </a:rPr>
            <a:t>2.Ingrese los porcentajes de las etapas a utilizar (El porcentaje de su proyecto equivale a la suma de los % de cada etapa)</a:t>
          </a:r>
        </a:p>
        <a:p>
          <a:pPr algn="l"/>
          <a:endParaRPr lang="en-US" sz="1800" b="1" baseline="0">
            <a:solidFill>
              <a:sysClr val="windowText" lastClr="000000"/>
            </a:solidFill>
            <a:latin typeface="Ink Free" panose="03080402000500000000" pitchFamily="66" charset="0"/>
          </a:endParaRPr>
        </a:p>
        <a:p>
          <a:pPr algn="l"/>
          <a:r>
            <a:rPr lang="en-US" sz="1800" b="1" baseline="0">
              <a:solidFill>
                <a:sysClr val="windowText" lastClr="000000"/>
              </a:solidFill>
              <a:latin typeface="Ink Free" panose="03080402000500000000" pitchFamily="66" charset="0"/>
            </a:rPr>
            <a:t>4. Puede detallar brevemente los indicadores o dejarlos como "aspecto 1,2,3...", segun sus rúbricas.</a:t>
          </a:r>
        </a:p>
        <a:p>
          <a:pPr algn="l"/>
          <a:endParaRPr lang="en-US" sz="1800" b="1" baseline="0">
            <a:solidFill>
              <a:sysClr val="windowText" lastClr="000000"/>
            </a:solidFill>
            <a:latin typeface="Ink Free" panose="03080402000500000000" pitchFamily="66" charset="0"/>
          </a:endParaRPr>
        </a:p>
        <a:p>
          <a:pPr algn="l"/>
          <a:endParaRPr lang="en-US" sz="1800" b="1" baseline="0">
            <a:solidFill>
              <a:sysClr val="windowText" lastClr="000000"/>
            </a:solidFill>
            <a:latin typeface="Ink Free" panose="03080402000500000000" pitchFamily="66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257432</xdr:colOff>
      <xdr:row>0</xdr:row>
      <xdr:rowOff>64358</xdr:rowOff>
    </xdr:from>
    <xdr:to>
      <xdr:col>29</xdr:col>
      <xdr:colOff>215446</xdr:colOff>
      <xdr:row>3</xdr:row>
      <xdr:rowOff>45357</xdr:rowOff>
    </xdr:to>
    <xdr:sp macro="" textlink="">
      <xdr:nvSpPr>
        <xdr:cNvPr id="2" name="Rectángulo redondeado 2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3988057" y="64358"/>
          <a:ext cx="6489443" cy="661356"/>
        </a:xfrm>
        <a:prstGeom prst="roundRect">
          <a:avLst/>
        </a:prstGeom>
        <a:solidFill>
          <a:srgbClr val="FFC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R" sz="1050" b="1" i="0" u="none" baseline="0"/>
            <a:t>ARRIBA DE LOS INDICADORES SE DEBE COLOCAR LOS PUNTOS MAXIMOS A OBTENER POR CADA RUBRO A CALIFICAR (SE PUEDEN VARIAR COMO EL EJEMPLO). LAS ETAPAS SON DEFINAS POR EL DOCENTE. EL PORCENTAJE DEL PROYECTO CORRESPONDE A LA SUMA DE SUS PORCENTAJES DE CADA AVANCE.</a:t>
          </a:r>
          <a:endParaRPr lang="es-CR" sz="1050" b="1" i="0" u="none"/>
        </a:p>
      </xdr:txBody>
    </xdr:sp>
    <xdr:clientData/>
  </xdr:twoCellAnchor>
  <xdr:twoCellAnchor editAs="oneCell">
    <xdr:from>
      <xdr:col>2</xdr:col>
      <xdr:colOff>635001</xdr:colOff>
      <xdr:row>0</xdr:row>
      <xdr:rowOff>136073</xdr:rowOff>
    </xdr:from>
    <xdr:to>
      <xdr:col>3</xdr:col>
      <xdr:colOff>952501</xdr:colOff>
      <xdr:row>4</xdr:row>
      <xdr:rowOff>274311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0" t="12970" r="17600" b="22594"/>
        <a:stretch/>
      </xdr:blipFill>
      <xdr:spPr>
        <a:xfrm>
          <a:off x="1836965" y="136073"/>
          <a:ext cx="1258661" cy="1192792"/>
        </a:xfrm>
        <a:prstGeom prst="rect">
          <a:avLst/>
        </a:prstGeom>
      </xdr:spPr>
    </xdr:pic>
    <xdr:clientData/>
  </xdr:twoCellAnchor>
  <xdr:twoCellAnchor>
    <xdr:from>
      <xdr:col>30</xdr:col>
      <xdr:colOff>124732</xdr:colOff>
      <xdr:row>1</xdr:row>
      <xdr:rowOff>11339</xdr:rowOff>
    </xdr:from>
    <xdr:to>
      <xdr:col>35</xdr:col>
      <xdr:colOff>249592</xdr:colOff>
      <xdr:row>2</xdr:row>
      <xdr:rowOff>235959</xdr:rowOff>
    </xdr:to>
    <xdr:sp macro="" textlink="">
      <xdr:nvSpPr>
        <xdr:cNvPr id="5" name="Rectángulo: esquinas diagonales redondeada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10704286" y="249464"/>
          <a:ext cx="1712360" cy="417388"/>
        </a:xfrm>
        <a:prstGeom prst="round2Diag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>
              <a:solidFill>
                <a:sysClr val="windowText" lastClr="000000"/>
              </a:solidFill>
            </a:rPr>
            <a:t>"REGRESAR</a:t>
          </a:r>
          <a:r>
            <a:rPr lang="en-US" sz="1800" baseline="0">
              <a:solidFill>
                <a:sysClr val="windowText" lastClr="000000"/>
              </a:solidFill>
            </a:rPr>
            <a:t>"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33</xdr:col>
      <xdr:colOff>68036</xdr:colOff>
      <xdr:row>4</xdr:row>
      <xdr:rowOff>170089</xdr:rowOff>
    </xdr:from>
    <xdr:to>
      <xdr:col>41</xdr:col>
      <xdr:colOff>123473</xdr:colOff>
      <xdr:row>25</xdr:row>
      <xdr:rowOff>215446</xdr:rowOff>
    </xdr:to>
    <xdr:sp macro="" textlink="">
      <xdr:nvSpPr>
        <xdr:cNvPr id="6" name="Rectángulo redondeado 9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13062857" y="1224643"/>
          <a:ext cx="2595437" cy="7075714"/>
        </a:xfrm>
        <a:prstGeom prst="roundRect">
          <a:avLst/>
        </a:prstGeom>
        <a:effectLst>
          <a:innerShdw blurRad="63500" dist="50800" dir="18900000">
            <a:schemeClr val="accent4">
              <a:alpha val="50000"/>
            </a:schemeClr>
          </a:innerShdw>
        </a:effectLst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800" b="1">
              <a:solidFill>
                <a:sysClr val="windowText" lastClr="000000"/>
              </a:solidFill>
              <a:latin typeface="Ink Free" panose="03080402000500000000" pitchFamily="66" charset="0"/>
            </a:rPr>
            <a:t>1. Ingrese los puntos</a:t>
          </a:r>
          <a:r>
            <a:rPr lang="en-US" sz="1800" b="1" baseline="0">
              <a:solidFill>
                <a:sysClr val="windowText" lastClr="000000"/>
              </a:solidFill>
              <a:latin typeface="Ink Free" panose="03080402000500000000" pitchFamily="66" charset="0"/>
            </a:rPr>
            <a:t> de cada INDICADOR que desea evaluar, puede dejar indicadores sin puntos, y por lo tanto no se tomarán en el cálculo "ver etapa 1".  </a:t>
          </a:r>
        </a:p>
        <a:p>
          <a:pPr algn="l"/>
          <a:endParaRPr lang="en-US" sz="1800" b="1" baseline="0">
            <a:solidFill>
              <a:sysClr val="windowText" lastClr="000000"/>
            </a:solidFill>
            <a:latin typeface="Ink Free" panose="03080402000500000000" pitchFamily="66" charset="0"/>
          </a:endParaRPr>
        </a:p>
        <a:p>
          <a:pPr algn="l"/>
          <a:r>
            <a:rPr lang="en-US" sz="1800" b="1" baseline="0">
              <a:solidFill>
                <a:sysClr val="windowText" lastClr="000000"/>
              </a:solidFill>
              <a:latin typeface="Ink Free" panose="03080402000500000000" pitchFamily="66" charset="0"/>
            </a:rPr>
            <a:t>2.Ingrese los porcentajes de las etapas a utilizar (El porcentaje de su proyecto equivale a la suma de los % de cada etapa)</a:t>
          </a:r>
        </a:p>
        <a:p>
          <a:pPr algn="l"/>
          <a:endParaRPr lang="en-US" sz="1800" b="1" baseline="0">
            <a:solidFill>
              <a:sysClr val="windowText" lastClr="000000"/>
            </a:solidFill>
            <a:latin typeface="Ink Free" panose="03080402000500000000" pitchFamily="66" charset="0"/>
          </a:endParaRPr>
        </a:p>
        <a:p>
          <a:pPr algn="l"/>
          <a:r>
            <a:rPr lang="en-US" sz="1800" b="1" baseline="0">
              <a:solidFill>
                <a:sysClr val="windowText" lastClr="000000"/>
              </a:solidFill>
              <a:latin typeface="Ink Free" panose="03080402000500000000" pitchFamily="66" charset="0"/>
            </a:rPr>
            <a:t>4. Puede detallar brevemente los indicadores o dejarlos como "aspecto 1,2,3...", segun sus rúbricas.</a:t>
          </a:r>
        </a:p>
        <a:p>
          <a:pPr algn="l"/>
          <a:endParaRPr lang="en-US" sz="1800" b="1" baseline="0">
            <a:solidFill>
              <a:sysClr val="windowText" lastClr="000000"/>
            </a:solidFill>
            <a:latin typeface="Ink Free" panose="03080402000500000000" pitchFamily="66" charset="0"/>
          </a:endParaRPr>
        </a:p>
        <a:p>
          <a:pPr algn="l"/>
          <a:endParaRPr lang="en-US" sz="1800" b="1" baseline="0">
            <a:solidFill>
              <a:sysClr val="windowText" lastClr="000000"/>
            </a:solidFill>
            <a:latin typeface="Ink Free" panose="03080402000500000000" pitchFamily="66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226786</xdr:colOff>
      <xdr:row>1</xdr:row>
      <xdr:rowOff>262606</xdr:rowOff>
    </xdr:from>
    <xdr:to>
      <xdr:col>19</xdr:col>
      <xdr:colOff>100264</xdr:colOff>
      <xdr:row>9</xdr:row>
      <xdr:rowOff>63668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573" b="-573"/>
        <a:stretch/>
      </xdr:blipFill>
      <xdr:spPr>
        <a:xfrm>
          <a:off x="7707396" y="645929"/>
          <a:ext cx="1941100" cy="1857068"/>
        </a:xfrm>
        <a:prstGeom prst="rect">
          <a:avLst/>
        </a:prstGeom>
      </xdr:spPr>
    </xdr:pic>
    <xdr:clientData/>
  </xdr:twoCellAnchor>
  <xdr:twoCellAnchor>
    <xdr:from>
      <xdr:col>1</xdr:col>
      <xdr:colOff>12534</xdr:colOff>
      <xdr:row>0</xdr:row>
      <xdr:rowOff>75198</xdr:rowOff>
    </xdr:from>
    <xdr:to>
      <xdr:col>1</xdr:col>
      <xdr:colOff>1090754</xdr:colOff>
      <xdr:row>4</xdr:row>
      <xdr:rowOff>893</xdr:rowOff>
    </xdr:to>
    <xdr:grpSp>
      <xdr:nvGrpSpPr>
        <xdr:cNvPr id="5" name="Grup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pSpPr/>
      </xdr:nvGrpSpPr>
      <xdr:grpSpPr>
        <a:xfrm>
          <a:off x="233235" y="75198"/>
          <a:ext cx="1078220" cy="1122128"/>
          <a:chOff x="3854644" y="1637352"/>
          <a:chExt cx="1078220" cy="1078220"/>
        </a:xfrm>
        <a:scene3d>
          <a:camera prst="orthographicFront"/>
          <a:lightRig rig="threePt" dir="t">
            <a:rot lat="0" lon="0" rev="7500000"/>
          </a:lightRig>
        </a:scene3d>
      </xdr:grpSpPr>
      <xdr:sp macro="" textlink="">
        <xdr:nvSpPr>
          <xdr:cNvPr id="6" name="Elipse 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D00-000006000000}"/>
              </a:ext>
            </a:extLst>
          </xdr:cNvPr>
          <xdr:cNvSpPr/>
        </xdr:nvSpPr>
        <xdr:spPr>
          <a:xfrm>
            <a:off x="3854644" y="1637352"/>
            <a:ext cx="1078220" cy="1078220"/>
          </a:xfrm>
          <a:prstGeom prst="ellipse">
            <a:avLst/>
          </a:prstGeom>
          <a:sp3d prstMaterial="plastic">
            <a:bevelT w="127000" h="25400" prst="relaxedInset"/>
          </a:sp3d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5">
              <a:hueOff val="-2451115"/>
              <a:satOff val="-3409"/>
              <a:lumOff val="-1307"/>
              <a:alphaOff val="0"/>
            </a:schemeClr>
          </a:fillRef>
          <a:effectRef idx="2">
            <a:schemeClr val="accent5">
              <a:hueOff val="-2451115"/>
              <a:satOff val="-3409"/>
              <a:lumOff val="-1307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7" name="Elipse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SpPr/>
        </xdr:nvSpPr>
        <xdr:spPr>
          <a:xfrm>
            <a:off x="4012546" y="1795254"/>
            <a:ext cx="762416" cy="762416"/>
          </a:xfrm>
          <a:prstGeom prst="rect">
            <a:avLst/>
          </a:prstGeom>
          <a:sp3d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20320" tIns="20320" rIns="20320" bIns="20320" numCol="1" spcCol="1270" anchor="ctr" anchorCtr="0">
            <a:noAutofit/>
          </a:bodyPr>
          <a:lstStyle/>
          <a:p>
            <a:pPr lvl="0" algn="ctr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600" kern="1200">
                <a:latin typeface="Bahnschrift Condensed" panose="020B0502040204020203" pitchFamily="34" charset="0"/>
              </a:rPr>
              <a:t>Exámenes</a:t>
            </a:r>
          </a:p>
        </xdr:txBody>
      </xdr:sp>
    </xdr:grpSp>
    <xdr:clientData/>
  </xdr:twoCellAnchor>
  <xdr:twoCellAnchor>
    <xdr:from>
      <xdr:col>0</xdr:col>
      <xdr:colOff>100264</xdr:colOff>
      <xdr:row>4</xdr:row>
      <xdr:rowOff>62666</xdr:rowOff>
    </xdr:from>
    <xdr:to>
      <xdr:col>2</xdr:col>
      <xdr:colOff>332261</xdr:colOff>
      <xdr:row>7</xdr:row>
      <xdr:rowOff>71469</xdr:rowOff>
    </xdr:to>
    <xdr:sp macro="" textlink="">
      <xdr:nvSpPr>
        <xdr:cNvPr id="8" name="Flecha derecha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>
          <a:off x="100264" y="1310441"/>
          <a:ext cx="1603597" cy="761278"/>
        </a:xfrm>
        <a:prstGeom prst="rightArrow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0"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Menú</a:t>
          </a:r>
          <a:r>
            <a:rPr lang="en-US" sz="1400" b="0" baseline="0"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 Principal</a:t>
          </a:r>
          <a:endParaRPr lang="en-US" sz="1400" b="0">
            <a:latin typeface="Arial Unicode MS" panose="020B0604020202020204" pitchFamily="34" charset="-128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  <xdr:twoCellAnchor>
    <xdr:from>
      <xdr:col>1</xdr:col>
      <xdr:colOff>187994</xdr:colOff>
      <xdr:row>7</xdr:row>
      <xdr:rowOff>100263</xdr:rowOff>
    </xdr:from>
    <xdr:to>
      <xdr:col>1</xdr:col>
      <xdr:colOff>864770</xdr:colOff>
      <xdr:row>9</xdr:row>
      <xdr:rowOff>100263</xdr:rowOff>
    </xdr:to>
    <xdr:sp macro="" textlink="">
      <xdr:nvSpPr>
        <xdr:cNvPr id="9" name="Flecha derech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/>
      </xdr:nvSpPr>
      <xdr:spPr>
        <a:xfrm rot="10800000">
          <a:off x="407069" y="2100513"/>
          <a:ext cx="676776" cy="495300"/>
        </a:xfrm>
        <a:prstGeom prst="rightArrow">
          <a:avLst/>
        </a:prstGeom>
        <a:solidFill>
          <a:srgbClr val="00CCFF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288250</xdr:colOff>
      <xdr:row>1</xdr:row>
      <xdr:rowOff>300790</xdr:rowOff>
    </xdr:from>
    <xdr:to>
      <xdr:col>21</xdr:col>
      <xdr:colOff>1253288</xdr:colOff>
      <xdr:row>7</xdr:row>
      <xdr:rowOff>112797</xdr:rowOff>
    </xdr:to>
    <xdr:grpSp>
      <xdr:nvGrpSpPr>
        <xdr:cNvPr id="10" name="Grup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9836482" y="684113"/>
          <a:ext cx="2091776" cy="1380147"/>
          <a:chOff x="3854644" y="1637352"/>
          <a:chExt cx="1078220" cy="1078220"/>
        </a:xfrm>
        <a:solidFill>
          <a:schemeClr val="accent5">
            <a:lumMod val="75000"/>
          </a:schemeClr>
        </a:solidFill>
        <a:scene3d>
          <a:camera prst="orthographicFront"/>
          <a:lightRig rig="threePt" dir="t">
            <a:rot lat="0" lon="0" rev="7500000"/>
          </a:lightRig>
        </a:scene3d>
      </xdr:grpSpPr>
      <xdr:sp macro="" textlink="">
        <xdr:nvSpPr>
          <xdr:cNvPr id="11" name="Elipse 1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SpPr/>
        </xdr:nvSpPr>
        <xdr:spPr>
          <a:xfrm>
            <a:off x="3854644" y="1637352"/>
            <a:ext cx="1078220" cy="1078220"/>
          </a:xfrm>
          <a:prstGeom prst="ellipse">
            <a:avLst/>
          </a:prstGeom>
          <a:solidFill>
            <a:schemeClr val="accent5">
              <a:lumMod val="75000"/>
            </a:schemeClr>
          </a:solidFill>
          <a:sp3d prstMaterial="plastic">
            <a:bevelT w="127000" h="25400" prst="relaxedInset"/>
          </a:sp3d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5">
              <a:hueOff val="-2451115"/>
              <a:satOff val="-3409"/>
              <a:lumOff val="-1307"/>
              <a:alphaOff val="0"/>
            </a:schemeClr>
          </a:fillRef>
          <a:effectRef idx="2">
            <a:schemeClr val="accent5">
              <a:hueOff val="-2451115"/>
              <a:satOff val="-3409"/>
              <a:lumOff val="-1307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2" name="Elipse 4">
            <a:extLst>
              <a:ext uri="{FF2B5EF4-FFF2-40B4-BE49-F238E27FC236}">
                <a16:creationId xmlns:a16="http://schemas.microsoft.com/office/drawing/2014/main" id="{00000000-0008-0000-0D00-00000C000000}"/>
              </a:ext>
            </a:extLst>
          </xdr:cNvPr>
          <xdr:cNvSpPr/>
        </xdr:nvSpPr>
        <xdr:spPr>
          <a:xfrm>
            <a:off x="4012546" y="1795254"/>
            <a:ext cx="762416" cy="762416"/>
          </a:xfrm>
          <a:prstGeom prst="rect">
            <a:avLst/>
          </a:prstGeom>
          <a:grpFill/>
          <a:sp3d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20320" tIns="20320" rIns="20320" bIns="20320" numCol="1" spcCol="1270" anchor="ctr" anchorCtr="0">
            <a:noAutofit/>
          </a:bodyPr>
          <a:lstStyle/>
          <a:p>
            <a:pPr lvl="0" algn="ctr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2000" kern="1200">
                <a:latin typeface="Bahnschrift Condensed" panose="020B0502040204020203" pitchFamily="34" charset="0"/>
              </a:rPr>
              <a:t>Tabla</a:t>
            </a:r>
            <a:r>
              <a:rPr lang="en-US" sz="2000" kern="1200" baseline="0">
                <a:latin typeface="Bahnschrift Condensed" panose="020B0502040204020203" pitchFamily="34" charset="0"/>
              </a:rPr>
              <a:t> de Especificaciones</a:t>
            </a:r>
            <a:endParaRPr lang="en-US" sz="2000" kern="1200">
              <a:latin typeface="Bahnschrift Condensed" panose="020B0502040204020203" pitchFamily="34" charset="0"/>
            </a:endParaRPr>
          </a:p>
        </xdr:txBody>
      </xdr:sp>
    </xdr:grpSp>
    <xdr:clientData/>
  </xdr:twoCellAnchor>
  <xdr:twoCellAnchor>
    <xdr:from>
      <xdr:col>12</xdr:col>
      <xdr:colOff>112795</xdr:colOff>
      <xdr:row>11</xdr:row>
      <xdr:rowOff>50132</xdr:rowOff>
    </xdr:from>
    <xdr:to>
      <xdr:col>20</xdr:col>
      <xdr:colOff>151522</xdr:colOff>
      <xdr:row>39</xdr:row>
      <xdr:rowOff>161097</xdr:rowOff>
    </xdr:to>
    <xdr:sp macro="" textlink="">
      <xdr:nvSpPr>
        <xdr:cNvPr id="15" name="Rectángulo redondeado 9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/>
      </xdr:nvSpPr>
      <xdr:spPr>
        <a:xfrm>
          <a:off x="9675394" y="3233487"/>
          <a:ext cx="2595437" cy="6653136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800" b="1">
              <a:solidFill>
                <a:schemeClr val="bg1"/>
              </a:solidFill>
              <a:latin typeface="Ink Free" panose="03080402000500000000" pitchFamily="66" charset="0"/>
            </a:rPr>
            <a:t>1. Ingrese los puntos</a:t>
          </a:r>
          <a:r>
            <a:rPr lang="en-US" sz="1800" b="1" baseline="0">
              <a:solidFill>
                <a:schemeClr val="bg1"/>
              </a:solidFill>
              <a:latin typeface="Ink Free" panose="03080402000500000000" pitchFamily="66" charset="0"/>
            </a:rPr>
            <a:t> del examen y el porcentaje a evaluar.</a:t>
          </a:r>
        </a:p>
        <a:p>
          <a:pPr algn="l"/>
          <a:endParaRPr lang="en-US" sz="1800" b="1" baseline="0">
            <a:solidFill>
              <a:schemeClr val="bg1"/>
            </a:solidFill>
            <a:latin typeface="Ink Free" panose="03080402000500000000" pitchFamily="66" charset="0"/>
          </a:endParaRPr>
        </a:p>
        <a:p>
          <a:pPr algn="l"/>
          <a:r>
            <a:rPr lang="en-US" sz="1800" b="1" baseline="0">
              <a:solidFill>
                <a:schemeClr val="bg1"/>
              </a:solidFill>
              <a:latin typeface="Ink Free" panose="03080402000500000000" pitchFamily="66" charset="0"/>
            </a:rPr>
            <a:t>2. Ingrese al proyecto presionando el boton que dice "Ir al proyecto"</a:t>
          </a:r>
        </a:p>
        <a:p>
          <a:pPr algn="l"/>
          <a:endParaRPr lang="en-US" sz="1800" b="1" baseline="0">
            <a:solidFill>
              <a:schemeClr val="bg1"/>
            </a:solidFill>
            <a:latin typeface="Ink Free" panose="03080402000500000000" pitchFamily="66" charset="0"/>
          </a:endParaRPr>
        </a:p>
        <a:p>
          <a:pPr algn="l"/>
          <a:r>
            <a:rPr lang="en-US" sz="1800" b="1">
              <a:solidFill>
                <a:schemeClr val="bg1"/>
              </a:solidFill>
              <a:latin typeface="Ink Free" panose="03080402000500000000" pitchFamily="66" charset="0"/>
            </a:rPr>
            <a:t>3. Escriba</a:t>
          </a:r>
          <a:r>
            <a:rPr lang="en-US" sz="1800" b="1" baseline="0">
              <a:solidFill>
                <a:schemeClr val="bg1"/>
              </a:solidFill>
              <a:latin typeface="Ink Free" panose="03080402000500000000" pitchFamily="66" charset="0"/>
            </a:rPr>
            <a:t> los puntos obtenidos del examen a  cada estudiante, el registro le brindará los demás datos.</a:t>
          </a:r>
        </a:p>
        <a:p>
          <a:pPr algn="l"/>
          <a:endParaRPr lang="en-US" sz="1800" b="1" baseline="0">
            <a:solidFill>
              <a:schemeClr val="bg1"/>
            </a:solidFill>
            <a:latin typeface="Ink Free" panose="03080402000500000000" pitchFamily="66" charset="0"/>
          </a:endParaRPr>
        </a:p>
        <a:p>
          <a:pPr algn="l"/>
          <a:r>
            <a:rPr lang="en-US" sz="1800" b="1" baseline="0">
              <a:solidFill>
                <a:schemeClr val="bg1"/>
              </a:solidFill>
              <a:latin typeface="Ink Free" panose="03080402000500000000" pitchFamily="66" charset="0"/>
            </a:rPr>
            <a:t>4. Recuerde que puede revisar el desempeño de esta evaluación  obtenido en la pestaña de ESTADÍSTICA</a:t>
          </a:r>
        </a:p>
        <a:p>
          <a:pPr algn="l"/>
          <a:endParaRPr lang="en-US" sz="1800">
            <a:solidFill>
              <a:schemeClr val="bg1"/>
            </a:solidFill>
            <a:latin typeface="Ink Free" panose="03080402000500000000" pitchFamily="66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363454</xdr:colOff>
      <xdr:row>2</xdr:row>
      <xdr:rowOff>162929</xdr:rowOff>
    </xdr:from>
    <xdr:to>
      <xdr:col>25</xdr:col>
      <xdr:colOff>2368717</xdr:colOff>
      <xdr:row>10</xdr:row>
      <xdr:rowOff>87732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0" t="12970" r="17600" b="22594"/>
        <a:stretch/>
      </xdr:blipFill>
      <xdr:spPr>
        <a:xfrm>
          <a:off x="11154276" y="889837"/>
          <a:ext cx="2005263" cy="1930066"/>
        </a:xfrm>
        <a:prstGeom prst="rect">
          <a:avLst/>
        </a:prstGeom>
      </xdr:spPr>
    </xdr:pic>
    <xdr:clientData/>
  </xdr:twoCellAnchor>
  <xdr:twoCellAnchor>
    <xdr:from>
      <xdr:col>0</xdr:col>
      <xdr:colOff>100264</xdr:colOff>
      <xdr:row>4</xdr:row>
      <xdr:rowOff>62666</xdr:rowOff>
    </xdr:from>
    <xdr:to>
      <xdr:col>2</xdr:col>
      <xdr:colOff>332261</xdr:colOff>
      <xdr:row>7</xdr:row>
      <xdr:rowOff>71469</xdr:rowOff>
    </xdr:to>
    <xdr:sp macro="" textlink="">
      <xdr:nvSpPr>
        <xdr:cNvPr id="3" name="Flecha derecha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00264" y="1310441"/>
          <a:ext cx="1603597" cy="761278"/>
        </a:xfrm>
        <a:prstGeom prst="rightArrow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0"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Menú</a:t>
          </a:r>
          <a:r>
            <a:rPr lang="en-US" sz="1400" b="0" baseline="0"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 Principal</a:t>
          </a:r>
          <a:endParaRPr lang="en-US" sz="1400" b="0">
            <a:latin typeface="Arial Unicode MS" panose="020B0604020202020204" pitchFamily="34" charset="-128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  <xdr:twoCellAnchor>
    <xdr:from>
      <xdr:col>0</xdr:col>
      <xdr:colOff>125328</xdr:colOff>
      <xdr:row>0</xdr:row>
      <xdr:rowOff>12533</xdr:rowOff>
    </xdr:from>
    <xdr:to>
      <xdr:col>2</xdr:col>
      <xdr:colOff>200525</xdr:colOff>
      <xdr:row>3</xdr:row>
      <xdr:rowOff>197017</xdr:rowOff>
    </xdr:to>
    <xdr:grpSp>
      <xdr:nvGrpSpPr>
        <xdr:cNvPr id="4" name="Grup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125328" y="12533"/>
          <a:ext cx="1441283" cy="1136984"/>
          <a:chOff x="1896977" y="1695"/>
          <a:chExt cx="968545" cy="968545"/>
        </a:xfrm>
        <a:scene3d>
          <a:camera prst="orthographicFront"/>
          <a:lightRig rig="threePt" dir="t">
            <a:rot lat="0" lon="0" rev="7500000"/>
          </a:lightRig>
        </a:scene3d>
      </xdr:grpSpPr>
      <xdr:sp macro="" textlink="">
        <xdr:nvSpPr>
          <xdr:cNvPr id="5" name="Elipse 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SpPr/>
        </xdr:nvSpPr>
        <xdr:spPr>
          <a:xfrm>
            <a:off x="1896977" y="1695"/>
            <a:ext cx="968545" cy="968545"/>
          </a:xfrm>
          <a:prstGeom prst="ellipse">
            <a:avLst/>
          </a:prstGeom>
          <a:sp3d prstMaterial="plastic">
            <a:bevelT w="127000" h="25400" prst="relaxedInset"/>
          </a:sp3d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5">
              <a:hueOff val="0"/>
              <a:satOff val="0"/>
              <a:lumOff val="0"/>
              <a:alphaOff val="0"/>
            </a:schemeClr>
          </a:fillRef>
          <a:effectRef idx="2">
            <a:schemeClr val="accent5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6" name="Elipse 4">
            <a:extLst>
              <a:ext uri="{FF2B5EF4-FFF2-40B4-BE49-F238E27FC236}">
                <a16:creationId xmlns:a16="http://schemas.microsoft.com/office/drawing/2014/main" id="{00000000-0008-0000-0E00-000006000000}"/>
              </a:ext>
            </a:extLst>
          </xdr:cNvPr>
          <xdr:cNvSpPr/>
        </xdr:nvSpPr>
        <xdr:spPr>
          <a:xfrm>
            <a:off x="2038817" y="143535"/>
            <a:ext cx="684865" cy="684865"/>
          </a:xfrm>
          <a:prstGeom prst="rect">
            <a:avLst/>
          </a:prstGeom>
          <a:sp3d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17780" tIns="17780" rIns="17780" bIns="17780" numCol="1" spcCol="1270" anchor="ctr" anchorCtr="0">
            <a:noAutofit/>
          </a:bodyPr>
          <a:lstStyle/>
          <a:p>
            <a:pPr lvl="0" algn="ctr" defTabSz="6223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2400" kern="1200">
                <a:latin typeface="Bahnschrift Condensed" panose="020B0502040204020203" pitchFamily="34" charset="0"/>
              </a:rPr>
              <a:t>Cotidiano2</a:t>
            </a:r>
          </a:p>
        </xdr:txBody>
      </xdr:sp>
    </xdr:grpSp>
    <xdr:clientData/>
  </xdr:twoCellAnchor>
  <xdr:twoCellAnchor>
    <xdr:from>
      <xdr:col>1</xdr:col>
      <xdr:colOff>150395</xdr:colOff>
      <xdr:row>7</xdr:row>
      <xdr:rowOff>150395</xdr:rowOff>
    </xdr:from>
    <xdr:to>
      <xdr:col>1</xdr:col>
      <xdr:colOff>827171</xdr:colOff>
      <xdr:row>9</xdr:row>
      <xdr:rowOff>154690</xdr:rowOff>
    </xdr:to>
    <xdr:sp macro="" textlink="">
      <xdr:nvSpPr>
        <xdr:cNvPr id="9" name="Flecha derecha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/>
      </xdr:nvSpPr>
      <xdr:spPr>
        <a:xfrm rot="10800000">
          <a:off x="363454" y="2168191"/>
          <a:ext cx="676776" cy="505611"/>
        </a:xfrm>
        <a:prstGeom prst="rightArrow">
          <a:avLst/>
        </a:prstGeom>
        <a:solidFill>
          <a:srgbClr val="92D050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100264</xdr:colOff>
      <xdr:row>4</xdr:row>
      <xdr:rowOff>62666</xdr:rowOff>
    </xdr:from>
    <xdr:to>
      <xdr:col>2</xdr:col>
      <xdr:colOff>332261</xdr:colOff>
      <xdr:row>7</xdr:row>
      <xdr:rowOff>71469</xdr:rowOff>
    </xdr:to>
    <xdr:sp macro="" textlink="">
      <xdr:nvSpPr>
        <xdr:cNvPr id="6" name="Flecha derecha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100264" y="1315955"/>
          <a:ext cx="1598083" cy="773310"/>
        </a:xfrm>
        <a:prstGeom prst="rightArrow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0"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Menú</a:t>
          </a:r>
          <a:r>
            <a:rPr lang="en-US" sz="1400" b="0" baseline="0"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 Principal</a:t>
          </a:r>
          <a:endParaRPr lang="en-US" sz="1400" b="0">
            <a:latin typeface="Arial Unicode MS" panose="020B0604020202020204" pitchFamily="34" charset="-128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  <xdr:twoCellAnchor>
    <xdr:from>
      <xdr:col>0</xdr:col>
      <xdr:colOff>125328</xdr:colOff>
      <xdr:row>0</xdr:row>
      <xdr:rowOff>12533</xdr:rowOff>
    </xdr:from>
    <xdr:to>
      <xdr:col>2</xdr:col>
      <xdr:colOff>200525</xdr:colOff>
      <xdr:row>3</xdr:row>
      <xdr:rowOff>225592</xdr:rowOff>
    </xdr:to>
    <xdr:grpSp>
      <xdr:nvGrpSpPr>
        <xdr:cNvPr id="8" name="Grup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125328" y="12533"/>
          <a:ext cx="1441283" cy="1165559"/>
          <a:chOff x="1896977" y="1695"/>
          <a:chExt cx="968545" cy="968545"/>
        </a:xfrm>
        <a:scene3d>
          <a:camera prst="orthographicFront"/>
          <a:lightRig rig="threePt" dir="t">
            <a:rot lat="0" lon="0" rev="7500000"/>
          </a:lightRig>
        </a:scene3d>
      </xdr:grpSpPr>
      <xdr:sp macro="" textlink="">
        <xdr:nvSpPr>
          <xdr:cNvPr id="9" name="Elipse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SpPr/>
        </xdr:nvSpPr>
        <xdr:spPr>
          <a:xfrm>
            <a:off x="1896977" y="1695"/>
            <a:ext cx="968545" cy="968545"/>
          </a:xfrm>
          <a:prstGeom prst="ellipse">
            <a:avLst/>
          </a:prstGeom>
          <a:sp3d prstMaterial="plastic">
            <a:bevelT w="127000" h="25400" prst="relaxedInset"/>
          </a:sp3d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5">
              <a:hueOff val="0"/>
              <a:satOff val="0"/>
              <a:lumOff val="0"/>
              <a:alphaOff val="0"/>
            </a:schemeClr>
          </a:fillRef>
          <a:effectRef idx="2">
            <a:schemeClr val="accent5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0" name="Elipse 4">
            <a:extLst>
              <a:ext uri="{FF2B5EF4-FFF2-40B4-BE49-F238E27FC236}">
                <a16:creationId xmlns:a16="http://schemas.microsoft.com/office/drawing/2014/main" id="{00000000-0008-0000-0F00-00000A000000}"/>
              </a:ext>
            </a:extLst>
          </xdr:cNvPr>
          <xdr:cNvSpPr/>
        </xdr:nvSpPr>
        <xdr:spPr>
          <a:xfrm>
            <a:off x="2038817" y="143535"/>
            <a:ext cx="684865" cy="684865"/>
          </a:xfrm>
          <a:prstGeom prst="rect">
            <a:avLst/>
          </a:prstGeom>
          <a:sp3d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17780" tIns="17780" rIns="17780" bIns="17780" numCol="1" spcCol="1270" anchor="ctr" anchorCtr="0">
            <a:noAutofit/>
          </a:bodyPr>
          <a:lstStyle/>
          <a:p>
            <a:pPr lvl="0" algn="ctr" defTabSz="6223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2400" kern="1200">
                <a:latin typeface="Bahnschrift Condensed" panose="020B0502040204020203" pitchFamily="34" charset="0"/>
              </a:rPr>
              <a:t>Cotidiano1</a:t>
            </a:r>
          </a:p>
        </xdr:txBody>
      </xdr:sp>
    </xdr:grpSp>
    <xdr:clientData/>
  </xdr:twoCellAnchor>
  <xdr:twoCellAnchor>
    <xdr:from>
      <xdr:col>1</xdr:col>
      <xdr:colOff>112796</xdr:colOff>
      <xdr:row>8</xdr:row>
      <xdr:rowOff>50132</xdr:rowOff>
    </xdr:from>
    <xdr:to>
      <xdr:col>1</xdr:col>
      <xdr:colOff>789572</xdr:colOff>
      <xdr:row>11</xdr:row>
      <xdr:rowOff>87731</xdr:rowOff>
    </xdr:to>
    <xdr:sp macro="" textlink="">
      <xdr:nvSpPr>
        <xdr:cNvPr id="15" name="Flecha derech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 rot="10800000">
          <a:off x="325855" y="2318586"/>
          <a:ext cx="676776" cy="501316"/>
        </a:xfrm>
        <a:prstGeom prst="rightArrow">
          <a:avLst/>
        </a:prstGeom>
        <a:solidFill>
          <a:schemeClr val="accent4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53298</xdr:colOff>
      <xdr:row>3</xdr:row>
      <xdr:rowOff>47626</xdr:rowOff>
    </xdr:from>
    <xdr:to>
      <xdr:col>1</xdr:col>
      <xdr:colOff>1294991</xdr:colOff>
      <xdr:row>8</xdr:row>
      <xdr:rowOff>107600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2260" t="-2601" r="-2260" b="-2601"/>
        <a:stretch/>
      </xdr:blipFill>
      <xdr:spPr>
        <a:xfrm>
          <a:off x="300701" y="814574"/>
          <a:ext cx="1241693" cy="1136175"/>
        </a:xfrm>
        <a:prstGeom prst="rect">
          <a:avLst/>
        </a:prstGeom>
      </xdr:spPr>
    </xdr:pic>
    <xdr:clientData/>
  </xdr:twoCellAnchor>
  <xdr:twoCellAnchor>
    <xdr:from>
      <xdr:col>3</xdr:col>
      <xdr:colOff>4429699</xdr:colOff>
      <xdr:row>2</xdr:row>
      <xdr:rowOff>114759</xdr:rowOff>
    </xdr:from>
    <xdr:to>
      <xdr:col>5</xdr:col>
      <xdr:colOff>86591</xdr:colOff>
      <xdr:row>9</xdr:row>
      <xdr:rowOff>173182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0812686" y="696155"/>
          <a:ext cx="3078970" cy="165417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rtl="0" eaLnBrk="1" fontAlgn="auto" latinLnBrk="0" hangingPunct="1"/>
          <a:r>
            <a:rPr lang="en-US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Copie en la casilla de texto cada  uno de los indicadores.</a:t>
          </a:r>
          <a:endParaRPr lang="en-US" sz="1200">
            <a:effectLst/>
          </a:endParaRPr>
        </a:p>
        <a:p>
          <a:pPr rtl="0" eaLnBrk="1" fontAlgn="auto" latinLnBrk="0" hangingPunct="1"/>
          <a:r>
            <a:rPr lang="en-US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En el Informe  de  Cotidiano  solo se señalan los indicadores no el criterio del nivel de desempeño.</a:t>
          </a:r>
          <a:endParaRPr lang="en-US" sz="1200">
            <a:effectLst/>
          </a:endParaRPr>
        </a:p>
        <a:p>
          <a:r>
            <a:rPr lang="en-US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Puede utilizar los  indicadores para la  tabla de especifcaciones.</a:t>
          </a:r>
        </a:p>
        <a:p>
          <a:endParaRPr lang="en-US" sz="1200"/>
        </a:p>
      </xdr:txBody>
    </xdr:sp>
    <xdr:clientData/>
  </xdr:twoCellAnchor>
  <xdr:twoCellAnchor>
    <xdr:from>
      <xdr:col>1</xdr:col>
      <xdr:colOff>1421424</xdr:colOff>
      <xdr:row>4</xdr:row>
      <xdr:rowOff>117230</xdr:rowOff>
    </xdr:from>
    <xdr:to>
      <xdr:col>1</xdr:col>
      <xdr:colOff>2273300</xdr:colOff>
      <xdr:row>7</xdr:row>
      <xdr:rowOff>101599</xdr:rowOff>
    </xdr:to>
    <xdr:sp macro="" textlink="">
      <xdr:nvSpPr>
        <xdr:cNvPr id="7" name="Flecha derecha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 rot="10800000">
          <a:off x="1675424" y="1158630"/>
          <a:ext cx="851876" cy="619369"/>
        </a:xfrm>
        <a:prstGeom prst="rightArrow">
          <a:avLst/>
        </a:prstGeom>
        <a:solidFill>
          <a:schemeClr val="accent4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53298</xdr:colOff>
      <xdr:row>3</xdr:row>
      <xdr:rowOff>47626</xdr:rowOff>
    </xdr:from>
    <xdr:to>
      <xdr:col>1</xdr:col>
      <xdr:colOff>1294991</xdr:colOff>
      <xdr:row>8</xdr:row>
      <xdr:rowOff>2825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335" b="-335"/>
        <a:stretch/>
      </xdr:blipFill>
      <xdr:spPr>
        <a:xfrm>
          <a:off x="391686" y="824665"/>
          <a:ext cx="1241693" cy="1195956"/>
        </a:xfrm>
        <a:prstGeom prst="rect">
          <a:avLst/>
        </a:prstGeom>
      </xdr:spPr>
    </xdr:pic>
    <xdr:clientData/>
  </xdr:twoCellAnchor>
  <xdr:twoCellAnchor>
    <xdr:from>
      <xdr:col>3</xdr:col>
      <xdr:colOff>4429699</xdr:colOff>
      <xdr:row>2</xdr:row>
      <xdr:rowOff>114759</xdr:rowOff>
    </xdr:from>
    <xdr:to>
      <xdr:col>5</xdr:col>
      <xdr:colOff>87730</xdr:colOff>
      <xdr:row>9</xdr:row>
      <xdr:rowOff>213059</xdr:rowOff>
    </xdr:to>
    <xdr:sp macro="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11047067" y="703805"/>
          <a:ext cx="3077505" cy="1865438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rtl="0" eaLnBrk="1" fontAlgn="auto" latinLnBrk="0" hangingPunct="1"/>
          <a:r>
            <a:rPr lang="en-US" sz="14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Copie en la casilla de texto cada  uno de los indicadores.</a:t>
          </a:r>
          <a:endParaRPr lang="en-US" sz="1400">
            <a:effectLst/>
          </a:endParaRPr>
        </a:p>
        <a:p>
          <a:pPr rtl="0" eaLnBrk="1" fontAlgn="auto" latinLnBrk="0" hangingPunct="1"/>
          <a:r>
            <a:rPr lang="en-US" sz="14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En el Informe  de  Cotidiano  solo se señalan los indicadores no el criterio del nivel de desempeño.</a:t>
          </a:r>
          <a:endParaRPr lang="en-US" sz="1400">
            <a:effectLst/>
          </a:endParaRPr>
        </a:p>
        <a:p>
          <a:r>
            <a:rPr lang="en-US" sz="14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Puede utilizar los  indicadores para la  tabla de especifcaciones.</a:t>
          </a:r>
          <a:endParaRPr lang="en-US" sz="1400"/>
        </a:p>
      </xdr:txBody>
    </xdr:sp>
    <xdr:clientData/>
  </xdr:twoCellAnchor>
  <xdr:twoCellAnchor>
    <xdr:from>
      <xdr:col>1</xdr:col>
      <xdr:colOff>208767</xdr:colOff>
      <xdr:row>8</xdr:row>
      <xdr:rowOff>13048</xdr:rowOff>
    </xdr:from>
    <xdr:to>
      <xdr:col>1</xdr:col>
      <xdr:colOff>885543</xdr:colOff>
      <xdr:row>9</xdr:row>
      <xdr:rowOff>253405</xdr:rowOff>
    </xdr:to>
    <xdr:sp macro="" textlink="">
      <xdr:nvSpPr>
        <xdr:cNvPr id="5" name="Flecha derecha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 rot="10800000">
          <a:off x="548014" y="2126815"/>
          <a:ext cx="676776" cy="501316"/>
        </a:xfrm>
        <a:prstGeom prst="rightArrow">
          <a:avLst/>
        </a:prstGeom>
        <a:solidFill>
          <a:srgbClr val="FCA904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218723</xdr:colOff>
      <xdr:row>0</xdr:row>
      <xdr:rowOff>0</xdr:rowOff>
    </xdr:from>
    <xdr:to>
      <xdr:col>4</xdr:col>
      <xdr:colOff>516232</xdr:colOff>
      <xdr:row>0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447647</xdr:colOff>
      <xdr:row>0</xdr:row>
      <xdr:rowOff>0</xdr:rowOff>
    </xdr:from>
    <xdr:to>
      <xdr:col>1</xdr:col>
      <xdr:colOff>357186</xdr:colOff>
      <xdr:row>0</xdr:row>
      <xdr:rowOff>0</xdr:rowOff>
    </xdr:to>
    <xdr:sp macro="" textlink="#REF!">
      <xdr:nvSpPr>
        <xdr:cNvPr id="5" name="CuadroTexto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 txBox="1"/>
      </xdr:nvSpPr>
      <xdr:spPr>
        <a:xfrm>
          <a:off x="447647" y="5484235"/>
          <a:ext cx="671539" cy="430790"/>
        </a:xfrm>
        <a:prstGeom prst="rect">
          <a:avLst/>
        </a:prstGeom>
        <a:solidFill>
          <a:schemeClr val="accent3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DF25905-5B67-4834-81BF-0A269DE945BE}" type="TxLink">
            <a:rPr lang="en-US" sz="2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75%</a:t>
          </a:fld>
          <a:endParaRPr lang="es-CR" sz="66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15</xdr:col>
      <xdr:colOff>159307</xdr:colOff>
      <xdr:row>2</xdr:row>
      <xdr:rowOff>25400</xdr:rowOff>
    </xdr:from>
    <xdr:to>
      <xdr:col>16</xdr:col>
      <xdr:colOff>223630</xdr:colOff>
      <xdr:row>5</xdr:row>
      <xdr:rowOff>157819</xdr:rowOff>
    </xdr:to>
    <xdr:pic macro="[0]!PDFActiveSheet">
      <xdr:nvPicPr>
        <xdr:cNvPr id="6" name="Imagen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52907" y="406400"/>
          <a:ext cx="826323" cy="830919"/>
        </a:xfrm>
        <a:prstGeom prst="rect">
          <a:avLst/>
        </a:prstGeom>
      </xdr:spPr>
    </xdr:pic>
    <xdr:clientData/>
  </xdr:twoCellAnchor>
  <xdr:twoCellAnchor>
    <xdr:from>
      <xdr:col>4</xdr:col>
      <xdr:colOff>585023</xdr:colOff>
      <xdr:row>17</xdr:row>
      <xdr:rowOff>0</xdr:rowOff>
    </xdr:from>
    <xdr:to>
      <xdr:col>9</xdr:col>
      <xdr:colOff>213429</xdr:colOff>
      <xdr:row>32</xdr:row>
      <xdr:rowOff>82785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158750</xdr:colOff>
      <xdr:row>17</xdr:row>
      <xdr:rowOff>0</xdr:rowOff>
    </xdr:from>
    <xdr:to>
      <xdr:col>4</xdr:col>
      <xdr:colOff>456259</xdr:colOff>
      <xdr:row>32</xdr:row>
      <xdr:rowOff>91134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292217</xdr:colOff>
      <xdr:row>17</xdr:row>
      <xdr:rowOff>0</xdr:rowOff>
    </xdr:from>
    <xdr:to>
      <xdr:col>13</xdr:col>
      <xdr:colOff>693207</xdr:colOff>
      <xdr:row>32</xdr:row>
      <xdr:rowOff>78669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705183</xdr:colOff>
      <xdr:row>26</xdr:row>
      <xdr:rowOff>138639</xdr:rowOff>
    </xdr:from>
    <xdr:to>
      <xdr:col>3</xdr:col>
      <xdr:colOff>257341</xdr:colOff>
      <xdr:row>28</xdr:row>
      <xdr:rowOff>167196</xdr:rowOff>
    </xdr:to>
    <xdr:sp macro="" textlink="$E$17">
      <xdr:nvSpPr>
        <xdr:cNvPr id="15" name="CuadroTexto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SpPr txBox="1"/>
      </xdr:nvSpPr>
      <xdr:spPr>
        <a:xfrm>
          <a:off x="2229183" y="12387789"/>
          <a:ext cx="638008" cy="409557"/>
        </a:xfrm>
        <a:prstGeom prst="rect">
          <a:avLst/>
        </a:prstGeom>
        <a:solidFill>
          <a:schemeClr val="accent3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371DF7A0-3BB0-4B5E-AE6D-16FD77852335}" type="TxLink">
            <a:rPr lang="en-US" sz="2000" b="1" i="0" u="none" strike="noStrike">
              <a:solidFill>
                <a:sysClr val="windowText" lastClr="000000"/>
              </a:solidFill>
              <a:latin typeface="Calibri"/>
              <a:ea typeface="+mn-ea"/>
              <a:cs typeface="Calibri"/>
            </a:rPr>
            <a:pPr marL="0" indent="0" algn="ctr"/>
            <a:t>#¡DIV/0!</a:t>
          </a:fld>
          <a:endParaRPr lang="es-CR" sz="2000" b="1" i="0" u="none" strike="noStrike">
            <a:solidFill>
              <a:sysClr val="windowText" lastClr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0</xdr:col>
      <xdr:colOff>420739</xdr:colOff>
      <xdr:row>26</xdr:row>
      <xdr:rowOff>119063</xdr:rowOff>
    </xdr:from>
    <xdr:to>
      <xdr:col>1</xdr:col>
      <xdr:colOff>303069</xdr:colOff>
      <xdr:row>28</xdr:row>
      <xdr:rowOff>173182</xdr:rowOff>
    </xdr:to>
    <xdr:sp macro="" textlink="$E$16">
      <xdr:nvSpPr>
        <xdr:cNvPr id="16" name="CuadroTexto 15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 txBox="1"/>
      </xdr:nvSpPr>
      <xdr:spPr>
        <a:xfrm>
          <a:off x="420739" y="12368213"/>
          <a:ext cx="644330" cy="435119"/>
        </a:xfrm>
        <a:prstGeom prst="rect">
          <a:avLst/>
        </a:prstGeom>
        <a:solidFill>
          <a:schemeClr val="accent3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A9DF9071-C7A4-4D58-8758-C957E0E994FC}" type="TxLink">
            <a:rPr lang="en-US" sz="2000" b="1" i="0" u="none" strike="noStrike">
              <a:solidFill>
                <a:sysClr val="windowText" lastClr="000000"/>
              </a:solidFill>
              <a:latin typeface="Calibri"/>
              <a:ea typeface="+mn-ea"/>
              <a:cs typeface="Calibri"/>
            </a:rPr>
            <a:pPr marL="0" indent="0" algn="ctr"/>
            <a:t>#¡DIV/0!</a:t>
          </a:fld>
          <a:endParaRPr lang="es-CR" sz="2000" b="1" i="0" u="none" strike="noStrike">
            <a:solidFill>
              <a:sysClr val="windowText" lastClr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7</xdr:col>
      <xdr:colOff>57094</xdr:colOff>
      <xdr:row>27</xdr:row>
      <xdr:rowOff>21048</xdr:rowOff>
    </xdr:from>
    <xdr:to>
      <xdr:col>7</xdr:col>
      <xdr:colOff>691104</xdr:colOff>
      <xdr:row>29</xdr:row>
      <xdr:rowOff>49605</xdr:rowOff>
    </xdr:to>
    <xdr:sp macro="" textlink="$H$17">
      <xdr:nvSpPr>
        <xdr:cNvPr id="17" name="CuadroTexto 16"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SpPr txBox="1"/>
      </xdr:nvSpPr>
      <xdr:spPr>
        <a:xfrm>
          <a:off x="6076894" y="12460698"/>
          <a:ext cx="634010" cy="409557"/>
        </a:xfrm>
        <a:prstGeom prst="rect">
          <a:avLst/>
        </a:prstGeom>
        <a:solidFill>
          <a:schemeClr val="accent3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1DFD2619-F432-4AAC-AC50-0706D7A07343}" type="TxLink">
            <a:rPr lang="en-US" sz="2000" b="1" i="0" u="none" strike="noStrike">
              <a:solidFill>
                <a:sysClr val="windowText" lastClr="000000"/>
              </a:solidFill>
              <a:latin typeface="Calibri"/>
              <a:ea typeface="+mn-ea"/>
              <a:cs typeface="Calibri"/>
            </a:rPr>
            <a:pPr marL="0" indent="0" algn="ctr"/>
            <a:t>#¡DIV/0!</a:t>
          </a:fld>
          <a:endParaRPr lang="es-CR" sz="2000" b="1" i="0" u="none" strike="noStrike">
            <a:solidFill>
              <a:sysClr val="windowText" lastClr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5</xdr:col>
      <xdr:colOff>171530</xdr:colOff>
      <xdr:row>27</xdr:row>
      <xdr:rowOff>35276</xdr:rowOff>
    </xdr:from>
    <xdr:to>
      <xdr:col>6</xdr:col>
      <xdr:colOff>38836</xdr:colOff>
      <xdr:row>29</xdr:row>
      <xdr:rowOff>51100</xdr:rowOff>
    </xdr:to>
    <xdr:sp macro="" textlink="$H$16">
      <xdr:nvSpPr>
        <xdr:cNvPr id="18" name="CuadroTexto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SpPr txBox="1"/>
      </xdr:nvSpPr>
      <xdr:spPr>
        <a:xfrm>
          <a:off x="4667330" y="12474926"/>
          <a:ext cx="629306" cy="396824"/>
        </a:xfrm>
        <a:prstGeom prst="rect">
          <a:avLst/>
        </a:prstGeom>
        <a:solidFill>
          <a:schemeClr val="accent3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B6F5FF19-A4DE-4343-9202-EFC9AFA6D6B5}" type="TxLink">
            <a:rPr lang="en-US" sz="2000" b="1" i="0" u="none" strike="noStrike">
              <a:solidFill>
                <a:sysClr val="windowText" lastClr="000000"/>
              </a:solidFill>
              <a:latin typeface="Calibri"/>
              <a:ea typeface="+mn-ea"/>
              <a:cs typeface="Calibri"/>
            </a:rPr>
            <a:pPr marL="0" indent="0" algn="ctr"/>
            <a:t>#¡DIV/0!</a:t>
          </a:fld>
          <a:endParaRPr lang="es-CR" sz="2000" b="1" i="0" u="none" strike="noStrike">
            <a:solidFill>
              <a:sysClr val="windowText" lastClr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11</xdr:col>
      <xdr:colOff>656348</xdr:colOff>
      <xdr:row>26</xdr:row>
      <xdr:rowOff>185210</xdr:rowOff>
    </xdr:from>
    <xdr:to>
      <xdr:col>12</xdr:col>
      <xdr:colOff>526005</xdr:colOff>
      <xdr:row>29</xdr:row>
      <xdr:rowOff>25619</xdr:rowOff>
    </xdr:to>
    <xdr:sp macro="" textlink="$K$17">
      <xdr:nvSpPr>
        <xdr:cNvPr id="19" name="CuadroTexto 18"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SpPr txBox="1"/>
      </xdr:nvSpPr>
      <xdr:spPr>
        <a:xfrm>
          <a:off x="9724148" y="12434360"/>
          <a:ext cx="631657" cy="411909"/>
        </a:xfrm>
        <a:prstGeom prst="rect">
          <a:avLst/>
        </a:prstGeom>
        <a:solidFill>
          <a:schemeClr val="accent3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8FFDC347-DA34-4703-BB96-5A3AF6897156}" type="TxLink">
            <a:rPr lang="en-US" sz="2000" b="1" i="0" u="none" strike="noStrike">
              <a:solidFill>
                <a:sysClr val="windowText" lastClr="000000"/>
              </a:solidFill>
              <a:latin typeface="Calibri"/>
              <a:ea typeface="+mn-ea"/>
              <a:cs typeface="Calibri"/>
            </a:rPr>
            <a:pPr marL="0" indent="0" algn="ctr"/>
            <a:t>#¡DIV/0!</a:t>
          </a:fld>
          <a:endParaRPr lang="es-CR" sz="2000" b="1" i="0" u="none" strike="noStrike">
            <a:solidFill>
              <a:sysClr val="windowText" lastClr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9</xdr:col>
      <xdr:colOff>676709</xdr:colOff>
      <xdr:row>26</xdr:row>
      <xdr:rowOff>152871</xdr:rowOff>
    </xdr:from>
    <xdr:to>
      <xdr:col>10</xdr:col>
      <xdr:colOff>544017</xdr:colOff>
      <xdr:row>28</xdr:row>
      <xdr:rowOff>165870</xdr:rowOff>
    </xdr:to>
    <xdr:sp macro="" textlink="$K$16">
      <xdr:nvSpPr>
        <xdr:cNvPr id="20" name="CuadroTexto 19"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SpPr txBox="1"/>
      </xdr:nvSpPr>
      <xdr:spPr>
        <a:xfrm>
          <a:off x="8220509" y="12402021"/>
          <a:ext cx="629308" cy="393999"/>
        </a:xfrm>
        <a:prstGeom prst="rect">
          <a:avLst/>
        </a:prstGeom>
        <a:solidFill>
          <a:schemeClr val="accent3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67FA319E-D336-4119-A7AC-8DF01BC667E7}" type="TxLink">
            <a:rPr lang="en-US" sz="2000" b="1" i="0" u="none" strike="noStrike">
              <a:solidFill>
                <a:sysClr val="windowText" lastClr="000000"/>
              </a:solidFill>
              <a:latin typeface="Calibri"/>
              <a:ea typeface="+mn-ea"/>
              <a:cs typeface="Calibri"/>
            </a:rPr>
            <a:pPr marL="0" indent="0" algn="ctr"/>
            <a:t>#¡DIV/0!</a:t>
          </a:fld>
          <a:endParaRPr lang="es-CR" sz="2000" b="1" i="0" u="none" strike="noStrike">
            <a:solidFill>
              <a:sysClr val="windowText" lastClr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15</xdr:col>
      <xdr:colOff>68261</xdr:colOff>
      <xdr:row>7</xdr:row>
      <xdr:rowOff>40553</xdr:rowOff>
    </xdr:from>
    <xdr:to>
      <xdr:col>16</xdr:col>
      <xdr:colOff>152399</xdr:colOff>
      <xdr:row>9</xdr:row>
      <xdr:rowOff>101599</xdr:rowOff>
    </xdr:to>
    <xdr:sp macro="" textlink="">
      <xdr:nvSpPr>
        <xdr:cNvPr id="22" name="Flecha derecha 2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SpPr/>
      </xdr:nvSpPr>
      <xdr:spPr>
        <a:xfrm rot="10800000">
          <a:off x="12361861" y="1628053"/>
          <a:ext cx="846138" cy="581746"/>
        </a:xfrm>
        <a:prstGeom prst="rightArrow">
          <a:avLst/>
        </a:prstGeom>
        <a:solidFill>
          <a:srgbClr val="00CC66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381000</xdr:colOff>
      <xdr:row>11</xdr:row>
      <xdr:rowOff>38100</xdr:rowOff>
    </xdr:from>
    <xdr:to>
      <xdr:col>17</xdr:col>
      <xdr:colOff>444500</xdr:colOff>
      <xdr:row>32</xdr:row>
      <xdr:rowOff>114300</xdr:rowOff>
    </xdr:to>
    <xdr:sp macro="" textlink="">
      <xdr:nvSpPr>
        <xdr:cNvPr id="23" name="Rectángulo redondeado 9"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SpPr/>
      </xdr:nvSpPr>
      <xdr:spPr>
        <a:xfrm>
          <a:off x="11912600" y="2654300"/>
          <a:ext cx="2349500" cy="3962400"/>
        </a:xfrm>
        <a:prstGeom prst="roundRect">
          <a:avLst/>
        </a:prstGeom>
        <a:effectLst>
          <a:innerShdw blurRad="63500" dist="50800" dir="18900000">
            <a:schemeClr val="accent4">
              <a:alpha val="50000"/>
            </a:schemeClr>
          </a:innerShdw>
        </a:effectLst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800" b="1">
              <a:solidFill>
                <a:sysClr val="windowText" lastClr="000000"/>
              </a:solidFill>
              <a:latin typeface="Ink Free" panose="03080402000500000000" pitchFamily="66" charset="0"/>
            </a:rPr>
            <a:t>Observacion:</a:t>
          </a:r>
        </a:p>
        <a:p>
          <a:pPr algn="l"/>
          <a:endParaRPr lang="en-US" sz="1800" b="1" baseline="0">
            <a:solidFill>
              <a:sysClr val="windowText" lastClr="000000"/>
            </a:solidFill>
            <a:latin typeface="Ink Free" panose="03080402000500000000" pitchFamily="66" charset="0"/>
          </a:endParaRPr>
        </a:p>
        <a:p>
          <a:pPr algn="l"/>
          <a:r>
            <a:rPr lang="en-US" sz="1800" b="1" baseline="0">
              <a:solidFill>
                <a:sysClr val="windowText" lastClr="000000"/>
              </a:solidFill>
              <a:latin typeface="Ink Free" panose="03080402000500000000" pitchFamily="66" charset="0"/>
            </a:rPr>
            <a:t>1.Este apartado solo es para visualizar </a:t>
          </a:r>
          <a:r>
            <a:rPr lang="en-US" sz="1800" b="1" baseline="0">
              <a:solidFill>
                <a:srgbClr val="FF0000"/>
              </a:solidFill>
              <a:latin typeface="Ink Free" panose="03080402000500000000" pitchFamily="66" charset="0"/>
            </a:rPr>
            <a:t>NO</a:t>
          </a:r>
          <a:r>
            <a:rPr lang="en-US" sz="1800" b="1" baseline="0">
              <a:solidFill>
                <a:sysClr val="windowText" lastClr="000000"/>
              </a:solidFill>
              <a:latin typeface="Ink Free" panose="03080402000500000000" pitchFamily="66" charset="0"/>
            </a:rPr>
            <a:t>, puede alterar ningún dato.</a:t>
          </a:r>
        </a:p>
        <a:p>
          <a:pPr algn="l"/>
          <a:endParaRPr lang="en-US" sz="1800" b="1" baseline="0">
            <a:solidFill>
              <a:sysClr val="windowText" lastClr="000000"/>
            </a:solidFill>
            <a:latin typeface="Ink Free" panose="03080402000500000000" pitchFamily="66" charset="0"/>
          </a:endParaRPr>
        </a:p>
        <a:p>
          <a:pPr algn="l"/>
          <a:r>
            <a:rPr lang="en-US" sz="1800" b="1" baseline="0">
              <a:solidFill>
                <a:sysClr val="windowText" lastClr="000000"/>
              </a:solidFill>
              <a:latin typeface="Ink Free" panose="03080402000500000000" pitchFamily="66" charset="0"/>
            </a:rPr>
            <a:t>2.Para extraer la información debe utilizar el boton de "Generar PDF"</a:t>
          </a:r>
        </a:p>
        <a:p>
          <a:pPr algn="l"/>
          <a:endParaRPr lang="en-US" sz="1800">
            <a:solidFill>
              <a:sysClr val="windowText" lastClr="000000"/>
            </a:solidFill>
            <a:latin typeface="Ink Free" panose="03080402000500000000" pitchFamily="66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644996</xdr:colOff>
      <xdr:row>17</xdr:row>
      <xdr:rowOff>12347</xdr:rowOff>
    </xdr:from>
    <xdr:to>
      <xdr:col>9</xdr:col>
      <xdr:colOff>273402</xdr:colOff>
      <xdr:row>32</xdr:row>
      <xdr:rowOff>111007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218723</xdr:colOff>
      <xdr:row>17</xdr:row>
      <xdr:rowOff>12347</xdr:rowOff>
    </xdr:from>
    <xdr:to>
      <xdr:col>4</xdr:col>
      <xdr:colOff>516232</xdr:colOff>
      <xdr:row>32</xdr:row>
      <xdr:rowOff>119356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733560</xdr:colOff>
      <xdr:row>26</xdr:row>
      <xdr:rowOff>152869</xdr:rowOff>
    </xdr:from>
    <xdr:to>
      <xdr:col>3</xdr:col>
      <xdr:colOff>285718</xdr:colOff>
      <xdr:row>28</xdr:row>
      <xdr:rowOff>181426</xdr:rowOff>
    </xdr:to>
    <xdr:sp macro="" textlink="$E$17">
      <xdr:nvSpPr>
        <xdr:cNvPr id="4" name="CuadroText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 txBox="1"/>
      </xdr:nvSpPr>
      <xdr:spPr>
        <a:xfrm>
          <a:off x="2263333" y="5117414"/>
          <a:ext cx="634544" cy="403785"/>
        </a:xfrm>
        <a:prstGeom prst="rect">
          <a:avLst/>
        </a:prstGeom>
        <a:solidFill>
          <a:schemeClr val="accent3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66AFED24-D597-4B6A-8232-D4C11817CD09}" type="TxLink">
            <a:rPr lang="en-US" sz="2000" b="1" i="0" u="none" strike="noStrike">
              <a:solidFill>
                <a:sysClr val="windowText" lastClr="000000"/>
              </a:solidFill>
              <a:latin typeface="Calibri"/>
              <a:ea typeface="+mn-ea"/>
              <a:cs typeface="Calibri"/>
            </a:rPr>
            <a:pPr marL="0" indent="0" algn="ctr"/>
            <a:t>#¡DIV/0!</a:t>
          </a:fld>
          <a:endParaRPr lang="es-CR" sz="2000" b="1" i="0" u="none" strike="noStrike">
            <a:solidFill>
              <a:sysClr val="windowText" lastClr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0</xdr:col>
      <xdr:colOff>447647</xdr:colOff>
      <xdr:row>26</xdr:row>
      <xdr:rowOff>140710</xdr:rowOff>
    </xdr:from>
    <xdr:to>
      <xdr:col>1</xdr:col>
      <xdr:colOff>357186</xdr:colOff>
      <xdr:row>29</xdr:row>
      <xdr:rowOff>0</xdr:rowOff>
    </xdr:to>
    <xdr:sp macro="" textlink="$E$16">
      <xdr:nvSpPr>
        <xdr:cNvPr id="5" name="CuadroText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 txBox="1"/>
      </xdr:nvSpPr>
      <xdr:spPr>
        <a:xfrm>
          <a:off x="447647" y="5509346"/>
          <a:ext cx="667209" cy="443779"/>
        </a:xfrm>
        <a:prstGeom prst="rect">
          <a:avLst/>
        </a:prstGeom>
        <a:solidFill>
          <a:schemeClr val="accent3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DF25905-5B67-4834-81BF-0A269DE945BE}" type="TxLink">
            <a:rPr lang="en-US" sz="2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#¡DIV/0!</a:t>
          </a:fld>
          <a:endParaRPr lang="es-CR" sz="66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15</xdr:col>
      <xdr:colOff>362507</xdr:colOff>
      <xdr:row>1</xdr:row>
      <xdr:rowOff>153843</xdr:rowOff>
    </xdr:from>
    <xdr:to>
      <xdr:col>16</xdr:col>
      <xdr:colOff>426830</xdr:colOff>
      <xdr:row>5</xdr:row>
      <xdr:rowOff>70362</xdr:rowOff>
    </xdr:to>
    <xdr:pic macro="[0]!PDFActiveSheet">
      <xdr:nvPicPr>
        <xdr:cNvPr id="9" name="Imagen 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6107" y="344343"/>
          <a:ext cx="826323" cy="830919"/>
        </a:xfrm>
        <a:prstGeom prst="rect">
          <a:avLst/>
        </a:prstGeom>
      </xdr:spPr>
    </xdr:pic>
    <xdr:clientData/>
  </xdr:twoCellAnchor>
  <xdr:twoCellAnchor>
    <xdr:from>
      <xdr:col>9</xdr:col>
      <xdr:colOff>352190</xdr:colOff>
      <xdr:row>17</xdr:row>
      <xdr:rowOff>24106</xdr:rowOff>
    </xdr:from>
    <xdr:to>
      <xdr:col>13</xdr:col>
      <xdr:colOff>753180</xdr:colOff>
      <xdr:row>32</xdr:row>
      <xdr:rowOff>106891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285379</xdr:colOff>
      <xdr:row>26</xdr:row>
      <xdr:rowOff>105833</xdr:rowOff>
    </xdr:from>
    <xdr:to>
      <xdr:col>8</xdr:col>
      <xdr:colOff>155037</xdr:colOff>
      <xdr:row>28</xdr:row>
      <xdr:rowOff>134390</xdr:rowOff>
    </xdr:to>
    <xdr:sp macro="" textlink="$H$17">
      <xdr:nvSpPr>
        <xdr:cNvPr id="12" name="CuadroTexto 11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SpPr txBox="1"/>
      </xdr:nvSpPr>
      <xdr:spPr>
        <a:xfrm>
          <a:off x="6317879" y="5070378"/>
          <a:ext cx="634544" cy="403785"/>
        </a:xfrm>
        <a:prstGeom prst="rect">
          <a:avLst/>
        </a:prstGeom>
        <a:solidFill>
          <a:schemeClr val="accent3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19062C0F-DBEC-4510-9621-D14A4C922B72}" type="TxLink">
            <a:rPr lang="en-US" sz="2000" b="1" i="0" u="none" strike="noStrike">
              <a:solidFill>
                <a:sysClr val="windowText" lastClr="000000"/>
              </a:solidFill>
              <a:latin typeface="Calibri"/>
              <a:ea typeface="+mn-ea"/>
              <a:cs typeface="Calibri"/>
            </a:rPr>
            <a:pPr marL="0" indent="0" algn="ctr"/>
            <a:t>#¡DIV/0!</a:t>
          </a:fld>
          <a:endParaRPr lang="es-CR" sz="2000" b="1" i="0" u="none" strike="noStrike">
            <a:solidFill>
              <a:sysClr val="windowText" lastClr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5</xdr:col>
      <xdr:colOff>199909</xdr:colOff>
      <xdr:row>26</xdr:row>
      <xdr:rowOff>129351</xdr:rowOff>
    </xdr:from>
    <xdr:to>
      <xdr:col>6</xdr:col>
      <xdr:colOff>67215</xdr:colOff>
      <xdr:row>28</xdr:row>
      <xdr:rowOff>176389</xdr:rowOff>
    </xdr:to>
    <xdr:sp macro="" textlink="$H$16">
      <xdr:nvSpPr>
        <xdr:cNvPr id="13" name="CuadroTexto 12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SpPr txBox="1"/>
      </xdr:nvSpPr>
      <xdr:spPr>
        <a:xfrm>
          <a:off x="4445002" y="5209351"/>
          <a:ext cx="631657" cy="423334"/>
        </a:xfrm>
        <a:prstGeom prst="rect">
          <a:avLst/>
        </a:prstGeom>
        <a:solidFill>
          <a:schemeClr val="accent3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2857D958-079C-49D1-90CB-93584A6E424A}" type="TxLink">
            <a:rPr lang="en-US" sz="2000" b="1" i="0" u="none" strike="noStrike">
              <a:solidFill>
                <a:sysClr val="windowText" lastClr="000000"/>
              </a:solidFill>
              <a:latin typeface="Calibri"/>
              <a:ea typeface="+mn-ea"/>
              <a:cs typeface="Calibri"/>
            </a:rPr>
            <a:pPr marL="0" indent="0" algn="ctr"/>
            <a:t>#¡DIV/0!</a:t>
          </a:fld>
          <a:endParaRPr lang="es-CR" sz="2000" b="1" i="0" u="none" strike="noStrike">
            <a:solidFill>
              <a:sysClr val="windowText" lastClr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12</xdr:col>
      <xdr:colOff>2691</xdr:colOff>
      <xdr:row>26</xdr:row>
      <xdr:rowOff>11288</xdr:rowOff>
    </xdr:from>
    <xdr:to>
      <xdr:col>12</xdr:col>
      <xdr:colOff>636700</xdr:colOff>
      <xdr:row>28</xdr:row>
      <xdr:rowOff>39845</xdr:rowOff>
    </xdr:to>
    <xdr:sp macro="" textlink="$K$17">
      <xdr:nvSpPr>
        <xdr:cNvPr id="14" name="CuadroTexto 13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SpPr txBox="1"/>
      </xdr:nvSpPr>
      <xdr:spPr>
        <a:xfrm>
          <a:off x="9859623" y="4975833"/>
          <a:ext cx="634009" cy="403785"/>
        </a:xfrm>
        <a:prstGeom prst="rect">
          <a:avLst/>
        </a:prstGeom>
        <a:solidFill>
          <a:schemeClr val="accent3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C79F238E-FD89-4CB9-B62F-655C20C89D02}" type="TxLink">
            <a:rPr lang="en-US" sz="2000" b="1" i="0" u="none" strike="noStrike">
              <a:solidFill>
                <a:sysClr val="windowText" lastClr="000000"/>
              </a:solidFill>
              <a:latin typeface="Calibri"/>
              <a:ea typeface="+mn-ea"/>
              <a:cs typeface="Calibri"/>
            </a:rPr>
            <a:pPr marL="0" indent="0" algn="ctr"/>
            <a:t>#¡DIV/0!</a:t>
          </a:fld>
          <a:endParaRPr lang="es-CR" sz="2000" b="1" i="0" u="none" strike="noStrike">
            <a:solidFill>
              <a:sysClr val="windowText" lastClr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10</xdr:col>
      <xdr:colOff>23050</xdr:colOff>
      <xdr:row>26</xdr:row>
      <xdr:rowOff>46565</xdr:rowOff>
    </xdr:from>
    <xdr:to>
      <xdr:col>10</xdr:col>
      <xdr:colOff>654710</xdr:colOff>
      <xdr:row>28</xdr:row>
      <xdr:rowOff>47036</xdr:rowOff>
    </xdr:to>
    <xdr:sp macro="" textlink="$K$16">
      <xdr:nvSpPr>
        <xdr:cNvPr id="15" name="CuadroTexto 14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SpPr txBox="1"/>
      </xdr:nvSpPr>
      <xdr:spPr>
        <a:xfrm>
          <a:off x="8350209" y="5011110"/>
          <a:ext cx="631660" cy="375699"/>
        </a:xfrm>
        <a:prstGeom prst="rect">
          <a:avLst/>
        </a:prstGeom>
        <a:solidFill>
          <a:schemeClr val="accent3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54A8AF1C-06D9-4DB9-93F0-A174F2B21ADC}" type="TxLink">
            <a:rPr lang="en-US" sz="2000" b="1" i="0" u="none" strike="noStrike">
              <a:solidFill>
                <a:sysClr val="windowText" lastClr="000000"/>
              </a:solidFill>
              <a:latin typeface="Calibri"/>
              <a:ea typeface="+mn-ea"/>
              <a:cs typeface="Calibri"/>
            </a:rPr>
            <a:pPr marL="0" indent="0" algn="ctr"/>
            <a:t>#¡DIV/0!</a:t>
          </a:fld>
          <a:endParaRPr lang="es-CR" sz="2000" b="1" i="0" u="none" strike="noStrike">
            <a:solidFill>
              <a:sysClr val="windowText" lastClr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0</xdr:col>
      <xdr:colOff>158750</xdr:colOff>
      <xdr:row>36</xdr:row>
      <xdr:rowOff>0</xdr:rowOff>
    </xdr:from>
    <xdr:to>
      <xdr:col>4</xdr:col>
      <xdr:colOff>456259</xdr:colOff>
      <xdr:row>36</xdr:row>
      <xdr:rowOff>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420739</xdr:colOff>
      <xdr:row>36</xdr:row>
      <xdr:rowOff>0</xdr:rowOff>
    </xdr:from>
    <xdr:to>
      <xdr:col>1</xdr:col>
      <xdr:colOff>303069</xdr:colOff>
      <xdr:row>36</xdr:row>
      <xdr:rowOff>0</xdr:rowOff>
    </xdr:to>
    <xdr:sp macro="" textlink="#REF!">
      <xdr:nvSpPr>
        <xdr:cNvPr id="20" name="CuadroTexto 19">
          <a:extLst>
            <a:ext uri="{FF2B5EF4-FFF2-40B4-BE49-F238E27FC236}">
              <a16:creationId xmlns:a16="http://schemas.microsoft.com/office/drawing/2014/main" id="{00000000-0008-0000-1300-000014000000}"/>
            </a:ext>
          </a:extLst>
        </xdr:cNvPr>
        <xdr:cNvSpPr txBox="1"/>
      </xdr:nvSpPr>
      <xdr:spPr>
        <a:xfrm>
          <a:off x="420739" y="11917074"/>
          <a:ext cx="640000" cy="443778"/>
        </a:xfrm>
        <a:prstGeom prst="rect">
          <a:avLst/>
        </a:prstGeom>
        <a:solidFill>
          <a:schemeClr val="accent3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A9DF9071-C7A4-4D58-8758-C957E0E994FC}" type="TxLink">
            <a:rPr lang="en-US" sz="2000" b="1" i="0" u="none" strike="noStrike">
              <a:solidFill>
                <a:sysClr val="windowText" lastClr="000000"/>
              </a:solidFill>
              <a:latin typeface="Calibri"/>
              <a:ea typeface="+mn-ea"/>
              <a:cs typeface="Calibri"/>
            </a:rPr>
            <a:pPr marL="0" indent="0" algn="ctr"/>
            <a:t>100%</a:t>
          </a:fld>
          <a:endParaRPr lang="es-CR" sz="2000" b="1" i="0" u="none" strike="noStrike">
            <a:solidFill>
              <a:sysClr val="windowText" lastClr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15</xdr:col>
      <xdr:colOff>356608</xdr:colOff>
      <xdr:row>6</xdr:row>
      <xdr:rowOff>44304</xdr:rowOff>
    </xdr:from>
    <xdr:to>
      <xdr:col>16</xdr:col>
      <xdr:colOff>431799</xdr:colOff>
      <xdr:row>8</xdr:row>
      <xdr:rowOff>132915</xdr:rowOff>
    </xdr:to>
    <xdr:sp macro="" textlink="">
      <xdr:nvSpPr>
        <xdr:cNvPr id="28" name="Flecha derecha 2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/>
      </xdr:nvSpPr>
      <xdr:spPr>
        <a:xfrm rot="10800000">
          <a:off x="12650208" y="1441304"/>
          <a:ext cx="837191" cy="647411"/>
        </a:xfrm>
        <a:prstGeom prst="rightArrow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469900</xdr:colOff>
      <xdr:row>10</xdr:row>
      <xdr:rowOff>127000</xdr:rowOff>
    </xdr:from>
    <xdr:to>
      <xdr:col>17</xdr:col>
      <xdr:colOff>533400</xdr:colOff>
      <xdr:row>31</xdr:row>
      <xdr:rowOff>63500</xdr:rowOff>
    </xdr:to>
    <xdr:sp macro="" textlink="">
      <xdr:nvSpPr>
        <xdr:cNvPr id="26" name="Rectángulo redondeado 9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/>
      </xdr:nvSpPr>
      <xdr:spPr>
        <a:xfrm>
          <a:off x="12001500" y="2413000"/>
          <a:ext cx="2349500" cy="3962400"/>
        </a:xfrm>
        <a:prstGeom prst="roundRect">
          <a:avLst/>
        </a:prstGeom>
        <a:effectLst>
          <a:innerShdw blurRad="63500" dist="50800" dir="18900000">
            <a:schemeClr val="accent4">
              <a:alpha val="50000"/>
            </a:schemeClr>
          </a:innerShdw>
        </a:effectLst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800" b="1">
              <a:solidFill>
                <a:sysClr val="windowText" lastClr="000000"/>
              </a:solidFill>
              <a:latin typeface="Ink Free" panose="03080402000500000000" pitchFamily="66" charset="0"/>
            </a:rPr>
            <a:t>Observacion:</a:t>
          </a:r>
        </a:p>
        <a:p>
          <a:pPr algn="l"/>
          <a:endParaRPr lang="en-US" sz="1800" b="1" baseline="0">
            <a:solidFill>
              <a:sysClr val="windowText" lastClr="000000"/>
            </a:solidFill>
            <a:latin typeface="Ink Free" panose="03080402000500000000" pitchFamily="66" charset="0"/>
          </a:endParaRPr>
        </a:p>
        <a:p>
          <a:pPr algn="l"/>
          <a:r>
            <a:rPr lang="en-US" sz="1800" b="1" baseline="0">
              <a:solidFill>
                <a:sysClr val="windowText" lastClr="000000"/>
              </a:solidFill>
              <a:latin typeface="Ink Free" panose="03080402000500000000" pitchFamily="66" charset="0"/>
            </a:rPr>
            <a:t>1.Este apartado solo es para visualizar </a:t>
          </a:r>
          <a:r>
            <a:rPr lang="en-US" sz="1800" b="1" baseline="0">
              <a:solidFill>
                <a:srgbClr val="FF0000"/>
              </a:solidFill>
              <a:latin typeface="Ink Free" panose="03080402000500000000" pitchFamily="66" charset="0"/>
            </a:rPr>
            <a:t>NO</a:t>
          </a:r>
          <a:r>
            <a:rPr lang="en-US" sz="1800" b="1" baseline="0">
              <a:solidFill>
                <a:sysClr val="windowText" lastClr="000000"/>
              </a:solidFill>
              <a:latin typeface="Ink Free" panose="03080402000500000000" pitchFamily="66" charset="0"/>
            </a:rPr>
            <a:t>, puede alterar ningún dato.</a:t>
          </a:r>
        </a:p>
        <a:p>
          <a:pPr algn="l"/>
          <a:endParaRPr lang="en-US" sz="1800" b="1" baseline="0">
            <a:solidFill>
              <a:sysClr val="windowText" lastClr="000000"/>
            </a:solidFill>
            <a:latin typeface="Ink Free" panose="03080402000500000000" pitchFamily="66" charset="0"/>
          </a:endParaRPr>
        </a:p>
        <a:p>
          <a:pPr algn="l"/>
          <a:r>
            <a:rPr lang="en-US" sz="1800" b="1" baseline="0">
              <a:solidFill>
                <a:sysClr val="windowText" lastClr="000000"/>
              </a:solidFill>
              <a:latin typeface="Ink Free" panose="03080402000500000000" pitchFamily="66" charset="0"/>
            </a:rPr>
            <a:t>2.Para extraer la información debe utilizar el boton de "Generar PDF"</a:t>
          </a:r>
        </a:p>
        <a:p>
          <a:pPr algn="l"/>
          <a:endParaRPr lang="en-US" sz="1800">
            <a:solidFill>
              <a:sysClr val="windowText" lastClr="000000"/>
            </a:solidFill>
            <a:latin typeface="Ink Free" panose="03080402000500000000" pitchFamily="66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276227</xdr:colOff>
      <xdr:row>4</xdr:row>
      <xdr:rowOff>161926</xdr:rowOff>
    </xdr:from>
    <xdr:to>
      <xdr:col>8</xdr:col>
      <xdr:colOff>266700</xdr:colOff>
      <xdr:row>7</xdr:row>
      <xdr:rowOff>133350</xdr:rowOff>
    </xdr:to>
    <xdr:sp macro="[0]!SiNo2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5591177" y="1047751"/>
          <a:ext cx="1409698" cy="590549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s-CR" sz="1200" b="0" cap="none" spc="0">
            <a:ln w="0"/>
            <a:solidFill>
              <a:schemeClr val="bg1"/>
            </a:solidFill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7</xdr:col>
      <xdr:colOff>25400</xdr:colOff>
      <xdr:row>7</xdr:row>
      <xdr:rowOff>247650</xdr:rowOff>
    </xdr:from>
    <xdr:to>
      <xdr:col>7</xdr:col>
      <xdr:colOff>860425</xdr:colOff>
      <xdr:row>169</xdr:row>
      <xdr:rowOff>85725</xdr:rowOff>
    </xdr:to>
    <xdr:pic macro="[0]!PDFActiveSheet">
      <xdr:nvPicPr>
        <xdr:cNvPr id="3" name="Imagen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64225" y="1752600"/>
          <a:ext cx="835025" cy="828675"/>
        </a:xfrm>
        <a:prstGeom prst="rect">
          <a:avLst/>
        </a:prstGeom>
      </xdr:spPr>
    </xdr:pic>
    <xdr:clientData/>
  </xdr:twoCellAnchor>
  <xdr:twoCellAnchor>
    <xdr:from>
      <xdr:col>4</xdr:col>
      <xdr:colOff>266700</xdr:colOff>
      <xdr:row>6</xdr:row>
      <xdr:rowOff>209551</xdr:rowOff>
    </xdr:from>
    <xdr:to>
      <xdr:col>5</xdr:col>
      <xdr:colOff>895350</xdr:colOff>
      <xdr:row>10</xdr:row>
      <xdr:rowOff>171450</xdr:rowOff>
    </xdr:to>
    <xdr:sp macro="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3705225" y="1495426"/>
          <a:ext cx="1419225" cy="981074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atin typeface="Arial Rounded MT Bold" panose="020F0704030504030204" pitchFamily="34" charset="0"/>
            </a:rPr>
            <a:t>INFORMACIÓN</a:t>
          </a:r>
          <a:r>
            <a:rPr lang="en-US" sz="1100"/>
            <a:t> </a:t>
          </a:r>
        </a:p>
        <a:p>
          <a:pPr algn="ctr"/>
          <a:endParaRPr lang="en-US" sz="400"/>
        </a:p>
        <a:p>
          <a:pPr algn="ctr"/>
          <a:r>
            <a:rPr lang="en-US" sz="1100"/>
            <a:t>T= TARDÍAS</a:t>
          </a:r>
        </a:p>
        <a:p>
          <a:pPr algn="ctr"/>
          <a:r>
            <a:rPr lang="en-US" sz="1100"/>
            <a:t>A=</a:t>
          </a:r>
          <a:r>
            <a:rPr lang="en-US" sz="1100" baseline="0"/>
            <a:t> AUSENTE</a:t>
          </a:r>
        </a:p>
        <a:p>
          <a:pPr algn="ctr"/>
          <a:r>
            <a:rPr lang="en-US" sz="1100" baseline="0"/>
            <a:t>J= JUSTIFICADO</a:t>
          </a:r>
        </a:p>
        <a:p>
          <a:pPr algn="ctr"/>
          <a:endParaRPr lang="en-US" sz="1100"/>
        </a:p>
      </xdr:txBody>
    </xdr:sp>
    <xdr:clientData/>
  </xdr:twoCellAnchor>
  <xdr:twoCellAnchor editAs="oneCell">
    <xdr:from>
      <xdr:col>5</xdr:col>
      <xdr:colOff>104777</xdr:colOff>
      <xdr:row>3</xdr:row>
      <xdr:rowOff>104775</xdr:rowOff>
    </xdr:from>
    <xdr:to>
      <xdr:col>5</xdr:col>
      <xdr:colOff>589687</xdr:colOff>
      <xdr:row>5</xdr:row>
      <xdr:rowOff>161926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4019" b="-4019"/>
        <a:stretch/>
      </xdr:blipFill>
      <xdr:spPr>
        <a:xfrm>
          <a:off x="4333877" y="781050"/>
          <a:ext cx="484910" cy="466726"/>
        </a:xfrm>
        <a:prstGeom prst="rect">
          <a:avLst/>
        </a:prstGeom>
        <a:noFill/>
        <a:effectLst>
          <a:outerShdw blurRad="50800" dist="50800" dir="5400000" algn="ctr" rotWithShape="0">
            <a:srgbClr val="000000">
              <a:alpha val="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5</xdr:row>
          <xdr:rowOff>238125</xdr:rowOff>
        </xdr:from>
        <xdr:to>
          <xdr:col>10</xdr:col>
          <xdr:colOff>314325</xdr:colOff>
          <xdr:row>7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14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6</xdr:row>
          <xdr:rowOff>238125</xdr:rowOff>
        </xdr:from>
        <xdr:to>
          <xdr:col>10</xdr:col>
          <xdr:colOff>314325</xdr:colOff>
          <xdr:row>7</xdr:row>
          <xdr:rowOff>219075</xdr:rowOff>
        </xdr:to>
        <xdr:sp macro="" textlink="">
          <xdr:nvSpPr>
            <xdr:cNvPr id="9221" name="Check Box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14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3</xdr:row>
          <xdr:rowOff>0</xdr:rowOff>
        </xdr:from>
        <xdr:to>
          <xdr:col>10</xdr:col>
          <xdr:colOff>314325</xdr:colOff>
          <xdr:row>4</xdr:row>
          <xdr:rowOff>9525</xdr:rowOff>
        </xdr:to>
        <xdr:sp macro="" textlink="">
          <xdr:nvSpPr>
            <xdr:cNvPr id="9223" name="Check Box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14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3</xdr:row>
          <xdr:rowOff>238125</xdr:rowOff>
        </xdr:from>
        <xdr:to>
          <xdr:col>10</xdr:col>
          <xdr:colOff>314325</xdr:colOff>
          <xdr:row>5</xdr:row>
          <xdr:rowOff>19050</xdr:rowOff>
        </xdr:to>
        <xdr:sp macro="" textlink="">
          <xdr:nvSpPr>
            <xdr:cNvPr id="9224" name="Check Box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14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4</xdr:row>
          <xdr:rowOff>238125</xdr:rowOff>
        </xdr:from>
        <xdr:to>
          <xdr:col>10</xdr:col>
          <xdr:colOff>314325</xdr:colOff>
          <xdr:row>6</xdr:row>
          <xdr:rowOff>19050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14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7</xdr:row>
          <xdr:rowOff>238125</xdr:rowOff>
        </xdr:from>
        <xdr:to>
          <xdr:col>10</xdr:col>
          <xdr:colOff>314325</xdr:colOff>
          <xdr:row>8</xdr:row>
          <xdr:rowOff>190500</xdr:rowOff>
        </xdr:to>
        <xdr:sp macro="" textlink="">
          <xdr:nvSpPr>
            <xdr:cNvPr id="9226" name="Check Box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14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47625</xdr:colOff>
      <xdr:row>1</xdr:row>
      <xdr:rowOff>57150</xdr:rowOff>
    </xdr:from>
    <xdr:to>
      <xdr:col>13</xdr:col>
      <xdr:colOff>314325</xdr:colOff>
      <xdr:row>8</xdr:row>
      <xdr:rowOff>219075</xdr:rowOff>
    </xdr:to>
    <xdr:sp macro="" textlink="">
      <xdr:nvSpPr>
        <xdr:cNvPr id="7" name="Llamada de flecha a la izquierda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SpPr/>
      </xdr:nvSpPr>
      <xdr:spPr>
        <a:xfrm>
          <a:off x="9201150" y="257175"/>
          <a:ext cx="1790700" cy="1762125"/>
        </a:xfrm>
        <a:prstGeom prst="leftArrowCallou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SELECCIONE LA CASILLA</a:t>
          </a:r>
          <a:r>
            <a:rPr lang="en-US" sz="1100" baseline="0">
              <a:solidFill>
                <a:sysClr val="windowText" lastClr="000000"/>
              </a:solidFill>
            </a:rPr>
            <a:t> DE VERIFICAR, CADA VEZ QUE REALICE EL ENVIO DE SUS REPORTES, ESTO PERMITE UN CONTROL DE SU TRABAJO.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142875</xdr:colOff>
      <xdr:row>8</xdr:row>
      <xdr:rowOff>209550</xdr:rowOff>
    </xdr:from>
    <xdr:to>
      <xdr:col>8</xdr:col>
      <xdr:colOff>819651</xdr:colOff>
      <xdr:row>10</xdr:row>
      <xdr:rowOff>177466</xdr:rowOff>
    </xdr:to>
    <xdr:sp macro="" textlink="">
      <xdr:nvSpPr>
        <xdr:cNvPr id="13" name="Flecha derecha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SpPr/>
      </xdr:nvSpPr>
      <xdr:spPr>
        <a:xfrm rot="10800000">
          <a:off x="6877050" y="1981200"/>
          <a:ext cx="676776" cy="501316"/>
        </a:xfrm>
        <a:prstGeom prst="rightArrow">
          <a:avLst/>
        </a:prstGeom>
        <a:solidFill>
          <a:schemeClr val="accent4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478880</xdr:colOff>
      <xdr:row>4</xdr:row>
      <xdr:rowOff>217106</xdr:rowOff>
    </xdr:from>
    <xdr:to>
      <xdr:col>7</xdr:col>
      <xdr:colOff>183055</xdr:colOff>
      <xdr:row>7</xdr:row>
      <xdr:rowOff>169589</xdr:rowOff>
    </xdr:to>
    <xdr:sp macro="[0]!SiNo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5613621" y="1180554"/>
          <a:ext cx="1412106" cy="609380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s-CR" sz="1200" b="0" cap="none" spc="0">
            <a:ln w="0"/>
            <a:solidFill>
              <a:schemeClr val="bg1"/>
            </a:solidFill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6</xdr:col>
      <xdr:colOff>38100</xdr:colOff>
      <xdr:row>9</xdr:row>
      <xdr:rowOff>95250</xdr:rowOff>
    </xdr:from>
    <xdr:to>
      <xdr:col>6</xdr:col>
      <xdr:colOff>866775</xdr:colOff>
      <xdr:row>14</xdr:row>
      <xdr:rowOff>8102</xdr:rowOff>
    </xdr:to>
    <xdr:pic macro="[0]!PDFActiveSheet">
      <xdr:nvPicPr>
        <xdr:cNvPr id="5" name="Imagen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2152650"/>
          <a:ext cx="828675" cy="8286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238125</xdr:rowOff>
        </xdr:from>
        <xdr:to>
          <xdr:col>9</xdr:col>
          <xdr:colOff>314325</xdr:colOff>
          <xdr:row>13</xdr:row>
          <xdr:rowOff>219075</xdr:rowOff>
        </xdr:to>
        <xdr:sp macro="" textlink="">
          <xdr:nvSpPr>
            <xdr:cNvPr id="13343" name="Check Box 31" hidden="1">
              <a:extLst>
                <a:ext uri="{63B3BB69-23CF-44E3-9099-C40C66FF867C}">
                  <a14:compatExt spid="_x0000_s13343"/>
                </a:ext>
                <a:ext uri="{FF2B5EF4-FFF2-40B4-BE49-F238E27FC236}">
                  <a16:creationId xmlns:a16="http://schemas.microsoft.com/office/drawing/2014/main" id="{00000000-0008-0000-1500-00001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238125</xdr:rowOff>
        </xdr:from>
        <xdr:to>
          <xdr:col>9</xdr:col>
          <xdr:colOff>314325</xdr:colOff>
          <xdr:row>14</xdr:row>
          <xdr:rowOff>209550</xdr:rowOff>
        </xdr:to>
        <xdr:sp macro="" textlink="">
          <xdr:nvSpPr>
            <xdr:cNvPr id="13344" name="Check Box 32" hidden="1">
              <a:extLst>
                <a:ext uri="{63B3BB69-23CF-44E3-9099-C40C66FF867C}">
                  <a14:compatExt spid="_x0000_s13344"/>
                </a:ext>
                <a:ext uri="{FF2B5EF4-FFF2-40B4-BE49-F238E27FC236}">
                  <a16:creationId xmlns:a16="http://schemas.microsoft.com/office/drawing/2014/main" id="{00000000-0008-0000-1500-00002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0</xdr:rowOff>
        </xdr:from>
        <xdr:to>
          <xdr:col>9</xdr:col>
          <xdr:colOff>314325</xdr:colOff>
          <xdr:row>11</xdr:row>
          <xdr:rowOff>0</xdr:rowOff>
        </xdr:to>
        <xdr:sp macro="" textlink="">
          <xdr:nvSpPr>
            <xdr:cNvPr id="13345" name="Check Box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15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238125</xdr:rowOff>
        </xdr:from>
        <xdr:to>
          <xdr:col>9</xdr:col>
          <xdr:colOff>314325</xdr:colOff>
          <xdr:row>12</xdr:row>
          <xdr:rowOff>0</xdr:rowOff>
        </xdr:to>
        <xdr:sp macro="" textlink="">
          <xdr:nvSpPr>
            <xdr:cNvPr id="13346" name="Check Box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15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238125</xdr:rowOff>
        </xdr:from>
        <xdr:to>
          <xdr:col>9</xdr:col>
          <xdr:colOff>314325</xdr:colOff>
          <xdr:row>13</xdr:row>
          <xdr:rowOff>219075</xdr:rowOff>
        </xdr:to>
        <xdr:sp macro="" textlink="">
          <xdr:nvSpPr>
            <xdr:cNvPr id="13347" name="Check Box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15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238125</xdr:rowOff>
        </xdr:from>
        <xdr:to>
          <xdr:col>9</xdr:col>
          <xdr:colOff>314325</xdr:colOff>
          <xdr:row>15</xdr:row>
          <xdr:rowOff>209550</xdr:rowOff>
        </xdr:to>
        <xdr:sp macro="" textlink="">
          <xdr:nvSpPr>
            <xdr:cNvPr id="13348" name="Check Box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15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65689</xdr:colOff>
      <xdr:row>8</xdr:row>
      <xdr:rowOff>142327</xdr:rowOff>
    </xdr:from>
    <xdr:to>
      <xdr:col>12</xdr:col>
      <xdr:colOff>323630</xdr:colOff>
      <xdr:row>16</xdr:row>
      <xdr:rowOff>54193</xdr:rowOff>
    </xdr:to>
    <xdr:sp macro="" textlink="">
      <xdr:nvSpPr>
        <xdr:cNvPr id="51" name="Llamada de flecha a la izquierda 50">
          <a:extLst>
            <a:ext uri="{FF2B5EF4-FFF2-40B4-BE49-F238E27FC236}">
              <a16:creationId xmlns:a16="http://schemas.microsoft.com/office/drawing/2014/main" id="{00000000-0008-0000-1500-000033000000}"/>
            </a:ext>
          </a:extLst>
        </xdr:cNvPr>
        <xdr:cNvSpPr/>
      </xdr:nvSpPr>
      <xdr:spPr>
        <a:xfrm>
          <a:off x="9404568" y="2331982"/>
          <a:ext cx="1790700" cy="1521263"/>
        </a:xfrm>
        <a:prstGeom prst="leftArrowCallou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SELECCIONAR LA CASILLA</a:t>
          </a:r>
          <a:r>
            <a:rPr lang="en-US" sz="1100" baseline="0">
              <a:solidFill>
                <a:sysClr val="windowText" lastClr="000000"/>
              </a:solidFill>
            </a:rPr>
            <a:t> DE VERIFICAR, CADA VEZ QUE REALICE EL ENVIO DE SUS REPORTES. PERMITE UN CONTROL DE SU TRABAJO.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0</xdr:col>
      <xdr:colOff>547414</xdr:colOff>
      <xdr:row>14</xdr:row>
      <xdr:rowOff>65689</xdr:rowOff>
    </xdr:from>
    <xdr:to>
      <xdr:col>0</xdr:col>
      <xdr:colOff>945944</xdr:colOff>
      <xdr:row>15</xdr:row>
      <xdr:rowOff>218965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4" b="114"/>
        <a:stretch/>
      </xdr:blipFill>
      <xdr:spPr>
        <a:xfrm>
          <a:off x="547414" y="3339223"/>
          <a:ext cx="398530" cy="405087"/>
        </a:xfrm>
        <a:prstGeom prst="rect">
          <a:avLst/>
        </a:prstGeom>
      </xdr:spPr>
    </xdr:pic>
    <xdr:clientData/>
  </xdr:twoCellAnchor>
  <xdr:twoCellAnchor>
    <xdr:from>
      <xdr:col>6</xdr:col>
      <xdr:colOff>32844</xdr:colOff>
      <xdr:row>7</xdr:row>
      <xdr:rowOff>284655</xdr:rowOff>
    </xdr:from>
    <xdr:to>
      <xdr:col>6</xdr:col>
      <xdr:colOff>709620</xdr:colOff>
      <xdr:row>9</xdr:row>
      <xdr:rowOff>30540</xdr:rowOff>
    </xdr:to>
    <xdr:sp macro="" textlink="">
      <xdr:nvSpPr>
        <xdr:cNvPr id="12" name="Flecha derecha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SpPr/>
      </xdr:nvSpPr>
      <xdr:spPr>
        <a:xfrm rot="10800000">
          <a:off x="5977758" y="1905000"/>
          <a:ext cx="676776" cy="501316"/>
        </a:xfrm>
        <a:prstGeom prst="rightArrow">
          <a:avLst/>
        </a:prstGeom>
        <a:solidFill>
          <a:schemeClr val="accent4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238125</xdr:rowOff>
        </xdr:from>
        <xdr:to>
          <xdr:col>9</xdr:col>
          <xdr:colOff>314325</xdr:colOff>
          <xdr:row>16</xdr:row>
          <xdr:rowOff>209550</xdr:rowOff>
        </xdr:to>
        <xdr:sp macro="" textlink="">
          <xdr:nvSpPr>
            <xdr:cNvPr id="13349" name="Check Box 36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15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577415</xdr:colOff>
      <xdr:row>5</xdr:row>
      <xdr:rowOff>74778</xdr:rowOff>
    </xdr:from>
    <xdr:to>
      <xdr:col>7</xdr:col>
      <xdr:colOff>281590</xdr:colOff>
      <xdr:row>7</xdr:row>
      <xdr:rowOff>246227</xdr:rowOff>
    </xdr:to>
    <xdr:sp macro="[0]!Enviar_Rango4_a_Destinatario_de_correo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5438449" y="1224347"/>
          <a:ext cx="1412107" cy="587483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s-CR" sz="1200" b="0" cap="none" spc="0">
            <a:ln w="0"/>
            <a:solidFill>
              <a:schemeClr val="bg1"/>
            </a:solidFill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6</xdr:col>
      <xdr:colOff>16203</xdr:colOff>
      <xdr:row>7</xdr:row>
      <xdr:rowOff>423698</xdr:rowOff>
    </xdr:from>
    <xdr:to>
      <xdr:col>6</xdr:col>
      <xdr:colOff>844878</xdr:colOff>
      <xdr:row>11</xdr:row>
      <xdr:rowOff>51894</xdr:rowOff>
    </xdr:to>
    <xdr:pic macro="[0]!PDFActiveSheet">
      <xdr:nvPicPr>
        <xdr:cNvPr id="3" name="Imagen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87410" y="1989301"/>
          <a:ext cx="828675" cy="83250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238125</xdr:rowOff>
        </xdr:from>
        <xdr:to>
          <xdr:col>9</xdr:col>
          <xdr:colOff>314325</xdr:colOff>
          <xdr:row>14</xdr:row>
          <xdr:rowOff>209550</xdr:rowOff>
        </xdr:to>
        <xdr:sp macro="" textlink="">
          <xdr:nvSpPr>
            <xdr:cNvPr id="6151" name="Check Box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1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238125</xdr:rowOff>
        </xdr:from>
        <xdr:to>
          <xdr:col>9</xdr:col>
          <xdr:colOff>314325</xdr:colOff>
          <xdr:row>15</xdr:row>
          <xdr:rowOff>209550</xdr:rowOff>
        </xdr:to>
        <xdr:sp macro="" textlink="">
          <xdr:nvSpPr>
            <xdr:cNvPr id="6152" name="Check Box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16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0</xdr:rowOff>
        </xdr:from>
        <xdr:to>
          <xdr:col>9</xdr:col>
          <xdr:colOff>314325</xdr:colOff>
          <xdr:row>12</xdr:row>
          <xdr:rowOff>0</xdr:rowOff>
        </xdr:to>
        <xdr:sp macro="" textlink="">
          <xdr:nvSpPr>
            <xdr:cNvPr id="6153" name="Check Box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16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238125</xdr:rowOff>
        </xdr:from>
        <xdr:to>
          <xdr:col>9</xdr:col>
          <xdr:colOff>314325</xdr:colOff>
          <xdr:row>13</xdr:row>
          <xdr:rowOff>219075</xdr:rowOff>
        </xdr:to>
        <xdr:sp macro="" textlink="">
          <xdr:nvSpPr>
            <xdr:cNvPr id="6154" name="Check Box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16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238125</xdr:rowOff>
        </xdr:from>
        <xdr:to>
          <xdr:col>9</xdr:col>
          <xdr:colOff>314325</xdr:colOff>
          <xdr:row>13</xdr:row>
          <xdr:rowOff>219075</xdr:rowOff>
        </xdr:to>
        <xdr:sp macro="" textlink="">
          <xdr:nvSpPr>
            <xdr:cNvPr id="6155" name="Check Box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16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238125</xdr:rowOff>
        </xdr:from>
        <xdr:to>
          <xdr:col>9</xdr:col>
          <xdr:colOff>314325</xdr:colOff>
          <xdr:row>13</xdr:row>
          <xdr:rowOff>219075</xdr:rowOff>
        </xdr:to>
        <xdr:sp macro="" textlink="">
          <xdr:nvSpPr>
            <xdr:cNvPr id="6157" name="Check Box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16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238125</xdr:rowOff>
        </xdr:from>
        <xdr:to>
          <xdr:col>9</xdr:col>
          <xdr:colOff>314325</xdr:colOff>
          <xdr:row>14</xdr:row>
          <xdr:rowOff>209550</xdr:rowOff>
        </xdr:to>
        <xdr:sp macro="" textlink="">
          <xdr:nvSpPr>
            <xdr:cNvPr id="6158" name="Check Box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16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0</xdr:rowOff>
        </xdr:from>
        <xdr:to>
          <xdr:col>9</xdr:col>
          <xdr:colOff>314325</xdr:colOff>
          <xdr:row>11</xdr:row>
          <xdr:rowOff>0</xdr:rowOff>
        </xdr:to>
        <xdr:sp macro="" textlink="">
          <xdr:nvSpPr>
            <xdr:cNvPr id="6159" name="Check Box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16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238125</xdr:rowOff>
        </xdr:from>
        <xdr:to>
          <xdr:col>9</xdr:col>
          <xdr:colOff>314325</xdr:colOff>
          <xdr:row>12</xdr:row>
          <xdr:rowOff>0</xdr:rowOff>
        </xdr:to>
        <xdr:sp macro="" textlink="">
          <xdr:nvSpPr>
            <xdr:cNvPr id="6160" name="Check Box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16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238125</xdr:rowOff>
        </xdr:from>
        <xdr:to>
          <xdr:col>9</xdr:col>
          <xdr:colOff>314325</xdr:colOff>
          <xdr:row>13</xdr:row>
          <xdr:rowOff>219075</xdr:rowOff>
        </xdr:to>
        <xdr:sp macro="" textlink="">
          <xdr:nvSpPr>
            <xdr:cNvPr id="6161" name="Check Box 17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16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238125</xdr:rowOff>
        </xdr:from>
        <xdr:to>
          <xdr:col>9</xdr:col>
          <xdr:colOff>314325</xdr:colOff>
          <xdr:row>15</xdr:row>
          <xdr:rowOff>209550</xdr:rowOff>
        </xdr:to>
        <xdr:sp macro="" textlink="">
          <xdr:nvSpPr>
            <xdr:cNvPr id="6162" name="Check Box 18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16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109482</xdr:colOff>
      <xdr:row>8</xdr:row>
      <xdr:rowOff>21896</xdr:rowOff>
    </xdr:from>
    <xdr:to>
      <xdr:col>12</xdr:col>
      <xdr:colOff>367423</xdr:colOff>
      <xdr:row>15</xdr:row>
      <xdr:rowOff>185572</xdr:rowOff>
    </xdr:to>
    <xdr:sp macro="" textlink="">
      <xdr:nvSpPr>
        <xdr:cNvPr id="23" name="Llamada de flecha a la izquierda 22">
          <a:extLst>
            <a:ext uri="{FF2B5EF4-FFF2-40B4-BE49-F238E27FC236}">
              <a16:creationId xmlns:a16="http://schemas.microsoft.com/office/drawing/2014/main" id="{00000000-0008-0000-1600-000017000000}"/>
            </a:ext>
          </a:extLst>
        </xdr:cNvPr>
        <xdr:cNvSpPr/>
      </xdr:nvSpPr>
      <xdr:spPr>
        <a:xfrm>
          <a:off x="9076120" y="2102068"/>
          <a:ext cx="1790700" cy="1762125"/>
        </a:xfrm>
        <a:prstGeom prst="leftArrowCallou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SELECCIONAR LA CASILLA</a:t>
          </a:r>
          <a:r>
            <a:rPr lang="en-US" sz="1100" baseline="0">
              <a:solidFill>
                <a:sysClr val="windowText" lastClr="000000"/>
              </a:solidFill>
            </a:rPr>
            <a:t> DE VERIFICAR, CADA VEZ QUE REALICE EL ENVIO DE SUS REPORTES. PERMITE UN CONTROL DE SU TRABAJO.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0</xdr:col>
      <xdr:colOff>536467</xdr:colOff>
      <xdr:row>14</xdr:row>
      <xdr:rowOff>54742</xdr:rowOff>
    </xdr:from>
    <xdr:to>
      <xdr:col>0</xdr:col>
      <xdr:colOff>934997</xdr:colOff>
      <xdr:row>15</xdr:row>
      <xdr:rowOff>208018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1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75" b="75"/>
        <a:stretch/>
      </xdr:blipFill>
      <xdr:spPr>
        <a:xfrm>
          <a:off x="536467" y="3276433"/>
          <a:ext cx="398530" cy="405409"/>
        </a:xfrm>
        <a:prstGeom prst="rect">
          <a:avLst/>
        </a:prstGeom>
      </xdr:spPr>
    </xdr:pic>
    <xdr:clientData/>
  </xdr:twoCellAnchor>
  <xdr:twoCellAnchor>
    <xdr:from>
      <xdr:col>6</xdr:col>
      <xdr:colOff>54741</xdr:colOff>
      <xdr:row>12</xdr:row>
      <xdr:rowOff>10948</xdr:rowOff>
    </xdr:from>
    <xdr:to>
      <xdr:col>6</xdr:col>
      <xdr:colOff>645082</xdr:colOff>
      <xdr:row>14</xdr:row>
      <xdr:rowOff>32901</xdr:rowOff>
    </xdr:to>
    <xdr:sp macro="" textlink="">
      <xdr:nvSpPr>
        <xdr:cNvPr id="18" name="Flecha derecha 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600-000012000000}"/>
            </a:ext>
          </a:extLst>
        </xdr:cNvPr>
        <xdr:cNvSpPr/>
      </xdr:nvSpPr>
      <xdr:spPr>
        <a:xfrm rot="10800000">
          <a:off x="5725948" y="2999827"/>
          <a:ext cx="590341" cy="514626"/>
        </a:xfrm>
        <a:prstGeom prst="rightArrow">
          <a:avLst/>
        </a:prstGeom>
        <a:solidFill>
          <a:srgbClr val="00CC66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238125</xdr:rowOff>
        </xdr:from>
        <xdr:to>
          <xdr:col>9</xdr:col>
          <xdr:colOff>314325</xdr:colOff>
          <xdr:row>16</xdr:row>
          <xdr:rowOff>209550</xdr:rowOff>
        </xdr:to>
        <xdr:sp macro="" textlink="">
          <xdr:nvSpPr>
            <xdr:cNvPr id="6163" name="Check Box 8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16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238125</xdr:rowOff>
        </xdr:from>
        <xdr:to>
          <xdr:col>9</xdr:col>
          <xdr:colOff>314325</xdr:colOff>
          <xdr:row>16</xdr:row>
          <xdr:rowOff>209550</xdr:rowOff>
        </xdr:to>
        <xdr:sp macro="" textlink="">
          <xdr:nvSpPr>
            <xdr:cNvPr id="6164" name="Check Box 18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16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48653</xdr:colOff>
      <xdr:row>2</xdr:row>
      <xdr:rowOff>113327</xdr:rowOff>
    </xdr:from>
    <xdr:to>
      <xdr:col>15</xdr:col>
      <xdr:colOff>215986</xdr:colOff>
      <xdr:row>3</xdr:row>
      <xdr:rowOff>409374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8430653" y="562363"/>
          <a:ext cx="2031512" cy="595404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n-lt"/>
            </a:rPr>
            <a:t>ESCRIBA LA CANTIDAD DE LECCIONES</a:t>
          </a:r>
          <a:r>
            <a:rPr lang="en-US" sz="1200" b="1" baseline="0">
              <a:solidFill>
                <a:sysClr val="windowText" lastClr="000000"/>
              </a:solidFill>
              <a:latin typeface="+mn-lt"/>
            </a:rPr>
            <a:t> POR DÍA</a:t>
          </a:r>
          <a:endParaRPr lang="en-US" sz="12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15</xdr:col>
      <xdr:colOff>300540</xdr:colOff>
      <xdr:row>2</xdr:row>
      <xdr:rowOff>113045</xdr:rowOff>
    </xdr:from>
    <xdr:to>
      <xdr:col>21</xdr:col>
      <xdr:colOff>25005</xdr:colOff>
      <xdr:row>3</xdr:row>
      <xdr:rowOff>435429</xdr:rowOff>
    </xdr:to>
    <xdr:sp macro="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/>
      </xdr:nvSpPr>
      <xdr:spPr>
        <a:xfrm>
          <a:off x="10601147" y="562081"/>
          <a:ext cx="1602251" cy="662562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n-lt"/>
            </a:rPr>
            <a:t>ESCRIBA</a:t>
          </a:r>
          <a:r>
            <a:rPr lang="en-US" sz="1200" b="1" baseline="0">
              <a:solidFill>
                <a:sysClr val="windowText" lastClr="000000"/>
              </a:solidFill>
              <a:latin typeface="+mn-lt"/>
            </a:rPr>
            <a:t> LA FECHA DE LA LECCIÓN</a:t>
          </a:r>
          <a:endParaRPr lang="en-US" sz="12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21</xdr:col>
      <xdr:colOff>128712</xdr:colOff>
      <xdr:row>2</xdr:row>
      <xdr:rowOff>115845</xdr:rowOff>
    </xdr:from>
    <xdr:to>
      <xdr:col>25</xdr:col>
      <xdr:colOff>180198</xdr:colOff>
      <xdr:row>3</xdr:row>
      <xdr:rowOff>424763</xdr:rowOff>
    </xdr:to>
    <xdr:sp macro="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/>
      </xdr:nvSpPr>
      <xdr:spPr>
        <a:xfrm>
          <a:off x="12266651" y="360406"/>
          <a:ext cx="1287162" cy="656452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aseline="0">
              <a:solidFill>
                <a:sysClr val="windowText" lastClr="000000"/>
              </a:solidFill>
            </a:rPr>
            <a:t>P  =PRESENTE</a:t>
          </a:r>
        </a:p>
        <a:p>
          <a:pPr algn="ctr"/>
          <a:r>
            <a:rPr lang="en-US" sz="1200" baseline="0">
              <a:solidFill>
                <a:srgbClr val="FF0000"/>
              </a:solidFill>
            </a:rPr>
            <a:t>OPCIONAL</a:t>
          </a:r>
          <a:endParaRPr lang="en-US" sz="1200">
            <a:solidFill>
              <a:srgbClr val="FF0000"/>
            </a:solidFill>
          </a:endParaRPr>
        </a:p>
      </xdr:txBody>
    </xdr:sp>
    <xdr:clientData/>
  </xdr:twoCellAnchor>
  <xdr:twoCellAnchor>
    <xdr:from>
      <xdr:col>30</xdr:col>
      <xdr:colOff>115842</xdr:colOff>
      <xdr:row>2</xdr:row>
      <xdr:rowOff>102974</xdr:rowOff>
    </xdr:from>
    <xdr:to>
      <xdr:col>34</xdr:col>
      <xdr:colOff>167328</xdr:colOff>
      <xdr:row>3</xdr:row>
      <xdr:rowOff>411892</xdr:rowOff>
    </xdr:to>
    <xdr:sp macro="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SpPr/>
      </xdr:nvSpPr>
      <xdr:spPr>
        <a:xfrm>
          <a:off x="15034051" y="347535"/>
          <a:ext cx="1287162" cy="656452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aseline="0">
              <a:solidFill>
                <a:sysClr val="windowText" lastClr="000000"/>
              </a:solidFill>
            </a:rPr>
            <a:t>  T =TARDÍA</a:t>
          </a:r>
          <a:endParaRPr 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25</xdr:col>
      <xdr:colOff>270299</xdr:colOff>
      <xdr:row>2</xdr:row>
      <xdr:rowOff>102972</xdr:rowOff>
    </xdr:from>
    <xdr:to>
      <xdr:col>30</xdr:col>
      <xdr:colOff>12867</xdr:colOff>
      <xdr:row>3</xdr:row>
      <xdr:rowOff>411890</xdr:rowOff>
    </xdr:to>
    <xdr:sp macro="" textlink="">
      <xdr:nvSpPr>
        <xdr:cNvPr id="8" name="Rectángulo redondeado 7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SpPr/>
      </xdr:nvSpPr>
      <xdr:spPr>
        <a:xfrm>
          <a:off x="13643914" y="347533"/>
          <a:ext cx="1287162" cy="656452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aseline="0">
              <a:solidFill>
                <a:sysClr val="windowText" lastClr="000000"/>
              </a:solidFill>
            </a:rPr>
            <a:t>A= AUSENTE</a:t>
          </a:r>
        </a:p>
        <a:p>
          <a:pPr algn="ctr"/>
          <a:r>
            <a:rPr lang="en-US" sz="1200" baseline="0">
              <a:solidFill>
                <a:srgbClr val="FF0000"/>
              </a:solidFill>
            </a:rPr>
            <a:t>(A, 2A, 3A, ETC)</a:t>
          </a:r>
          <a:endParaRPr lang="en-US" sz="1400">
            <a:solidFill>
              <a:srgbClr val="FF0000"/>
            </a:solidFill>
          </a:endParaRPr>
        </a:p>
      </xdr:txBody>
    </xdr:sp>
    <xdr:clientData/>
  </xdr:twoCellAnchor>
  <xdr:twoCellAnchor>
    <xdr:from>
      <xdr:col>34</xdr:col>
      <xdr:colOff>244555</xdr:colOff>
      <xdr:row>2</xdr:row>
      <xdr:rowOff>90101</xdr:rowOff>
    </xdr:from>
    <xdr:to>
      <xdr:col>39</xdr:col>
      <xdr:colOff>231685</xdr:colOff>
      <xdr:row>3</xdr:row>
      <xdr:rowOff>399019</xdr:rowOff>
    </xdr:to>
    <xdr:sp macro="" textlink="">
      <xdr:nvSpPr>
        <xdr:cNvPr id="9" name="Rectángulo redondeado 8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/>
      </xdr:nvSpPr>
      <xdr:spPr>
        <a:xfrm>
          <a:off x="16398440" y="334662"/>
          <a:ext cx="1531725" cy="656452"/>
        </a:xfrm>
        <a:prstGeom prst="roundRect">
          <a:avLst/>
        </a:prstGeom>
        <a:solidFill>
          <a:schemeClr val="bg2">
            <a:lumMod val="9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aseline="0">
              <a:solidFill>
                <a:sysClr val="windowText" lastClr="000000"/>
              </a:solidFill>
            </a:rPr>
            <a:t>  J = JUSTIFICADO</a:t>
          </a:r>
          <a:endParaRPr 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76410</xdr:colOff>
      <xdr:row>4</xdr:row>
      <xdr:rowOff>13606</xdr:rowOff>
    </xdr:from>
    <xdr:to>
      <xdr:col>1</xdr:col>
      <xdr:colOff>666751</xdr:colOff>
      <xdr:row>5</xdr:row>
      <xdr:rowOff>150034</xdr:rowOff>
    </xdr:to>
    <xdr:sp macro="" textlink="">
      <xdr:nvSpPr>
        <xdr:cNvPr id="10" name="Flecha derecha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/>
      </xdr:nvSpPr>
      <xdr:spPr>
        <a:xfrm rot="10800000">
          <a:off x="334946" y="1333499"/>
          <a:ext cx="590341" cy="503821"/>
        </a:xfrm>
        <a:prstGeom prst="rightArrow">
          <a:avLst/>
        </a:prstGeom>
        <a:solidFill>
          <a:srgbClr val="00CC66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176891</xdr:colOff>
      <xdr:row>0</xdr:row>
      <xdr:rowOff>95249</xdr:rowOff>
    </xdr:from>
    <xdr:to>
      <xdr:col>2</xdr:col>
      <xdr:colOff>57682</xdr:colOff>
      <xdr:row>3</xdr:row>
      <xdr:rowOff>384255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GrpSpPr/>
      </xdr:nvGrpSpPr>
      <xdr:grpSpPr>
        <a:xfrm>
          <a:off x="176891" y="95249"/>
          <a:ext cx="1078220" cy="1037399"/>
          <a:chOff x="2218376" y="3273620"/>
          <a:chExt cx="1078220" cy="1078220"/>
        </a:xfrm>
        <a:scene3d>
          <a:camera prst="orthographicFront"/>
          <a:lightRig rig="threePt" dir="t">
            <a:rot lat="0" lon="0" rev="7500000"/>
          </a:lightRig>
        </a:scene3d>
      </xdr:grpSpPr>
      <xdr:sp macro="" textlink="">
        <xdr:nvSpPr>
          <xdr:cNvPr id="13" name="Elipse 1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700-00000D000000}"/>
              </a:ext>
            </a:extLst>
          </xdr:cNvPr>
          <xdr:cNvSpPr/>
        </xdr:nvSpPr>
        <xdr:spPr>
          <a:xfrm>
            <a:off x="2218376" y="3273620"/>
            <a:ext cx="1078220" cy="1078220"/>
          </a:xfrm>
          <a:prstGeom prst="ellipse">
            <a:avLst/>
          </a:prstGeom>
          <a:sp3d prstMaterial="plastic">
            <a:bevelT w="127000" h="25400" prst="relaxedInset"/>
          </a:sp3d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5">
              <a:hueOff val="-4902230"/>
              <a:satOff val="-6819"/>
              <a:lumOff val="-2615"/>
              <a:alphaOff val="0"/>
            </a:schemeClr>
          </a:fillRef>
          <a:effectRef idx="2">
            <a:schemeClr val="accent5">
              <a:hueOff val="-4902230"/>
              <a:satOff val="-6819"/>
              <a:lumOff val="-2615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4" name="Elipse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700-00000E000000}"/>
              </a:ext>
            </a:extLst>
          </xdr:cNvPr>
          <xdr:cNvSpPr/>
        </xdr:nvSpPr>
        <xdr:spPr>
          <a:xfrm>
            <a:off x="2376278" y="3431522"/>
            <a:ext cx="762416" cy="762416"/>
          </a:xfrm>
          <a:prstGeom prst="rect">
            <a:avLst/>
          </a:prstGeom>
          <a:sp3d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20320" tIns="20320" rIns="20320" bIns="20320" numCol="1" spcCol="1270" anchor="ctr" anchorCtr="0">
            <a:noAutofit/>
          </a:bodyPr>
          <a:lstStyle/>
          <a:p>
            <a:pPr lvl="0" algn="ctr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600" kern="1200">
                <a:latin typeface="Bahnschrift Condensed" panose="020B0502040204020203" pitchFamily="34" charset="0"/>
              </a:rPr>
              <a:t>Asistencia</a:t>
            </a:r>
          </a:p>
        </xdr:txBody>
      </xdr:sp>
    </xdr:grpSp>
    <xdr:clientData/>
  </xdr:twoCellAnchor>
  <xdr:twoCellAnchor>
    <xdr:from>
      <xdr:col>7</xdr:col>
      <xdr:colOff>394607</xdr:colOff>
      <xdr:row>3</xdr:row>
      <xdr:rowOff>27214</xdr:rowOff>
    </xdr:from>
    <xdr:to>
      <xdr:col>8</xdr:col>
      <xdr:colOff>795262</xdr:colOff>
      <xdr:row>4</xdr:row>
      <xdr:rowOff>229024</xdr:rowOff>
    </xdr:to>
    <xdr:sp macro="" textlink="">
      <xdr:nvSpPr>
        <xdr:cNvPr id="15" name="Flecha derecha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700-00000F000000}"/>
            </a:ext>
          </a:extLst>
        </xdr:cNvPr>
        <xdr:cNvSpPr/>
      </xdr:nvSpPr>
      <xdr:spPr>
        <a:xfrm>
          <a:off x="6463393" y="775607"/>
          <a:ext cx="1598083" cy="773310"/>
        </a:xfrm>
        <a:prstGeom prst="rightArrow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Menú</a:t>
          </a:r>
          <a:r>
            <a:rPr lang="en-US" sz="1400" b="0" baseline="0"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 Principal</a:t>
          </a:r>
          <a:endParaRPr lang="en-US" sz="1400" b="0">
            <a:latin typeface="Arial Unicode MS" panose="020B0604020202020204" pitchFamily="34" charset="-128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308914</xdr:colOff>
      <xdr:row>1</xdr:row>
      <xdr:rowOff>128717</xdr:rowOff>
    </xdr:from>
    <xdr:to>
      <xdr:col>21</xdr:col>
      <xdr:colOff>38612</xdr:colOff>
      <xdr:row>2</xdr:row>
      <xdr:rowOff>424764</xdr:rowOff>
    </xdr:to>
    <xdr:sp macro="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0624489" y="376367"/>
          <a:ext cx="1615648" cy="638947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ESCRIBA</a:t>
          </a:r>
          <a:r>
            <a:rPr lang="en-US" sz="1400" baseline="0">
              <a:solidFill>
                <a:sysClr val="windowText" lastClr="000000"/>
              </a:solidFill>
            </a:rPr>
            <a:t> LA FECHA DE LA LECCIÓN</a:t>
          </a:r>
          <a:endParaRPr 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21</xdr:col>
      <xdr:colOff>128712</xdr:colOff>
      <xdr:row>1</xdr:row>
      <xdr:rowOff>115845</xdr:rowOff>
    </xdr:from>
    <xdr:to>
      <xdr:col>25</xdr:col>
      <xdr:colOff>180198</xdr:colOff>
      <xdr:row>2</xdr:row>
      <xdr:rowOff>424763</xdr:rowOff>
    </xdr:to>
    <xdr:sp macro="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12330237" y="363495"/>
          <a:ext cx="1308786" cy="651818"/>
        </a:xfrm>
        <a:prstGeom prst="roundRect">
          <a:avLst/>
        </a:prstGeom>
        <a:solidFill>
          <a:schemeClr val="bg2">
            <a:lumMod val="9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aseline="0">
              <a:solidFill>
                <a:sysClr val="windowText" lastClr="000000"/>
              </a:solidFill>
            </a:rPr>
            <a:t>P  =PRESENTE</a:t>
          </a:r>
        </a:p>
        <a:p>
          <a:pPr algn="ctr"/>
          <a:r>
            <a:rPr lang="en-US" sz="1200" baseline="0">
              <a:solidFill>
                <a:srgbClr val="FF0000"/>
              </a:solidFill>
            </a:rPr>
            <a:t>NO OBLIGADO</a:t>
          </a:r>
          <a:endParaRPr lang="en-US" sz="1200">
            <a:solidFill>
              <a:srgbClr val="FF0000"/>
            </a:solidFill>
          </a:endParaRPr>
        </a:p>
      </xdr:txBody>
    </xdr:sp>
    <xdr:clientData/>
  </xdr:twoCellAnchor>
  <xdr:twoCellAnchor>
    <xdr:from>
      <xdr:col>30</xdr:col>
      <xdr:colOff>115842</xdr:colOff>
      <xdr:row>1</xdr:row>
      <xdr:rowOff>102974</xdr:rowOff>
    </xdr:from>
    <xdr:to>
      <xdr:col>34</xdr:col>
      <xdr:colOff>167328</xdr:colOff>
      <xdr:row>2</xdr:row>
      <xdr:rowOff>411892</xdr:rowOff>
    </xdr:to>
    <xdr:sp macro="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/>
      </xdr:nvSpPr>
      <xdr:spPr>
        <a:xfrm>
          <a:off x="15146292" y="350624"/>
          <a:ext cx="1308786" cy="651818"/>
        </a:xfrm>
        <a:prstGeom prst="roundRect">
          <a:avLst/>
        </a:prstGeom>
        <a:solidFill>
          <a:schemeClr val="bg2">
            <a:lumMod val="9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aseline="0">
              <a:solidFill>
                <a:sysClr val="windowText" lastClr="000000"/>
              </a:solidFill>
            </a:rPr>
            <a:t>  T =TARDÍA</a:t>
          </a:r>
          <a:endParaRPr 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25</xdr:col>
      <xdr:colOff>270299</xdr:colOff>
      <xdr:row>1</xdr:row>
      <xdr:rowOff>102972</xdr:rowOff>
    </xdr:from>
    <xdr:to>
      <xdr:col>30</xdr:col>
      <xdr:colOff>12867</xdr:colOff>
      <xdr:row>2</xdr:row>
      <xdr:rowOff>411890</xdr:rowOff>
    </xdr:to>
    <xdr:sp macro="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SpPr/>
      </xdr:nvSpPr>
      <xdr:spPr>
        <a:xfrm>
          <a:off x="13729124" y="350622"/>
          <a:ext cx="1314193" cy="651818"/>
        </a:xfrm>
        <a:prstGeom prst="roundRect">
          <a:avLst/>
        </a:prstGeom>
        <a:solidFill>
          <a:schemeClr val="bg2">
            <a:lumMod val="9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aseline="0">
              <a:solidFill>
                <a:sysClr val="windowText" lastClr="000000"/>
              </a:solidFill>
            </a:rPr>
            <a:t>A= AUSENTE</a:t>
          </a:r>
        </a:p>
        <a:p>
          <a:pPr algn="ctr"/>
          <a:r>
            <a:rPr lang="en-US" sz="1200" baseline="0">
              <a:solidFill>
                <a:srgbClr val="FF0000"/>
              </a:solidFill>
            </a:rPr>
            <a:t>(A, 2A, 3A, ETC)</a:t>
          </a:r>
          <a:endParaRPr lang="en-US" sz="1400">
            <a:solidFill>
              <a:srgbClr val="FF0000"/>
            </a:solidFill>
          </a:endParaRPr>
        </a:p>
      </xdr:txBody>
    </xdr:sp>
    <xdr:clientData/>
  </xdr:twoCellAnchor>
  <xdr:twoCellAnchor>
    <xdr:from>
      <xdr:col>34</xdr:col>
      <xdr:colOff>244555</xdr:colOff>
      <xdr:row>1</xdr:row>
      <xdr:rowOff>90101</xdr:rowOff>
    </xdr:from>
    <xdr:to>
      <xdr:col>39</xdr:col>
      <xdr:colOff>231685</xdr:colOff>
      <xdr:row>2</xdr:row>
      <xdr:rowOff>399019</xdr:rowOff>
    </xdr:to>
    <xdr:sp macro="" textlink="">
      <xdr:nvSpPr>
        <xdr:cNvPr id="8" name="Rectángulo redondeado 7"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SpPr/>
      </xdr:nvSpPr>
      <xdr:spPr>
        <a:xfrm>
          <a:off x="16532305" y="337751"/>
          <a:ext cx="1558755" cy="651818"/>
        </a:xfrm>
        <a:prstGeom prst="roundRect">
          <a:avLst/>
        </a:prstGeom>
        <a:solidFill>
          <a:schemeClr val="bg2">
            <a:lumMod val="9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aseline="0">
              <a:solidFill>
                <a:sysClr val="windowText" lastClr="000000"/>
              </a:solidFill>
            </a:rPr>
            <a:t>  J = JUSTIFICADO</a:t>
          </a:r>
          <a:endParaRPr 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76410</xdr:colOff>
      <xdr:row>3</xdr:row>
      <xdr:rowOff>13606</xdr:rowOff>
    </xdr:from>
    <xdr:to>
      <xdr:col>1</xdr:col>
      <xdr:colOff>666751</xdr:colOff>
      <xdr:row>4</xdr:row>
      <xdr:rowOff>150034</xdr:rowOff>
    </xdr:to>
    <xdr:sp macro="" textlink="">
      <xdr:nvSpPr>
        <xdr:cNvPr id="10" name="Flecha derecha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A000000}"/>
            </a:ext>
          </a:extLst>
        </xdr:cNvPr>
        <xdr:cNvSpPr/>
      </xdr:nvSpPr>
      <xdr:spPr>
        <a:xfrm rot="10800000">
          <a:off x="333585" y="1328056"/>
          <a:ext cx="590341" cy="507903"/>
        </a:xfrm>
        <a:prstGeom prst="rightArrow">
          <a:avLst/>
        </a:prstGeom>
        <a:solidFill>
          <a:srgbClr val="00CC66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176891</xdr:colOff>
      <xdr:row>0</xdr:row>
      <xdr:rowOff>95249</xdr:rowOff>
    </xdr:from>
    <xdr:to>
      <xdr:col>2</xdr:col>
      <xdr:colOff>57682</xdr:colOff>
      <xdr:row>2</xdr:row>
      <xdr:rowOff>384255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00000000-0008-0000-1800-00000B000000}"/>
            </a:ext>
          </a:extLst>
        </xdr:cNvPr>
        <xdr:cNvGrpSpPr/>
      </xdr:nvGrpSpPr>
      <xdr:grpSpPr>
        <a:xfrm>
          <a:off x="176891" y="95249"/>
          <a:ext cx="1071416" cy="975366"/>
          <a:chOff x="2218376" y="3273620"/>
          <a:chExt cx="1078220" cy="1078220"/>
        </a:xfrm>
        <a:scene3d>
          <a:camera prst="orthographicFront"/>
          <a:lightRig rig="threePt" dir="t">
            <a:rot lat="0" lon="0" rev="7500000"/>
          </a:lightRig>
        </a:scene3d>
      </xdr:grpSpPr>
      <xdr:sp macro="" textlink="">
        <xdr:nvSpPr>
          <xdr:cNvPr id="12" name="Elipse 1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800-00000C000000}"/>
              </a:ext>
            </a:extLst>
          </xdr:cNvPr>
          <xdr:cNvSpPr/>
        </xdr:nvSpPr>
        <xdr:spPr>
          <a:xfrm>
            <a:off x="2218376" y="3273620"/>
            <a:ext cx="1078220" cy="1078220"/>
          </a:xfrm>
          <a:prstGeom prst="ellipse">
            <a:avLst/>
          </a:prstGeom>
          <a:sp3d prstMaterial="plastic">
            <a:bevelT w="127000" h="25400" prst="relaxedInset"/>
          </a:sp3d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5">
              <a:hueOff val="-4902230"/>
              <a:satOff val="-6819"/>
              <a:lumOff val="-2615"/>
              <a:alphaOff val="0"/>
            </a:schemeClr>
          </a:fillRef>
          <a:effectRef idx="2">
            <a:schemeClr val="accent5">
              <a:hueOff val="-4902230"/>
              <a:satOff val="-6819"/>
              <a:lumOff val="-2615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3" name="Elipse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800-00000D000000}"/>
              </a:ext>
            </a:extLst>
          </xdr:cNvPr>
          <xdr:cNvSpPr/>
        </xdr:nvSpPr>
        <xdr:spPr>
          <a:xfrm>
            <a:off x="2376278" y="3431522"/>
            <a:ext cx="762416" cy="762416"/>
          </a:xfrm>
          <a:prstGeom prst="rect">
            <a:avLst/>
          </a:prstGeom>
          <a:sp3d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20320" tIns="20320" rIns="20320" bIns="20320" numCol="1" spcCol="1270" anchor="ctr" anchorCtr="0">
            <a:noAutofit/>
          </a:bodyPr>
          <a:lstStyle/>
          <a:p>
            <a:pPr lvl="0" algn="ctr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600" kern="1200">
                <a:latin typeface="Bahnschrift Condensed" panose="020B0502040204020203" pitchFamily="34" charset="0"/>
              </a:rPr>
              <a:t>Asistencia</a:t>
            </a:r>
          </a:p>
        </xdr:txBody>
      </xdr:sp>
    </xdr:grpSp>
    <xdr:clientData/>
  </xdr:twoCellAnchor>
  <xdr:twoCellAnchor>
    <xdr:from>
      <xdr:col>7</xdr:col>
      <xdr:colOff>394607</xdr:colOff>
      <xdr:row>2</xdr:row>
      <xdr:rowOff>27214</xdr:rowOff>
    </xdr:from>
    <xdr:to>
      <xdr:col>8</xdr:col>
      <xdr:colOff>795262</xdr:colOff>
      <xdr:row>3</xdr:row>
      <xdr:rowOff>229024</xdr:rowOff>
    </xdr:to>
    <xdr:sp macro="" textlink="">
      <xdr:nvSpPr>
        <xdr:cNvPr id="14" name="Flecha derecha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0E000000}"/>
            </a:ext>
          </a:extLst>
        </xdr:cNvPr>
        <xdr:cNvSpPr/>
      </xdr:nvSpPr>
      <xdr:spPr>
        <a:xfrm>
          <a:off x="6471557" y="770164"/>
          <a:ext cx="1600805" cy="773310"/>
        </a:xfrm>
        <a:prstGeom prst="rightArrow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Menú</a:t>
          </a:r>
          <a:r>
            <a:rPr lang="en-US" sz="1400" b="0" baseline="0"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 Principal</a:t>
          </a:r>
          <a:endParaRPr lang="en-US" sz="1400" b="0">
            <a:latin typeface="Arial Unicode MS" panose="020B0604020202020204" pitchFamily="34" charset="-128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  <xdr:twoCellAnchor>
    <xdr:from>
      <xdr:col>9</xdr:col>
      <xdr:colOff>76667</xdr:colOff>
      <xdr:row>1</xdr:row>
      <xdr:rowOff>141342</xdr:rowOff>
    </xdr:from>
    <xdr:to>
      <xdr:col>15</xdr:col>
      <xdr:colOff>244000</xdr:colOff>
      <xdr:row>2</xdr:row>
      <xdr:rowOff>437389</xdr:rowOff>
    </xdr:to>
    <xdr:sp macro="" textlink="">
      <xdr:nvSpPr>
        <xdr:cNvPr id="15" name="Rectángulo redondeado 14">
          <a:extLst>
            <a:ext uri="{FF2B5EF4-FFF2-40B4-BE49-F238E27FC236}">
              <a16:creationId xmlns:a16="http://schemas.microsoft.com/office/drawing/2014/main" id="{00000000-0008-0000-1800-00000F000000}"/>
            </a:ext>
          </a:extLst>
        </xdr:cNvPr>
        <xdr:cNvSpPr/>
      </xdr:nvSpPr>
      <xdr:spPr>
        <a:xfrm>
          <a:off x="8537108" y="393474"/>
          <a:ext cx="2002296" cy="730275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n-lt"/>
            </a:rPr>
            <a:t>ESCRIBA LA CANTIDAD DE LECCIONES</a:t>
          </a:r>
          <a:r>
            <a:rPr lang="en-US" sz="1200" b="1" baseline="0">
              <a:solidFill>
                <a:sysClr val="windowText" lastClr="000000"/>
              </a:solidFill>
              <a:latin typeface="+mn-lt"/>
            </a:rPr>
            <a:t> POR DÍA</a:t>
          </a:r>
          <a:endParaRPr lang="en-US" sz="12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15</xdr:col>
      <xdr:colOff>300540</xdr:colOff>
      <xdr:row>1</xdr:row>
      <xdr:rowOff>113045</xdr:rowOff>
    </xdr:from>
    <xdr:to>
      <xdr:col>21</xdr:col>
      <xdr:colOff>25005</xdr:colOff>
      <xdr:row>2</xdr:row>
      <xdr:rowOff>435429</xdr:rowOff>
    </xdr:to>
    <xdr:sp macro="" textlink="">
      <xdr:nvSpPr>
        <xdr:cNvPr id="16" name="Rectángulo redondeado 15">
          <a:extLst>
            <a:ext uri="{FF2B5EF4-FFF2-40B4-BE49-F238E27FC236}">
              <a16:creationId xmlns:a16="http://schemas.microsoft.com/office/drawing/2014/main" id="{00000000-0008-0000-1800-000010000000}"/>
            </a:ext>
          </a:extLst>
        </xdr:cNvPr>
        <xdr:cNvSpPr/>
      </xdr:nvSpPr>
      <xdr:spPr>
        <a:xfrm>
          <a:off x="10558965" y="560720"/>
          <a:ext cx="1610415" cy="617659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n-lt"/>
            </a:rPr>
            <a:t>ESCRIBA</a:t>
          </a:r>
          <a:r>
            <a:rPr lang="en-US" sz="1200" b="1" baseline="0">
              <a:solidFill>
                <a:sysClr val="windowText" lastClr="000000"/>
              </a:solidFill>
              <a:latin typeface="+mn-lt"/>
            </a:rPr>
            <a:t> LA FECHA DE LA LECCIÓN</a:t>
          </a:r>
          <a:endParaRPr lang="en-US" sz="12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21</xdr:col>
      <xdr:colOff>128712</xdr:colOff>
      <xdr:row>1</xdr:row>
      <xdr:rowOff>115845</xdr:rowOff>
    </xdr:from>
    <xdr:to>
      <xdr:col>25</xdr:col>
      <xdr:colOff>180198</xdr:colOff>
      <xdr:row>2</xdr:row>
      <xdr:rowOff>424763</xdr:rowOff>
    </xdr:to>
    <xdr:sp macro="" textlink="">
      <xdr:nvSpPr>
        <xdr:cNvPr id="17" name="Rectángulo redondeado 16">
          <a:extLst>
            <a:ext uri="{FF2B5EF4-FFF2-40B4-BE49-F238E27FC236}">
              <a16:creationId xmlns:a16="http://schemas.microsoft.com/office/drawing/2014/main" id="{00000000-0008-0000-1800-000011000000}"/>
            </a:ext>
          </a:extLst>
        </xdr:cNvPr>
        <xdr:cNvSpPr/>
      </xdr:nvSpPr>
      <xdr:spPr>
        <a:xfrm>
          <a:off x="12273087" y="563520"/>
          <a:ext cx="1308786" cy="604193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aseline="0">
              <a:solidFill>
                <a:sysClr val="windowText" lastClr="000000"/>
              </a:solidFill>
            </a:rPr>
            <a:t>P  =PRESENTE</a:t>
          </a:r>
        </a:p>
        <a:p>
          <a:pPr algn="ctr"/>
          <a:r>
            <a:rPr lang="en-US" sz="1200" baseline="0">
              <a:solidFill>
                <a:srgbClr val="FF0000"/>
              </a:solidFill>
            </a:rPr>
            <a:t>NO OBLIGADO</a:t>
          </a:r>
          <a:endParaRPr lang="en-US" sz="1200">
            <a:solidFill>
              <a:srgbClr val="FF0000"/>
            </a:solidFill>
          </a:endParaRPr>
        </a:p>
      </xdr:txBody>
    </xdr:sp>
    <xdr:clientData/>
  </xdr:twoCellAnchor>
  <xdr:twoCellAnchor>
    <xdr:from>
      <xdr:col>30</xdr:col>
      <xdr:colOff>115842</xdr:colOff>
      <xdr:row>1</xdr:row>
      <xdr:rowOff>102974</xdr:rowOff>
    </xdr:from>
    <xdr:to>
      <xdr:col>34</xdr:col>
      <xdr:colOff>167328</xdr:colOff>
      <xdr:row>2</xdr:row>
      <xdr:rowOff>411892</xdr:rowOff>
    </xdr:to>
    <xdr:sp macro="" textlink="">
      <xdr:nvSpPr>
        <xdr:cNvPr id="18" name="Rectángulo redondeado 17">
          <a:extLst>
            <a:ext uri="{FF2B5EF4-FFF2-40B4-BE49-F238E27FC236}">
              <a16:creationId xmlns:a16="http://schemas.microsoft.com/office/drawing/2014/main" id="{00000000-0008-0000-1800-000012000000}"/>
            </a:ext>
          </a:extLst>
        </xdr:cNvPr>
        <xdr:cNvSpPr/>
      </xdr:nvSpPr>
      <xdr:spPr>
        <a:xfrm>
          <a:off x="15089142" y="550649"/>
          <a:ext cx="1308786" cy="604193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aseline="0">
              <a:solidFill>
                <a:sysClr val="windowText" lastClr="000000"/>
              </a:solidFill>
            </a:rPr>
            <a:t>  T =TARDÍA</a:t>
          </a:r>
          <a:endParaRPr 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25</xdr:col>
      <xdr:colOff>270299</xdr:colOff>
      <xdr:row>1</xdr:row>
      <xdr:rowOff>102972</xdr:rowOff>
    </xdr:from>
    <xdr:to>
      <xdr:col>30</xdr:col>
      <xdr:colOff>12867</xdr:colOff>
      <xdr:row>2</xdr:row>
      <xdr:rowOff>411890</xdr:rowOff>
    </xdr:to>
    <xdr:sp macro="" textlink="">
      <xdr:nvSpPr>
        <xdr:cNvPr id="19" name="Rectángulo redondeado 18">
          <a:extLst>
            <a:ext uri="{FF2B5EF4-FFF2-40B4-BE49-F238E27FC236}">
              <a16:creationId xmlns:a16="http://schemas.microsoft.com/office/drawing/2014/main" id="{00000000-0008-0000-1800-000013000000}"/>
            </a:ext>
          </a:extLst>
        </xdr:cNvPr>
        <xdr:cNvSpPr/>
      </xdr:nvSpPr>
      <xdr:spPr>
        <a:xfrm>
          <a:off x="13671974" y="550647"/>
          <a:ext cx="1314193" cy="604193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aseline="0">
              <a:solidFill>
                <a:sysClr val="windowText" lastClr="000000"/>
              </a:solidFill>
            </a:rPr>
            <a:t>A= AUSENTE</a:t>
          </a:r>
        </a:p>
        <a:p>
          <a:pPr algn="ctr"/>
          <a:r>
            <a:rPr lang="en-US" sz="1200" baseline="0">
              <a:solidFill>
                <a:srgbClr val="FF0000"/>
              </a:solidFill>
            </a:rPr>
            <a:t>(A, 2A, 3A, ETC)</a:t>
          </a:r>
          <a:endParaRPr lang="en-US" sz="1400">
            <a:solidFill>
              <a:srgbClr val="FF0000"/>
            </a:solidFill>
          </a:endParaRPr>
        </a:p>
      </xdr:txBody>
    </xdr:sp>
    <xdr:clientData/>
  </xdr:twoCellAnchor>
  <xdr:twoCellAnchor>
    <xdr:from>
      <xdr:col>34</xdr:col>
      <xdr:colOff>244555</xdr:colOff>
      <xdr:row>1</xdr:row>
      <xdr:rowOff>90101</xdr:rowOff>
    </xdr:from>
    <xdr:to>
      <xdr:col>39</xdr:col>
      <xdr:colOff>231685</xdr:colOff>
      <xdr:row>2</xdr:row>
      <xdr:rowOff>399019</xdr:rowOff>
    </xdr:to>
    <xdr:sp macro="" textlink="">
      <xdr:nvSpPr>
        <xdr:cNvPr id="20" name="Rectángulo redondeado 19">
          <a:extLst>
            <a:ext uri="{FF2B5EF4-FFF2-40B4-BE49-F238E27FC236}">
              <a16:creationId xmlns:a16="http://schemas.microsoft.com/office/drawing/2014/main" id="{00000000-0008-0000-1800-000014000000}"/>
            </a:ext>
          </a:extLst>
        </xdr:cNvPr>
        <xdr:cNvSpPr/>
      </xdr:nvSpPr>
      <xdr:spPr>
        <a:xfrm>
          <a:off x="16475155" y="537776"/>
          <a:ext cx="1558755" cy="604193"/>
        </a:xfrm>
        <a:prstGeom prst="roundRect">
          <a:avLst/>
        </a:prstGeom>
        <a:solidFill>
          <a:schemeClr val="bg2">
            <a:lumMod val="9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aseline="0">
              <a:solidFill>
                <a:sysClr val="windowText" lastClr="000000"/>
              </a:solidFill>
            </a:rPr>
            <a:t>  J = JUSTIFICADO</a:t>
          </a:r>
          <a:endParaRPr 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476252</xdr:colOff>
      <xdr:row>4</xdr:row>
      <xdr:rowOff>114301</xdr:rowOff>
    </xdr:from>
    <xdr:to>
      <xdr:col>8</xdr:col>
      <xdr:colOff>466725</xdr:colOff>
      <xdr:row>7</xdr:row>
      <xdr:rowOff>57150</xdr:rowOff>
    </xdr:to>
    <xdr:sp macro="[0]!Enviar_Rango3_a_Destinatario_de_correo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5924552" y="1000126"/>
          <a:ext cx="1409698" cy="590549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s-CR" sz="1200" b="0" cap="none" spc="0">
            <a:ln w="0"/>
            <a:solidFill>
              <a:schemeClr val="bg1"/>
            </a:solidFill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6</xdr:col>
      <xdr:colOff>514350</xdr:colOff>
      <xdr:row>7</xdr:row>
      <xdr:rowOff>114300</xdr:rowOff>
    </xdr:from>
    <xdr:to>
      <xdr:col>7</xdr:col>
      <xdr:colOff>819150</xdr:colOff>
      <xdr:row>10</xdr:row>
      <xdr:rowOff>142875</xdr:rowOff>
    </xdr:to>
    <xdr:pic macro="[0]!PDFActiveSheet">
      <xdr:nvPicPr>
        <xdr:cNvPr id="3" name="Imagen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2650" y="1647825"/>
          <a:ext cx="828675" cy="828675"/>
        </a:xfrm>
        <a:prstGeom prst="rect">
          <a:avLst/>
        </a:prstGeom>
      </xdr:spPr>
    </xdr:pic>
    <xdr:clientData/>
  </xdr:twoCellAnchor>
  <xdr:twoCellAnchor>
    <xdr:from>
      <xdr:col>4</xdr:col>
      <xdr:colOff>257175</xdr:colOff>
      <xdr:row>7</xdr:row>
      <xdr:rowOff>1</xdr:rowOff>
    </xdr:from>
    <xdr:to>
      <xdr:col>5</xdr:col>
      <xdr:colOff>885825</xdr:colOff>
      <xdr:row>10</xdr:row>
      <xdr:rowOff>142875</xdr:rowOff>
    </xdr:to>
    <xdr:sp macro="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/>
      </xdr:nvSpPr>
      <xdr:spPr>
        <a:xfrm>
          <a:off x="3829050" y="1533526"/>
          <a:ext cx="1419225" cy="942974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atin typeface="Arial Rounded MT Bold" panose="020F0704030504030204" pitchFamily="34" charset="0"/>
            </a:rPr>
            <a:t>INFORMACIÓN</a:t>
          </a:r>
          <a:r>
            <a:rPr lang="en-US" sz="1100"/>
            <a:t> </a:t>
          </a:r>
        </a:p>
        <a:p>
          <a:pPr algn="ctr"/>
          <a:endParaRPr lang="en-US" sz="400"/>
        </a:p>
        <a:p>
          <a:pPr algn="ctr"/>
          <a:r>
            <a:rPr lang="en-US" sz="1100"/>
            <a:t>T= TARDÍA</a:t>
          </a:r>
        </a:p>
        <a:p>
          <a:pPr algn="ctr"/>
          <a:r>
            <a:rPr lang="en-US" sz="1100"/>
            <a:t>A=</a:t>
          </a:r>
          <a:r>
            <a:rPr lang="en-US" sz="1100" baseline="0"/>
            <a:t> AUSENTE</a:t>
          </a:r>
        </a:p>
        <a:p>
          <a:pPr algn="ctr"/>
          <a:r>
            <a:rPr lang="en-US" sz="1100" baseline="0"/>
            <a:t>J= JUSTIFICADO</a:t>
          </a:r>
        </a:p>
        <a:p>
          <a:pPr algn="ctr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5</xdr:row>
          <xdr:rowOff>238125</xdr:rowOff>
        </xdr:from>
        <xdr:to>
          <xdr:col>10</xdr:col>
          <xdr:colOff>314325</xdr:colOff>
          <xdr:row>7</xdr:row>
          <xdr:rowOff>0</xdr:rowOff>
        </xdr:to>
        <xdr:sp macro="" textlink="">
          <xdr:nvSpPr>
            <xdr:cNvPr id="7169" name="Check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9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6</xdr:row>
          <xdr:rowOff>238125</xdr:rowOff>
        </xdr:from>
        <xdr:to>
          <xdr:col>10</xdr:col>
          <xdr:colOff>314325</xdr:colOff>
          <xdr:row>7</xdr:row>
          <xdr:rowOff>219075</xdr:rowOff>
        </xdr:to>
        <xdr:sp macro="" textlink="">
          <xdr:nvSpPr>
            <xdr:cNvPr id="7170" name="Check Box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9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3</xdr:row>
          <xdr:rowOff>0</xdr:rowOff>
        </xdr:from>
        <xdr:to>
          <xdr:col>10</xdr:col>
          <xdr:colOff>314325</xdr:colOff>
          <xdr:row>4</xdr:row>
          <xdr:rowOff>9525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19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3</xdr:row>
          <xdr:rowOff>238125</xdr:rowOff>
        </xdr:from>
        <xdr:to>
          <xdr:col>10</xdr:col>
          <xdr:colOff>314325</xdr:colOff>
          <xdr:row>4</xdr:row>
          <xdr:rowOff>219075</xdr:rowOff>
        </xdr:to>
        <xdr:sp macro="" textlink="">
          <xdr:nvSpPr>
            <xdr:cNvPr id="7172" name="Check Box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19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4</xdr:row>
          <xdr:rowOff>238125</xdr:rowOff>
        </xdr:from>
        <xdr:to>
          <xdr:col>10</xdr:col>
          <xdr:colOff>314325</xdr:colOff>
          <xdr:row>6</xdr:row>
          <xdr:rowOff>19050</xdr:rowOff>
        </xdr:to>
        <xdr:sp macro="" textlink="">
          <xdr:nvSpPr>
            <xdr:cNvPr id="7173" name="Check Box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19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7</xdr:row>
          <xdr:rowOff>238125</xdr:rowOff>
        </xdr:from>
        <xdr:to>
          <xdr:col>10</xdr:col>
          <xdr:colOff>314325</xdr:colOff>
          <xdr:row>8</xdr:row>
          <xdr:rowOff>190500</xdr:rowOff>
        </xdr:to>
        <xdr:sp macro="" textlink="">
          <xdr:nvSpPr>
            <xdr:cNvPr id="7174" name="Check Box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19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47624</xdr:colOff>
      <xdr:row>1</xdr:row>
      <xdr:rowOff>57150</xdr:rowOff>
    </xdr:from>
    <xdr:to>
      <xdr:col>14</xdr:col>
      <xdr:colOff>38100</xdr:colOff>
      <xdr:row>8</xdr:row>
      <xdr:rowOff>219075</xdr:rowOff>
    </xdr:to>
    <xdr:sp macro="" textlink="">
      <xdr:nvSpPr>
        <xdr:cNvPr id="12" name="Llamada de flecha a la izquierda 11">
          <a:extLst>
            <a:ext uri="{FF2B5EF4-FFF2-40B4-BE49-F238E27FC236}">
              <a16:creationId xmlns:a16="http://schemas.microsoft.com/office/drawing/2014/main" id="{00000000-0008-0000-1900-00000C000000}"/>
            </a:ext>
          </a:extLst>
        </xdr:cNvPr>
        <xdr:cNvSpPr/>
      </xdr:nvSpPr>
      <xdr:spPr>
        <a:xfrm>
          <a:off x="9305924" y="257175"/>
          <a:ext cx="2276476" cy="1762125"/>
        </a:xfrm>
        <a:prstGeom prst="leftArrowCallou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Ink Free" panose="03080402000500000000" pitchFamily="66" charset="0"/>
            </a:rPr>
            <a:t>SELECCIONE LA CASILLA</a:t>
          </a:r>
          <a:r>
            <a:rPr lang="en-US" sz="1100" b="1" baseline="0">
              <a:solidFill>
                <a:sysClr val="windowText" lastClr="000000"/>
              </a:solidFill>
              <a:latin typeface="Ink Free" panose="03080402000500000000" pitchFamily="66" charset="0"/>
            </a:rPr>
            <a:t> DE VERIFICAR, CADA VEZ QUE REALICE EL ENVÍO DE SUS REPORTES, ESTO PERMITE EL CONTROL DE SU TRABAJO.</a:t>
          </a:r>
          <a:endParaRPr lang="en-US" sz="1100" b="1">
            <a:solidFill>
              <a:sysClr val="windowText" lastClr="000000"/>
            </a:solidFill>
            <a:latin typeface="Ink Free" panose="03080402000500000000" pitchFamily="66" charset="0"/>
          </a:endParaRPr>
        </a:p>
      </xdr:txBody>
    </xdr:sp>
    <xdr:clientData/>
  </xdr:twoCellAnchor>
  <xdr:twoCellAnchor editAs="oneCell">
    <xdr:from>
      <xdr:col>5</xdr:col>
      <xdr:colOff>295277</xdr:colOff>
      <xdr:row>3</xdr:row>
      <xdr:rowOff>38102</xdr:rowOff>
    </xdr:from>
    <xdr:to>
      <xdr:col>5</xdr:col>
      <xdr:colOff>720809</xdr:colOff>
      <xdr:row>5</xdr:row>
      <xdr:rowOff>9526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1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762" b="2762"/>
        <a:stretch/>
      </xdr:blipFill>
      <xdr:spPr>
        <a:xfrm>
          <a:off x="4657727" y="714377"/>
          <a:ext cx="425532" cy="409574"/>
        </a:xfrm>
        <a:prstGeom prst="rect">
          <a:avLst/>
        </a:prstGeom>
        <a:noFill/>
        <a:effectLst>
          <a:outerShdw blurRad="50800" dist="50800" dir="5400000" algn="ctr" rotWithShape="0">
            <a:srgbClr val="000000">
              <a:alpha val="0"/>
            </a:srgbClr>
          </a:outerShdw>
        </a:effectLst>
      </xdr:spPr>
    </xdr:pic>
    <xdr:clientData/>
  </xdr:twoCellAnchor>
  <xdr:twoCellAnchor>
    <xdr:from>
      <xdr:col>7</xdr:col>
      <xdr:colOff>876300</xdr:colOff>
      <xdr:row>8</xdr:row>
      <xdr:rowOff>57150</xdr:rowOff>
    </xdr:from>
    <xdr:to>
      <xdr:col>8</xdr:col>
      <xdr:colOff>571291</xdr:colOff>
      <xdr:row>10</xdr:row>
      <xdr:rowOff>38376</xdr:rowOff>
    </xdr:to>
    <xdr:sp macro="" textlink="">
      <xdr:nvSpPr>
        <xdr:cNvPr id="14" name="Flecha derecha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900-00000E000000}"/>
            </a:ext>
          </a:extLst>
        </xdr:cNvPr>
        <xdr:cNvSpPr/>
      </xdr:nvSpPr>
      <xdr:spPr>
        <a:xfrm rot="10800000">
          <a:off x="6848475" y="1857375"/>
          <a:ext cx="590341" cy="514626"/>
        </a:xfrm>
        <a:prstGeom prst="rightArrow">
          <a:avLst/>
        </a:prstGeom>
        <a:solidFill>
          <a:srgbClr val="00CC66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116427</xdr:colOff>
      <xdr:row>7</xdr:row>
      <xdr:rowOff>10583</xdr:rowOff>
    </xdr:from>
    <xdr:to>
      <xdr:col>2</xdr:col>
      <xdr:colOff>127011</xdr:colOff>
      <xdr:row>10</xdr:row>
      <xdr:rowOff>105834</xdr:rowOff>
    </xdr:to>
    <xdr:sp macro="[0]!Generar_Inform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335502" y="1639358"/>
          <a:ext cx="1334559" cy="752476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effectLst>
          <a:glow rad="139700">
            <a:schemeClr val="accent3">
              <a:alpha val="40000"/>
            </a:schemeClr>
          </a:glow>
        </a:effectLst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s-CR" sz="1400" b="0" cap="none" spc="0">
            <a:ln w="0"/>
            <a:solidFill>
              <a:sysClr val="windowText" lastClr="00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834772</xdr:colOff>
      <xdr:row>7</xdr:row>
      <xdr:rowOff>158751</xdr:rowOff>
    </xdr:from>
    <xdr:to>
      <xdr:col>4</xdr:col>
      <xdr:colOff>1543855</xdr:colOff>
      <xdr:row>10</xdr:row>
      <xdr:rowOff>105835</xdr:rowOff>
    </xdr:to>
    <xdr:sp macro="[0]!Eliminar_Informe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5663947" y="1787526"/>
          <a:ext cx="709083" cy="604309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effectLst>
          <a:glow rad="635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3</xdr:col>
      <xdr:colOff>300297</xdr:colOff>
      <xdr:row>7</xdr:row>
      <xdr:rowOff>31750</xdr:rowOff>
    </xdr:from>
    <xdr:to>
      <xdr:col>3</xdr:col>
      <xdr:colOff>1094047</xdr:colOff>
      <xdr:row>10</xdr:row>
      <xdr:rowOff>116418</xdr:rowOff>
    </xdr:to>
    <xdr:sp macro="[0]!Enviar_Informe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/>
      </xdr:nvSpPr>
      <xdr:spPr>
        <a:xfrm>
          <a:off x="3053022" y="1660525"/>
          <a:ext cx="793750" cy="741893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effectLst>
          <a:glow rad="1016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5</xdr:col>
      <xdr:colOff>105835</xdr:colOff>
      <xdr:row>7</xdr:row>
      <xdr:rowOff>31750</xdr:rowOff>
    </xdr:from>
    <xdr:to>
      <xdr:col>10</xdr:col>
      <xdr:colOff>95253</xdr:colOff>
      <xdr:row>10</xdr:row>
      <xdr:rowOff>179916</xdr:rowOff>
    </xdr:to>
    <xdr:sp macro="[0]!Informe_Individual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SpPr/>
      </xdr:nvSpPr>
      <xdr:spPr>
        <a:xfrm>
          <a:off x="7316260" y="1660525"/>
          <a:ext cx="894293" cy="805391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effectLst>
          <a:glow rad="101600">
            <a:schemeClr val="bg2"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257175</xdr:colOff>
      <xdr:row>1</xdr:row>
      <xdr:rowOff>1</xdr:rowOff>
    </xdr:from>
    <xdr:to>
      <xdr:col>9</xdr:col>
      <xdr:colOff>455096</xdr:colOff>
      <xdr:row>7</xdr:row>
      <xdr:rowOff>9525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3468" b="-3468"/>
        <a:stretch/>
      </xdr:blipFill>
      <xdr:spPr>
        <a:xfrm>
          <a:off x="7277100" y="19051"/>
          <a:ext cx="959921" cy="923924"/>
        </a:xfrm>
        <a:prstGeom prst="rect">
          <a:avLst/>
        </a:prstGeom>
      </xdr:spPr>
    </xdr:pic>
    <xdr:clientData/>
  </xdr:twoCellAnchor>
  <xdr:twoCellAnchor>
    <xdr:from>
      <xdr:col>8</xdr:col>
      <xdr:colOff>304799</xdr:colOff>
      <xdr:row>13</xdr:row>
      <xdr:rowOff>76200</xdr:rowOff>
    </xdr:from>
    <xdr:to>
      <xdr:col>9</xdr:col>
      <xdr:colOff>257174</xdr:colOff>
      <xdr:row>16</xdr:row>
      <xdr:rowOff>38100</xdr:rowOff>
    </xdr:to>
    <xdr:sp macro="" textlink="">
      <xdr:nvSpPr>
        <xdr:cNvPr id="5" name="Flecha derecha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/>
      </xdr:nvSpPr>
      <xdr:spPr>
        <a:xfrm rot="10800000">
          <a:off x="6867524" y="2371725"/>
          <a:ext cx="714375" cy="533400"/>
        </a:xfrm>
        <a:prstGeom prst="rightArrow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552450</xdr:colOff>
      <xdr:row>1</xdr:row>
      <xdr:rowOff>28575</xdr:rowOff>
    </xdr:from>
    <xdr:to>
      <xdr:col>10</xdr:col>
      <xdr:colOff>514350</xdr:colOff>
      <xdr:row>6</xdr:row>
      <xdr:rowOff>12873</xdr:rowOff>
    </xdr:to>
    <xdr:pic macro="[0]!PDFActiveSheet">
      <xdr:nvPicPr>
        <xdr:cNvPr id="7" name="Imagen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47625"/>
          <a:ext cx="723900" cy="727248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1</xdr:row>
      <xdr:rowOff>47625</xdr:rowOff>
    </xdr:from>
    <xdr:to>
      <xdr:col>1</xdr:col>
      <xdr:colOff>719301</xdr:colOff>
      <xdr:row>4</xdr:row>
      <xdr:rowOff>226695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66675"/>
          <a:ext cx="957426" cy="655320"/>
        </a:xfrm>
        <a:prstGeom prst="rect">
          <a:avLst/>
        </a:prstGeom>
      </xdr:spPr>
    </xdr:pic>
    <xdr:clientData/>
  </xdr:twoCellAnchor>
  <xdr:twoCellAnchor editAs="oneCell">
    <xdr:from>
      <xdr:col>6</xdr:col>
      <xdr:colOff>971551</xdr:colOff>
      <xdr:row>0</xdr:row>
      <xdr:rowOff>0</xdr:rowOff>
    </xdr:from>
    <xdr:to>
      <xdr:col>6</xdr:col>
      <xdr:colOff>1590675</xdr:colOff>
      <xdr:row>4</xdr:row>
      <xdr:rowOff>100607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5177" b="-5177"/>
        <a:stretch/>
      </xdr:blipFill>
      <xdr:spPr>
        <a:xfrm>
          <a:off x="5819776" y="0"/>
          <a:ext cx="619124" cy="595907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981075</xdr:colOff>
      <xdr:row>1</xdr:row>
      <xdr:rowOff>0</xdr:rowOff>
    </xdr:from>
    <xdr:to>
      <xdr:col>6</xdr:col>
      <xdr:colOff>1609724</xdr:colOff>
      <xdr:row>4</xdr:row>
      <xdr:rowOff>71675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2524" b="-2524"/>
        <a:stretch/>
      </xdr:blipFill>
      <xdr:spPr>
        <a:xfrm>
          <a:off x="5829300" y="47625"/>
          <a:ext cx="628649" cy="605075"/>
        </a:xfrm>
        <a:prstGeom prst="rect">
          <a:avLst/>
        </a:prstGeom>
      </xdr:spPr>
    </xdr:pic>
    <xdr:clientData/>
  </xdr:twoCellAnchor>
  <xdr:twoCellAnchor editAs="oneCell">
    <xdr:from>
      <xdr:col>9</xdr:col>
      <xdr:colOff>581025</xdr:colOff>
      <xdr:row>1</xdr:row>
      <xdr:rowOff>47625</xdr:rowOff>
    </xdr:from>
    <xdr:to>
      <xdr:col>10</xdr:col>
      <xdr:colOff>482706</xdr:colOff>
      <xdr:row>6</xdr:row>
      <xdr:rowOff>9525</xdr:rowOff>
    </xdr:to>
    <xdr:pic macro="[0]!PDFActiveSheet">
      <xdr:nvPicPr>
        <xdr:cNvPr id="5" name="Imagen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67650" y="95250"/>
          <a:ext cx="663681" cy="666750"/>
        </a:xfrm>
        <a:prstGeom prst="rect">
          <a:avLst/>
        </a:prstGeom>
      </xdr:spPr>
    </xdr:pic>
    <xdr:clientData/>
  </xdr:twoCellAnchor>
  <xdr:twoCellAnchor editAs="oneCell">
    <xdr:from>
      <xdr:col>8</xdr:col>
      <xdr:colOff>285750</xdr:colOff>
      <xdr:row>1</xdr:row>
      <xdr:rowOff>0</xdr:rowOff>
    </xdr:from>
    <xdr:to>
      <xdr:col>9</xdr:col>
      <xdr:colOff>483671</xdr:colOff>
      <xdr:row>8</xdr:row>
      <xdr:rowOff>9524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1329" b="-1329"/>
        <a:stretch/>
      </xdr:blipFill>
      <xdr:spPr>
        <a:xfrm>
          <a:off x="7305675" y="47625"/>
          <a:ext cx="959921" cy="923924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190500</xdr:colOff>
      <xdr:row>0</xdr:row>
      <xdr:rowOff>123825</xdr:rowOff>
    </xdr:from>
    <xdr:to>
      <xdr:col>1</xdr:col>
      <xdr:colOff>852651</xdr:colOff>
      <xdr:row>4</xdr:row>
      <xdr:rowOff>121920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23825"/>
          <a:ext cx="957426" cy="655320"/>
        </a:xfrm>
        <a:prstGeom prst="rect">
          <a:avLst/>
        </a:prstGeom>
      </xdr:spPr>
    </xdr:pic>
    <xdr:clientData/>
  </xdr:twoCellAnchor>
  <xdr:twoCellAnchor>
    <xdr:from>
      <xdr:col>10</xdr:col>
      <xdr:colOff>714375</xdr:colOff>
      <xdr:row>1</xdr:row>
      <xdr:rowOff>133350</xdr:rowOff>
    </xdr:from>
    <xdr:to>
      <xdr:col>11</xdr:col>
      <xdr:colOff>542716</xdr:colOff>
      <xdr:row>4</xdr:row>
      <xdr:rowOff>114576</xdr:rowOff>
    </xdr:to>
    <xdr:sp macro="" textlink="">
      <xdr:nvSpPr>
        <xdr:cNvPr id="8" name="Flecha derecha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SpPr/>
      </xdr:nvSpPr>
      <xdr:spPr>
        <a:xfrm rot="10800000">
          <a:off x="8763000" y="180975"/>
          <a:ext cx="590341" cy="514626"/>
        </a:xfrm>
        <a:prstGeom prst="rightArrow">
          <a:avLst/>
        </a:prstGeom>
        <a:solidFill>
          <a:srgbClr val="00CC66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123826</xdr:rowOff>
    </xdr:from>
    <xdr:to>
      <xdr:col>1</xdr:col>
      <xdr:colOff>579169</xdr:colOff>
      <xdr:row>4</xdr:row>
      <xdr:rowOff>9526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131" b="-131"/>
        <a:stretch/>
      </xdr:blipFill>
      <xdr:spPr>
        <a:xfrm>
          <a:off x="161925" y="123826"/>
          <a:ext cx="712519" cy="685800"/>
        </a:xfrm>
        <a:prstGeom prst="rect">
          <a:avLst/>
        </a:prstGeom>
      </xdr:spPr>
    </xdr:pic>
    <xdr:clientData/>
  </xdr:twoCellAnchor>
  <xdr:twoCellAnchor editAs="oneCell">
    <xdr:from>
      <xdr:col>12</xdr:col>
      <xdr:colOff>428625</xdr:colOff>
      <xdr:row>7</xdr:row>
      <xdr:rowOff>85725</xdr:rowOff>
    </xdr:from>
    <xdr:to>
      <xdr:col>13</xdr:col>
      <xdr:colOff>568431</xdr:colOff>
      <xdr:row>10</xdr:row>
      <xdr:rowOff>238125</xdr:rowOff>
    </xdr:to>
    <xdr:pic macro="[0]!PDFActiveSheet">
      <xdr:nvPicPr>
        <xdr:cNvPr id="4" name="Imagen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53725" y="1314450"/>
          <a:ext cx="663681" cy="666750"/>
        </a:xfrm>
        <a:prstGeom prst="rect">
          <a:avLst/>
        </a:prstGeom>
      </xdr:spPr>
    </xdr:pic>
    <xdr:clientData/>
  </xdr:twoCellAnchor>
  <xdr:twoCellAnchor editAs="oneCell">
    <xdr:from>
      <xdr:col>12</xdr:col>
      <xdr:colOff>285750</xdr:colOff>
      <xdr:row>0</xdr:row>
      <xdr:rowOff>171450</xdr:rowOff>
    </xdr:from>
    <xdr:to>
      <xdr:col>14</xdr:col>
      <xdr:colOff>150296</xdr:colOff>
      <xdr:row>6</xdr:row>
      <xdr:rowOff>38099</xdr:rowOff>
    </xdr:to>
    <xdr:pic>
      <xdr:nvPicPr>
        <xdr:cNvPr id="5" name="Imagen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1329" b="-1329"/>
        <a:stretch/>
      </xdr:blipFill>
      <xdr:spPr>
        <a:xfrm>
          <a:off x="10610850" y="171450"/>
          <a:ext cx="959921" cy="923924"/>
        </a:xfrm>
        <a:prstGeom prst="rect">
          <a:avLst/>
        </a:prstGeom>
      </xdr:spPr>
    </xdr:pic>
    <xdr:clientData/>
  </xdr:twoCellAnchor>
  <xdr:twoCellAnchor editAs="oneCell">
    <xdr:from>
      <xdr:col>1</xdr:col>
      <xdr:colOff>819150</xdr:colOff>
      <xdr:row>0</xdr:row>
      <xdr:rowOff>123825</xdr:rowOff>
    </xdr:from>
    <xdr:to>
      <xdr:col>2</xdr:col>
      <xdr:colOff>909801</xdr:colOff>
      <xdr:row>3</xdr:row>
      <xdr:rowOff>198120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PicPr/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4425" y="123825"/>
          <a:ext cx="957426" cy="655320"/>
        </a:xfrm>
        <a:prstGeom prst="rect">
          <a:avLst/>
        </a:prstGeom>
      </xdr:spPr>
    </xdr:pic>
    <xdr:clientData/>
  </xdr:twoCellAnchor>
  <xdr:twoCellAnchor>
    <xdr:from>
      <xdr:col>14</xdr:col>
      <xdr:colOff>266700</xdr:colOff>
      <xdr:row>1</xdr:row>
      <xdr:rowOff>123825</xdr:rowOff>
    </xdr:from>
    <xdr:to>
      <xdr:col>15</xdr:col>
      <xdr:colOff>237916</xdr:colOff>
      <xdr:row>4</xdr:row>
      <xdr:rowOff>28851</xdr:rowOff>
    </xdr:to>
    <xdr:sp macro="" textlink="">
      <xdr:nvSpPr>
        <xdr:cNvPr id="8" name="Flecha derecha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D00-000008000000}"/>
            </a:ext>
          </a:extLst>
        </xdr:cNvPr>
        <xdr:cNvSpPr/>
      </xdr:nvSpPr>
      <xdr:spPr>
        <a:xfrm rot="10800000">
          <a:off x="9963150" y="314325"/>
          <a:ext cx="590341" cy="514626"/>
        </a:xfrm>
        <a:prstGeom prst="rightArrow">
          <a:avLst/>
        </a:prstGeom>
        <a:solidFill>
          <a:srgbClr val="00CC66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533401</xdr:colOff>
      <xdr:row>1</xdr:row>
      <xdr:rowOff>126206</xdr:rowOff>
    </xdr:from>
    <xdr:to>
      <xdr:col>18</xdr:col>
      <xdr:colOff>718243</xdr:colOff>
      <xdr:row>5</xdr:row>
      <xdr:rowOff>19526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1089" y="1423987"/>
          <a:ext cx="958749" cy="655320"/>
        </a:xfrm>
        <a:prstGeom prst="rect">
          <a:avLst/>
        </a:prstGeom>
      </xdr:spPr>
    </xdr:pic>
    <xdr:clientData/>
  </xdr:twoCellAnchor>
  <xdr:twoCellAnchor editAs="oneCell">
    <xdr:from>
      <xdr:col>16</xdr:col>
      <xdr:colOff>71439</xdr:colOff>
      <xdr:row>1</xdr:row>
      <xdr:rowOff>184194</xdr:rowOff>
    </xdr:from>
    <xdr:to>
      <xdr:col>17</xdr:col>
      <xdr:colOff>231473</xdr:colOff>
      <xdr:row>5</xdr:row>
      <xdr:rowOff>42019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4720" y="1481975"/>
          <a:ext cx="1124442" cy="619825"/>
        </a:xfrm>
        <a:prstGeom prst="rect">
          <a:avLst/>
        </a:prstGeom>
      </xdr:spPr>
    </xdr:pic>
    <xdr:clientData/>
  </xdr:twoCellAnchor>
  <xdr:twoCellAnchor>
    <xdr:from>
      <xdr:col>6</xdr:col>
      <xdr:colOff>338668</xdr:colOff>
      <xdr:row>2</xdr:row>
      <xdr:rowOff>95249</xdr:rowOff>
    </xdr:from>
    <xdr:to>
      <xdr:col>7</xdr:col>
      <xdr:colOff>338667</xdr:colOff>
      <xdr:row>4</xdr:row>
      <xdr:rowOff>105832</xdr:rowOff>
    </xdr:to>
    <xdr:sp macro="" textlink="">
      <xdr:nvSpPr>
        <xdr:cNvPr id="6" name="Flecha derecha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SpPr/>
      </xdr:nvSpPr>
      <xdr:spPr>
        <a:xfrm rot="10800000">
          <a:off x="4773085" y="486832"/>
          <a:ext cx="687915" cy="391583"/>
        </a:xfrm>
        <a:prstGeom prst="rightArrow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14</xdr:col>
      <xdr:colOff>613833</xdr:colOff>
      <xdr:row>1</xdr:row>
      <xdr:rowOff>159387</xdr:rowOff>
    </xdr:from>
    <xdr:to>
      <xdr:col>15</xdr:col>
      <xdr:colOff>687918</xdr:colOff>
      <xdr:row>5</xdr:row>
      <xdr:rowOff>99119</xdr:rowOff>
    </xdr:to>
    <xdr:pic macro="[0]!PDFActiveSheet">
      <xdr:nvPicPr>
        <xdr:cNvPr id="7" name="Imagen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58916" y="360470"/>
          <a:ext cx="698501" cy="701732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161925</xdr:colOff>
      <xdr:row>0</xdr:row>
      <xdr:rowOff>66675</xdr:rowOff>
    </xdr:from>
    <xdr:to>
      <xdr:col>18</xdr:col>
      <xdr:colOff>1984</xdr:colOff>
      <xdr:row>5</xdr:row>
      <xdr:rowOff>177522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1148" b="-1148"/>
        <a:stretch/>
      </xdr:blipFill>
      <xdr:spPr>
        <a:xfrm>
          <a:off x="9200956" y="66675"/>
          <a:ext cx="1356283" cy="1325770"/>
        </a:xfrm>
        <a:prstGeom prst="rect">
          <a:avLst/>
        </a:prstGeom>
      </xdr:spPr>
    </xdr:pic>
    <xdr:clientData/>
  </xdr:twoCellAnchor>
  <xdr:twoCellAnchor>
    <xdr:from>
      <xdr:col>16</xdr:col>
      <xdr:colOff>430375</xdr:colOff>
      <xdr:row>13</xdr:row>
      <xdr:rowOff>84753</xdr:rowOff>
    </xdr:from>
    <xdr:to>
      <xdr:col>17</xdr:col>
      <xdr:colOff>746595</xdr:colOff>
      <xdr:row>14</xdr:row>
      <xdr:rowOff>347210</xdr:rowOff>
    </xdr:to>
    <xdr:grpSp>
      <xdr:nvGrpSpPr>
        <xdr:cNvPr id="3" name="Grup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pSpPr/>
      </xdr:nvGrpSpPr>
      <xdr:grpSpPr>
        <a:xfrm>
          <a:off x="9469406" y="3117202"/>
          <a:ext cx="1074332" cy="1137202"/>
          <a:chOff x="3854644" y="1637352"/>
          <a:chExt cx="1078220" cy="1078220"/>
        </a:xfrm>
        <a:scene3d>
          <a:camera prst="orthographicFront"/>
          <a:lightRig rig="threePt" dir="t">
            <a:rot lat="0" lon="0" rev="7500000"/>
          </a:lightRig>
        </a:scene3d>
      </xdr:grpSpPr>
      <xdr:sp macro="" textlink="">
        <xdr:nvSpPr>
          <xdr:cNvPr id="5" name="Elipse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F00-000005000000}"/>
              </a:ext>
            </a:extLst>
          </xdr:cNvPr>
          <xdr:cNvSpPr/>
        </xdr:nvSpPr>
        <xdr:spPr>
          <a:xfrm>
            <a:off x="3854644" y="1637352"/>
            <a:ext cx="1078220" cy="1078220"/>
          </a:xfrm>
          <a:prstGeom prst="ellipse">
            <a:avLst/>
          </a:prstGeom>
          <a:sp3d prstMaterial="plastic">
            <a:bevelT w="127000" h="25400" prst="relaxedInset"/>
          </a:sp3d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5">
              <a:hueOff val="-2451115"/>
              <a:satOff val="-3409"/>
              <a:lumOff val="-1307"/>
              <a:alphaOff val="0"/>
            </a:schemeClr>
          </a:fillRef>
          <a:effectRef idx="2">
            <a:schemeClr val="accent5">
              <a:hueOff val="-2451115"/>
              <a:satOff val="-3409"/>
              <a:lumOff val="-1307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6" name="Elipse 4">
            <a:extLst>
              <a:ext uri="{FF2B5EF4-FFF2-40B4-BE49-F238E27FC236}">
                <a16:creationId xmlns:a16="http://schemas.microsoft.com/office/drawing/2014/main" id="{00000000-0008-0000-1F00-000006000000}"/>
              </a:ext>
            </a:extLst>
          </xdr:cNvPr>
          <xdr:cNvSpPr/>
        </xdr:nvSpPr>
        <xdr:spPr>
          <a:xfrm>
            <a:off x="4012546" y="1795254"/>
            <a:ext cx="762416" cy="762416"/>
          </a:xfrm>
          <a:prstGeom prst="rect">
            <a:avLst/>
          </a:prstGeom>
          <a:sp3d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20320" tIns="20320" rIns="20320" bIns="20320" numCol="1" spcCol="1270" anchor="ctr" anchorCtr="0">
            <a:noAutofit/>
          </a:bodyPr>
          <a:lstStyle/>
          <a:p>
            <a:pPr lvl="0" algn="ctr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600" kern="1200">
                <a:latin typeface="Bahnschrift Condensed" panose="020B0502040204020203" pitchFamily="34" charset="0"/>
              </a:rPr>
              <a:t>Exámenes</a:t>
            </a:r>
          </a:p>
        </xdr:txBody>
      </xdr:sp>
    </xdr:grpSp>
    <xdr:clientData/>
  </xdr:twoCellAnchor>
  <xdr:twoCellAnchor editAs="oneCell">
    <xdr:from>
      <xdr:col>16</xdr:col>
      <xdr:colOff>456228</xdr:colOff>
      <xdr:row>6</xdr:row>
      <xdr:rowOff>7775</xdr:rowOff>
    </xdr:from>
    <xdr:to>
      <xdr:col>17</xdr:col>
      <xdr:colOff>529253</xdr:colOff>
      <xdr:row>9</xdr:row>
      <xdr:rowOff>195942</xdr:rowOff>
    </xdr:to>
    <xdr:pic macro="[0]!PDFActiveSheet">
      <xdr:nvPicPr>
        <xdr:cNvPr id="7" name="Imagen 6">
          <a:extLst>
            <a:ext uri="{FF2B5EF4-FFF2-40B4-BE49-F238E27FC236}">
              <a16:creationId xmlns:a16="http://schemas.microsoft.com/office/drawing/2014/main" id="{00000000-0008-0000-1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95259" y="1436525"/>
          <a:ext cx="831137" cy="829647"/>
        </a:xfrm>
        <a:prstGeom prst="rect">
          <a:avLst/>
        </a:prstGeom>
      </xdr:spPr>
    </xdr:pic>
    <xdr:clientData/>
  </xdr:twoCellAnchor>
  <xdr:twoCellAnchor>
    <xdr:from>
      <xdr:col>16</xdr:col>
      <xdr:colOff>496700</xdr:colOff>
      <xdr:row>10</xdr:row>
      <xdr:rowOff>178999</xdr:rowOff>
    </xdr:from>
    <xdr:to>
      <xdr:col>17</xdr:col>
      <xdr:colOff>415364</xdr:colOff>
      <xdr:row>12</xdr:row>
      <xdr:rowOff>269063</xdr:rowOff>
    </xdr:to>
    <xdr:sp macro="" textlink="">
      <xdr:nvSpPr>
        <xdr:cNvPr id="8" name="Flecha derecha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F00-000008000000}"/>
            </a:ext>
          </a:extLst>
        </xdr:cNvPr>
        <xdr:cNvSpPr/>
      </xdr:nvSpPr>
      <xdr:spPr>
        <a:xfrm rot="10800000">
          <a:off x="9535731" y="2463055"/>
          <a:ext cx="676776" cy="517717"/>
        </a:xfrm>
        <a:prstGeom prst="rightArrow">
          <a:avLst/>
        </a:prstGeom>
        <a:solidFill>
          <a:srgbClr val="00CCFF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295275</xdr:colOff>
      <xdr:row>0</xdr:row>
      <xdr:rowOff>76200</xdr:rowOff>
    </xdr:from>
    <xdr:to>
      <xdr:col>18</xdr:col>
      <xdr:colOff>295274</xdr:colOff>
      <xdr:row>5</xdr:row>
      <xdr:rowOff>113705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1586" b="-1586"/>
        <a:stretch/>
      </xdr:blipFill>
      <xdr:spPr>
        <a:xfrm>
          <a:off x="9309656" y="76200"/>
          <a:ext cx="1286365" cy="1225675"/>
        </a:xfrm>
        <a:prstGeom prst="rect">
          <a:avLst/>
        </a:prstGeom>
      </xdr:spPr>
    </xdr:pic>
    <xdr:clientData/>
  </xdr:twoCellAnchor>
  <xdr:twoCellAnchor editAs="oneCell">
    <xdr:from>
      <xdr:col>17</xdr:col>
      <xdr:colOff>28575</xdr:colOff>
      <xdr:row>5</xdr:row>
      <xdr:rowOff>114300</xdr:rowOff>
    </xdr:from>
    <xdr:to>
      <xdr:col>18</xdr:col>
      <xdr:colOff>95250</xdr:colOff>
      <xdr:row>9</xdr:row>
      <xdr:rowOff>104775</xdr:rowOff>
    </xdr:to>
    <xdr:pic macro="[0]!PDFActiveSheet">
      <xdr:nvPicPr>
        <xdr:cNvPr id="3" name="Imagen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2650" y="1314450"/>
          <a:ext cx="828675" cy="828675"/>
        </a:xfrm>
        <a:prstGeom prst="rect">
          <a:avLst/>
        </a:prstGeom>
      </xdr:spPr>
    </xdr:pic>
    <xdr:clientData/>
  </xdr:twoCellAnchor>
  <xdr:twoCellAnchor>
    <xdr:from>
      <xdr:col>17</xdr:col>
      <xdr:colOff>85725</xdr:colOff>
      <xdr:row>9</xdr:row>
      <xdr:rowOff>171450</xdr:rowOff>
    </xdr:from>
    <xdr:to>
      <xdr:col>18</xdr:col>
      <xdr:colOff>501</xdr:colOff>
      <xdr:row>12</xdr:row>
      <xdr:rowOff>44116</xdr:rowOff>
    </xdr:to>
    <xdr:sp macro="" textlink="">
      <xdr:nvSpPr>
        <xdr:cNvPr id="4" name="Flecha derecha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/>
      </xdr:nvSpPr>
      <xdr:spPr>
        <a:xfrm rot="10800000">
          <a:off x="9829800" y="2209800"/>
          <a:ext cx="676776" cy="501316"/>
        </a:xfrm>
        <a:prstGeom prst="rightArrow">
          <a:avLst/>
        </a:prstGeom>
        <a:solidFill>
          <a:srgbClr val="00CCFF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0</xdr:colOff>
      <xdr:row>12</xdr:row>
      <xdr:rowOff>180976</xdr:rowOff>
    </xdr:from>
    <xdr:to>
      <xdr:col>18</xdr:col>
      <xdr:colOff>304800</xdr:colOff>
      <xdr:row>14</xdr:row>
      <xdr:rowOff>123826</xdr:rowOff>
    </xdr:to>
    <xdr:grpSp>
      <xdr:nvGrpSpPr>
        <xdr:cNvPr id="5" name="Grup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GrpSpPr/>
      </xdr:nvGrpSpPr>
      <xdr:grpSpPr>
        <a:xfrm>
          <a:off x="9534820" y="2812625"/>
          <a:ext cx="1070727" cy="1101562"/>
          <a:chOff x="3854644" y="1637352"/>
          <a:chExt cx="1078220" cy="1078220"/>
        </a:xfrm>
        <a:scene3d>
          <a:camera prst="orthographicFront"/>
          <a:lightRig rig="threePt" dir="t">
            <a:rot lat="0" lon="0" rev="7500000"/>
          </a:lightRig>
        </a:scene3d>
      </xdr:grpSpPr>
      <xdr:sp macro="" textlink="">
        <xdr:nvSpPr>
          <xdr:cNvPr id="6" name="Elipse 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2000-000006000000}"/>
              </a:ext>
            </a:extLst>
          </xdr:cNvPr>
          <xdr:cNvSpPr/>
        </xdr:nvSpPr>
        <xdr:spPr>
          <a:xfrm>
            <a:off x="3854644" y="1637352"/>
            <a:ext cx="1078220" cy="1078220"/>
          </a:xfrm>
          <a:prstGeom prst="ellipse">
            <a:avLst/>
          </a:prstGeom>
          <a:sp3d prstMaterial="plastic">
            <a:bevelT w="127000" h="25400" prst="relaxedInset"/>
          </a:sp3d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5">
              <a:hueOff val="-2451115"/>
              <a:satOff val="-3409"/>
              <a:lumOff val="-1307"/>
              <a:alphaOff val="0"/>
            </a:schemeClr>
          </a:fillRef>
          <a:effectRef idx="2">
            <a:schemeClr val="accent5">
              <a:hueOff val="-2451115"/>
              <a:satOff val="-3409"/>
              <a:lumOff val="-1307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7" name="Elipse 4">
            <a:extLst>
              <a:ext uri="{FF2B5EF4-FFF2-40B4-BE49-F238E27FC236}">
                <a16:creationId xmlns:a16="http://schemas.microsoft.com/office/drawing/2014/main" id="{00000000-0008-0000-2000-000007000000}"/>
              </a:ext>
            </a:extLst>
          </xdr:cNvPr>
          <xdr:cNvSpPr/>
        </xdr:nvSpPr>
        <xdr:spPr>
          <a:xfrm>
            <a:off x="4012546" y="1795254"/>
            <a:ext cx="762416" cy="762416"/>
          </a:xfrm>
          <a:prstGeom prst="rect">
            <a:avLst/>
          </a:prstGeom>
          <a:sp3d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20320" tIns="20320" rIns="20320" bIns="20320" numCol="1" spcCol="1270" anchor="ctr" anchorCtr="0">
            <a:noAutofit/>
          </a:bodyPr>
          <a:lstStyle/>
          <a:p>
            <a:pPr lvl="0" algn="ctr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600" kern="1200">
                <a:latin typeface="Bahnschrift Condensed" panose="020B0502040204020203" pitchFamily="34" charset="0"/>
              </a:rPr>
              <a:t>Exámenes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rich\Dropbox\Transformaci&#243;n%20Curricular\CMB\2022\IEVS\privado\REGISTRO%20CIVICA%20Marta%20Blanco%20Espinoz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gistro General"/>
      <sheetName val="LISTA"/>
      <sheetName val="Indicadores + Descripción"/>
      <sheetName val="Registro General respaldo"/>
      <sheetName val="PROYECTO"/>
      <sheetName val="ASISTENCIA"/>
      <sheetName val="REPORTE DE ASISTENCIA"/>
      <sheetName val="AVANCE DE PERIODO"/>
      <sheetName val="ACTA PERIODO"/>
      <sheetName val="ACTA ANUAL"/>
      <sheetName val="UPRE"/>
    </sheetNames>
    <sheetDataSet>
      <sheetData sheetId="0"/>
      <sheetData sheetId="1">
        <row r="6">
          <cell r="B6" t="str">
            <v xml:space="preserve">CHAVARRIA 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27">
          <cell r="K27"/>
        </row>
        <row r="28">
          <cell r="K28"/>
        </row>
        <row r="29">
          <cell r="K29"/>
        </row>
      </sheetData>
      <sheetData sheetId="9"/>
      <sheetData sheetId="1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13" Type="http://schemas.openxmlformats.org/officeDocument/2006/relationships/ctrlProp" Target="../ctrlProps/ctrlProp2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7.xml"/><Relationship Id="rId12" Type="http://schemas.openxmlformats.org/officeDocument/2006/relationships/ctrlProp" Target="../ctrlProps/ctrlProp22.xml"/><Relationship Id="rId2" Type="http://schemas.openxmlformats.org/officeDocument/2006/relationships/drawing" Target="../drawings/drawing23.xml"/><Relationship Id="rId16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5" Type="http://schemas.openxmlformats.org/officeDocument/2006/relationships/ctrlProp" Target="../ctrlProps/ctrlProp2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Relationship Id="rId14" Type="http://schemas.openxmlformats.org/officeDocument/2006/relationships/ctrlProp" Target="../ctrlProps/ctrlProp24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Relationship Id="rId9" Type="http://schemas.openxmlformats.org/officeDocument/2006/relationships/ctrlProp" Target="../ctrlProps/ctrlProp32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4" tint="-0.249977111117893"/>
  </sheetPr>
  <dimension ref="A1:AS109"/>
  <sheetViews>
    <sheetView showGridLines="0" zoomScale="71" zoomScaleNormal="68" workbookViewId="0"/>
  </sheetViews>
  <sheetFormatPr baseColWidth="10" defaultColWidth="0" defaultRowHeight="15" zeroHeight="1"/>
  <cols>
    <col min="1" max="1" width="3.28515625" customWidth="1" collapsed="1"/>
    <col min="2" max="2" width="17.28515625" bestFit="1" customWidth="1" collapsed="1"/>
    <col min="3" max="3" width="18" bestFit="1" customWidth="1" collapsed="1"/>
    <col min="4" max="4" width="25.5703125" customWidth="1" collapsed="1"/>
    <col min="5" max="5" width="3.5703125" customWidth="1" collapsed="1"/>
    <col min="6" max="6" width="4.140625" bestFit="1" customWidth="1" collapsed="1"/>
    <col min="7" max="7" width="2.85546875" bestFit="1" customWidth="1" collapsed="1"/>
    <col min="8" max="8" width="3.85546875" bestFit="1" customWidth="1" collapsed="1"/>
    <col min="9" max="9" width="2.85546875" customWidth="1" collapsed="1"/>
    <col min="10" max="10" width="2.85546875" bestFit="1" customWidth="1" collapsed="1"/>
    <col min="11" max="11" width="3.140625" customWidth="1" collapsed="1"/>
    <col min="12" max="12" width="3.42578125" customWidth="1" collapsed="1"/>
    <col min="13" max="13" width="2.85546875" bestFit="1" customWidth="1" collapsed="1"/>
    <col min="14" max="19" width="4.28515625" bestFit="1" customWidth="1" collapsed="1"/>
    <col min="20" max="20" width="4.85546875" customWidth="1" collapsed="1"/>
    <col min="21" max="23" width="4.28515625" bestFit="1" customWidth="1" collapsed="1"/>
    <col min="24" max="24" width="9.140625" customWidth="1" collapsed="1"/>
    <col min="25" max="25" width="9.42578125" customWidth="1" collapsed="1"/>
    <col min="26" max="26" width="32.28515625" customWidth="1"/>
    <col min="27" max="27" width="8.28515625" bestFit="1" customWidth="1" collapsed="1"/>
    <col min="28" max="28" width="0.140625" customWidth="1"/>
    <col min="29" max="29" width="5.85546875" customWidth="1"/>
    <col min="30" max="30" width="8.140625" customWidth="1"/>
    <col min="31" max="31" width="8" customWidth="1"/>
    <col min="32" max="32" width="8.85546875" customWidth="1"/>
    <col min="33" max="33" width="7.140625" customWidth="1"/>
    <col min="34" max="34" width="9.7109375" customWidth="1"/>
    <col min="35" max="35" width="14.7109375" customWidth="1"/>
    <col min="36" max="36" width="10.42578125" customWidth="1" collapsed="1"/>
    <col min="37" max="37" width="7.28515625" hidden="1" customWidth="1"/>
    <col min="38" max="43" width="11.42578125" hidden="1" customWidth="1"/>
    <col min="44" max="44" width="10.140625" hidden="1" customWidth="1"/>
    <col min="45" max="16384" width="11.42578125" hidden="1"/>
  </cols>
  <sheetData>
    <row r="1" spans="1:44" ht="30" customHeight="1"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814" t="s">
        <v>260</v>
      </c>
      <c r="S1" s="814"/>
      <c r="T1" s="814"/>
      <c r="U1" s="814"/>
      <c r="V1" s="814"/>
      <c r="W1" s="814"/>
      <c r="X1" s="814"/>
      <c r="Y1" s="814"/>
      <c r="Z1" s="814"/>
      <c r="AA1" s="814"/>
      <c r="AB1" s="814"/>
      <c r="AC1" s="814"/>
      <c r="AD1" s="814"/>
      <c r="AE1" s="814"/>
      <c r="AF1" s="814"/>
      <c r="AG1" s="814"/>
      <c r="AH1" s="206"/>
      <c r="AI1" s="206"/>
      <c r="AJ1" s="206"/>
    </row>
    <row r="2" spans="1:44" ht="27.75" customHeight="1">
      <c r="A2" s="810"/>
      <c r="B2" s="810"/>
      <c r="C2" s="807"/>
      <c r="D2" s="808"/>
      <c r="E2" s="209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814"/>
      <c r="S2" s="814"/>
      <c r="T2" s="814"/>
      <c r="U2" s="814"/>
      <c r="V2" s="814"/>
      <c r="W2" s="814"/>
      <c r="X2" s="814"/>
      <c r="Y2" s="814"/>
      <c r="Z2" s="814"/>
      <c r="AA2" s="814"/>
      <c r="AB2" s="814"/>
      <c r="AC2" s="814"/>
      <c r="AD2" s="814"/>
      <c r="AE2" s="814"/>
      <c r="AF2" s="814"/>
      <c r="AG2" s="814"/>
      <c r="AH2" s="211"/>
      <c r="AI2" s="211"/>
      <c r="AJ2" s="211"/>
    </row>
    <row r="3" spans="1:44" ht="18">
      <c r="A3" s="795" t="s">
        <v>242</v>
      </c>
      <c r="B3" s="795"/>
      <c r="C3" s="795"/>
      <c r="D3" s="795"/>
      <c r="E3" s="796">
        <f>'REGISTRO DATOS'!I3</f>
        <v>0</v>
      </c>
      <c r="F3" s="796"/>
      <c r="G3" s="796"/>
      <c r="H3" s="796"/>
      <c r="I3" s="796"/>
      <c r="J3" s="796"/>
      <c r="K3" s="796"/>
      <c r="L3" s="796"/>
      <c r="M3" s="796"/>
      <c r="N3" s="796"/>
      <c r="O3" s="796"/>
      <c r="P3" s="796"/>
      <c r="Q3" s="796"/>
      <c r="R3" s="796"/>
      <c r="S3" s="212"/>
      <c r="T3" s="212"/>
      <c r="U3" s="212"/>
      <c r="V3" s="212"/>
      <c r="W3" s="212"/>
      <c r="X3" s="212"/>
      <c r="Y3" s="212"/>
      <c r="Z3" s="212"/>
      <c r="AA3" s="212"/>
      <c r="AB3" s="212"/>
      <c r="AC3" s="212"/>
      <c r="AD3" s="212"/>
      <c r="AE3" s="212"/>
      <c r="AF3" s="212"/>
      <c r="AG3" s="212"/>
      <c r="AH3" s="212"/>
      <c r="AI3" s="212"/>
      <c r="AJ3" s="212"/>
    </row>
    <row r="4" spans="1:44" ht="18">
      <c r="A4" s="795" t="s">
        <v>261</v>
      </c>
      <c r="B4" s="795"/>
      <c r="C4" s="795"/>
      <c r="D4" s="795"/>
      <c r="E4" s="796" t="str">
        <f>'REGISTRO DATOS'!I4</f>
        <v>COTO</v>
      </c>
      <c r="F4" s="796"/>
      <c r="G4" s="796"/>
      <c r="H4" s="796"/>
      <c r="I4" s="796"/>
      <c r="J4" s="796"/>
      <c r="K4" s="796"/>
      <c r="L4" s="796"/>
      <c r="M4" s="796"/>
      <c r="N4" s="796"/>
      <c r="O4" s="796"/>
      <c r="P4" s="796"/>
      <c r="Q4" s="796"/>
      <c r="R4" s="796"/>
      <c r="S4" s="61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</row>
    <row r="5" spans="1:44" ht="20.25">
      <c r="A5" s="795" t="s">
        <v>258</v>
      </c>
      <c r="B5" s="795"/>
      <c r="C5" s="795"/>
      <c r="D5" s="795"/>
      <c r="E5" s="796" t="str">
        <f>'REGISTRO DATOS'!I5</f>
        <v>06</v>
      </c>
      <c r="F5" s="796"/>
      <c r="G5" s="796"/>
      <c r="H5" s="796"/>
      <c r="I5" s="796"/>
      <c r="J5" s="796"/>
      <c r="K5" s="796"/>
      <c r="L5" s="796"/>
      <c r="M5" s="388"/>
      <c r="N5" s="388"/>
      <c r="O5" s="388"/>
      <c r="P5" s="388"/>
      <c r="Q5" s="388"/>
      <c r="R5" s="388"/>
      <c r="S5" s="62"/>
      <c r="T5" s="811" t="s">
        <v>1</v>
      </c>
      <c r="U5" s="811"/>
      <c r="V5" s="811"/>
      <c r="W5" s="812"/>
      <c r="X5" s="776">
        <f>'REGISTRO DATOS'!I10</f>
        <v>0</v>
      </c>
      <c r="Y5" s="213"/>
      <c r="Z5" s="214"/>
      <c r="AA5" s="62"/>
      <c r="AB5" s="62"/>
      <c r="AC5" s="62"/>
      <c r="AD5" s="62"/>
      <c r="AE5" s="62"/>
      <c r="AF5" s="62"/>
      <c r="AG5" s="62"/>
      <c r="AH5" s="62"/>
      <c r="AI5" s="62"/>
      <c r="AJ5" s="62"/>
    </row>
    <row r="6" spans="1:44" ht="20.25">
      <c r="A6" s="795" t="s">
        <v>9</v>
      </c>
      <c r="B6" s="795"/>
      <c r="C6" s="795"/>
      <c r="D6" s="795"/>
      <c r="E6" s="796">
        <f>'REGISTRO DATOS'!I6</f>
        <v>0</v>
      </c>
      <c r="F6" s="796"/>
      <c r="G6" s="796"/>
      <c r="H6" s="796"/>
      <c r="I6" s="796"/>
      <c r="J6" s="796"/>
      <c r="K6" s="796"/>
      <c r="L6" s="796"/>
      <c r="M6" s="796"/>
      <c r="N6" s="796"/>
      <c r="O6" s="796"/>
      <c r="P6" s="796"/>
      <c r="Q6" s="796"/>
      <c r="R6" s="796"/>
      <c r="S6" s="66"/>
      <c r="T6" s="811" t="s">
        <v>10</v>
      </c>
      <c r="U6" s="811"/>
      <c r="V6" s="811"/>
      <c r="W6" s="811"/>
      <c r="X6" s="775">
        <f>40-COUNTIF(B16:B55,"")</f>
        <v>6</v>
      </c>
      <c r="Y6" s="216"/>
      <c r="Z6" s="62"/>
      <c r="AA6" s="69"/>
      <c r="AB6" s="69"/>
      <c r="AC6" s="69"/>
      <c r="AD6" s="69"/>
      <c r="AE6" s="69"/>
      <c r="AF6" s="69"/>
      <c r="AG6" s="69"/>
      <c r="AH6" s="69"/>
      <c r="AI6" s="69"/>
      <c r="AJ6" s="69"/>
    </row>
    <row r="7" spans="1:44" ht="18.75" customHeight="1">
      <c r="A7" s="795" t="s">
        <v>11</v>
      </c>
      <c r="B7" s="795"/>
      <c r="C7" s="795"/>
      <c r="D7" s="795"/>
      <c r="E7" s="796">
        <f>'REGISTRO DATOS'!I7</f>
        <v>0</v>
      </c>
      <c r="F7" s="796"/>
      <c r="G7" s="796"/>
      <c r="H7" s="796"/>
      <c r="I7" s="796"/>
      <c r="J7" s="796"/>
      <c r="K7" s="796"/>
      <c r="L7" s="796"/>
      <c r="M7" s="796"/>
      <c r="N7" s="796"/>
      <c r="O7" s="796"/>
      <c r="P7" s="796"/>
      <c r="Q7" s="796"/>
      <c r="R7" s="796"/>
      <c r="S7" s="73"/>
      <c r="T7" s="73"/>
      <c r="U7" s="73"/>
      <c r="V7" s="2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</row>
    <row r="8" spans="1:44" ht="19.5" customHeight="1">
      <c r="A8" s="795" t="s">
        <v>44</v>
      </c>
      <c r="B8" s="813"/>
      <c r="C8" s="813"/>
      <c r="D8" s="813"/>
      <c r="E8" s="796">
        <f>'REGISTRO DATOS'!I8</f>
        <v>0</v>
      </c>
      <c r="F8" s="796"/>
      <c r="G8" s="796"/>
      <c r="H8" s="796"/>
      <c r="I8" s="796"/>
      <c r="J8" s="796"/>
      <c r="K8" s="796"/>
      <c r="L8" s="796"/>
      <c r="M8" s="796"/>
      <c r="N8" s="796"/>
      <c r="O8" s="796"/>
      <c r="P8" s="796"/>
      <c r="Q8" s="796"/>
      <c r="R8" s="796"/>
      <c r="S8" s="2"/>
      <c r="T8" s="810"/>
      <c r="U8" s="810"/>
      <c r="V8" s="810"/>
      <c r="W8" s="810"/>
      <c r="X8" s="810"/>
      <c r="Y8" s="810"/>
      <c r="AA8" s="119"/>
      <c r="AB8" s="803"/>
      <c r="AC8" s="803"/>
      <c r="AD8" s="803"/>
      <c r="AE8" s="95"/>
      <c r="AF8" s="95"/>
      <c r="AG8" s="95"/>
      <c r="AH8" s="2"/>
      <c r="AI8" s="2"/>
      <c r="AJ8" s="2"/>
    </row>
    <row r="9" spans="1:44" ht="19.5" customHeight="1">
      <c r="A9" s="795" t="s">
        <v>259</v>
      </c>
      <c r="B9" s="813"/>
      <c r="C9" s="813"/>
      <c r="D9" s="813"/>
      <c r="E9" s="796">
        <f>'REGISTRO DATOS'!I9</f>
        <v>0</v>
      </c>
      <c r="F9" s="796"/>
      <c r="G9" s="796"/>
      <c r="H9" s="796"/>
      <c r="I9" s="796"/>
      <c r="J9" s="796"/>
      <c r="K9" s="796"/>
      <c r="L9" s="796"/>
      <c r="M9" s="796"/>
      <c r="N9" s="796"/>
      <c r="O9" s="796"/>
      <c r="P9" s="796"/>
      <c r="Q9" s="388"/>
      <c r="R9" s="392"/>
      <c r="S9" s="217"/>
      <c r="T9" s="810"/>
      <c r="U9" s="810"/>
      <c r="V9" s="810"/>
      <c r="W9" s="810"/>
      <c r="X9" s="810"/>
      <c r="Y9" s="810"/>
      <c r="Z9" s="119"/>
      <c r="AA9" s="123"/>
      <c r="AB9" s="805"/>
      <c r="AC9" s="805"/>
      <c r="AD9" s="805"/>
      <c r="AE9" s="805"/>
      <c r="AF9" s="805"/>
      <c r="AG9" s="805"/>
      <c r="AH9" s="218"/>
      <c r="AI9" s="218"/>
      <c r="AJ9" s="75"/>
    </row>
    <row r="10" spans="1:44" ht="22.5" customHeight="1" thickBot="1">
      <c r="A10" s="2"/>
      <c r="B10" s="2"/>
      <c r="C10" s="2"/>
      <c r="D10" s="2"/>
      <c r="E10" s="806"/>
      <c r="F10" s="806"/>
      <c r="G10" s="806"/>
      <c r="H10" s="806"/>
      <c r="I10" s="119"/>
      <c r="J10" s="119"/>
      <c r="K10" s="119"/>
      <c r="L10" s="119"/>
      <c r="M10" s="119"/>
      <c r="N10" s="119"/>
      <c r="O10" s="119"/>
      <c r="P10" s="119"/>
      <c r="Q10" s="2"/>
      <c r="R10" s="6"/>
      <c r="S10" s="6"/>
      <c r="T10" s="810"/>
      <c r="U10" s="810"/>
      <c r="V10" s="810"/>
      <c r="W10" s="810"/>
      <c r="X10" s="810"/>
      <c r="Y10" s="810"/>
      <c r="Z10" s="219"/>
      <c r="AA10" s="124"/>
      <c r="AB10" s="805"/>
      <c r="AC10" s="805"/>
      <c r="AD10" s="805"/>
      <c r="AE10" s="805"/>
      <c r="AF10" s="805"/>
      <c r="AG10" s="805"/>
      <c r="AH10" s="220"/>
      <c r="AI10" s="220"/>
      <c r="AJ10" s="76"/>
      <c r="AK10" s="2"/>
    </row>
    <row r="11" spans="1:44" ht="23.25" hidden="1" customHeight="1" thickBot="1">
      <c r="A11" s="2"/>
      <c r="B11" s="809"/>
      <c r="C11" s="809"/>
      <c r="D11" s="2"/>
      <c r="E11" s="826"/>
      <c r="F11" s="826"/>
      <c r="G11" s="826"/>
      <c r="H11" s="826"/>
      <c r="I11" s="119"/>
      <c r="J11" s="119"/>
      <c r="K11" s="119"/>
      <c r="L11" s="119"/>
      <c r="M11" s="119"/>
      <c r="N11" s="119"/>
      <c r="O11" s="119"/>
      <c r="P11" s="119"/>
      <c r="Q11" s="2"/>
      <c r="R11" s="34"/>
      <c r="S11" s="34"/>
      <c r="T11" s="810"/>
      <c r="U11" s="810"/>
      <c r="V11" s="810"/>
      <c r="W11" s="810"/>
      <c r="X11" s="810"/>
      <c r="Y11" s="810"/>
      <c r="Z11" s="11"/>
      <c r="AA11" s="125"/>
      <c r="AB11" s="805"/>
      <c r="AC11" s="805"/>
      <c r="AD11" s="805"/>
      <c r="AE11" s="805"/>
      <c r="AF11" s="805"/>
      <c r="AG11" s="805"/>
      <c r="AH11" s="221"/>
      <c r="AI11" s="221"/>
      <c r="AJ11" s="11"/>
      <c r="AK11" s="2"/>
    </row>
    <row r="12" spans="1:44" ht="15.75" hidden="1" thickBot="1">
      <c r="A12" s="37"/>
      <c r="B12" s="13"/>
      <c r="C12" s="37"/>
      <c r="D12" s="13"/>
      <c r="E12" s="827"/>
      <c r="F12" s="827"/>
      <c r="G12" s="827"/>
      <c r="H12" s="827"/>
      <c r="I12" s="827"/>
      <c r="J12" s="827"/>
      <c r="K12" s="2"/>
      <c r="L12" s="34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126"/>
      <c r="AB12" s="126"/>
      <c r="AC12" s="222"/>
      <c r="AD12" s="222"/>
      <c r="AE12" s="222"/>
      <c r="AF12" s="222"/>
      <c r="AG12" s="222"/>
      <c r="AH12" s="2"/>
      <c r="AI12" s="2"/>
      <c r="AJ12" s="2"/>
    </row>
    <row r="13" spans="1:44" ht="21" customHeight="1" thickBot="1">
      <c r="A13" s="815" t="s">
        <v>17</v>
      </c>
      <c r="B13" s="816"/>
      <c r="C13" s="816"/>
      <c r="D13" s="817"/>
      <c r="E13" s="821" t="s">
        <v>81</v>
      </c>
      <c r="F13" s="822"/>
      <c r="G13" s="822"/>
      <c r="H13" s="822"/>
      <c r="I13" s="822"/>
      <c r="J13" s="822"/>
      <c r="K13" s="822"/>
      <c r="L13" s="822"/>
      <c r="M13" s="822"/>
      <c r="N13" s="822"/>
      <c r="O13" s="822"/>
      <c r="P13" s="822"/>
      <c r="Q13" s="822"/>
      <c r="R13" s="822"/>
      <c r="S13" s="822"/>
      <c r="T13" s="822"/>
      <c r="U13" s="822"/>
      <c r="V13" s="822"/>
      <c r="W13" s="822"/>
      <c r="X13" s="823"/>
      <c r="Y13" s="11"/>
      <c r="Z13" s="11"/>
      <c r="AA13" s="111"/>
      <c r="AB13" s="804" t="s">
        <v>71</v>
      </c>
      <c r="AC13" s="804"/>
      <c r="AD13" s="804"/>
      <c r="AE13" s="804" t="s">
        <v>319</v>
      </c>
      <c r="AF13" s="804"/>
      <c r="AG13" s="804"/>
      <c r="AH13" s="111"/>
      <c r="AI13" s="111"/>
      <c r="AJ13" s="11"/>
    </row>
    <row r="14" spans="1:44" ht="37.5" customHeight="1" thickBot="1">
      <c r="A14" s="818"/>
      <c r="B14" s="819"/>
      <c r="C14" s="819"/>
      <c r="D14" s="820"/>
      <c r="E14" s="824">
        <v>1</v>
      </c>
      <c r="F14" s="801">
        <v>2</v>
      </c>
      <c r="G14" s="801">
        <v>3</v>
      </c>
      <c r="H14" s="801">
        <v>4</v>
      </c>
      <c r="I14" s="801">
        <v>5</v>
      </c>
      <c r="J14" s="801">
        <v>6</v>
      </c>
      <c r="K14" s="801">
        <v>7</v>
      </c>
      <c r="L14" s="801">
        <v>8</v>
      </c>
      <c r="M14" s="801">
        <v>9</v>
      </c>
      <c r="N14" s="801">
        <v>10</v>
      </c>
      <c r="O14" s="801">
        <v>11</v>
      </c>
      <c r="P14" s="801">
        <v>12</v>
      </c>
      <c r="Q14" s="801">
        <v>13</v>
      </c>
      <c r="R14" s="801">
        <v>14</v>
      </c>
      <c r="S14" s="801">
        <v>15</v>
      </c>
      <c r="T14" s="801">
        <v>16</v>
      </c>
      <c r="U14" s="801">
        <v>17</v>
      </c>
      <c r="V14" s="801">
        <v>18</v>
      </c>
      <c r="W14" s="801">
        <v>19</v>
      </c>
      <c r="X14" s="799">
        <v>20</v>
      </c>
      <c r="Y14" s="791" t="s">
        <v>92</v>
      </c>
      <c r="Z14" s="797" t="s">
        <v>88</v>
      </c>
      <c r="AA14" s="525" t="s">
        <v>69</v>
      </c>
      <c r="AB14" s="784" t="s">
        <v>16</v>
      </c>
      <c r="AC14" s="526" t="s">
        <v>90</v>
      </c>
      <c r="AD14" s="526" t="s">
        <v>89</v>
      </c>
      <c r="AE14" s="784" t="s">
        <v>16</v>
      </c>
      <c r="AF14" s="526" t="s">
        <v>321</v>
      </c>
      <c r="AG14" s="526" t="s">
        <v>89</v>
      </c>
      <c r="AH14" s="527" t="s">
        <v>86</v>
      </c>
      <c r="AI14" s="526" t="s">
        <v>70</v>
      </c>
      <c r="AJ14" s="789" t="s">
        <v>56</v>
      </c>
    </row>
    <row r="15" spans="1:44" ht="21" customHeight="1" thickBot="1">
      <c r="A15" s="518" t="s">
        <v>37</v>
      </c>
      <c r="B15" s="519" t="s">
        <v>38</v>
      </c>
      <c r="C15" s="520" t="s">
        <v>39</v>
      </c>
      <c r="D15" s="521" t="s">
        <v>36</v>
      </c>
      <c r="E15" s="825"/>
      <c r="F15" s="802"/>
      <c r="G15" s="802"/>
      <c r="H15" s="802"/>
      <c r="I15" s="802"/>
      <c r="J15" s="802"/>
      <c r="K15" s="802"/>
      <c r="L15" s="802"/>
      <c r="M15" s="802"/>
      <c r="N15" s="802"/>
      <c r="O15" s="802"/>
      <c r="P15" s="802"/>
      <c r="Q15" s="802"/>
      <c r="R15" s="802"/>
      <c r="S15" s="802"/>
      <c r="T15" s="802"/>
      <c r="U15" s="802"/>
      <c r="V15" s="802"/>
      <c r="W15" s="802"/>
      <c r="X15" s="800"/>
      <c r="Y15" s="792"/>
      <c r="Z15" s="798"/>
      <c r="AA15" s="528">
        <f>'COTIDIANO - IS'!AA15</f>
        <v>0.6</v>
      </c>
      <c r="AB15" s="785"/>
      <c r="AC15" s="529"/>
      <c r="AD15" s="530">
        <f>'EXAMENES - IS'!G14</f>
        <v>25</v>
      </c>
      <c r="AE15" s="785"/>
      <c r="AF15" s="529">
        <f>'EXAMENES - IS'!I14</f>
        <v>0.25</v>
      </c>
      <c r="AG15" s="530">
        <f>'EXAMENES - IS'!J14</f>
        <v>9</v>
      </c>
      <c r="AH15" s="531">
        <f>'TAREAS - IS'!I14</f>
        <v>0.1</v>
      </c>
      <c r="AI15" s="529">
        <v>0.1</v>
      </c>
      <c r="AJ15" s="790"/>
    </row>
    <row r="16" spans="1:44" ht="18" customHeight="1" thickBot="1">
      <c r="A16" s="321">
        <v>1</v>
      </c>
      <c r="B16" s="322" t="str">
        <f>IFERROR(IF(VLOOKUP(A16,'REGISTRO DATOS'!B:H,2,0)=0,"",VLOOKUP(A16,'REGISTRO DATOS'!B:H,2,0)),"")</f>
        <v/>
      </c>
      <c r="C16" s="322" t="str">
        <f>IFERROR(IF(VLOOKUP(A16,'REGISTRO DATOS'!B:H,3,0)=0,"",VLOOKUP(A16,'REGISTRO DATOS'!B:H,3,0)),"")</f>
        <v/>
      </c>
      <c r="D16" s="322" t="str">
        <f>IFERROR(IF(VLOOKUP(A16,'REGISTRO DATOS'!B:H,4,0)=0,"",VLOOKUP(A16,'REGISTRO DATOS'!B:H,4,0)),"")</f>
        <v>MARIANELA</v>
      </c>
      <c r="E16" s="320">
        <f>'COTIDIANO - IS'!E16</f>
        <v>3</v>
      </c>
      <c r="F16" s="320" t="str">
        <f>'COTIDIANO - IS'!F16</f>
        <v>-</v>
      </c>
      <c r="G16" s="320" t="str">
        <f>'COTIDIANO - IS'!G16</f>
        <v>-</v>
      </c>
      <c r="H16" s="320" t="str">
        <f>'COTIDIANO - IS'!H16</f>
        <v>-</v>
      </c>
      <c r="I16" s="320" t="str">
        <f>'COTIDIANO - IS'!I16</f>
        <v>-</v>
      </c>
      <c r="J16" s="320" t="str">
        <f>'COTIDIANO - IS'!J16</f>
        <v>-</v>
      </c>
      <c r="K16" s="320" t="str">
        <f>'COTIDIANO - IS'!K16</f>
        <v>-</v>
      </c>
      <c r="L16" s="320" t="str">
        <f>'COTIDIANO - IS'!L16</f>
        <v>-</v>
      </c>
      <c r="M16" s="320" t="str">
        <f>'COTIDIANO - IS'!M16</f>
        <v>-</v>
      </c>
      <c r="N16" s="320" t="str">
        <f>'COTIDIANO - IS'!N16</f>
        <v>-</v>
      </c>
      <c r="O16" s="320" t="str">
        <f>'COTIDIANO - IS'!O16</f>
        <v>-</v>
      </c>
      <c r="P16" s="320" t="str">
        <f>'COTIDIANO - IS'!P16</f>
        <v>-</v>
      </c>
      <c r="Q16" s="320" t="str">
        <f>'COTIDIANO - IS'!Q16</f>
        <v>-</v>
      </c>
      <c r="R16" s="320" t="str">
        <f>'COTIDIANO - IS'!R16</f>
        <v>-</v>
      </c>
      <c r="S16" s="320" t="str">
        <f>'COTIDIANO - IS'!S16</f>
        <v>-</v>
      </c>
      <c r="T16" s="320" t="str">
        <f>'COTIDIANO - IS'!T16</f>
        <v>-</v>
      </c>
      <c r="U16" s="320" t="str">
        <f>'COTIDIANO - IS'!U16</f>
        <v>-</v>
      </c>
      <c r="V16" s="320" t="str">
        <f>'COTIDIANO - IS'!V16</f>
        <v>-</v>
      </c>
      <c r="W16" s="320" t="str">
        <f>'COTIDIANO - IS'!W16</f>
        <v>-</v>
      </c>
      <c r="X16" s="320" t="str">
        <f>'COTIDIANO - IS'!X16</f>
        <v>-</v>
      </c>
      <c r="Y16" s="516">
        <f>'COTIDIANO - IS'!Y16</f>
        <v>100</v>
      </c>
      <c r="Z16" s="271" t="str">
        <f>'COTIDIANO - IS'!Z16</f>
        <v>Desempeño Impresionante</v>
      </c>
      <c r="AA16" s="287">
        <f>'COTIDIANO - IS'!AA16</f>
        <v>60</v>
      </c>
      <c r="AB16" s="276">
        <f>(AD16/$AD$15)*100</f>
        <v>100</v>
      </c>
      <c r="AC16" s="287">
        <f t="shared" ref="AC16:AC55" si="0">AB16*$AC$15</f>
        <v>0</v>
      </c>
      <c r="AD16" s="272">
        <f>'EXAMENES - IS'!G15</f>
        <v>25</v>
      </c>
      <c r="AE16" s="276">
        <f>(AG16/$AG$15)*100</f>
        <v>88.888888888888886</v>
      </c>
      <c r="AF16" s="287">
        <f>AE16*$AF$15</f>
        <v>22.222222222222221</v>
      </c>
      <c r="AG16" s="272">
        <f>'EXAMENES - IS'!J15</f>
        <v>8</v>
      </c>
      <c r="AH16" s="287">
        <f>'TAREAS - IS'!I15</f>
        <v>10</v>
      </c>
      <c r="AI16" s="287">
        <f>ASISTENCIA!I8</f>
        <v>10</v>
      </c>
      <c r="AJ16" s="524">
        <f>AA16+AC16+AF16+AI16+AH16</f>
        <v>102.22222222222223</v>
      </c>
      <c r="AK16" s="43">
        <f>'REGISTRO DATOS'!J13</f>
        <v>0</v>
      </c>
      <c r="AO16" s="786" t="s">
        <v>157</v>
      </c>
      <c r="AP16" s="787"/>
      <c r="AQ16" s="787"/>
      <c r="AR16" s="788"/>
    </row>
    <row r="17" spans="1:45" ht="24.75" customHeight="1" thickBot="1">
      <c r="A17" s="324">
        <v>2</v>
      </c>
      <c r="B17" s="322" t="str">
        <f>IFERROR(IF(VLOOKUP(A17,'REGISTRO DATOS'!B:H,2,0)=0,"",VLOOKUP(A17,'REGISTRO DATOS'!B:H,2,0)),"")</f>
        <v/>
      </c>
      <c r="C17" s="322" t="str">
        <f>IFERROR(IF(VLOOKUP(A17,'REGISTRO DATOS'!B:H,3,0)=0,"",VLOOKUP(A17,'REGISTRO DATOS'!B:H,3,0)),"")</f>
        <v/>
      </c>
      <c r="D17" s="322" t="str">
        <f>IFERROR(IF(VLOOKUP(A17,'REGISTRO DATOS'!B:H,4,0)=0,"",VLOOKUP(A17,'REGISTRO DATOS'!B:H,4,0)),"")</f>
        <v>GENESIS</v>
      </c>
      <c r="E17" s="320" t="str">
        <f>'COTIDIANO - IS'!E17</f>
        <v>-</v>
      </c>
      <c r="F17" s="320" t="str">
        <f>'COTIDIANO - IS'!F17</f>
        <v>-</v>
      </c>
      <c r="G17" s="320" t="str">
        <f>'COTIDIANO - IS'!G17</f>
        <v>-</v>
      </c>
      <c r="H17" s="320" t="str">
        <f>'COTIDIANO - IS'!H17</f>
        <v>-</v>
      </c>
      <c r="I17" s="320" t="str">
        <f>'COTIDIANO - IS'!I17</f>
        <v>-</v>
      </c>
      <c r="J17" s="320" t="str">
        <f>'COTIDIANO - IS'!J17</f>
        <v>-</v>
      </c>
      <c r="K17" s="320" t="str">
        <f>'COTIDIANO - IS'!K17</f>
        <v>-</v>
      </c>
      <c r="L17" s="320" t="str">
        <f>'COTIDIANO - IS'!L17</f>
        <v>-</v>
      </c>
      <c r="M17" s="320" t="str">
        <f>'COTIDIANO - IS'!M17</f>
        <v>-</v>
      </c>
      <c r="N17" s="320" t="str">
        <f>'COTIDIANO - IS'!N17</f>
        <v>-</v>
      </c>
      <c r="O17" s="320" t="str">
        <f>'COTIDIANO - IS'!O17</f>
        <v>-</v>
      </c>
      <c r="P17" s="320" t="str">
        <f>'COTIDIANO - IS'!P17</f>
        <v>-</v>
      </c>
      <c r="Q17" s="320" t="str">
        <f>'COTIDIANO - IS'!Q17</f>
        <v>-</v>
      </c>
      <c r="R17" s="320" t="str">
        <f>'COTIDIANO - IS'!R17</f>
        <v>-</v>
      </c>
      <c r="S17" s="320" t="str">
        <f>'COTIDIANO - IS'!S17</f>
        <v>-</v>
      </c>
      <c r="T17" s="320" t="str">
        <f>'COTIDIANO - IS'!T17</f>
        <v>-</v>
      </c>
      <c r="U17" s="320" t="str">
        <f>'COTIDIANO - IS'!U17</f>
        <v>-</v>
      </c>
      <c r="V17" s="320" t="str">
        <f>'COTIDIANO - IS'!V17</f>
        <v>-</v>
      </c>
      <c r="W17" s="320" t="str">
        <f>'COTIDIANO - IS'!W17</f>
        <v>-</v>
      </c>
      <c r="X17" s="320" t="str">
        <f>'COTIDIANO - IS'!X17</f>
        <v>-</v>
      </c>
      <c r="Y17" s="288">
        <f>'COTIDIANO - IS'!Y17</f>
        <v>0</v>
      </c>
      <c r="Z17" s="120" t="str">
        <f>'COTIDIANO - IS'!Z17</f>
        <v>Debe mejorar su trabajo.</v>
      </c>
      <c r="AA17" s="168">
        <f>'COTIDIANO - IS'!AA17</f>
        <v>0</v>
      </c>
      <c r="AB17" s="164">
        <f t="shared" ref="AB17:AB55" si="1">(AD17/$AD$15)*100</f>
        <v>0</v>
      </c>
      <c r="AC17" s="168">
        <f t="shared" si="0"/>
        <v>0</v>
      </c>
      <c r="AD17" s="163">
        <f>'EXAMENES - IS'!G16</f>
        <v>0</v>
      </c>
      <c r="AE17" s="164">
        <f t="shared" ref="AE17:AE55" si="2">(AG17/$AG$15)*100</f>
        <v>88.888888888888886</v>
      </c>
      <c r="AF17" s="168">
        <f t="shared" ref="AF17:AF55" si="3">AE17*$AF$15</f>
        <v>22.222222222222221</v>
      </c>
      <c r="AG17" s="163">
        <f>'EXAMENES - IS'!J16</f>
        <v>8</v>
      </c>
      <c r="AH17" s="168">
        <f>'TAREAS - IS'!I16</f>
        <v>0</v>
      </c>
      <c r="AI17" s="168">
        <f>ASISTENCIA!I9</f>
        <v>10</v>
      </c>
      <c r="AJ17" s="524">
        <f t="shared" ref="AJ17:AJ55" si="4">AA17+AC17+AF17+AI17+AH17</f>
        <v>32.222222222222221</v>
      </c>
      <c r="AK17" s="43">
        <f>'REGISTRO DATOS'!J14</f>
        <v>0</v>
      </c>
      <c r="AO17" s="793" t="s">
        <v>130</v>
      </c>
      <c r="AP17" s="794"/>
      <c r="AQ17" s="786" t="s">
        <v>131</v>
      </c>
      <c r="AR17" s="788"/>
    </row>
    <row r="18" spans="1:45" ht="18" customHeight="1">
      <c r="A18" s="324">
        <v>3</v>
      </c>
      <c r="B18" s="322" t="str">
        <f>IFERROR(IF(VLOOKUP(A18,'REGISTRO DATOS'!B:H,2,0)=0,"",VLOOKUP(A18,'REGISTRO DATOS'!B:H,2,0)),"")</f>
        <v/>
      </c>
      <c r="C18" s="322" t="str">
        <f>IFERROR(IF(VLOOKUP(A18,'REGISTRO DATOS'!B:H,3,0)=0,"",VLOOKUP(A18,'REGISTRO DATOS'!B:H,3,0)),"")</f>
        <v/>
      </c>
      <c r="D18" s="322" t="str">
        <f>IFERROR(IF(VLOOKUP(A18,'REGISTRO DATOS'!B:H,4,0)=0,"",VLOOKUP(A18,'REGISTRO DATOS'!B:H,4,0)),"")</f>
        <v>EILEEN</v>
      </c>
      <c r="E18" s="320" t="str">
        <f>'COTIDIANO - IS'!E18</f>
        <v>-</v>
      </c>
      <c r="F18" s="320" t="str">
        <f>'COTIDIANO - IS'!F18</f>
        <v>-</v>
      </c>
      <c r="G18" s="320" t="str">
        <f>'COTIDIANO - IS'!G18</f>
        <v>-</v>
      </c>
      <c r="H18" s="320" t="str">
        <f>'COTIDIANO - IS'!H18</f>
        <v>-</v>
      </c>
      <c r="I18" s="320" t="str">
        <f>'COTIDIANO - IS'!I18</f>
        <v>-</v>
      </c>
      <c r="J18" s="320" t="str">
        <f>'COTIDIANO - IS'!J18</f>
        <v>-</v>
      </c>
      <c r="K18" s="320" t="str">
        <f>'COTIDIANO - IS'!K18</f>
        <v>-</v>
      </c>
      <c r="L18" s="320" t="str">
        <f>'COTIDIANO - IS'!L18</f>
        <v>-</v>
      </c>
      <c r="M18" s="320" t="str">
        <f>'COTIDIANO - IS'!M18</f>
        <v>-</v>
      </c>
      <c r="N18" s="320" t="str">
        <f>'COTIDIANO - IS'!N18</f>
        <v>-</v>
      </c>
      <c r="O18" s="320" t="str">
        <f>'COTIDIANO - IS'!O18</f>
        <v>-</v>
      </c>
      <c r="P18" s="320" t="str">
        <f>'COTIDIANO - IS'!P18</f>
        <v>-</v>
      </c>
      <c r="Q18" s="320" t="str">
        <f>'COTIDIANO - IS'!Q18</f>
        <v>-</v>
      </c>
      <c r="R18" s="320" t="str">
        <f>'COTIDIANO - IS'!R18</f>
        <v>-</v>
      </c>
      <c r="S18" s="320" t="str">
        <f>'COTIDIANO - IS'!S18</f>
        <v>-</v>
      </c>
      <c r="T18" s="320" t="str">
        <f>'COTIDIANO - IS'!T18</f>
        <v>-</v>
      </c>
      <c r="U18" s="320" t="str">
        <f>'COTIDIANO - IS'!U18</f>
        <v>-</v>
      </c>
      <c r="V18" s="320" t="str">
        <f>'COTIDIANO - IS'!V18</f>
        <v>-</v>
      </c>
      <c r="W18" s="320" t="str">
        <f>'COTIDIANO - IS'!W18</f>
        <v>-</v>
      </c>
      <c r="X18" s="320" t="str">
        <f>'COTIDIANO - IS'!X18</f>
        <v>-</v>
      </c>
      <c r="Y18" s="288">
        <f>'COTIDIANO - IS'!Y18</f>
        <v>0</v>
      </c>
      <c r="Z18" s="120" t="str">
        <f>'COTIDIANO - IS'!Z18</f>
        <v>Debe mejorar su trabajo.</v>
      </c>
      <c r="AA18" s="168">
        <f>'COTIDIANO - IS'!AA18</f>
        <v>0</v>
      </c>
      <c r="AB18" s="164">
        <f t="shared" si="1"/>
        <v>0</v>
      </c>
      <c r="AC18" s="168">
        <f t="shared" si="0"/>
        <v>0</v>
      </c>
      <c r="AD18" s="163">
        <f>'EXAMENES - IS'!G17</f>
        <v>0</v>
      </c>
      <c r="AE18" s="164">
        <f t="shared" si="2"/>
        <v>100</v>
      </c>
      <c r="AF18" s="168">
        <f t="shared" si="3"/>
        <v>25</v>
      </c>
      <c r="AG18" s="163">
        <f>'EXAMENES - IS'!J17</f>
        <v>9</v>
      </c>
      <c r="AH18" s="168">
        <f>'TAREAS - IS'!I17</f>
        <v>0</v>
      </c>
      <c r="AI18" s="168">
        <f>ASISTENCIA!I10</f>
        <v>10</v>
      </c>
      <c r="AJ18" s="524">
        <f t="shared" si="4"/>
        <v>35</v>
      </c>
      <c r="AK18" s="43">
        <f>'REGISTRO DATOS'!J15</f>
        <v>0</v>
      </c>
      <c r="AO18" s="198" t="s">
        <v>156</v>
      </c>
      <c r="AP18" s="199" t="s">
        <v>155</v>
      </c>
      <c r="AQ18" s="198" t="s">
        <v>156</v>
      </c>
      <c r="AR18" s="199" t="s">
        <v>155</v>
      </c>
    </row>
    <row r="19" spans="1:45" ht="18" customHeight="1" thickBot="1">
      <c r="A19" s="321">
        <v>4</v>
      </c>
      <c r="B19" s="322" t="str">
        <f>IFERROR(IF(VLOOKUP(A19,'REGISTRO DATOS'!B:H,2,0)=0,"",VLOOKUP(A19,'REGISTRO DATOS'!B:H,2,0)),"")</f>
        <v/>
      </c>
      <c r="C19" s="322" t="str">
        <f>IFERROR(IF(VLOOKUP(A19,'REGISTRO DATOS'!B:H,3,0)=0,"",VLOOKUP(A19,'REGISTRO DATOS'!B:H,3,0)),"")</f>
        <v/>
      </c>
      <c r="D19" s="322" t="str">
        <f>IFERROR(IF(VLOOKUP(A19,'REGISTRO DATOS'!B:H,4,0)=0,"",VLOOKUP(A19,'REGISTRO DATOS'!B:H,4,0)),"")</f>
        <v>CINDEL</v>
      </c>
      <c r="E19" s="320" t="str">
        <f>'COTIDIANO - IS'!E19</f>
        <v>-</v>
      </c>
      <c r="F19" s="320" t="str">
        <f>'COTIDIANO - IS'!F19</f>
        <v>-</v>
      </c>
      <c r="G19" s="320" t="str">
        <f>'COTIDIANO - IS'!G19</f>
        <v>-</v>
      </c>
      <c r="H19" s="320" t="str">
        <f>'COTIDIANO - IS'!H19</f>
        <v>-</v>
      </c>
      <c r="I19" s="320" t="str">
        <f>'COTIDIANO - IS'!I19</f>
        <v>-</v>
      </c>
      <c r="J19" s="320" t="str">
        <f>'COTIDIANO - IS'!J19</f>
        <v>-</v>
      </c>
      <c r="K19" s="320" t="str">
        <f>'COTIDIANO - IS'!K19</f>
        <v>-</v>
      </c>
      <c r="L19" s="320" t="str">
        <f>'COTIDIANO - IS'!L19</f>
        <v>-</v>
      </c>
      <c r="M19" s="320" t="str">
        <f>'COTIDIANO - IS'!M19</f>
        <v>-</v>
      </c>
      <c r="N19" s="320" t="str">
        <f>'COTIDIANO - IS'!N19</f>
        <v>-</v>
      </c>
      <c r="O19" s="320" t="str">
        <f>'COTIDIANO - IS'!O19</f>
        <v>-</v>
      </c>
      <c r="P19" s="320" t="str">
        <f>'COTIDIANO - IS'!P19</f>
        <v>-</v>
      </c>
      <c r="Q19" s="320" t="str">
        <f>'COTIDIANO - IS'!Q19</f>
        <v>-</v>
      </c>
      <c r="R19" s="320" t="str">
        <f>'COTIDIANO - IS'!R19</f>
        <v>-</v>
      </c>
      <c r="S19" s="320" t="str">
        <f>'COTIDIANO - IS'!S19</f>
        <v>-</v>
      </c>
      <c r="T19" s="320" t="str">
        <f>'COTIDIANO - IS'!T19</f>
        <v>-</v>
      </c>
      <c r="U19" s="320" t="str">
        <f>'COTIDIANO - IS'!U19</f>
        <v>-</v>
      </c>
      <c r="V19" s="320" t="str">
        <f>'COTIDIANO - IS'!V19</f>
        <v>-</v>
      </c>
      <c r="W19" s="320" t="str">
        <f>'COTIDIANO - IS'!W19</f>
        <v>-</v>
      </c>
      <c r="X19" s="320" t="str">
        <f>'COTIDIANO - IS'!X19</f>
        <v>-</v>
      </c>
      <c r="Y19" s="288">
        <f>'COTIDIANO - IS'!Y19</f>
        <v>0</v>
      </c>
      <c r="Z19" s="120" t="str">
        <f>'COTIDIANO - IS'!Z19</f>
        <v>Debe mejorar su trabajo.</v>
      </c>
      <c r="AA19" s="168">
        <f>'COTIDIANO - IS'!AA19</f>
        <v>0</v>
      </c>
      <c r="AB19" s="164">
        <f t="shared" si="1"/>
        <v>0</v>
      </c>
      <c r="AC19" s="168">
        <f t="shared" si="0"/>
        <v>0</v>
      </c>
      <c r="AD19" s="163">
        <f>'EXAMENES - IS'!G18</f>
        <v>0</v>
      </c>
      <c r="AE19" s="164">
        <f t="shared" si="2"/>
        <v>11.111111111111111</v>
      </c>
      <c r="AF19" s="168">
        <f t="shared" si="3"/>
        <v>2.7777777777777777</v>
      </c>
      <c r="AG19" s="163">
        <f>'EXAMENES - IS'!J18</f>
        <v>1</v>
      </c>
      <c r="AH19" s="168">
        <f>'TAREAS - IS'!I18</f>
        <v>0</v>
      </c>
      <c r="AI19" s="168">
        <f>ASISTENCIA!I11</f>
        <v>6.25</v>
      </c>
      <c r="AJ19" s="524">
        <f t="shared" si="4"/>
        <v>9.0277777777777786</v>
      </c>
      <c r="AK19" s="43">
        <f>'REGISTRO DATOS'!J16</f>
        <v>0</v>
      </c>
      <c r="AO19" s="200">
        <f>COUNTIFS(AK16:AK55,"H",AJ16:AJ55,"&lt;65")</f>
        <v>0</v>
      </c>
      <c r="AP19" s="201">
        <f>COUNTIFS(AK16:AK55,"H",AJ16:AJ55,"&gt;65")</f>
        <v>0</v>
      </c>
      <c r="AQ19" s="200">
        <f>COUNTIFS(AK16:AK55,"M",AJ16:AJ55,"&lt;65")</f>
        <v>0</v>
      </c>
      <c r="AR19" s="201">
        <f>COUNTIFS(AK16:AK55,"M",AJ16:AJ55,"&gt;65")</f>
        <v>0</v>
      </c>
      <c r="AS19" s="43">
        <f>SUM(AO19:AR19)</f>
        <v>0</v>
      </c>
    </row>
    <row r="20" spans="1:45" ht="18" customHeight="1" thickBot="1">
      <c r="A20" s="324">
        <v>5</v>
      </c>
      <c r="B20" s="322" t="str">
        <f>IFERROR(IF(VLOOKUP(A20,'REGISTRO DATOS'!B:H,2,0)=0,"",VLOOKUP(A20,'REGISTRO DATOS'!B:H,2,0)),"")</f>
        <v/>
      </c>
      <c r="C20" s="322" t="str">
        <f>IFERROR(IF(VLOOKUP(A20,'REGISTRO DATOS'!B:H,3,0)=0,"",VLOOKUP(A20,'REGISTRO DATOS'!B:H,3,0)),"")</f>
        <v/>
      </c>
      <c r="D20" s="322" t="str">
        <f>IFERROR(IF(VLOOKUP(A20,'REGISTRO DATOS'!B:H,4,0)=0,"",VLOOKUP(A20,'REGISTRO DATOS'!B:H,4,0)),"")</f>
        <v>NANCY</v>
      </c>
      <c r="E20" s="320" t="str">
        <f>'COTIDIANO - IS'!E20</f>
        <v>-</v>
      </c>
      <c r="F20" s="320" t="str">
        <f>'COTIDIANO - IS'!F20</f>
        <v>-</v>
      </c>
      <c r="G20" s="320" t="str">
        <f>'COTIDIANO - IS'!G20</f>
        <v>-</v>
      </c>
      <c r="H20" s="320" t="str">
        <f>'COTIDIANO - IS'!H20</f>
        <v>-</v>
      </c>
      <c r="I20" s="320" t="str">
        <f>'COTIDIANO - IS'!I20</f>
        <v>-</v>
      </c>
      <c r="J20" s="320" t="str">
        <f>'COTIDIANO - IS'!J20</f>
        <v>-</v>
      </c>
      <c r="K20" s="320" t="str">
        <f>'COTIDIANO - IS'!K20</f>
        <v>-</v>
      </c>
      <c r="L20" s="320" t="str">
        <f>'COTIDIANO - IS'!L20</f>
        <v>-</v>
      </c>
      <c r="M20" s="320" t="str">
        <f>'COTIDIANO - IS'!M20</f>
        <v>-</v>
      </c>
      <c r="N20" s="320" t="str">
        <f>'COTIDIANO - IS'!N20</f>
        <v>-</v>
      </c>
      <c r="O20" s="320" t="str">
        <f>'COTIDIANO - IS'!O20</f>
        <v>-</v>
      </c>
      <c r="P20" s="320" t="str">
        <f>'COTIDIANO - IS'!P20</f>
        <v>-</v>
      </c>
      <c r="Q20" s="320" t="str">
        <f>'COTIDIANO - IS'!Q20</f>
        <v>-</v>
      </c>
      <c r="R20" s="320" t="str">
        <f>'COTIDIANO - IS'!R20</f>
        <v>-</v>
      </c>
      <c r="S20" s="320" t="str">
        <f>'COTIDIANO - IS'!S20</f>
        <v>-</v>
      </c>
      <c r="T20" s="320" t="str">
        <f>'COTIDIANO - IS'!T20</f>
        <v>-</v>
      </c>
      <c r="U20" s="320" t="str">
        <f>'COTIDIANO - IS'!U20</f>
        <v>-</v>
      </c>
      <c r="V20" s="320" t="str">
        <f>'COTIDIANO - IS'!V20</f>
        <v>-</v>
      </c>
      <c r="W20" s="320" t="str">
        <f>'COTIDIANO - IS'!W20</f>
        <v>-</v>
      </c>
      <c r="X20" s="320" t="str">
        <f>'COTIDIANO - IS'!X20</f>
        <v>-</v>
      </c>
      <c r="Y20" s="288">
        <f>'COTIDIANO - IS'!Y20</f>
        <v>0</v>
      </c>
      <c r="Z20" s="120" t="str">
        <f>'COTIDIANO - IS'!Z20</f>
        <v>Debe mejorar su trabajo.</v>
      </c>
      <c r="AA20" s="168">
        <f>'COTIDIANO - IS'!AA20</f>
        <v>0</v>
      </c>
      <c r="AB20" s="166">
        <f t="shared" si="1"/>
        <v>0</v>
      </c>
      <c r="AC20" s="243">
        <f t="shared" si="0"/>
        <v>0</v>
      </c>
      <c r="AD20" s="163">
        <f>'EXAMENES - IS'!G19</f>
        <v>0</v>
      </c>
      <c r="AE20" s="166">
        <f t="shared" si="2"/>
        <v>88.888888888888886</v>
      </c>
      <c r="AF20" s="243">
        <f t="shared" si="3"/>
        <v>22.222222222222221</v>
      </c>
      <c r="AG20" s="163">
        <f>'EXAMENES - IS'!J19</f>
        <v>8</v>
      </c>
      <c r="AH20" s="168">
        <f>'TAREAS - IS'!I19</f>
        <v>0</v>
      </c>
      <c r="AI20" s="243">
        <f>ASISTENCIA!I12</f>
        <v>8.75</v>
      </c>
      <c r="AJ20" s="524">
        <f t="shared" si="4"/>
        <v>30.972222222222221</v>
      </c>
      <c r="AK20" s="43">
        <f>'REGISTRO DATOS'!J17</f>
        <v>0</v>
      </c>
    </row>
    <row r="21" spans="1:45" ht="18" customHeight="1" thickBot="1">
      <c r="A21" s="324">
        <v>6</v>
      </c>
      <c r="B21" s="322" t="str">
        <f>IFERROR(IF(VLOOKUP(A21,'REGISTRO DATOS'!B:H,2,0)=0,"",VLOOKUP(A21,'REGISTRO DATOS'!B:H,2,0)),"")</f>
        <v/>
      </c>
      <c r="C21" s="322" t="str">
        <f>IFERROR(IF(VLOOKUP(A21,'REGISTRO DATOS'!B:H,3,0)=0,"",VLOOKUP(A21,'REGISTRO DATOS'!B:H,3,0)),"")</f>
        <v/>
      </c>
      <c r="D21" s="322" t="str">
        <f>IFERROR(IF(VLOOKUP(A21,'REGISTRO DATOS'!B:H,4,0)=0,"",VLOOKUP(A21,'REGISTRO DATOS'!B:H,4,0)),"")</f>
        <v>MARIANA</v>
      </c>
      <c r="E21" s="320" t="str">
        <f>'COTIDIANO - IS'!E21</f>
        <v>-</v>
      </c>
      <c r="F21" s="320" t="str">
        <f>'COTIDIANO - IS'!F21</f>
        <v>-</v>
      </c>
      <c r="G21" s="320" t="str">
        <f>'COTIDIANO - IS'!G21</f>
        <v>-</v>
      </c>
      <c r="H21" s="320" t="str">
        <f>'COTIDIANO - IS'!H21</f>
        <v>-</v>
      </c>
      <c r="I21" s="320" t="str">
        <f>'COTIDIANO - IS'!I21</f>
        <v>-</v>
      </c>
      <c r="J21" s="320" t="str">
        <f>'COTIDIANO - IS'!J21</f>
        <v>-</v>
      </c>
      <c r="K21" s="320" t="str">
        <f>'COTIDIANO - IS'!K21</f>
        <v>-</v>
      </c>
      <c r="L21" s="320" t="str">
        <f>'COTIDIANO - IS'!L21</f>
        <v>-</v>
      </c>
      <c r="M21" s="320" t="str">
        <f>'COTIDIANO - IS'!M21</f>
        <v>-</v>
      </c>
      <c r="N21" s="320" t="str">
        <f>'COTIDIANO - IS'!N21</f>
        <v>-</v>
      </c>
      <c r="O21" s="320" t="str">
        <f>'COTIDIANO - IS'!O21</f>
        <v>-</v>
      </c>
      <c r="P21" s="320" t="str">
        <f>'COTIDIANO - IS'!P21</f>
        <v>-</v>
      </c>
      <c r="Q21" s="320" t="str">
        <f>'COTIDIANO - IS'!Q21</f>
        <v>-</v>
      </c>
      <c r="R21" s="320" t="str">
        <f>'COTIDIANO - IS'!R21</f>
        <v>-</v>
      </c>
      <c r="S21" s="320" t="str">
        <f>'COTIDIANO - IS'!S21</f>
        <v>-</v>
      </c>
      <c r="T21" s="320" t="str">
        <f>'COTIDIANO - IS'!T21</f>
        <v>-</v>
      </c>
      <c r="U21" s="320" t="str">
        <f>'COTIDIANO - IS'!U21</f>
        <v>-</v>
      </c>
      <c r="V21" s="320" t="str">
        <f>'COTIDIANO - IS'!V21</f>
        <v>-</v>
      </c>
      <c r="W21" s="320" t="str">
        <f>'COTIDIANO - IS'!W21</f>
        <v>-</v>
      </c>
      <c r="X21" s="320" t="str">
        <f>'COTIDIANO - IS'!X21</f>
        <v>-</v>
      </c>
      <c r="Y21" s="288">
        <f>'COTIDIANO - IS'!Y21</f>
        <v>0</v>
      </c>
      <c r="Z21" s="120" t="str">
        <f>'COTIDIANO - IS'!Z21</f>
        <v>Debe mejorar su trabajo.</v>
      </c>
      <c r="AA21" s="168">
        <f>'COTIDIANO - IS'!AA21</f>
        <v>0</v>
      </c>
      <c r="AB21" s="166">
        <f t="shared" si="1"/>
        <v>0</v>
      </c>
      <c r="AC21" s="243">
        <f t="shared" si="0"/>
        <v>0</v>
      </c>
      <c r="AD21" s="163">
        <f>'EXAMENES - IS'!G20</f>
        <v>0</v>
      </c>
      <c r="AE21" s="166">
        <f t="shared" si="2"/>
        <v>100</v>
      </c>
      <c r="AF21" s="243">
        <f t="shared" si="3"/>
        <v>25</v>
      </c>
      <c r="AG21" s="163">
        <f>'EXAMENES - IS'!J20</f>
        <v>9</v>
      </c>
      <c r="AH21" s="168">
        <f>'TAREAS - IS'!I20</f>
        <v>0</v>
      </c>
      <c r="AI21" s="243">
        <f>ASISTENCIA!I13</f>
        <v>8.75</v>
      </c>
      <c r="AJ21" s="524">
        <f t="shared" si="4"/>
        <v>33.75</v>
      </c>
      <c r="AK21" s="43">
        <f>'REGISTRO DATOS'!J18</f>
        <v>0</v>
      </c>
      <c r="AO21" s="786" t="s">
        <v>152</v>
      </c>
      <c r="AP21" s="787"/>
      <c r="AQ21" s="787"/>
      <c r="AR21" s="788"/>
    </row>
    <row r="22" spans="1:45" ht="18" customHeight="1" thickBot="1">
      <c r="A22" s="321">
        <v>7</v>
      </c>
      <c r="B22" s="322" t="str">
        <f>IFERROR(IF(VLOOKUP(A22,'REGISTRO DATOS'!B:H,2,0)=0,"",VLOOKUP(A22,'REGISTRO DATOS'!B:H,2,0)),"")</f>
        <v xml:space="preserve">GONZALEZ </v>
      </c>
      <c r="C22" s="322" t="str">
        <f>IFERROR(IF(VLOOKUP(A22,'REGISTRO DATOS'!B:H,3,0)=0,"",VLOOKUP(A22,'REGISTRO DATOS'!B:H,3,0)),"")</f>
        <v>CHAVARRIA</v>
      </c>
      <c r="D22" s="322" t="str">
        <f>IFERROR(IF(VLOOKUP(A22,'REGISTRO DATOS'!B:H,4,0)=0,"",VLOOKUP(A22,'REGISTRO DATOS'!B:H,4,0)),"")</f>
        <v>STEPHANIE</v>
      </c>
      <c r="E22" s="320" t="str">
        <f>'COTIDIANO - IS'!E22</f>
        <v>-</v>
      </c>
      <c r="F22" s="320" t="str">
        <f>'COTIDIANO - IS'!F22</f>
        <v>-</v>
      </c>
      <c r="G22" s="320" t="str">
        <f>'COTIDIANO - IS'!G22</f>
        <v>-</v>
      </c>
      <c r="H22" s="320" t="str">
        <f>'COTIDIANO - IS'!H22</f>
        <v>-</v>
      </c>
      <c r="I22" s="320" t="str">
        <f>'COTIDIANO - IS'!I22</f>
        <v>-</v>
      </c>
      <c r="J22" s="320" t="str">
        <f>'COTIDIANO - IS'!J22</f>
        <v>-</v>
      </c>
      <c r="K22" s="320" t="str">
        <f>'COTIDIANO - IS'!K22</f>
        <v>-</v>
      </c>
      <c r="L22" s="320" t="str">
        <f>'COTIDIANO - IS'!L22</f>
        <v>-</v>
      </c>
      <c r="M22" s="320" t="str">
        <f>'COTIDIANO - IS'!M22</f>
        <v>-</v>
      </c>
      <c r="N22" s="320" t="str">
        <f>'COTIDIANO - IS'!N22</f>
        <v>-</v>
      </c>
      <c r="O22" s="320" t="str">
        <f>'COTIDIANO - IS'!O22</f>
        <v>-</v>
      </c>
      <c r="P22" s="320" t="str">
        <f>'COTIDIANO - IS'!P22</f>
        <v>-</v>
      </c>
      <c r="Q22" s="320" t="str">
        <f>'COTIDIANO - IS'!Q22</f>
        <v>-</v>
      </c>
      <c r="R22" s="320" t="str">
        <f>'COTIDIANO - IS'!R22</f>
        <v>-</v>
      </c>
      <c r="S22" s="320" t="str">
        <f>'COTIDIANO - IS'!S22</f>
        <v>-</v>
      </c>
      <c r="T22" s="320" t="str">
        <f>'COTIDIANO - IS'!T22</f>
        <v>-</v>
      </c>
      <c r="U22" s="320" t="str">
        <f>'COTIDIANO - IS'!U22</f>
        <v>-</v>
      </c>
      <c r="V22" s="320" t="str">
        <f>'COTIDIANO - IS'!V22</f>
        <v>-</v>
      </c>
      <c r="W22" s="320" t="str">
        <f>'COTIDIANO - IS'!W22</f>
        <v>-</v>
      </c>
      <c r="X22" s="320" t="str">
        <f>'COTIDIANO - IS'!X22</f>
        <v>-</v>
      </c>
      <c r="Y22" s="288">
        <f>'COTIDIANO - IS'!Y22</f>
        <v>0</v>
      </c>
      <c r="Z22" s="120" t="str">
        <f>'COTIDIANO - IS'!Z22</f>
        <v>Debe mejorar su trabajo.</v>
      </c>
      <c r="AA22" s="168">
        <f>'COTIDIANO - IS'!AA22</f>
        <v>0</v>
      </c>
      <c r="AB22" s="166">
        <f t="shared" si="1"/>
        <v>0</v>
      </c>
      <c r="AC22" s="243">
        <f t="shared" si="0"/>
        <v>0</v>
      </c>
      <c r="AD22" s="163">
        <f>'EXAMENES - IS'!G21</f>
        <v>0</v>
      </c>
      <c r="AE22" s="166">
        <f t="shared" si="2"/>
        <v>88.888888888888886</v>
      </c>
      <c r="AF22" s="243">
        <f t="shared" si="3"/>
        <v>22.222222222222221</v>
      </c>
      <c r="AG22" s="163">
        <f>'EXAMENES - IS'!J21</f>
        <v>8</v>
      </c>
      <c r="AH22" s="168">
        <f>'TAREAS - IS'!I21</f>
        <v>0</v>
      </c>
      <c r="AI22" s="243">
        <f>ASISTENCIA!I14</f>
        <v>8.75</v>
      </c>
      <c r="AJ22" s="524">
        <f t="shared" si="4"/>
        <v>30.972222222222221</v>
      </c>
      <c r="AK22" s="43">
        <f>'REGISTRO DATOS'!J19</f>
        <v>0</v>
      </c>
      <c r="AO22" s="793" t="s">
        <v>130</v>
      </c>
      <c r="AP22" s="794"/>
      <c r="AQ22" s="786" t="s">
        <v>131</v>
      </c>
      <c r="AR22" s="788"/>
    </row>
    <row r="23" spans="1:45" ht="18" customHeight="1">
      <c r="A23" s="324">
        <v>8</v>
      </c>
      <c r="B23" s="322" t="str">
        <f>IFERROR(IF(VLOOKUP(A23,'REGISTRO DATOS'!B:H,2,0)=0,"",VLOOKUP(A23,'REGISTRO DATOS'!B:H,2,0)),"")</f>
        <v/>
      </c>
      <c r="C23" s="322" t="str">
        <f>IFERROR(IF(VLOOKUP(A23,'REGISTRO DATOS'!B:H,3,0)=0,"",VLOOKUP(A23,'REGISTRO DATOS'!B:H,3,0)),"")</f>
        <v/>
      </c>
      <c r="D23" s="322" t="str">
        <f>IFERROR(IF(VLOOKUP(A23,'REGISTRO DATOS'!B:H,4,0)=0,"",VLOOKUP(A23,'REGISTRO DATOS'!B:H,4,0)),"")</f>
        <v>YASCINI</v>
      </c>
      <c r="E23" s="320" t="str">
        <f>'COTIDIANO - IS'!E23</f>
        <v>-</v>
      </c>
      <c r="F23" s="320" t="str">
        <f>'COTIDIANO - IS'!F23</f>
        <v>-</v>
      </c>
      <c r="G23" s="320" t="str">
        <f>'COTIDIANO - IS'!G23</f>
        <v>-</v>
      </c>
      <c r="H23" s="320" t="str">
        <f>'COTIDIANO - IS'!H23</f>
        <v>-</v>
      </c>
      <c r="I23" s="320" t="str">
        <f>'COTIDIANO - IS'!I23</f>
        <v>-</v>
      </c>
      <c r="J23" s="320" t="str">
        <f>'COTIDIANO - IS'!J23</f>
        <v>-</v>
      </c>
      <c r="K23" s="320" t="str">
        <f>'COTIDIANO - IS'!K23</f>
        <v>-</v>
      </c>
      <c r="L23" s="320" t="str">
        <f>'COTIDIANO - IS'!L23</f>
        <v>-</v>
      </c>
      <c r="M23" s="320" t="str">
        <f>'COTIDIANO - IS'!M23</f>
        <v>-</v>
      </c>
      <c r="N23" s="320" t="str">
        <f>'COTIDIANO - IS'!N23</f>
        <v>-</v>
      </c>
      <c r="O23" s="320" t="str">
        <f>'COTIDIANO - IS'!O23</f>
        <v>-</v>
      </c>
      <c r="P23" s="320" t="str">
        <f>'COTIDIANO - IS'!P23</f>
        <v>-</v>
      </c>
      <c r="Q23" s="320" t="str">
        <f>'COTIDIANO - IS'!Q23</f>
        <v>-</v>
      </c>
      <c r="R23" s="320" t="str">
        <f>'COTIDIANO - IS'!R23</f>
        <v>-</v>
      </c>
      <c r="S23" s="320" t="str">
        <f>'COTIDIANO - IS'!S23</f>
        <v>-</v>
      </c>
      <c r="T23" s="320" t="str">
        <f>'COTIDIANO - IS'!T23</f>
        <v>-</v>
      </c>
      <c r="U23" s="320" t="str">
        <f>'COTIDIANO - IS'!U23</f>
        <v>-</v>
      </c>
      <c r="V23" s="320" t="str">
        <f>'COTIDIANO - IS'!V23</f>
        <v>-</v>
      </c>
      <c r="W23" s="320" t="str">
        <f>'COTIDIANO - IS'!W23</f>
        <v>-</v>
      </c>
      <c r="X23" s="320" t="str">
        <f>'COTIDIANO - IS'!X23</f>
        <v>-</v>
      </c>
      <c r="Y23" s="288">
        <f>'COTIDIANO - IS'!Y23</f>
        <v>0</v>
      </c>
      <c r="Z23" s="120" t="str">
        <f>'COTIDIANO - IS'!Z23</f>
        <v>Debe mejorar su trabajo.</v>
      </c>
      <c r="AA23" s="168">
        <f>'COTIDIANO - IS'!AA23</f>
        <v>0</v>
      </c>
      <c r="AB23" s="166">
        <f t="shared" si="1"/>
        <v>0</v>
      </c>
      <c r="AC23" s="243">
        <f t="shared" si="0"/>
        <v>0</v>
      </c>
      <c r="AD23" s="163">
        <f>'EXAMENES - IS'!G22</f>
        <v>0</v>
      </c>
      <c r="AE23" s="166">
        <f t="shared" si="2"/>
        <v>88.888888888888886</v>
      </c>
      <c r="AF23" s="243">
        <f t="shared" si="3"/>
        <v>22.222222222222221</v>
      </c>
      <c r="AG23" s="163">
        <f>'EXAMENES - IS'!J22</f>
        <v>8</v>
      </c>
      <c r="AH23" s="168">
        <f>'TAREAS - IS'!I22</f>
        <v>0</v>
      </c>
      <c r="AI23" s="243">
        <f>ASISTENCIA!I15</f>
        <v>8.75</v>
      </c>
      <c r="AJ23" s="524">
        <f t="shared" si="4"/>
        <v>30.972222222222221</v>
      </c>
      <c r="AK23" s="43">
        <f>'REGISTRO DATOS'!J20</f>
        <v>0</v>
      </c>
      <c r="AO23" s="198" t="s">
        <v>156</v>
      </c>
      <c r="AP23" s="199" t="s">
        <v>155</v>
      </c>
      <c r="AQ23" s="198" t="s">
        <v>156</v>
      </c>
      <c r="AR23" s="199" t="s">
        <v>155</v>
      </c>
    </row>
    <row r="24" spans="1:45" ht="18" customHeight="1" thickBot="1">
      <c r="A24" s="324">
        <v>9</v>
      </c>
      <c r="B24" s="322" t="str">
        <f>IFERROR(IF(VLOOKUP(A24,'REGISTRO DATOS'!B:H,2,0)=0,"",VLOOKUP(A24,'REGISTRO DATOS'!B:H,2,0)),"")</f>
        <v>CUBILLO</v>
      </c>
      <c r="C24" s="322" t="str">
        <f>IFERROR(IF(VLOOKUP(A24,'REGISTRO DATOS'!B:H,3,0)=0,"",VLOOKUP(A24,'REGISTRO DATOS'!B:H,3,0)),"")</f>
        <v/>
      </c>
      <c r="D24" s="322" t="str">
        <f>IFERROR(IF(VLOOKUP(A24,'REGISTRO DATOS'!B:H,4,0)=0,"",VLOOKUP(A24,'REGISTRO DATOS'!B:H,4,0)),"")</f>
        <v xml:space="preserve">DYLAN </v>
      </c>
      <c r="E24" s="320" t="str">
        <f>'COTIDIANO - IS'!E24</f>
        <v>-</v>
      </c>
      <c r="F24" s="320" t="str">
        <f>'COTIDIANO - IS'!F24</f>
        <v>-</v>
      </c>
      <c r="G24" s="320" t="str">
        <f>'COTIDIANO - IS'!G24</f>
        <v>-</v>
      </c>
      <c r="H24" s="320" t="str">
        <f>'COTIDIANO - IS'!H24</f>
        <v>-</v>
      </c>
      <c r="I24" s="320" t="str">
        <f>'COTIDIANO - IS'!I24</f>
        <v>-</v>
      </c>
      <c r="J24" s="320" t="str">
        <f>'COTIDIANO - IS'!J24</f>
        <v>-</v>
      </c>
      <c r="K24" s="320" t="str">
        <f>'COTIDIANO - IS'!K24</f>
        <v>-</v>
      </c>
      <c r="L24" s="320" t="str">
        <f>'COTIDIANO - IS'!L24</f>
        <v>-</v>
      </c>
      <c r="M24" s="320" t="str">
        <f>'COTIDIANO - IS'!M24</f>
        <v>-</v>
      </c>
      <c r="N24" s="320" t="str">
        <f>'COTIDIANO - IS'!N24</f>
        <v>-</v>
      </c>
      <c r="O24" s="320" t="str">
        <f>'COTIDIANO - IS'!O24</f>
        <v>-</v>
      </c>
      <c r="P24" s="320" t="str">
        <f>'COTIDIANO - IS'!P24</f>
        <v>-</v>
      </c>
      <c r="Q24" s="320" t="str">
        <f>'COTIDIANO - IS'!Q24</f>
        <v>-</v>
      </c>
      <c r="R24" s="320" t="str">
        <f>'COTIDIANO - IS'!R24</f>
        <v>-</v>
      </c>
      <c r="S24" s="320" t="str">
        <f>'COTIDIANO - IS'!S24</f>
        <v>-</v>
      </c>
      <c r="T24" s="320" t="str">
        <f>'COTIDIANO - IS'!T24</f>
        <v>-</v>
      </c>
      <c r="U24" s="320" t="str">
        <f>'COTIDIANO - IS'!U24</f>
        <v>-</v>
      </c>
      <c r="V24" s="320" t="str">
        <f>'COTIDIANO - IS'!V24</f>
        <v>-</v>
      </c>
      <c r="W24" s="320" t="str">
        <f>'COTIDIANO - IS'!W24</f>
        <v>-</v>
      </c>
      <c r="X24" s="320" t="str">
        <f>'COTIDIANO - IS'!X24</f>
        <v>-</v>
      </c>
      <c r="Y24" s="288">
        <f>'COTIDIANO - IS'!Y24</f>
        <v>0</v>
      </c>
      <c r="Z24" s="120" t="str">
        <f>'COTIDIANO - IS'!Z24</f>
        <v>Debe mejorar su trabajo.</v>
      </c>
      <c r="AA24" s="168">
        <f>'COTIDIANO - IS'!AA24</f>
        <v>0</v>
      </c>
      <c r="AB24" s="166">
        <f t="shared" si="1"/>
        <v>0</v>
      </c>
      <c r="AC24" s="243">
        <f t="shared" si="0"/>
        <v>0</v>
      </c>
      <c r="AD24" s="163">
        <f>'EXAMENES - IS'!G23</f>
        <v>0</v>
      </c>
      <c r="AE24" s="166">
        <f t="shared" si="2"/>
        <v>100</v>
      </c>
      <c r="AF24" s="243">
        <f t="shared" si="3"/>
        <v>25</v>
      </c>
      <c r="AG24" s="163">
        <f>'EXAMENES - IS'!J23</f>
        <v>9</v>
      </c>
      <c r="AH24" s="168">
        <f>'TAREAS - IS'!I23</f>
        <v>0</v>
      </c>
      <c r="AI24" s="243">
        <f>ASISTENCIA!I16</f>
        <v>10</v>
      </c>
      <c r="AJ24" s="524">
        <f t="shared" si="4"/>
        <v>35</v>
      </c>
      <c r="AK24" s="43">
        <f>'REGISTRO DATOS'!J21</f>
        <v>0</v>
      </c>
      <c r="AO24" s="200">
        <f>COUNTIFS(AK16:AK55,"H",AB16:AB55,"&lt;65")</f>
        <v>0</v>
      </c>
      <c r="AP24" s="201">
        <f>COUNTIFS(AK16:AK55,"H",AB16:AB55,"&gt;65")</f>
        <v>0</v>
      </c>
      <c r="AQ24" s="200">
        <f>COUNTIFS(AK16:AK55,"M",AB16:AB55,"&lt;65")</f>
        <v>0</v>
      </c>
      <c r="AR24" s="201">
        <f>COUNTIFS(AK16:AK55,"M",AB16:AB55,"&gt;65")</f>
        <v>0</v>
      </c>
      <c r="AS24" s="43">
        <f>SUM(AO24:AR24)</f>
        <v>0</v>
      </c>
    </row>
    <row r="25" spans="1:45" ht="18" customHeight="1" thickBot="1">
      <c r="A25" s="321">
        <v>10</v>
      </c>
      <c r="B25" s="322" t="str">
        <f>IFERROR(IF(VLOOKUP(A25,'REGISTRO DATOS'!B:H,2,0)=0,"",VLOOKUP(A25,'REGISTRO DATOS'!B:H,2,0)),"")</f>
        <v/>
      </c>
      <c r="C25" s="322" t="str">
        <f>IFERROR(IF(VLOOKUP(A25,'REGISTRO DATOS'!B:H,3,0)=0,"",VLOOKUP(A25,'REGISTRO DATOS'!B:H,3,0)),"")</f>
        <v/>
      </c>
      <c r="D25" s="322" t="str">
        <f>IFERROR(IF(VLOOKUP(A25,'REGISTRO DATOS'!B:H,4,0)=0,"",VLOOKUP(A25,'REGISTRO DATOS'!B:H,4,0)),"")</f>
        <v>KATTYA</v>
      </c>
      <c r="E25" s="320" t="str">
        <f>'COTIDIANO - IS'!E25</f>
        <v>-</v>
      </c>
      <c r="F25" s="320" t="str">
        <f>'COTIDIANO - IS'!F25</f>
        <v>-</v>
      </c>
      <c r="G25" s="320" t="str">
        <f>'COTIDIANO - IS'!G25</f>
        <v>-</v>
      </c>
      <c r="H25" s="320" t="str">
        <f>'COTIDIANO - IS'!H25</f>
        <v>-</v>
      </c>
      <c r="I25" s="320" t="str">
        <f>'COTIDIANO - IS'!I25</f>
        <v>-</v>
      </c>
      <c r="J25" s="320" t="str">
        <f>'COTIDIANO - IS'!J25</f>
        <v>-</v>
      </c>
      <c r="K25" s="320" t="str">
        <f>'COTIDIANO - IS'!K25</f>
        <v>-</v>
      </c>
      <c r="L25" s="320" t="str">
        <f>'COTIDIANO - IS'!L25</f>
        <v>-</v>
      </c>
      <c r="M25" s="320" t="str">
        <f>'COTIDIANO - IS'!M25</f>
        <v>-</v>
      </c>
      <c r="N25" s="320" t="str">
        <f>'COTIDIANO - IS'!N25</f>
        <v>-</v>
      </c>
      <c r="O25" s="320" t="str">
        <f>'COTIDIANO - IS'!O25</f>
        <v>-</v>
      </c>
      <c r="P25" s="320" t="str">
        <f>'COTIDIANO - IS'!P25</f>
        <v>-</v>
      </c>
      <c r="Q25" s="320" t="str">
        <f>'COTIDIANO - IS'!Q25</f>
        <v>-</v>
      </c>
      <c r="R25" s="320" t="str">
        <f>'COTIDIANO - IS'!R25</f>
        <v>-</v>
      </c>
      <c r="S25" s="320" t="str">
        <f>'COTIDIANO - IS'!S25</f>
        <v>-</v>
      </c>
      <c r="T25" s="320" t="str">
        <f>'COTIDIANO - IS'!T25</f>
        <v>-</v>
      </c>
      <c r="U25" s="320" t="str">
        <f>'COTIDIANO - IS'!U25</f>
        <v>-</v>
      </c>
      <c r="V25" s="320" t="str">
        <f>'COTIDIANO - IS'!V25</f>
        <v>-</v>
      </c>
      <c r="W25" s="320" t="str">
        <f>'COTIDIANO - IS'!W25</f>
        <v>-</v>
      </c>
      <c r="X25" s="320" t="str">
        <f>'COTIDIANO - IS'!X25</f>
        <v>-</v>
      </c>
      <c r="Y25" s="288">
        <f>'COTIDIANO - IS'!Y25</f>
        <v>0</v>
      </c>
      <c r="Z25" s="120" t="str">
        <f>'COTIDIANO - IS'!Z25</f>
        <v>Debe mejorar su trabajo.</v>
      </c>
      <c r="AA25" s="168">
        <f>'COTIDIANO - IS'!AA25</f>
        <v>0</v>
      </c>
      <c r="AB25" s="166">
        <f t="shared" si="1"/>
        <v>0</v>
      </c>
      <c r="AC25" s="243">
        <f t="shared" si="0"/>
        <v>0</v>
      </c>
      <c r="AD25" s="163">
        <f>'EXAMENES - IS'!G24</f>
        <v>0</v>
      </c>
      <c r="AE25" s="166">
        <f t="shared" si="2"/>
        <v>100</v>
      </c>
      <c r="AF25" s="243">
        <f t="shared" si="3"/>
        <v>25</v>
      </c>
      <c r="AG25" s="163">
        <f>'EXAMENES - IS'!J24</f>
        <v>9</v>
      </c>
      <c r="AH25" s="168">
        <f>'TAREAS - IS'!I24</f>
        <v>0</v>
      </c>
      <c r="AI25" s="243">
        <f>ASISTENCIA!I17</f>
        <v>10</v>
      </c>
      <c r="AJ25" s="524">
        <f t="shared" si="4"/>
        <v>35</v>
      </c>
      <c r="AK25" s="43">
        <f>'REGISTRO DATOS'!J22</f>
        <v>0</v>
      </c>
    </row>
    <row r="26" spans="1:45" ht="18" customHeight="1" thickBot="1">
      <c r="A26" s="324">
        <v>11</v>
      </c>
      <c r="B26" s="322" t="str">
        <f>IFERROR(IF(VLOOKUP(A26,'REGISTRO DATOS'!B:H,2,0)=0,"",VLOOKUP(A26,'REGISTRO DATOS'!B:H,2,0)),"")</f>
        <v>BRIZUELA</v>
      </c>
      <c r="C26" s="322" t="str">
        <f>IFERROR(IF(VLOOKUP(A26,'REGISTRO DATOS'!B:H,3,0)=0,"",VLOOKUP(A26,'REGISTRO DATOS'!B:H,3,0)),"")</f>
        <v/>
      </c>
      <c r="D26" s="322" t="str">
        <f>IFERROR(IF(VLOOKUP(A26,'REGISTRO DATOS'!B:H,4,0)=0,"",VLOOKUP(A26,'REGISTRO DATOS'!B:H,4,0)),"")</f>
        <v>FABIOLA</v>
      </c>
      <c r="E26" s="320" t="str">
        <f>'COTIDIANO - IS'!E26</f>
        <v>-</v>
      </c>
      <c r="F26" s="320" t="str">
        <f>'COTIDIANO - IS'!F26</f>
        <v>-</v>
      </c>
      <c r="G26" s="320" t="str">
        <f>'COTIDIANO - IS'!G26</f>
        <v>-</v>
      </c>
      <c r="H26" s="320" t="str">
        <f>'COTIDIANO - IS'!H26</f>
        <v>-</v>
      </c>
      <c r="I26" s="320" t="str">
        <f>'COTIDIANO - IS'!I26</f>
        <v>-</v>
      </c>
      <c r="J26" s="320" t="str">
        <f>'COTIDIANO - IS'!J26</f>
        <v>-</v>
      </c>
      <c r="K26" s="320" t="str">
        <f>'COTIDIANO - IS'!K26</f>
        <v>-</v>
      </c>
      <c r="L26" s="320" t="str">
        <f>'COTIDIANO - IS'!L26</f>
        <v>-</v>
      </c>
      <c r="M26" s="320" t="str">
        <f>'COTIDIANO - IS'!M26</f>
        <v>-</v>
      </c>
      <c r="N26" s="320" t="str">
        <f>'COTIDIANO - IS'!N26</f>
        <v>-</v>
      </c>
      <c r="O26" s="320" t="str">
        <f>'COTIDIANO - IS'!O26</f>
        <v>-</v>
      </c>
      <c r="P26" s="320" t="str">
        <f>'COTIDIANO - IS'!P26</f>
        <v>-</v>
      </c>
      <c r="Q26" s="320" t="str">
        <f>'COTIDIANO - IS'!Q26</f>
        <v>-</v>
      </c>
      <c r="R26" s="320" t="str">
        <f>'COTIDIANO - IS'!R26</f>
        <v>-</v>
      </c>
      <c r="S26" s="320" t="str">
        <f>'COTIDIANO - IS'!S26</f>
        <v>-</v>
      </c>
      <c r="T26" s="320" t="str">
        <f>'COTIDIANO - IS'!T26</f>
        <v>-</v>
      </c>
      <c r="U26" s="320" t="str">
        <f>'COTIDIANO - IS'!U26</f>
        <v>-</v>
      </c>
      <c r="V26" s="320" t="str">
        <f>'COTIDIANO - IS'!V26</f>
        <v>-</v>
      </c>
      <c r="W26" s="320" t="str">
        <f>'COTIDIANO - IS'!W26</f>
        <v>-</v>
      </c>
      <c r="X26" s="320" t="str">
        <f>'COTIDIANO - IS'!X26</f>
        <v>-</v>
      </c>
      <c r="Y26" s="288">
        <f>'COTIDIANO - IS'!Y26</f>
        <v>0</v>
      </c>
      <c r="Z26" s="120" t="str">
        <f>'COTIDIANO - IS'!Z26</f>
        <v>Debe mejorar su trabajo.</v>
      </c>
      <c r="AA26" s="168">
        <f>'COTIDIANO - IS'!AA26</f>
        <v>0</v>
      </c>
      <c r="AB26" s="166">
        <f t="shared" si="1"/>
        <v>0</v>
      </c>
      <c r="AC26" s="243">
        <f t="shared" si="0"/>
        <v>0</v>
      </c>
      <c r="AD26" s="163">
        <f>'EXAMENES - IS'!G25</f>
        <v>0</v>
      </c>
      <c r="AE26" s="166">
        <f t="shared" si="2"/>
        <v>77.777777777777786</v>
      </c>
      <c r="AF26" s="243">
        <f t="shared" si="3"/>
        <v>19.444444444444446</v>
      </c>
      <c r="AG26" s="163">
        <f>'EXAMENES - IS'!J25</f>
        <v>7</v>
      </c>
      <c r="AH26" s="168">
        <f>'TAREAS - IS'!I25</f>
        <v>0</v>
      </c>
      <c r="AI26" s="243">
        <f>ASISTENCIA!I18</f>
        <v>10</v>
      </c>
      <c r="AJ26" s="524">
        <f t="shared" si="4"/>
        <v>29.444444444444446</v>
      </c>
      <c r="AK26" s="43">
        <f>'REGISTRO DATOS'!J23</f>
        <v>0</v>
      </c>
      <c r="AO26" s="786" t="s">
        <v>158</v>
      </c>
      <c r="AP26" s="787"/>
      <c r="AQ26" s="787"/>
      <c r="AR26" s="788"/>
    </row>
    <row r="27" spans="1:45" ht="18" customHeight="1" thickBot="1">
      <c r="A27" s="324">
        <v>12</v>
      </c>
      <c r="B27" s="322" t="str">
        <f>IFERROR(IF(VLOOKUP(A27,'REGISTRO DATOS'!B:H,2,0)=0,"",VLOOKUP(A27,'REGISTRO DATOS'!B:H,2,0)),"")</f>
        <v/>
      </c>
      <c r="C27" s="322" t="str">
        <f>IFERROR(IF(VLOOKUP(A27,'REGISTRO DATOS'!B:H,3,0)=0,"",VLOOKUP(A27,'REGISTRO DATOS'!B:H,3,0)),"")</f>
        <v/>
      </c>
      <c r="D27" s="322" t="str">
        <f>IFERROR(IF(VLOOKUP(A27,'REGISTRO DATOS'!B:H,4,0)=0,"",VLOOKUP(A27,'REGISTRO DATOS'!B:H,4,0)),"")</f>
        <v>DARIANA</v>
      </c>
      <c r="E27" s="320" t="str">
        <f>'COTIDIANO - IS'!E27</f>
        <v>-</v>
      </c>
      <c r="F27" s="320" t="str">
        <f>'COTIDIANO - IS'!F27</f>
        <v>-</v>
      </c>
      <c r="G27" s="320" t="str">
        <f>'COTIDIANO - IS'!G27</f>
        <v>-</v>
      </c>
      <c r="H27" s="320" t="str">
        <f>'COTIDIANO - IS'!H27</f>
        <v>-</v>
      </c>
      <c r="I27" s="320" t="str">
        <f>'COTIDIANO - IS'!I27</f>
        <v>-</v>
      </c>
      <c r="J27" s="320" t="str">
        <f>'COTIDIANO - IS'!J27</f>
        <v>-</v>
      </c>
      <c r="K27" s="320" t="str">
        <f>'COTIDIANO - IS'!K27</f>
        <v>-</v>
      </c>
      <c r="L27" s="320" t="str">
        <f>'COTIDIANO - IS'!L27</f>
        <v>-</v>
      </c>
      <c r="M27" s="320" t="str">
        <f>'COTIDIANO - IS'!M27</f>
        <v>-</v>
      </c>
      <c r="N27" s="320" t="str">
        <f>'COTIDIANO - IS'!N27</f>
        <v>-</v>
      </c>
      <c r="O27" s="320" t="str">
        <f>'COTIDIANO - IS'!O27</f>
        <v>-</v>
      </c>
      <c r="P27" s="320" t="str">
        <f>'COTIDIANO - IS'!P27</f>
        <v>-</v>
      </c>
      <c r="Q27" s="320" t="str">
        <f>'COTIDIANO - IS'!Q27</f>
        <v>-</v>
      </c>
      <c r="R27" s="320" t="str">
        <f>'COTIDIANO - IS'!R27</f>
        <v>-</v>
      </c>
      <c r="S27" s="320" t="str">
        <f>'COTIDIANO - IS'!S27</f>
        <v>-</v>
      </c>
      <c r="T27" s="320" t="str">
        <f>'COTIDIANO - IS'!T27</f>
        <v>-</v>
      </c>
      <c r="U27" s="320" t="str">
        <f>'COTIDIANO - IS'!U27</f>
        <v>-</v>
      </c>
      <c r="V27" s="320" t="str">
        <f>'COTIDIANO - IS'!V27</f>
        <v>-</v>
      </c>
      <c r="W27" s="320" t="str">
        <f>'COTIDIANO - IS'!W27</f>
        <v>-</v>
      </c>
      <c r="X27" s="320" t="str">
        <f>'COTIDIANO - IS'!X27</f>
        <v>-</v>
      </c>
      <c r="Y27" s="288">
        <f>'COTIDIANO - IS'!Y27</f>
        <v>0</v>
      </c>
      <c r="Z27" s="120" t="str">
        <f>'COTIDIANO - IS'!Z27</f>
        <v>Debe mejorar su trabajo.</v>
      </c>
      <c r="AA27" s="168">
        <f>'COTIDIANO - IS'!AA27</f>
        <v>0</v>
      </c>
      <c r="AB27" s="166">
        <f t="shared" si="1"/>
        <v>0</v>
      </c>
      <c r="AC27" s="243">
        <f t="shared" si="0"/>
        <v>0</v>
      </c>
      <c r="AD27" s="163">
        <f>'EXAMENES - IS'!G26</f>
        <v>0</v>
      </c>
      <c r="AE27" s="166">
        <f t="shared" si="2"/>
        <v>100</v>
      </c>
      <c r="AF27" s="243">
        <f t="shared" si="3"/>
        <v>25</v>
      </c>
      <c r="AG27" s="163">
        <f>'EXAMENES - IS'!J26</f>
        <v>9</v>
      </c>
      <c r="AH27" s="168">
        <f>'TAREAS - IS'!I26</f>
        <v>0</v>
      </c>
      <c r="AI27" s="243">
        <f>ASISTENCIA!I19</f>
        <v>10</v>
      </c>
      <c r="AJ27" s="524">
        <f t="shared" si="4"/>
        <v>35</v>
      </c>
      <c r="AK27" s="43">
        <f>'REGISTRO DATOS'!J24</f>
        <v>0</v>
      </c>
      <c r="AO27" s="793" t="s">
        <v>130</v>
      </c>
      <c r="AP27" s="794"/>
      <c r="AQ27" s="786" t="s">
        <v>131</v>
      </c>
      <c r="AR27" s="788"/>
    </row>
    <row r="28" spans="1:45" ht="18" customHeight="1">
      <c r="A28" s="321">
        <v>13</v>
      </c>
      <c r="B28" s="322" t="str">
        <f>IFERROR(IF(VLOOKUP(A28,'REGISTRO DATOS'!B:H,2,0)=0,"",VLOOKUP(A28,'REGISTRO DATOS'!B:H,2,0)),"")</f>
        <v/>
      </c>
      <c r="C28" s="322" t="str">
        <f>IFERROR(IF(VLOOKUP(A28,'REGISTRO DATOS'!B:H,3,0)=0,"",VLOOKUP(A28,'REGISTRO DATOS'!B:H,3,0)),"")</f>
        <v/>
      </c>
      <c r="D28" s="322" t="str">
        <f>IFERROR(IF(VLOOKUP(A28,'REGISTRO DATOS'!B:H,4,0)=0,"",VLOOKUP(A28,'REGISTRO DATOS'!B:H,4,0)),"")</f>
        <v>JENIFER</v>
      </c>
      <c r="E28" s="320" t="str">
        <f>'COTIDIANO - IS'!E28</f>
        <v>-</v>
      </c>
      <c r="F28" s="320" t="str">
        <f>'COTIDIANO - IS'!F28</f>
        <v>-</v>
      </c>
      <c r="G28" s="320" t="str">
        <f>'COTIDIANO - IS'!G28</f>
        <v>-</v>
      </c>
      <c r="H28" s="320" t="str">
        <f>'COTIDIANO - IS'!H28</f>
        <v>-</v>
      </c>
      <c r="I28" s="320" t="str">
        <f>'COTIDIANO - IS'!I28</f>
        <v>-</v>
      </c>
      <c r="J28" s="320" t="str">
        <f>'COTIDIANO - IS'!J28</f>
        <v>-</v>
      </c>
      <c r="K28" s="320" t="str">
        <f>'COTIDIANO - IS'!K28</f>
        <v>-</v>
      </c>
      <c r="L28" s="320" t="str">
        <f>'COTIDIANO - IS'!L28</f>
        <v>-</v>
      </c>
      <c r="M28" s="320" t="str">
        <f>'COTIDIANO - IS'!M28</f>
        <v>-</v>
      </c>
      <c r="N28" s="320" t="str">
        <f>'COTIDIANO - IS'!N28</f>
        <v>-</v>
      </c>
      <c r="O28" s="320" t="str">
        <f>'COTIDIANO - IS'!O28</f>
        <v>-</v>
      </c>
      <c r="P28" s="320" t="str">
        <f>'COTIDIANO - IS'!P28</f>
        <v>-</v>
      </c>
      <c r="Q28" s="320" t="str">
        <f>'COTIDIANO - IS'!Q28</f>
        <v>-</v>
      </c>
      <c r="R28" s="320" t="str">
        <f>'COTIDIANO - IS'!R28</f>
        <v>-</v>
      </c>
      <c r="S28" s="320" t="str">
        <f>'COTIDIANO - IS'!S28</f>
        <v>-</v>
      </c>
      <c r="T28" s="320" t="str">
        <f>'COTIDIANO - IS'!T28</f>
        <v>-</v>
      </c>
      <c r="U28" s="320" t="str">
        <f>'COTIDIANO - IS'!U28</f>
        <v>-</v>
      </c>
      <c r="V28" s="320" t="str">
        <f>'COTIDIANO - IS'!V28</f>
        <v>-</v>
      </c>
      <c r="W28" s="320" t="str">
        <f>'COTIDIANO - IS'!W28</f>
        <v>-</v>
      </c>
      <c r="X28" s="320" t="str">
        <f>'COTIDIANO - IS'!X28</f>
        <v>-</v>
      </c>
      <c r="Y28" s="288">
        <f>'COTIDIANO - IS'!Y28</f>
        <v>0</v>
      </c>
      <c r="Z28" s="120" t="str">
        <f>'COTIDIANO - IS'!Z28</f>
        <v>Debe mejorar su trabajo.</v>
      </c>
      <c r="AA28" s="168">
        <f>'COTIDIANO - IS'!AA28</f>
        <v>0</v>
      </c>
      <c r="AB28" s="166">
        <f t="shared" si="1"/>
        <v>0</v>
      </c>
      <c r="AC28" s="243">
        <f t="shared" si="0"/>
        <v>0</v>
      </c>
      <c r="AD28" s="163">
        <f>'EXAMENES - IS'!G27</f>
        <v>0</v>
      </c>
      <c r="AE28" s="166">
        <f t="shared" si="2"/>
        <v>100</v>
      </c>
      <c r="AF28" s="243">
        <f t="shared" si="3"/>
        <v>25</v>
      </c>
      <c r="AG28" s="163">
        <f>'EXAMENES - IS'!J27</f>
        <v>9</v>
      </c>
      <c r="AH28" s="168">
        <f>'TAREAS - IS'!I27</f>
        <v>0</v>
      </c>
      <c r="AI28" s="243">
        <f>ASISTENCIA!I20</f>
        <v>10</v>
      </c>
      <c r="AJ28" s="524">
        <f t="shared" si="4"/>
        <v>35</v>
      </c>
      <c r="AK28" s="43">
        <f>'REGISTRO DATOS'!J25</f>
        <v>0</v>
      </c>
      <c r="AO28" s="198" t="s">
        <v>156</v>
      </c>
      <c r="AP28" s="199" t="s">
        <v>155</v>
      </c>
      <c r="AQ28" s="198" t="s">
        <v>156</v>
      </c>
      <c r="AR28" s="199" t="s">
        <v>155</v>
      </c>
    </row>
    <row r="29" spans="1:45" ht="18" customHeight="1" thickBot="1">
      <c r="A29" s="327">
        <v>14</v>
      </c>
      <c r="B29" s="322" t="str">
        <f>IFERROR(IF(VLOOKUP(A29,'REGISTRO DATOS'!B:H,2,0)=0,"",VLOOKUP(A29,'REGISTRO DATOS'!B:H,2,0)),"")</f>
        <v/>
      </c>
      <c r="C29" s="322" t="str">
        <f>IFERROR(IF(VLOOKUP(A29,'REGISTRO DATOS'!B:H,3,0)=0,"",VLOOKUP(A29,'REGISTRO DATOS'!B:H,3,0)),"")</f>
        <v/>
      </c>
      <c r="D29" s="322" t="str">
        <f>IFERROR(IF(VLOOKUP(A29,'REGISTRO DATOS'!B:H,4,0)=0,"",VLOOKUP(A29,'REGISTRO DATOS'!B:H,4,0)),"")</f>
        <v>GABRIELA</v>
      </c>
      <c r="E29" s="320" t="str">
        <f>'COTIDIANO - IS'!E29</f>
        <v>-</v>
      </c>
      <c r="F29" s="320" t="str">
        <f>'COTIDIANO - IS'!F29</f>
        <v>-</v>
      </c>
      <c r="G29" s="320" t="str">
        <f>'COTIDIANO - IS'!G29</f>
        <v>-</v>
      </c>
      <c r="H29" s="320" t="str">
        <f>'COTIDIANO - IS'!H29</f>
        <v>-</v>
      </c>
      <c r="I29" s="320" t="str">
        <f>'COTIDIANO - IS'!I29</f>
        <v>-</v>
      </c>
      <c r="J29" s="320" t="str">
        <f>'COTIDIANO - IS'!J29</f>
        <v>-</v>
      </c>
      <c r="K29" s="320" t="str">
        <f>'COTIDIANO - IS'!K29</f>
        <v>-</v>
      </c>
      <c r="L29" s="320" t="str">
        <f>'COTIDIANO - IS'!L29</f>
        <v>-</v>
      </c>
      <c r="M29" s="320" t="str">
        <f>'COTIDIANO - IS'!M29</f>
        <v>-</v>
      </c>
      <c r="N29" s="320" t="str">
        <f>'COTIDIANO - IS'!N29</f>
        <v>-</v>
      </c>
      <c r="O29" s="320" t="str">
        <f>'COTIDIANO - IS'!O29</f>
        <v>-</v>
      </c>
      <c r="P29" s="320" t="str">
        <f>'COTIDIANO - IS'!P29</f>
        <v>-</v>
      </c>
      <c r="Q29" s="320" t="str">
        <f>'COTIDIANO - IS'!Q29</f>
        <v>-</v>
      </c>
      <c r="R29" s="320" t="str">
        <f>'COTIDIANO - IS'!R29</f>
        <v>-</v>
      </c>
      <c r="S29" s="320" t="str">
        <f>'COTIDIANO - IS'!S29</f>
        <v>-</v>
      </c>
      <c r="T29" s="320" t="str">
        <f>'COTIDIANO - IS'!T29</f>
        <v>-</v>
      </c>
      <c r="U29" s="320" t="str">
        <f>'COTIDIANO - IS'!U29</f>
        <v>-</v>
      </c>
      <c r="V29" s="320" t="str">
        <f>'COTIDIANO - IS'!V29</f>
        <v>-</v>
      </c>
      <c r="W29" s="320" t="str">
        <f>'COTIDIANO - IS'!W29</f>
        <v>-</v>
      </c>
      <c r="X29" s="320" t="str">
        <f>'COTIDIANO - IS'!X29</f>
        <v>-</v>
      </c>
      <c r="Y29" s="288">
        <f>'COTIDIANO - IS'!Y29</f>
        <v>0</v>
      </c>
      <c r="Z29" s="120" t="str">
        <f>'COTIDIANO - IS'!Z29</f>
        <v>Debe mejorar su trabajo.</v>
      </c>
      <c r="AA29" s="168">
        <f>'COTIDIANO - IS'!AA29</f>
        <v>0</v>
      </c>
      <c r="AB29" s="166">
        <f t="shared" si="1"/>
        <v>0</v>
      </c>
      <c r="AC29" s="243">
        <f t="shared" si="0"/>
        <v>0</v>
      </c>
      <c r="AD29" s="163">
        <f>'EXAMENES - IS'!G28</f>
        <v>0</v>
      </c>
      <c r="AE29" s="166">
        <f t="shared" si="2"/>
        <v>100</v>
      </c>
      <c r="AF29" s="243">
        <f t="shared" si="3"/>
        <v>25</v>
      </c>
      <c r="AG29" s="163">
        <f>'EXAMENES - IS'!J28</f>
        <v>9</v>
      </c>
      <c r="AH29" s="168">
        <f>'TAREAS - IS'!I28</f>
        <v>0</v>
      </c>
      <c r="AI29" s="243">
        <f>ASISTENCIA!I21</f>
        <v>10</v>
      </c>
      <c r="AJ29" s="524">
        <f t="shared" si="4"/>
        <v>35</v>
      </c>
      <c r="AK29" s="43">
        <f>'REGISTRO DATOS'!J26</f>
        <v>0</v>
      </c>
      <c r="AO29" s="200">
        <f>COUNTIFS(AK16:AK55,"H",AE16:AE55,"&lt;65")</f>
        <v>0</v>
      </c>
      <c r="AP29" s="201">
        <f>COUNTIFS(AK16:AK55,"H",AE16:AE55,"&gt;65")</f>
        <v>0</v>
      </c>
      <c r="AQ29" s="200">
        <f>COUNTIFS(AK16:AK55,"M",AE16:AE55,"&lt;65")</f>
        <v>0</v>
      </c>
      <c r="AR29" s="201">
        <f>COUNTIFS(AK16:AK55,"M",AE16:AE55,"&gt;65")</f>
        <v>0</v>
      </c>
      <c r="AS29" s="43">
        <f>SUM(AO29:AR29)</f>
        <v>0</v>
      </c>
    </row>
    <row r="30" spans="1:45" ht="18" customHeight="1">
      <c r="A30" s="324">
        <v>15</v>
      </c>
      <c r="B30" s="322" t="str">
        <f>IFERROR(IF(VLOOKUP(A30,'REGISTRO DATOS'!B:H,2,0)=0,"",VLOOKUP(A30,'REGISTRO DATOS'!B:H,2,0)),"")</f>
        <v xml:space="preserve">SERRANO </v>
      </c>
      <c r="C30" s="322" t="str">
        <f>IFERROR(IF(VLOOKUP(A30,'REGISTRO DATOS'!B:H,3,0)=0,"",VLOOKUP(A30,'REGISTRO DATOS'!B:H,3,0)),"")</f>
        <v>VILLEGAS</v>
      </c>
      <c r="D30" s="322" t="str">
        <f>IFERROR(IF(VLOOKUP(A30,'REGISTRO DATOS'!B:H,4,0)=0,"",VLOOKUP(A30,'REGISTRO DATOS'!B:H,4,0)),"")</f>
        <v xml:space="preserve">DYLAN </v>
      </c>
      <c r="E30" s="320" t="str">
        <f>'COTIDIANO - IS'!E30</f>
        <v>-</v>
      </c>
      <c r="F30" s="320" t="str">
        <f>'COTIDIANO - IS'!F30</f>
        <v>-</v>
      </c>
      <c r="G30" s="320" t="str">
        <f>'COTIDIANO - IS'!G30</f>
        <v>-</v>
      </c>
      <c r="H30" s="320" t="str">
        <f>'COTIDIANO - IS'!H30</f>
        <v>-</v>
      </c>
      <c r="I30" s="320" t="str">
        <f>'COTIDIANO - IS'!I30</f>
        <v>-</v>
      </c>
      <c r="J30" s="320" t="str">
        <f>'COTIDIANO - IS'!J30</f>
        <v>-</v>
      </c>
      <c r="K30" s="320" t="str">
        <f>'COTIDIANO - IS'!K30</f>
        <v>-</v>
      </c>
      <c r="L30" s="320" t="str">
        <f>'COTIDIANO - IS'!L30</f>
        <v>-</v>
      </c>
      <c r="M30" s="320" t="str">
        <f>'COTIDIANO - IS'!M30</f>
        <v>-</v>
      </c>
      <c r="N30" s="320" t="str">
        <f>'COTIDIANO - IS'!N30</f>
        <v>-</v>
      </c>
      <c r="O30" s="320" t="str">
        <f>'COTIDIANO - IS'!O30</f>
        <v>-</v>
      </c>
      <c r="P30" s="320" t="str">
        <f>'COTIDIANO - IS'!P30</f>
        <v>-</v>
      </c>
      <c r="Q30" s="320" t="str">
        <f>'COTIDIANO - IS'!Q30</f>
        <v>-</v>
      </c>
      <c r="R30" s="320" t="str">
        <f>'COTIDIANO - IS'!R30</f>
        <v>-</v>
      </c>
      <c r="S30" s="320" t="str">
        <f>'COTIDIANO - IS'!S30</f>
        <v>-</v>
      </c>
      <c r="T30" s="320" t="str">
        <f>'COTIDIANO - IS'!T30</f>
        <v>-</v>
      </c>
      <c r="U30" s="320" t="str">
        <f>'COTIDIANO - IS'!U30</f>
        <v>-</v>
      </c>
      <c r="V30" s="320" t="str">
        <f>'COTIDIANO - IS'!V30</f>
        <v>-</v>
      </c>
      <c r="W30" s="320" t="str">
        <f>'COTIDIANO - IS'!W30</f>
        <v>-</v>
      </c>
      <c r="X30" s="320" t="str">
        <f>'COTIDIANO - IS'!X30</f>
        <v>-</v>
      </c>
      <c r="Y30" s="288">
        <f>'COTIDIANO - IS'!Y30</f>
        <v>0</v>
      </c>
      <c r="Z30" s="120" t="str">
        <f>'COTIDIANO - IS'!Z30</f>
        <v>Debe mejorar su trabajo.</v>
      </c>
      <c r="AA30" s="168">
        <f>'COTIDIANO - IS'!AA30</f>
        <v>0</v>
      </c>
      <c r="AB30" s="166">
        <f t="shared" si="1"/>
        <v>0</v>
      </c>
      <c r="AC30" s="243">
        <f t="shared" si="0"/>
        <v>0</v>
      </c>
      <c r="AD30" s="163">
        <f>'EXAMENES - IS'!G29</f>
        <v>0</v>
      </c>
      <c r="AE30" s="166">
        <f t="shared" si="2"/>
        <v>77.777777777777786</v>
      </c>
      <c r="AF30" s="243">
        <f t="shared" si="3"/>
        <v>19.444444444444446</v>
      </c>
      <c r="AG30" s="163">
        <f>'EXAMENES - IS'!J29</f>
        <v>7</v>
      </c>
      <c r="AH30" s="168">
        <f>'TAREAS - IS'!I29</f>
        <v>0</v>
      </c>
      <c r="AI30" s="243">
        <f>ASISTENCIA!I22</f>
        <v>6.25</v>
      </c>
      <c r="AJ30" s="524">
        <f t="shared" si="4"/>
        <v>25.694444444444446</v>
      </c>
      <c r="AK30" s="43">
        <f>'REGISTRO DATOS'!J27</f>
        <v>0</v>
      </c>
    </row>
    <row r="31" spans="1:45" ht="18" customHeight="1">
      <c r="A31" s="328">
        <v>16</v>
      </c>
      <c r="B31" s="322" t="str">
        <f>IFERROR(IF(VLOOKUP(A31,'REGISTRO DATOS'!B:H,2,0)=0,"",VLOOKUP(A31,'REGISTRO DATOS'!B:H,2,0)),"")</f>
        <v/>
      </c>
      <c r="C31" s="322" t="str">
        <f>IFERROR(IF(VLOOKUP(A31,'REGISTRO DATOS'!B:H,3,0)=0,"",VLOOKUP(A31,'REGISTRO DATOS'!B:H,3,0)),"")</f>
        <v/>
      </c>
      <c r="D31" s="322" t="str">
        <f>IFERROR(IF(VLOOKUP(A31,'REGISTRO DATOS'!B:H,4,0)=0,"",VLOOKUP(A31,'REGISTRO DATOS'!B:H,4,0)),"")</f>
        <v>ANA</v>
      </c>
      <c r="E31" s="320" t="str">
        <f>'COTIDIANO - IS'!E31</f>
        <v>-</v>
      </c>
      <c r="F31" s="320" t="str">
        <f>'COTIDIANO - IS'!F31</f>
        <v>-</v>
      </c>
      <c r="G31" s="320" t="str">
        <f>'COTIDIANO - IS'!G31</f>
        <v>-</v>
      </c>
      <c r="H31" s="320" t="str">
        <f>'COTIDIANO - IS'!H31</f>
        <v>-</v>
      </c>
      <c r="I31" s="320" t="str">
        <f>'COTIDIANO - IS'!I31</f>
        <v>-</v>
      </c>
      <c r="J31" s="320" t="str">
        <f>'COTIDIANO - IS'!J31</f>
        <v>-</v>
      </c>
      <c r="K31" s="320" t="str">
        <f>'COTIDIANO - IS'!K31</f>
        <v>-</v>
      </c>
      <c r="L31" s="320" t="str">
        <f>'COTIDIANO - IS'!L31</f>
        <v>-</v>
      </c>
      <c r="M31" s="320" t="str">
        <f>'COTIDIANO - IS'!M31</f>
        <v>-</v>
      </c>
      <c r="N31" s="320" t="str">
        <f>'COTIDIANO - IS'!N31</f>
        <v>-</v>
      </c>
      <c r="O31" s="320" t="str">
        <f>'COTIDIANO - IS'!O31</f>
        <v>-</v>
      </c>
      <c r="P31" s="320" t="str">
        <f>'COTIDIANO - IS'!P31</f>
        <v>-</v>
      </c>
      <c r="Q31" s="320" t="str">
        <f>'COTIDIANO - IS'!Q31</f>
        <v>-</v>
      </c>
      <c r="R31" s="320" t="str">
        <f>'COTIDIANO - IS'!R31</f>
        <v>-</v>
      </c>
      <c r="S31" s="320" t="str">
        <f>'COTIDIANO - IS'!S31</f>
        <v>-</v>
      </c>
      <c r="T31" s="320" t="str">
        <f>'COTIDIANO - IS'!T31</f>
        <v>-</v>
      </c>
      <c r="U31" s="320" t="str">
        <f>'COTIDIANO - IS'!U31</f>
        <v>-</v>
      </c>
      <c r="V31" s="320" t="str">
        <f>'COTIDIANO - IS'!V31</f>
        <v>-</v>
      </c>
      <c r="W31" s="320" t="str">
        <f>'COTIDIANO - IS'!W31</f>
        <v>-</v>
      </c>
      <c r="X31" s="320" t="str">
        <f>'COTIDIANO - IS'!X31</f>
        <v>-</v>
      </c>
      <c r="Y31" s="288">
        <f>'COTIDIANO - IS'!Y31</f>
        <v>0</v>
      </c>
      <c r="Z31" s="120" t="str">
        <f>'COTIDIANO - IS'!Z31</f>
        <v>Debe mejorar su trabajo.</v>
      </c>
      <c r="AA31" s="168">
        <f>'COTIDIANO - IS'!AA31</f>
        <v>0</v>
      </c>
      <c r="AB31" s="166">
        <f t="shared" si="1"/>
        <v>0</v>
      </c>
      <c r="AC31" s="243">
        <f t="shared" si="0"/>
        <v>0</v>
      </c>
      <c r="AD31" s="163">
        <f>'EXAMENES - IS'!G30</f>
        <v>0</v>
      </c>
      <c r="AE31" s="166">
        <f t="shared" si="2"/>
        <v>11.111111111111111</v>
      </c>
      <c r="AF31" s="243">
        <f t="shared" si="3"/>
        <v>2.7777777777777777</v>
      </c>
      <c r="AG31" s="163">
        <f>'EXAMENES - IS'!J30</f>
        <v>1</v>
      </c>
      <c r="AH31" s="168">
        <f>'TAREAS - IS'!I30</f>
        <v>0</v>
      </c>
      <c r="AI31" s="243">
        <f>ASISTENCIA!I23</f>
        <v>2.5</v>
      </c>
      <c r="AJ31" s="524">
        <f t="shared" si="4"/>
        <v>5.2777777777777777</v>
      </c>
      <c r="AK31" s="43">
        <f>'REGISTRO DATOS'!J28</f>
        <v>0</v>
      </c>
    </row>
    <row r="32" spans="1:45" ht="18" customHeight="1">
      <c r="A32" s="324">
        <v>17</v>
      </c>
      <c r="B32" s="322" t="str">
        <f>IFERROR(IF(VLOOKUP(A32,'REGISTRO DATOS'!B:H,2,0)=0,"",VLOOKUP(A32,'REGISTRO DATOS'!B:H,2,0)),"")</f>
        <v>QUIROS</v>
      </c>
      <c r="C32" s="322" t="str">
        <f>IFERROR(IF(VLOOKUP(A32,'REGISTRO DATOS'!B:H,3,0)=0,"",VLOOKUP(A32,'REGISTRO DATOS'!B:H,3,0)),"")</f>
        <v/>
      </c>
      <c r="D32" s="322" t="str">
        <f>IFERROR(IF(VLOOKUP(A32,'REGISTRO DATOS'!B:H,4,0)=0,"",VLOOKUP(A32,'REGISTRO DATOS'!B:H,4,0)),"")</f>
        <v>ANDY</v>
      </c>
      <c r="E32" s="320" t="str">
        <f>'COTIDIANO - IS'!E32</f>
        <v>-</v>
      </c>
      <c r="F32" s="320" t="str">
        <f>'COTIDIANO - IS'!F32</f>
        <v>-</v>
      </c>
      <c r="G32" s="320" t="str">
        <f>'COTIDIANO - IS'!G32</f>
        <v>-</v>
      </c>
      <c r="H32" s="320" t="str">
        <f>'COTIDIANO - IS'!H32</f>
        <v>-</v>
      </c>
      <c r="I32" s="320" t="str">
        <f>'COTIDIANO - IS'!I32</f>
        <v>-</v>
      </c>
      <c r="J32" s="320" t="str">
        <f>'COTIDIANO - IS'!J32</f>
        <v>-</v>
      </c>
      <c r="K32" s="320" t="str">
        <f>'COTIDIANO - IS'!K32</f>
        <v>-</v>
      </c>
      <c r="L32" s="320" t="str">
        <f>'COTIDIANO - IS'!L32</f>
        <v>-</v>
      </c>
      <c r="M32" s="320" t="str">
        <f>'COTIDIANO - IS'!M32</f>
        <v>-</v>
      </c>
      <c r="N32" s="320" t="str">
        <f>'COTIDIANO - IS'!N32</f>
        <v>-</v>
      </c>
      <c r="O32" s="320" t="str">
        <f>'COTIDIANO - IS'!O32</f>
        <v>-</v>
      </c>
      <c r="P32" s="320" t="str">
        <f>'COTIDIANO - IS'!P32</f>
        <v>-</v>
      </c>
      <c r="Q32" s="320" t="str">
        <f>'COTIDIANO - IS'!Q32</f>
        <v>-</v>
      </c>
      <c r="R32" s="320" t="str">
        <f>'COTIDIANO - IS'!R32</f>
        <v>-</v>
      </c>
      <c r="S32" s="320" t="str">
        <f>'COTIDIANO - IS'!S32</f>
        <v>-</v>
      </c>
      <c r="T32" s="320" t="str">
        <f>'COTIDIANO - IS'!T32</f>
        <v>-</v>
      </c>
      <c r="U32" s="320" t="str">
        <f>'COTIDIANO - IS'!U32</f>
        <v>-</v>
      </c>
      <c r="V32" s="320" t="str">
        <f>'COTIDIANO - IS'!V32</f>
        <v>-</v>
      </c>
      <c r="W32" s="320" t="str">
        <f>'COTIDIANO - IS'!W32</f>
        <v>-</v>
      </c>
      <c r="X32" s="320" t="str">
        <f>'COTIDIANO - IS'!X32</f>
        <v>-</v>
      </c>
      <c r="Y32" s="288">
        <f>'COTIDIANO - IS'!Y32</f>
        <v>0</v>
      </c>
      <c r="Z32" s="120" t="str">
        <f>'COTIDIANO - IS'!Z32</f>
        <v>Debe mejorar su trabajo.</v>
      </c>
      <c r="AA32" s="168">
        <f>'COTIDIANO - IS'!AA32</f>
        <v>0</v>
      </c>
      <c r="AB32" s="166">
        <f t="shared" si="1"/>
        <v>0</v>
      </c>
      <c r="AC32" s="243">
        <f t="shared" si="0"/>
        <v>0</v>
      </c>
      <c r="AD32" s="163">
        <f>'EXAMENES - IS'!G31</f>
        <v>0</v>
      </c>
      <c r="AE32" s="166">
        <f t="shared" si="2"/>
        <v>100</v>
      </c>
      <c r="AF32" s="243">
        <f t="shared" si="3"/>
        <v>25</v>
      </c>
      <c r="AG32" s="163">
        <f>'EXAMENES - IS'!J31</f>
        <v>9</v>
      </c>
      <c r="AH32" s="168">
        <f>'TAREAS - IS'!I31</f>
        <v>0</v>
      </c>
      <c r="AI32" s="243">
        <f>ASISTENCIA!I24</f>
        <v>8.75</v>
      </c>
      <c r="AJ32" s="524">
        <f t="shared" si="4"/>
        <v>33.75</v>
      </c>
      <c r="AK32" s="43">
        <f>'REGISTRO DATOS'!J29</f>
        <v>0</v>
      </c>
    </row>
    <row r="33" spans="1:37" ht="18" customHeight="1">
      <c r="A33" s="327">
        <v>18</v>
      </c>
      <c r="B33" s="322" t="str">
        <f>IFERROR(IF(VLOOKUP(A33,'REGISTRO DATOS'!B:H,2,0)=0,"",VLOOKUP(A33,'REGISTRO DATOS'!B:H,2,0)),"")</f>
        <v>RIVER</v>
      </c>
      <c r="C33" s="322" t="str">
        <f>IFERROR(IF(VLOOKUP(A33,'REGISTRO DATOS'!B:H,3,0)=0,"",VLOOKUP(A33,'REGISTRO DATOS'!B:H,3,0)),"")</f>
        <v/>
      </c>
      <c r="D33" s="322" t="str">
        <f>IFERROR(IF(VLOOKUP(A33,'REGISTRO DATOS'!B:H,4,0)=0,"",VLOOKUP(A33,'REGISTRO DATOS'!B:H,4,0)),"")</f>
        <v>STEPHANIE</v>
      </c>
      <c r="E33" s="320" t="str">
        <f>'COTIDIANO - IS'!E33</f>
        <v>-</v>
      </c>
      <c r="F33" s="320" t="str">
        <f>'COTIDIANO - IS'!F33</f>
        <v>-</v>
      </c>
      <c r="G33" s="320" t="str">
        <f>'COTIDIANO - IS'!G33</f>
        <v>-</v>
      </c>
      <c r="H33" s="320" t="str">
        <f>'COTIDIANO - IS'!H33</f>
        <v>-</v>
      </c>
      <c r="I33" s="320" t="str">
        <f>'COTIDIANO - IS'!I33</f>
        <v>-</v>
      </c>
      <c r="J33" s="320" t="str">
        <f>'COTIDIANO - IS'!J33</f>
        <v>-</v>
      </c>
      <c r="K33" s="320" t="str">
        <f>'COTIDIANO - IS'!K33</f>
        <v>-</v>
      </c>
      <c r="L33" s="320" t="str">
        <f>'COTIDIANO - IS'!L33</f>
        <v>-</v>
      </c>
      <c r="M33" s="320" t="str">
        <f>'COTIDIANO - IS'!M33</f>
        <v>-</v>
      </c>
      <c r="N33" s="320" t="str">
        <f>'COTIDIANO - IS'!N33</f>
        <v>-</v>
      </c>
      <c r="O33" s="320" t="str">
        <f>'COTIDIANO - IS'!O33</f>
        <v>-</v>
      </c>
      <c r="P33" s="320" t="str">
        <f>'COTIDIANO - IS'!P33</f>
        <v>-</v>
      </c>
      <c r="Q33" s="320" t="str">
        <f>'COTIDIANO - IS'!Q33</f>
        <v>-</v>
      </c>
      <c r="R33" s="320" t="str">
        <f>'COTIDIANO - IS'!R33</f>
        <v>-</v>
      </c>
      <c r="S33" s="320" t="str">
        <f>'COTIDIANO - IS'!S33</f>
        <v>-</v>
      </c>
      <c r="T33" s="320" t="str">
        <f>'COTIDIANO - IS'!T33</f>
        <v>-</v>
      </c>
      <c r="U33" s="320" t="str">
        <f>'COTIDIANO - IS'!U33</f>
        <v>-</v>
      </c>
      <c r="V33" s="320" t="str">
        <f>'COTIDIANO - IS'!V33</f>
        <v>-</v>
      </c>
      <c r="W33" s="320" t="str">
        <f>'COTIDIANO - IS'!W33</f>
        <v>-</v>
      </c>
      <c r="X33" s="320" t="str">
        <f>'COTIDIANO - IS'!X33</f>
        <v>-</v>
      </c>
      <c r="Y33" s="288">
        <f>'COTIDIANO - IS'!Y33</f>
        <v>0</v>
      </c>
      <c r="Z33" s="120" t="str">
        <f>'COTIDIANO - IS'!Z33</f>
        <v>Debe mejorar su trabajo.</v>
      </c>
      <c r="AA33" s="168">
        <f>'COTIDIANO - IS'!AA33</f>
        <v>0</v>
      </c>
      <c r="AB33" s="166">
        <f t="shared" si="1"/>
        <v>0</v>
      </c>
      <c r="AC33" s="243">
        <f t="shared" si="0"/>
        <v>0</v>
      </c>
      <c r="AD33" s="163">
        <f>'EXAMENES - IS'!G32</f>
        <v>0</v>
      </c>
      <c r="AE33" s="166">
        <f t="shared" si="2"/>
        <v>88.888888888888886</v>
      </c>
      <c r="AF33" s="243">
        <f t="shared" si="3"/>
        <v>22.222222222222221</v>
      </c>
      <c r="AG33" s="163">
        <f>'EXAMENES - IS'!J32</f>
        <v>8</v>
      </c>
      <c r="AH33" s="168">
        <f>'TAREAS - IS'!I32</f>
        <v>0</v>
      </c>
      <c r="AI33" s="243">
        <f>ASISTENCIA!I25</f>
        <v>5</v>
      </c>
      <c r="AJ33" s="524">
        <f t="shared" si="4"/>
        <v>27.222222222222221</v>
      </c>
      <c r="AK33" s="43">
        <f>'REGISTRO DATOS'!J30</f>
        <v>0</v>
      </c>
    </row>
    <row r="34" spans="1:37" ht="18" customHeight="1">
      <c r="A34" s="321">
        <v>19</v>
      </c>
      <c r="B34" s="322" t="str">
        <f>IFERROR(IF(VLOOKUP(A34,'REGISTRO DATOS'!B:H,2,0)=0,"",VLOOKUP(A34,'REGISTRO DATOS'!B:H,2,0)),"")</f>
        <v/>
      </c>
      <c r="C34" s="322" t="str">
        <f>IFERROR(IF(VLOOKUP(A34,'REGISTRO DATOS'!B:H,3,0)=0,"",VLOOKUP(A34,'REGISTRO DATOS'!B:H,3,0)),"")</f>
        <v>FABIAN</v>
      </c>
      <c r="D34" s="322" t="str">
        <f>IFERROR(IF(VLOOKUP(A34,'REGISTRO DATOS'!B:H,4,0)=0,"",VLOOKUP(A34,'REGISTRO DATOS'!B:H,4,0)),"")</f>
        <v/>
      </c>
      <c r="E34" s="320" t="str">
        <f>'COTIDIANO - IS'!E34</f>
        <v>-</v>
      </c>
      <c r="F34" s="320" t="str">
        <f>'COTIDIANO - IS'!F34</f>
        <v>-</v>
      </c>
      <c r="G34" s="320" t="str">
        <f>'COTIDIANO - IS'!G34</f>
        <v>-</v>
      </c>
      <c r="H34" s="320" t="str">
        <f>'COTIDIANO - IS'!H34</f>
        <v>-</v>
      </c>
      <c r="I34" s="320" t="str">
        <f>'COTIDIANO - IS'!I34</f>
        <v>-</v>
      </c>
      <c r="J34" s="320" t="str">
        <f>'COTIDIANO - IS'!J34</f>
        <v>-</v>
      </c>
      <c r="K34" s="320" t="str">
        <f>'COTIDIANO - IS'!K34</f>
        <v>-</v>
      </c>
      <c r="L34" s="320" t="str">
        <f>'COTIDIANO - IS'!L34</f>
        <v>-</v>
      </c>
      <c r="M34" s="320" t="str">
        <f>'COTIDIANO - IS'!M34</f>
        <v>-</v>
      </c>
      <c r="N34" s="320" t="str">
        <f>'COTIDIANO - IS'!N34</f>
        <v>-</v>
      </c>
      <c r="O34" s="320" t="str">
        <f>'COTIDIANO - IS'!O34</f>
        <v>-</v>
      </c>
      <c r="P34" s="320" t="str">
        <f>'COTIDIANO - IS'!P34</f>
        <v>-</v>
      </c>
      <c r="Q34" s="320" t="str">
        <f>'COTIDIANO - IS'!Q34</f>
        <v>-</v>
      </c>
      <c r="R34" s="320" t="str">
        <f>'COTIDIANO - IS'!R34</f>
        <v>-</v>
      </c>
      <c r="S34" s="320" t="str">
        <f>'COTIDIANO - IS'!S34</f>
        <v>-</v>
      </c>
      <c r="T34" s="320" t="str">
        <f>'COTIDIANO - IS'!T34</f>
        <v>-</v>
      </c>
      <c r="U34" s="320" t="str">
        <f>'COTIDIANO - IS'!U34</f>
        <v>-</v>
      </c>
      <c r="V34" s="320" t="str">
        <f>'COTIDIANO - IS'!V34</f>
        <v>-</v>
      </c>
      <c r="W34" s="320" t="str">
        <f>'COTIDIANO - IS'!W34</f>
        <v>-</v>
      </c>
      <c r="X34" s="320" t="str">
        <f>'COTIDIANO - IS'!X34</f>
        <v>-</v>
      </c>
      <c r="Y34" s="288">
        <f>'COTIDIANO - IS'!Y34</f>
        <v>0</v>
      </c>
      <c r="Z34" s="120" t="str">
        <f>'COTIDIANO - IS'!Z34</f>
        <v>Debe mejorar su trabajo.</v>
      </c>
      <c r="AA34" s="168">
        <f>'COTIDIANO - IS'!AA34</f>
        <v>0</v>
      </c>
      <c r="AB34" s="166">
        <f t="shared" si="1"/>
        <v>0</v>
      </c>
      <c r="AC34" s="243">
        <f t="shared" si="0"/>
        <v>0</v>
      </c>
      <c r="AD34" s="163">
        <f>'EXAMENES - IS'!G33</f>
        <v>0</v>
      </c>
      <c r="AE34" s="166">
        <f t="shared" si="2"/>
        <v>88.888888888888886</v>
      </c>
      <c r="AF34" s="243">
        <f t="shared" si="3"/>
        <v>22.222222222222221</v>
      </c>
      <c r="AG34" s="163">
        <f>'EXAMENES - IS'!J33</f>
        <v>8</v>
      </c>
      <c r="AH34" s="168">
        <f>'TAREAS - IS'!I33</f>
        <v>0</v>
      </c>
      <c r="AI34" s="243">
        <f>ASISTENCIA!I26</f>
        <v>10</v>
      </c>
      <c r="AJ34" s="524">
        <f t="shared" si="4"/>
        <v>32.222222222222221</v>
      </c>
      <c r="AK34" s="43">
        <f>'REGISTRO DATOS'!J31</f>
        <v>0</v>
      </c>
    </row>
    <row r="35" spans="1:37" ht="18" customHeight="1">
      <c r="A35" s="327">
        <v>20</v>
      </c>
      <c r="B35" s="322" t="str">
        <f>IFERROR(IF(VLOOKUP(A35,'REGISTRO DATOS'!B:H,2,0)=0,"",VLOOKUP(A35,'REGISTRO DATOS'!B:H,2,0)),"")</f>
        <v/>
      </c>
      <c r="C35" s="322" t="str">
        <f>IFERROR(IF(VLOOKUP(A35,'REGISTRO DATOS'!B:H,3,0)=0,"",VLOOKUP(A35,'REGISTRO DATOS'!B:H,3,0)),"")</f>
        <v>EMILIN</v>
      </c>
      <c r="D35" s="322" t="str">
        <f>IFERROR(IF(VLOOKUP(A35,'REGISTRO DATOS'!B:H,4,0)=0,"",VLOOKUP(A35,'REGISTRO DATOS'!B:H,4,0)),"")</f>
        <v/>
      </c>
      <c r="E35" s="320" t="str">
        <f>'COTIDIANO - IS'!E35</f>
        <v>-</v>
      </c>
      <c r="F35" s="320" t="str">
        <f>'COTIDIANO - IS'!F35</f>
        <v>-</v>
      </c>
      <c r="G35" s="320" t="str">
        <f>'COTIDIANO - IS'!G35</f>
        <v>-</v>
      </c>
      <c r="H35" s="320" t="str">
        <f>'COTIDIANO - IS'!H35</f>
        <v>-</v>
      </c>
      <c r="I35" s="320" t="str">
        <f>'COTIDIANO - IS'!I35</f>
        <v>-</v>
      </c>
      <c r="J35" s="320" t="str">
        <f>'COTIDIANO - IS'!J35</f>
        <v>-</v>
      </c>
      <c r="K35" s="320" t="str">
        <f>'COTIDIANO - IS'!K35</f>
        <v>-</v>
      </c>
      <c r="L35" s="320" t="str">
        <f>'COTIDIANO - IS'!L35</f>
        <v>-</v>
      </c>
      <c r="M35" s="320" t="str">
        <f>'COTIDIANO - IS'!M35</f>
        <v>-</v>
      </c>
      <c r="N35" s="320" t="str">
        <f>'COTIDIANO - IS'!N35</f>
        <v>-</v>
      </c>
      <c r="O35" s="320" t="str">
        <f>'COTIDIANO - IS'!O35</f>
        <v>-</v>
      </c>
      <c r="P35" s="320" t="str">
        <f>'COTIDIANO - IS'!P35</f>
        <v>-</v>
      </c>
      <c r="Q35" s="320" t="str">
        <f>'COTIDIANO - IS'!Q35</f>
        <v>-</v>
      </c>
      <c r="R35" s="320" t="str">
        <f>'COTIDIANO - IS'!R35</f>
        <v>-</v>
      </c>
      <c r="S35" s="320" t="str">
        <f>'COTIDIANO - IS'!S35</f>
        <v>-</v>
      </c>
      <c r="T35" s="320" t="str">
        <f>'COTIDIANO - IS'!T35</f>
        <v>-</v>
      </c>
      <c r="U35" s="320" t="str">
        <f>'COTIDIANO - IS'!U35</f>
        <v>-</v>
      </c>
      <c r="V35" s="320" t="str">
        <f>'COTIDIANO - IS'!V35</f>
        <v>-</v>
      </c>
      <c r="W35" s="320" t="str">
        <f>'COTIDIANO - IS'!W35</f>
        <v>-</v>
      </c>
      <c r="X35" s="320" t="str">
        <f>'COTIDIANO - IS'!X35</f>
        <v>-</v>
      </c>
      <c r="Y35" s="288">
        <f>'COTIDIANO - IS'!Y35</f>
        <v>0</v>
      </c>
      <c r="Z35" s="120" t="str">
        <f>'COTIDIANO - IS'!Z35</f>
        <v>Debe mejorar su trabajo.</v>
      </c>
      <c r="AA35" s="168">
        <f>'COTIDIANO - IS'!AA35</f>
        <v>0</v>
      </c>
      <c r="AB35" s="166">
        <f t="shared" si="1"/>
        <v>0</v>
      </c>
      <c r="AC35" s="243">
        <f t="shared" si="0"/>
        <v>0</v>
      </c>
      <c r="AD35" s="163">
        <f>'EXAMENES - IS'!G34</f>
        <v>0</v>
      </c>
      <c r="AE35" s="166">
        <f t="shared" si="2"/>
        <v>100</v>
      </c>
      <c r="AF35" s="243">
        <f t="shared" si="3"/>
        <v>25</v>
      </c>
      <c r="AG35" s="163">
        <f>'EXAMENES - IS'!J34</f>
        <v>9</v>
      </c>
      <c r="AH35" s="168">
        <f>'TAREAS - IS'!I34</f>
        <v>0</v>
      </c>
      <c r="AI35" s="243">
        <f>ASISTENCIA!I27</f>
        <v>10</v>
      </c>
      <c r="AJ35" s="524">
        <f t="shared" si="4"/>
        <v>35</v>
      </c>
      <c r="AK35" s="43">
        <f>'REGISTRO DATOS'!J32</f>
        <v>0</v>
      </c>
    </row>
    <row r="36" spans="1:37" ht="18" customHeight="1">
      <c r="A36" s="324">
        <v>21</v>
      </c>
      <c r="B36" s="322" t="str">
        <f>IFERROR(IF(VLOOKUP(A36,'REGISTRO DATOS'!B:H,2,0)=0,"",VLOOKUP(A36,'REGISTRO DATOS'!B:H,2,0)),"")</f>
        <v/>
      </c>
      <c r="C36" s="322" t="str">
        <f>IFERROR(IF(VLOOKUP(A36,'REGISTRO DATOS'!B:H,3,0)=0,"",VLOOKUP(A36,'REGISTRO DATOS'!B:H,3,0)),"")</f>
        <v/>
      </c>
      <c r="D36" s="322" t="str">
        <f>IFERROR(IF(VLOOKUP(A36,'REGISTRO DATOS'!B:H,4,0)=0,"",VLOOKUP(A36,'REGISTRO DATOS'!B:H,4,0)),"")</f>
        <v/>
      </c>
      <c r="E36" s="320" t="str">
        <f>'COTIDIANO - IS'!E36</f>
        <v>-</v>
      </c>
      <c r="F36" s="320" t="str">
        <f>'COTIDIANO - IS'!F36</f>
        <v>-</v>
      </c>
      <c r="G36" s="320" t="str">
        <f>'COTIDIANO - IS'!G36</f>
        <v>-</v>
      </c>
      <c r="H36" s="320" t="str">
        <f>'COTIDIANO - IS'!H36</f>
        <v>-</v>
      </c>
      <c r="I36" s="320" t="str">
        <f>'COTIDIANO - IS'!I36</f>
        <v>-</v>
      </c>
      <c r="J36" s="320" t="str">
        <f>'COTIDIANO - IS'!J36</f>
        <v>-</v>
      </c>
      <c r="K36" s="320" t="str">
        <f>'COTIDIANO - IS'!K36</f>
        <v>-</v>
      </c>
      <c r="L36" s="320" t="str">
        <f>'COTIDIANO - IS'!L36</f>
        <v>-</v>
      </c>
      <c r="M36" s="320" t="str">
        <f>'COTIDIANO - IS'!M36</f>
        <v>-</v>
      </c>
      <c r="N36" s="320" t="str">
        <f>'COTIDIANO - IS'!N36</f>
        <v>-</v>
      </c>
      <c r="O36" s="320" t="str">
        <f>'COTIDIANO - IS'!O36</f>
        <v>-</v>
      </c>
      <c r="P36" s="320" t="str">
        <f>'COTIDIANO - IS'!P36</f>
        <v>-</v>
      </c>
      <c r="Q36" s="320" t="str">
        <f>'COTIDIANO - IS'!Q36</f>
        <v>-</v>
      </c>
      <c r="R36" s="320" t="str">
        <f>'COTIDIANO - IS'!R36</f>
        <v>-</v>
      </c>
      <c r="S36" s="320" t="str">
        <f>'COTIDIANO - IS'!S36</f>
        <v>-</v>
      </c>
      <c r="T36" s="320" t="str">
        <f>'COTIDIANO - IS'!T36</f>
        <v>-</v>
      </c>
      <c r="U36" s="320" t="str">
        <f>'COTIDIANO - IS'!U36</f>
        <v>-</v>
      </c>
      <c r="V36" s="320" t="str">
        <f>'COTIDIANO - IS'!V36</f>
        <v>-</v>
      </c>
      <c r="W36" s="320" t="str">
        <f>'COTIDIANO - IS'!W36</f>
        <v>-</v>
      </c>
      <c r="X36" s="320" t="str">
        <f>'COTIDIANO - IS'!X36</f>
        <v>-</v>
      </c>
      <c r="Y36" s="288">
        <f>'COTIDIANO - IS'!Y36</f>
        <v>0</v>
      </c>
      <c r="Z36" s="120" t="str">
        <f>'COTIDIANO - IS'!Z36</f>
        <v>Debe mejorar su trabajo.</v>
      </c>
      <c r="AA36" s="168">
        <f>'COTIDIANO - IS'!AA36</f>
        <v>0</v>
      </c>
      <c r="AB36" s="166">
        <f t="shared" si="1"/>
        <v>0</v>
      </c>
      <c r="AC36" s="243">
        <f t="shared" si="0"/>
        <v>0</v>
      </c>
      <c r="AD36" s="163">
        <f>'EXAMENES - IS'!G35</f>
        <v>0</v>
      </c>
      <c r="AE36" s="166">
        <f t="shared" si="2"/>
        <v>0</v>
      </c>
      <c r="AF36" s="243">
        <f t="shared" si="3"/>
        <v>0</v>
      </c>
      <c r="AG36" s="163">
        <f>'EXAMENES - IS'!J35</f>
        <v>0</v>
      </c>
      <c r="AH36" s="168">
        <f>'TAREAS - IS'!I35</f>
        <v>0</v>
      </c>
      <c r="AI36" s="243">
        <f>ASISTENCIA!I28</f>
        <v>10</v>
      </c>
      <c r="AJ36" s="524">
        <f t="shared" si="4"/>
        <v>10</v>
      </c>
      <c r="AK36" s="43">
        <f>'REGISTRO DATOS'!J33</f>
        <v>0</v>
      </c>
    </row>
    <row r="37" spans="1:37" ht="18" customHeight="1">
      <c r="A37" s="328">
        <v>22</v>
      </c>
      <c r="B37" s="322" t="str">
        <f>IFERROR(IF(VLOOKUP(A37,'REGISTRO DATOS'!B:H,2,0)=0,"",VLOOKUP(A37,'REGISTRO DATOS'!B:H,2,0)),"")</f>
        <v/>
      </c>
      <c r="C37" s="322" t="str">
        <f>IFERROR(IF(VLOOKUP(A37,'REGISTRO DATOS'!B:H,3,0)=0,"",VLOOKUP(A37,'REGISTRO DATOS'!B:H,3,0)),"")</f>
        <v/>
      </c>
      <c r="D37" s="322" t="str">
        <f>IFERROR(IF(VLOOKUP(A37,'REGISTRO DATOS'!B:H,4,0)=0,"",VLOOKUP(A37,'REGISTRO DATOS'!B:H,4,0)),"")</f>
        <v/>
      </c>
      <c r="E37" s="320" t="str">
        <f>'COTIDIANO - IS'!E37</f>
        <v>-</v>
      </c>
      <c r="F37" s="320" t="str">
        <f>'COTIDIANO - IS'!F37</f>
        <v>-</v>
      </c>
      <c r="G37" s="320" t="str">
        <f>'COTIDIANO - IS'!G37</f>
        <v>-</v>
      </c>
      <c r="H37" s="320" t="str">
        <f>'COTIDIANO - IS'!H37</f>
        <v>-</v>
      </c>
      <c r="I37" s="320" t="str">
        <f>'COTIDIANO - IS'!I37</f>
        <v>-</v>
      </c>
      <c r="J37" s="320" t="str">
        <f>'COTIDIANO - IS'!J37</f>
        <v>-</v>
      </c>
      <c r="K37" s="320" t="str">
        <f>'COTIDIANO - IS'!K37</f>
        <v>-</v>
      </c>
      <c r="L37" s="320" t="str">
        <f>'COTIDIANO - IS'!L37</f>
        <v>-</v>
      </c>
      <c r="M37" s="320" t="str">
        <f>'COTIDIANO - IS'!M37</f>
        <v>-</v>
      </c>
      <c r="N37" s="320" t="str">
        <f>'COTIDIANO - IS'!N37</f>
        <v>-</v>
      </c>
      <c r="O37" s="320" t="str">
        <f>'COTIDIANO - IS'!O37</f>
        <v>-</v>
      </c>
      <c r="P37" s="320" t="str">
        <f>'COTIDIANO - IS'!P37</f>
        <v>-</v>
      </c>
      <c r="Q37" s="320" t="str">
        <f>'COTIDIANO - IS'!Q37</f>
        <v>-</v>
      </c>
      <c r="R37" s="320" t="str">
        <f>'COTIDIANO - IS'!R37</f>
        <v>-</v>
      </c>
      <c r="S37" s="320" t="str">
        <f>'COTIDIANO - IS'!S37</f>
        <v>-</v>
      </c>
      <c r="T37" s="320" t="str">
        <f>'COTIDIANO - IS'!T37</f>
        <v>-</v>
      </c>
      <c r="U37" s="320" t="str">
        <f>'COTIDIANO - IS'!U37</f>
        <v>-</v>
      </c>
      <c r="V37" s="320" t="str">
        <f>'COTIDIANO - IS'!V37</f>
        <v>-</v>
      </c>
      <c r="W37" s="320" t="str">
        <f>'COTIDIANO - IS'!W37</f>
        <v>-</v>
      </c>
      <c r="X37" s="320" t="str">
        <f>'COTIDIANO - IS'!X37</f>
        <v>-</v>
      </c>
      <c r="Y37" s="288">
        <f>'COTIDIANO - IS'!Y37</f>
        <v>0</v>
      </c>
      <c r="Z37" s="120" t="str">
        <f>'COTIDIANO - IS'!Z37</f>
        <v>Debe mejorar su trabajo.</v>
      </c>
      <c r="AA37" s="168">
        <f>'COTIDIANO - IS'!AA37</f>
        <v>0</v>
      </c>
      <c r="AB37" s="166">
        <f t="shared" si="1"/>
        <v>0</v>
      </c>
      <c r="AC37" s="243">
        <f t="shared" si="0"/>
        <v>0</v>
      </c>
      <c r="AD37" s="163">
        <f>'EXAMENES - IS'!G36</f>
        <v>0</v>
      </c>
      <c r="AE37" s="166">
        <f t="shared" si="2"/>
        <v>0</v>
      </c>
      <c r="AF37" s="243">
        <f t="shared" si="3"/>
        <v>0</v>
      </c>
      <c r="AG37" s="163">
        <f>'EXAMENES - IS'!J36</f>
        <v>0</v>
      </c>
      <c r="AH37" s="168">
        <f>'TAREAS - IS'!I36</f>
        <v>0</v>
      </c>
      <c r="AI37" s="243">
        <f>ASISTENCIA!I29</f>
        <v>10</v>
      </c>
      <c r="AJ37" s="524">
        <f t="shared" si="4"/>
        <v>10</v>
      </c>
      <c r="AK37" s="43">
        <f>'REGISTRO DATOS'!J34</f>
        <v>0</v>
      </c>
    </row>
    <row r="38" spans="1:37" ht="18" customHeight="1">
      <c r="A38" s="324">
        <v>23</v>
      </c>
      <c r="B38" s="322" t="str">
        <f>IFERROR(IF(VLOOKUP(A38,'REGISTRO DATOS'!B:H,2,0)=0,"",VLOOKUP(A38,'REGISTRO DATOS'!B:H,2,0)),"")</f>
        <v/>
      </c>
      <c r="C38" s="322" t="str">
        <f>IFERROR(IF(VLOOKUP(A38,'REGISTRO DATOS'!B:H,3,0)=0,"",VLOOKUP(A38,'REGISTRO DATOS'!B:H,3,0)),"")</f>
        <v/>
      </c>
      <c r="D38" s="322" t="str">
        <f>IFERROR(IF(VLOOKUP(A38,'REGISTRO DATOS'!B:H,4,0)=0,"",VLOOKUP(A38,'REGISTRO DATOS'!B:H,4,0)),"")</f>
        <v/>
      </c>
      <c r="E38" s="320" t="str">
        <f>'COTIDIANO - IS'!E38</f>
        <v>-</v>
      </c>
      <c r="F38" s="320" t="str">
        <f>'COTIDIANO - IS'!F38</f>
        <v>-</v>
      </c>
      <c r="G38" s="320" t="str">
        <f>'COTIDIANO - IS'!G38</f>
        <v>-</v>
      </c>
      <c r="H38" s="320" t="str">
        <f>'COTIDIANO - IS'!H38</f>
        <v>-</v>
      </c>
      <c r="I38" s="320" t="str">
        <f>'COTIDIANO - IS'!I38</f>
        <v>-</v>
      </c>
      <c r="J38" s="320" t="str">
        <f>'COTIDIANO - IS'!J38</f>
        <v>-</v>
      </c>
      <c r="K38" s="320" t="str">
        <f>'COTIDIANO - IS'!K38</f>
        <v>-</v>
      </c>
      <c r="L38" s="320" t="str">
        <f>'COTIDIANO - IS'!L38</f>
        <v>-</v>
      </c>
      <c r="M38" s="320" t="str">
        <f>'COTIDIANO - IS'!M38</f>
        <v>-</v>
      </c>
      <c r="N38" s="320" t="str">
        <f>'COTIDIANO - IS'!N38</f>
        <v>-</v>
      </c>
      <c r="O38" s="320" t="str">
        <f>'COTIDIANO - IS'!O38</f>
        <v>-</v>
      </c>
      <c r="P38" s="320" t="str">
        <f>'COTIDIANO - IS'!P38</f>
        <v>-</v>
      </c>
      <c r="Q38" s="320" t="str">
        <f>'COTIDIANO - IS'!Q38</f>
        <v>-</v>
      </c>
      <c r="R38" s="320" t="str">
        <f>'COTIDIANO - IS'!R38</f>
        <v>-</v>
      </c>
      <c r="S38" s="320" t="str">
        <f>'COTIDIANO - IS'!S38</f>
        <v>-</v>
      </c>
      <c r="T38" s="320" t="str">
        <f>'COTIDIANO - IS'!T38</f>
        <v>-</v>
      </c>
      <c r="U38" s="320" t="str">
        <f>'COTIDIANO - IS'!U38</f>
        <v>-</v>
      </c>
      <c r="V38" s="320" t="str">
        <f>'COTIDIANO - IS'!V38</f>
        <v>-</v>
      </c>
      <c r="W38" s="320" t="str">
        <f>'COTIDIANO - IS'!W38</f>
        <v>-</v>
      </c>
      <c r="X38" s="320" t="str">
        <f>'COTIDIANO - IS'!X38</f>
        <v>-</v>
      </c>
      <c r="Y38" s="288">
        <f>'COTIDIANO - IS'!Y38</f>
        <v>0</v>
      </c>
      <c r="Z38" s="120" t="str">
        <f>'COTIDIANO - IS'!Z38</f>
        <v>Debe mejorar su trabajo.</v>
      </c>
      <c r="AA38" s="168">
        <f>'COTIDIANO - IS'!AA38</f>
        <v>0</v>
      </c>
      <c r="AB38" s="166">
        <f t="shared" si="1"/>
        <v>0</v>
      </c>
      <c r="AC38" s="243">
        <f t="shared" si="0"/>
        <v>0</v>
      </c>
      <c r="AD38" s="163">
        <f>'EXAMENES - IS'!G37</f>
        <v>0</v>
      </c>
      <c r="AE38" s="166">
        <f t="shared" si="2"/>
        <v>0</v>
      </c>
      <c r="AF38" s="243">
        <f t="shared" si="3"/>
        <v>0</v>
      </c>
      <c r="AG38" s="163">
        <f>'EXAMENES - IS'!J37</f>
        <v>0</v>
      </c>
      <c r="AH38" s="168">
        <f>'TAREAS - IS'!I37</f>
        <v>0</v>
      </c>
      <c r="AI38" s="243">
        <f>ASISTENCIA!I30</f>
        <v>10</v>
      </c>
      <c r="AJ38" s="524">
        <f t="shared" si="4"/>
        <v>10</v>
      </c>
      <c r="AK38" s="43">
        <f>'REGISTRO DATOS'!J35</f>
        <v>0</v>
      </c>
    </row>
    <row r="39" spans="1:37" ht="18" customHeight="1">
      <c r="A39" s="327">
        <v>24</v>
      </c>
      <c r="B39" s="322" t="str">
        <f>IFERROR(IF(VLOOKUP(A39,'REGISTRO DATOS'!B:H,2,0)=0,"",VLOOKUP(A39,'REGISTRO DATOS'!B:H,2,0)),"")</f>
        <v/>
      </c>
      <c r="C39" s="322" t="str">
        <f>IFERROR(IF(VLOOKUP(A39,'REGISTRO DATOS'!B:H,3,0)=0,"",VLOOKUP(A39,'REGISTRO DATOS'!B:H,3,0)),"")</f>
        <v/>
      </c>
      <c r="D39" s="322" t="str">
        <f>IFERROR(IF(VLOOKUP(A39,'REGISTRO DATOS'!B:H,4,0)=0,"",VLOOKUP(A39,'REGISTRO DATOS'!B:H,4,0)),"")</f>
        <v/>
      </c>
      <c r="E39" s="320" t="str">
        <f>'COTIDIANO - IS'!E39</f>
        <v>-</v>
      </c>
      <c r="F39" s="320" t="str">
        <f>'COTIDIANO - IS'!F39</f>
        <v>-</v>
      </c>
      <c r="G39" s="320" t="str">
        <f>'COTIDIANO - IS'!G39</f>
        <v>-</v>
      </c>
      <c r="H39" s="320" t="str">
        <f>'COTIDIANO - IS'!H39</f>
        <v>-</v>
      </c>
      <c r="I39" s="320" t="str">
        <f>'COTIDIANO - IS'!I39</f>
        <v>-</v>
      </c>
      <c r="J39" s="320" t="str">
        <f>'COTIDIANO - IS'!J39</f>
        <v>-</v>
      </c>
      <c r="K39" s="320" t="str">
        <f>'COTIDIANO - IS'!K39</f>
        <v>-</v>
      </c>
      <c r="L39" s="320" t="str">
        <f>'COTIDIANO - IS'!L39</f>
        <v>-</v>
      </c>
      <c r="M39" s="320" t="str">
        <f>'COTIDIANO - IS'!M39</f>
        <v>-</v>
      </c>
      <c r="N39" s="320" t="str">
        <f>'COTIDIANO - IS'!N39</f>
        <v>-</v>
      </c>
      <c r="O39" s="320" t="str">
        <f>'COTIDIANO - IS'!O39</f>
        <v>-</v>
      </c>
      <c r="P39" s="320" t="str">
        <f>'COTIDIANO - IS'!P39</f>
        <v>-</v>
      </c>
      <c r="Q39" s="320" t="str">
        <f>'COTIDIANO - IS'!Q39</f>
        <v>-</v>
      </c>
      <c r="R39" s="320" t="str">
        <f>'COTIDIANO - IS'!R39</f>
        <v>-</v>
      </c>
      <c r="S39" s="320" t="str">
        <f>'COTIDIANO - IS'!S39</f>
        <v>-</v>
      </c>
      <c r="T39" s="320" t="str">
        <f>'COTIDIANO - IS'!T39</f>
        <v>-</v>
      </c>
      <c r="U39" s="320" t="str">
        <f>'COTIDIANO - IS'!U39</f>
        <v>-</v>
      </c>
      <c r="V39" s="320" t="str">
        <f>'COTIDIANO - IS'!V39</f>
        <v>-</v>
      </c>
      <c r="W39" s="320" t="str">
        <f>'COTIDIANO - IS'!W39</f>
        <v>-</v>
      </c>
      <c r="X39" s="320" t="str">
        <f>'COTIDIANO - IS'!X39</f>
        <v>-</v>
      </c>
      <c r="Y39" s="288">
        <f>'COTIDIANO - IS'!Y39</f>
        <v>0</v>
      </c>
      <c r="Z39" s="120" t="str">
        <f>'COTIDIANO - IS'!Z39</f>
        <v>Debe mejorar su trabajo.</v>
      </c>
      <c r="AA39" s="168">
        <f>'COTIDIANO - IS'!AA39</f>
        <v>0</v>
      </c>
      <c r="AB39" s="166">
        <f t="shared" si="1"/>
        <v>0</v>
      </c>
      <c r="AC39" s="243">
        <f t="shared" si="0"/>
        <v>0</v>
      </c>
      <c r="AD39" s="163">
        <f>'EXAMENES - IS'!G38</f>
        <v>0</v>
      </c>
      <c r="AE39" s="166">
        <f t="shared" si="2"/>
        <v>0</v>
      </c>
      <c r="AF39" s="243">
        <f t="shared" si="3"/>
        <v>0</v>
      </c>
      <c r="AG39" s="163">
        <f>'EXAMENES - IS'!J38</f>
        <v>0</v>
      </c>
      <c r="AH39" s="168">
        <f>'TAREAS - IS'!I38</f>
        <v>0</v>
      </c>
      <c r="AI39" s="243">
        <f>ASISTENCIA!I31</f>
        <v>10</v>
      </c>
      <c r="AJ39" s="524">
        <f t="shared" si="4"/>
        <v>10</v>
      </c>
      <c r="AK39" s="43">
        <f>'REGISTRO DATOS'!J36</f>
        <v>0</v>
      </c>
    </row>
    <row r="40" spans="1:37" ht="18" customHeight="1">
      <c r="A40" s="321">
        <v>25</v>
      </c>
      <c r="B40" s="322" t="str">
        <f>IFERROR(IF(VLOOKUP(A40,'REGISTRO DATOS'!B:H,2,0)=0,"",VLOOKUP(A40,'REGISTRO DATOS'!B:H,2,0)),"")</f>
        <v/>
      </c>
      <c r="C40" s="322" t="str">
        <f>IFERROR(IF(VLOOKUP(A40,'REGISTRO DATOS'!B:H,3,0)=0,"",VLOOKUP(A40,'REGISTRO DATOS'!B:H,3,0)),"")</f>
        <v/>
      </c>
      <c r="D40" s="322" t="str">
        <f>IFERROR(IF(VLOOKUP(A40,'REGISTRO DATOS'!B:H,4,0)=0,"",VLOOKUP(A40,'REGISTRO DATOS'!B:H,4,0)),"")</f>
        <v/>
      </c>
      <c r="E40" s="320" t="str">
        <f>'COTIDIANO - IS'!E40</f>
        <v>-</v>
      </c>
      <c r="F40" s="320" t="str">
        <f>'COTIDIANO - IS'!F40</f>
        <v>-</v>
      </c>
      <c r="G40" s="320" t="str">
        <f>'COTIDIANO - IS'!G40</f>
        <v>-</v>
      </c>
      <c r="H40" s="320" t="str">
        <f>'COTIDIANO - IS'!H40</f>
        <v>-</v>
      </c>
      <c r="I40" s="320" t="str">
        <f>'COTIDIANO - IS'!I40</f>
        <v>-</v>
      </c>
      <c r="J40" s="320" t="str">
        <f>'COTIDIANO - IS'!J40</f>
        <v>-</v>
      </c>
      <c r="K40" s="320" t="str">
        <f>'COTIDIANO - IS'!K40</f>
        <v>-</v>
      </c>
      <c r="L40" s="320" t="str">
        <f>'COTIDIANO - IS'!L40</f>
        <v>-</v>
      </c>
      <c r="M40" s="320" t="str">
        <f>'COTIDIANO - IS'!M40</f>
        <v>-</v>
      </c>
      <c r="N40" s="320" t="str">
        <f>'COTIDIANO - IS'!N40</f>
        <v>-</v>
      </c>
      <c r="O40" s="320" t="str">
        <f>'COTIDIANO - IS'!O40</f>
        <v>-</v>
      </c>
      <c r="P40" s="320" t="str">
        <f>'COTIDIANO - IS'!P40</f>
        <v>-</v>
      </c>
      <c r="Q40" s="320" t="str">
        <f>'COTIDIANO - IS'!Q40</f>
        <v>-</v>
      </c>
      <c r="R40" s="320" t="str">
        <f>'COTIDIANO - IS'!R40</f>
        <v>-</v>
      </c>
      <c r="S40" s="320" t="str">
        <f>'COTIDIANO - IS'!S40</f>
        <v>-</v>
      </c>
      <c r="T40" s="320" t="str">
        <f>'COTIDIANO - IS'!T40</f>
        <v>-</v>
      </c>
      <c r="U40" s="320" t="str">
        <f>'COTIDIANO - IS'!U40</f>
        <v>-</v>
      </c>
      <c r="V40" s="320" t="str">
        <f>'COTIDIANO - IS'!V40</f>
        <v>-</v>
      </c>
      <c r="W40" s="320" t="str">
        <f>'COTIDIANO - IS'!W40</f>
        <v>-</v>
      </c>
      <c r="X40" s="320" t="str">
        <f>'COTIDIANO - IS'!X40</f>
        <v>-</v>
      </c>
      <c r="Y40" s="288">
        <f>'COTIDIANO - IS'!Y40</f>
        <v>0</v>
      </c>
      <c r="Z40" s="120" t="str">
        <f>'COTIDIANO - IS'!Z40</f>
        <v>Debe mejorar su trabajo.</v>
      </c>
      <c r="AA40" s="168">
        <f>'COTIDIANO - IS'!AA40</f>
        <v>0</v>
      </c>
      <c r="AB40" s="166">
        <f t="shared" si="1"/>
        <v>0</v>
      </c>
      <c r="AC40" s="243">
        <f t="shared" si="0"/>
        <v>0</v>
      </c>
      <c r="AD40" s="163">
        <f>'EXAMENES - IS'!G39</f>
        <v>0</v>
      </c>
      <c r="AE40" s="166">
        <f t="shared" si="2"/>
        <v>0</v>
      </c>
      <c r="AF40" s="243">
        <f t="shared" si="3"/>
        <v>0</v>
      </c>
      <c r="AG40" s="163">
        <f>'EXAMENES - IS'!J39</f>
        <v>0</v>
      </c>
      <c r="AH40" s="168">
        <f>'TAREAS - IS'!I39</f>
        <v>0</v>
      </c>
      <c r="AI40" s="243">
        <f>ASISTENCIA!I32</f>
        <v>10</v>
      </c>
      <c r="AJ40" s="524">
        <f t="shared" si="4"/>
        <v>10</v>
      </c>
      <c r="AK40" s="43">
        <f>'REGISTRO DATOS'!J37</f>
        <v>0</v>
      </c>
    </row>
    <row r="41" spans="1:37" ht="18" customHeight="1">
      <c r="A41" s="327">
        <v>26</v>
      </c>
      <c r="B41" s="322" t="str">
        <f>IFERROR(IF(VLOOKUP(A41,'REGISTRO DATOS'!B:H,2,0)=0,"",VLOOKUP(A41,'REGISTRO DATOS'!B:H,2,0)),"")</f>
        <v/>
      </c>
      <c r="C41" s="322" t="str">
        <f>IFERROR(IF(VLOOKUP(A41,'REGISTRO DATOS'!B:H,3,0)=0,"",VLOOKUP(A41,'REGISTRO DATOS'!B:H,3,0)),"")</f>
        <v/>
      </c>
      <c r="D41" s="322" t="str">
        <f>IFERROR(IF(VLOOKUP(A41,'REGISTRO DATOS'!B:H,4,0)=0,"",VLOOKUP(A41,'REGISTRO DATOS'!B:H,4,0)),"")</f>
        <v/>
      </c>
      <c r="E41" s="320" t="str">
        <f>'COTIDIANO - IS'!E41</f>
        <v>-</v>
      </c>
      <c r="F41" s="320" t="str">
        <f>'COTIDIANO - IS'!F41</f>
        <v>-</v>
      </c>
      <c r="G41" s="320" t="str">
        <f>'COTIDIANO - IS'!G41</f>
        <v>-</v>
      </c>
      <c r="H41" s="320" t="str">
        <f>'COTIDIANO - IS'!H41</f>
        <v>-</v>
      </c>
      <c r="I41" s="320" t="str">
        <f>'COTIDIANO - IS'!I41</f>
        <v>-</v>
      </c>
      <c r="J41" s="320" t="str">
        <f>'COTIDIANO - IS'!J41</f>
        <v>-</v>
      </c>
      <c r="K41" s="320" t="str">
        <f>'COTIDIANO - IS'!K41</f>
        <v>-</v>
      </c>
      <c r="L41" s="320" t="str">
        <f>'COTIDIANO - IS'!L41</f>
        <v>-</v>
      </c>
      <c r="M41" s="320" t="str">
        <f>'COTIDIANO - IS'!M41</f>
        <v>-</v>
      </c>
      <c r="N41" s="320" t="str">
        <f>'COTIDIANO - IS'!N41</f>
        <v>-</v>
      </c>
      <c r="O41" s="320" t="str">
        <f>'COTIDIANO - IS'!O41</f>
        <v>-</v>
      </c>
      <c r="P41" s="320" t="str">
        <f>'COTIDIANO - IS'!P41</f>
        <v>-</v>
      </c>
      <c r="Q41" s="320" t="str">
        <f>'COTIDIANO - IS'!Q41</f>
        <v>-</v>
      </c>
      <c r="R41" s="320" t="str">
        <f>'COTIDIANO - IS'!R41</f>
        <v>-</v>
      </c>
      <c r="S41" s="320" t="str">
        <f>'COTIDIANO - IS'!S41</f>
        <v>-</v>
      </c>
      <c r="T41" s="320" t="str">
        <f>'COTIDIANO - IS'!T41</f>
        <v>-</v>
      </c>
      <c r="U41" s="320" t="str">
        <f>'COTIDIANO - IS'!U41</f>
        <v>-</v>
      </c>
      <c r="V41" s="320" t="str">
        <f>'COTIDIANO - IS'!V41</f>
        <v>-</v>
      </c>
      <c r="W41" s="320" t="str">
        <f>'COTIDIANO - IS'!W41</f>
        <v>-</v>
      </c>
      <c r="X41" s="320" t="str">
        <f>'COTIDIANO - IS'!X41</f>
        <v>-</v>
      </c>
      <c r="Y41" s="288">
        <f>'COTIDIANO - IS'!Y41</f>
        <v>0</v>
      </c>
      <c r="Z41" s="120" t="str">
        <f>'COTIDIANO - IS'!Z41</f>
        <v>Debe mejorar su trabajo.</v>
      </c>
      <c r="AA41" s="168">
        <f>'COTIDIANO - IS'!AA41</f>
        <v>0</v>
      </c>
      <c r="AB41" s="166">
        <f t="shared" si="1"/>
        <v>0</v>
      </c>
      <c r="AC41" s="243">
        <f t="shared" si="0"/>
        <v>0</v>
      </c>
      <c r="AD41" s="163">
        <f>'EXAMENES - IS'!G40</f>
        <v>0</v>
      </c>
      <c r="AE41" s="166">
        <f t="shared" si="2"/>
        <v>0</v>
      </c>
      <c r="AF41" s="243">
        <f t="shared" si="3"/>
        <v>0</v>
      </c>
      <c r="AG41" s="163">
        <f>'EXAMENES - IS'!J40</f>
        <v>0</v>
      </c>
      <c r="AH41" s="168">
        <f>'TAREAS - IS'!I40</f>
        <v>0</v>
      </c>
      <c r="AI41" s="243">
        <f>ASISTENCIA!I33</f>
        <v>10</v>
      </c>
      <c r="AJ41" s="524">
        <f t="shared" si="4"/>
        <v>10</v>
      </c>
      <c r="AK41" s="43">
        <f>'REGISTRO DATOS'!J38</f>
        <v>0</v>
      </c>
    </row>
    <row r="42" spans="1:37" ht="18" customHeight="1">
      <c r="A42" s="324">
        <v>27</v>
      </c>
      <c r="B42" s="322" t="str">
        <f>IFERROR(IF(VLOOKUP(A42,'REGISTRO DATOS'!B:H,2,0)=0,"",VLOOKUP(A42,'REGISTRO DATOS'!B:H,2,0)),"")</f>
        <v/>
      </c>
      <c r="C42" s="322" t="str">
        <f>IFERROR(IF(VLOOKUP(A42,'REGISTRO DATOS'!B:H,3,0)=0,"",VLOOKUP(A42,'REGISTRO DATOS'!B:H,3,0)),"")</f>
        <v/>
      </c>
      <c r="D42" s="322" t="str">
        <f>IFERROR(IF(VLOOKUP(A42,'REGISTRO DATOS'!B:H,4,0)=0,"",VLOOKUP(A42,'REGISTRO DATOS'!B:H,4,0)),"")</f>
        <v/>
      </c>
      <c r="E42" s="320" t="str">
        <f>'COTIDIANO - IS'!E42</f>
        <v>-</v>
      </c>
      <c r="F42" s="320" t="str">
        <f>'COTIDIANO - IS'!F42</f>
        <v>-</v>
      </c>
      <c r="G42" s="320" t="str">
        <f>'COTIDIANO - IS'!G42</f>
        <v>-</v>
      </c>
      <c r="H42" s="320" t="str">
        <f>'COTIDIANO - IS'!H42</f>
        <v>-</v>
      </c>
      <c r="I42" s="320" t="str">
        <f>'COTIDIANO - IS'!I42</f>
        <v>-</v>
      </c>
      <c r="J42" s="320" t="str">
        <f>'COTIDIANO - IS'!J42</f>
        <v>-</v>
      </c>
      <c r="K42" s="320" t="str">
        <f>'COTIDIANO - IS'!K42</f>
        <v>-</v>
      </c>
      <c r="L42" s="320" t="str">
        <f>'COTIDIANO - IS'!L42</f>
        <v>-</v>
      </c>
      <c r="M42" s="320" t="str">
        <f>'COTIDIANO - IS'!M42</f>
        <v>-</v>
      </c>
      <c r="N42" s="320" t="str">
        <f>'COTIDIANO - IS'!N42</f>
        <v>-</v>
      </c>
      <c r="O42" s="320" t="str">
        <f>'COTIDIANO - IS'!O42</f>
        <v>-</v>
      </c>
      <c r="P42" s="320" t="str">
        <f>'COTIDIANO - IS'!P42</f>
        <v>-</v>
      </c>
      <c r="Q42" s="320" t="str">
        <f>'COTIDIANO - IS'!Q42</f>
        <v>-</v>
      </c>
      <c r="R42" s="320" t="str">
        <f>'COTIDIANO - IS'!R42</f>
        <v>-</v>
      </c>
      <c r="S42" s="320" t="str">
        <f>'COTIDIANO - IS'!S42</f>
        <v>-</v>
      </c>
      <c r="T42" s="320" t="str">
        <f>'COTIDIANO - IS'!T42</f>
        <v>-</v>
      </c>
      <c r="U42" s="320" t="str">
        <f>'COTIDIANO - IS'!U42</f>
        <v>-</v>
      </c>
      <c r="V42" s="320" t="str">
        <f>'COTIDIANO - IS'!V42</f>
        <v>-</v>
      </c>
      <c r="W42" s="320" t="str">
        <f>'COTIDIANO - IS'!W42</f>
        <v>-</v>
      </c>
      <c r="X42" s="320" t="str">
        <f>'COTIDIANO - IS'!X42</f>
        <v>-</v>
      </c>
      <c r="Y42" s="288">
        <f>'COTIDIANO - IS'!Y42</f>
        <v>0</v>
      </c>
      <c r="Z42" s="120" t="str">
        <f>'COTIDIANO - IS'!Z42</f>
        <v>Debe mejorar su trabajo.</v>
      </c>
      <c r="AA42" s="168">
        <f>'COTIDIANO - IS'!AA42</f>
        <v>0</v>
      </c>
      <c r="AB42" s="166">
        <f t="shared" si="1"/>
        <v>0</v>
      </c>
      <c r="AC42" s="243">
        <f t="shared" si="0"/>
        <v>0</v>
      </c>
      <c r="AD42" s="163">
        <f>'EXAMENES - IS'!G41</f>
        <v>0</v>
      </c>
      <c r="AE42" s="166">
        <f t="shared" si="2"/>
        <v>0</v>
      </c>
      <c r="AF42" s="243">
        <f t="shared" si="3"/>
        <v>0</v>
      </c>
      <c r="AG42" s="163">
        <f>'EXAMENES - IS'!J41</f>
        <v>0</v>
      </c>
      <c r="AH42" s="168">
        <f>'TAREAS - IS'!I41</f>
        <v>0</v>
      </c>
      <c r="AI42" s="243">
        <f>ASISTENCIA!I34</f>
        <v>10</v>
      </c>
      <c r="AJ42" s="524">
        <f t="shared" si="4"/>
        <v>10</v>
      </c>
      <c r="AK42" s="43">
        <f>'REGISTRO DATOS'!J39</f>
        <v>0</v>
      </c>
    </row>
    <row r="43" spans="1:37" ht="18" customHeight="1">
      <c r="A43" s="328">
        <v>28</v>
      </c>
      <c r="B43" s="322" t="str">
        <f>IFERROR(IF(VLOOKUP(A43,'REGISTRO DATOS'!B:H,2,0)=0,"",VLOOKUP(A43,'REGISTRO DATOS'!B:H,2,0)),"")</f>
        <v/>
      </c>
      <c r="C43" s="322" t="str">
        <f>IFERROR(IF(VLOOKUP(A43,'REGISTRO DATOS'!B:H,3,0)=0,"",VLOOKUP(A43,'REGISTRO DATOS'!B:H,3,0)),"")</f>
        <v/>
      </c>
      <c r="D43" s="322" t="str">
        <f>IFERROR(IF(VLOOKUP(A43,'REGISTRO DATOS'!B:H,4,0)=0,"",VLOOKUP(A43,'REGISTRO DATOS'!B:H,4,0)),"")</f>
        <v/>
      </c>
      <c r="E43" s="320" t="str">
        <f>'COTIDIANO - IS'!E43</f>
        <v>-</v>
      </c>
      <c r="F43" s="320" t="str">
        <f>'COTIDIANO - IS'!F43</f>
        <v>-</v>
      </c>
      <c r="G43" s="320" t="str">
        <f>'COTIDIANO - IS'!G43</f>
        <v>-</v>
      </c>
      <c r="H43" s="320" t="str">
        <f>'COTIDIANO - IS'!H43</f>
        <v>-</v>
      </c>
      <c r="I43" s="320" t="str">
        <f>'COTIDIANO - IS'!I43</f>
        <v>-</v>
      </c>
      <c r="J43" s="320" t="str">
        <f>'COTIDIANO - IS'!J43</f>
        <v>-</v>
      </c>
      <c r="K43" s="320" t="str">
        <f>'COTIDIANO - IS'!K43</f>
        <v>-</v>
      </c>
      <c r="L43" s="320" t="str">
        <f>'COTIDIANO - IS'!L43</f>
        <v>-</v>
      </c>
      <c r="M43" s="320" t="str">
        <f>'COTIDIANO - IS'!M43</f>
        <v>-</v>
      </c>
      <c r="N43" s="320" t="str">
        <f>'COTIDIANO - IS'!N43</f>
        <v>-</v>
      </c>
      <c r="O43" s="320" t="str">
        <f>'COTIDIANO - IS'!O43</f>
        <v>-</v>
      </c>
      <c r="P43" s="320" t="str">
        <f>'COTIDIANO - IS'!P43</f>
        <v>-</v>
      </c>
      <c r="Q43" s="320" t="str">
        <f>'COTIDIANO - IS'!Q43</f>
        <v>-</v>
      </c>
      <c r="R43" s="320" t="str">
        <f>'COTIDIANO - IS'!R43</f>
        <v>-</v>
      </c>
      <c r="S43" s="320" t="str">
        <f>'COTIDIANO - IS'!S43</f>
        <v>-</v>
      </c>
      <c r="T43" s="320" t="str">
        <f>'COTIDIANO - IS'!T43</f>
        <v>-</v>
      </c>
      <c r="U43" s="320" t="str">
        <f>'COTIDIANO - IS'!U43</f>
        <v>-</v>
      </c>
      <c r="V43" s="320" t="str">
        <f>'COTIDIANO - IS'!V43</f>
        <v>-</v>
      </c>
      <c r="W43" s="320" t="str">
        <f>'COTIDIANO - IS'!W43</f>
        <v>-</v>
      </c>
      <c r="X43" s="320" t="str">
        <f>'COTIDIANO - IS'!X43</f>
        <v>-</v>
      </c>
      <c r="Y43" s="288">
        <f>'COTIDIANO - IS'!Y43</f>
        <v>0</v>
      </c>
      <c r="Z43" s="120" t="str">
        <f>'COTIDIANO - IS'!Z43</f>
        <v>Debe mejorar su trabajo.</v>
      </c>
      <c r="AA43" s="168">
        <f>'COTIDIANO - IS'!AA43</f>
        <v>0</v>
      </c>
      <c r="AB43" s="166">
        <f t="shared" si="1"/>
        <v>0</v>
      </c>
      <c r="AC43" s="243">
        <f t="shared" si="0"/>
        <v>0</v>
      </c>
      <c r="AD43" s="163">
        <f>'EXAMENES - IS'!G42</f>
        <v>0</v>
      </c>
      <c r="AE43" s="166">
        <f t="shared" si="2"/>
        <v>0</v>
      </c>
      <c r="AF43" s="243">
        <f t="shared" si="3"/>
        <v>0</v>
      </c>
      <c r="AG43" s="163">
        <f>'EXAMENES - IS'!J42</f>
        <v>0</v>
      </c>
      <c r="AH43" s="168">
        <f>'TAREAS - IS'!I42</f>
        <v>0</v>
      </c>
      <c r="AI43" s="243">
        <f>ASISTENCIA!I35</f>
        <v>10</v>
      </c>
      <c r="AJ43" s="524">
        <f t="shared" si="4"/>
        <v>10</v>
      </c>
      <c r="AK43" s="43">
        <f>'REGISTRO DATOS'!J40</f>
        <v>0</v>
      </c>
    </row>
    <row r="44" spans="1:37" ht="18" customHeight="1">
      <c r="A44" s="324">
        <v>29</v>
      </c>
      <c r="B44" s="322" t="str">
        <f>IFERROR(IF(VLOOKUP(A44,'REGISTRO DATOS'!B:H,2,0)=0,"",VLOOKUP(A44,'REGISTRO DATOS'!B:H,2,0)),"")</f>
        <v/>
      </c>
      <c r="C44" s="322" t="str">
        <f>IFERROR(IF(VLOOKUP(A44,'REGISTRO DATOS'!B:H,3,0)=0,"",VLOOKUP(A44,'REGISTRO DATOS'!B:H,3,0)),"")</f>
        <v/>
      </c>
      <c r="D44" s="322" t="str">
        <f>IFERROR(IF(VLOOKUP(A44,'REGISTRO DATOS'!B:H,4,0)=0,"",VLOOKUP(A44,'REGISTRO DATOS'!B:H,4,0)),"")</f>
        <v/>
      </c>
      <c r="E44" s="320" t="str">
        <f>'COTIDIANO - IS'!E44</f>
        <v>-</v>
      </c>
      <c r="F44" s="320" t="str">
        <f>'COTIDIANO - IS'!F44</f>
        <v>-</v>
      </c>
      <c r="G44" s="320" t="str">
        <f>'COTIDIANO - IS'!G44</f>
        <v>-</v>
      </c>
      <c r="H44" s="320" t="str">
        <f>'COTIDIANO - IS'!H44</f>
        <v>-</v>
      </c>
      <c r="I44" s="320" t="str">
        <f>'COTIDIANO - IS'!I44</f>
        <v>-</v>
      </c>
      <c r="J44" s="320" t="str">
        <f>'COTIDIANO - IS'!J44</f>
        <v>-</v>
      </c>
      <c r="K44" s="320" t="str">
        <f>'COTIDIANO - IS'!K44</f>
        <v>-</v>
      </c>
      <c r="L44" s="320" t="str">
        <f>'COTIDIANO - IS'!L44</f>
        <v>-</v>
      </c>
      <c r="M44" s="320" t="str">
        <f>'COTIDIANO - IS'!M44</f>
        <v>-</v>
      </c>
      <c r="N44" s="320" t="str">
        <f>'COTIDIANO - IS'!N44</f>
        <v>-</v>
      </c>
      <c r="O44" s="320" t="str">
        <f>'COTIDIANO - IS'!O44</f>
        <v>-</v>
      </c>
      <c r="P44" s="320" t="str">
        <f>'COTIDIANO - IS'!P44</f>
        <v>-</v>
      </c>
      <c r="Q44" s="320" t="str">
        <f>'COTIDIANO - IS'!Q44</f>
        <v>-</v>
      </c>
      <c r="R44" s="320" t="str">
        <f>'COTIDIANO - IS'!R44</f>
        <v>-</v>
      </c>
      <c r="S44" s="320" t="str">
        <f>'COTIDIANO - IS'!S44</f>
        <v>-</v>
      </c>
      <c r="T44" s="320" t="str">
        <f>'COTIDIANO - IS'!T44</f>
        <v>-</v>
      </c>
      <c r="U44" s="320" t="str">
        <f>'COTIDIANO - IS'!U44</f>
        <v>-</v>
      </c>
      <c r="V44" s="320" t="str">
        <f>'COTIDIANO - IS'!V44</f>
        <v>-</v>
      </c>
      <c r="W44" s="320" t="str">
        <f>'COTIDIANO - IS'!W44</f>
        <v>-</v>
      </c>
      <c r="X44" s="320" t="str">
        <f>'COTIDIANO - IS'!X44</f>
        <v>-</v>
      </c>
      <c r="Y44" s="288">
        <f>'COTIDIANO - IS'!Y44</f>
        <v>0</v>
      </c>
      <c r="Z44" s="120" t="str">
        <f>'COTIDIANO - IS'!Z44</f>
        <v>Debe mejorar su trabajo.</v>
      </c>
      <c r="AA44" s="168">
        <f>'COTIDIANO - IS'!AA44</f>
        <v>0</v>
      </c>
      <c r="AB44" s="166">
        <f t="shared" si="1"/>
        <v>0</v>
      </c>
      <c r="AC44" s="243">
        <f t="shared" si="0"/>
        <v>0</v>
      </c>
      <c r="AD44" s="163">
        <f>'EXAMENES - IS'!G43</f>
        <v>0</v>
      </c>
      <c r="AE44" s="166">
        <f t="shared" si="2"/>
        <v>0</v>
      </c>
      <c r="AF44" s="243">
        <f t="shared" si="3"/>
        <v>0</v>
      </c>
      <c r="AG44" s="163">
        <f>'EXAMENES - IS'!J43</f>
        <v>0</v>
      </c>
      <c r="AH44" s="168">
        <f>'TAREAS - IS'!I43</f>
        <v>0</v>
      </c>
      <c r="AI44" s="243">
        <f>ASISTENCIA!I36</f>
        <v>10</v>
      </c>
      <c r="AJ44" s="524">
        <f t="shared" si="4"/>
        <v>10</v>
      </c>
      <c r="AK44" s="43">
        <f>'REGISTRO DATOS'!J41</f>
        <v>0</v>
      </c>
    </row>
    <row r="45" spans="1:37" ht="18" customHeight="1">
      <c r="A45" s="327">
        <v>30</v>
      </c>
      <c r="B45" s="322" t="str">
        <f>IFERROR(IF(VLOOKUP(A45,'REGISTRO DATOS'!B:H,2,0)=0,"",VLOOKUP(A45,'REGISTRO DATOS'!B:H,2,0)),"")</f>
        <v/>
      </c>
      <c r="C45" s="322" t="str">
        <f>IFERROR(IF(VLOOKUP(A45,'REGISTRO DATOS'!B:H,3,0)=0,"",VLOOKUP(A45,'REGISTRO DATOS'!B:H,3,0)),"")</f>
        <v/>
      </c>
      <c r="D45" s="322" t="str">
        <f>IFERROR(IF(VLOOKUP(A45,'REGISTRO DATOS'!B:H,4,0)=0,"",VLOOKUP(A45,'REGISTRO DATOS'!B:H,4,0)),"")</f>
        <v/>
      </c>
      <c r="E45" s="320" t="str">
        <f>'COTIDIANO - IS'!E45</f>
        <v>-</v>
      </c>
      <c r="F45" s="320" t="str">
        <f>'COTIDIANO - IS'!F45</f>
        <v>-</v>
      </c>
      <c r="G45" s="320" t="str">
        <f>'COTIDIANO - IS'!G45</f>
        <v>-</v>
      </c>
      <c r="H45" s="320" t="str">
        <f>'COTIDIANO - IS'!H45</f>
        <v>-</v>
      </c>
      <c r="I45" s="320" t="str">
        <f>'COTIDIANO - IS'!I45</f>
        <v>-</v>
      </c>
      <c r="J45" s="320" t="str">
        <f>'COTIDIANO - IS'!J45</f>
        <v>-</v>
      </c>
      <c r="K45" s="320" t="str">
        <f>'COTIDIANO - IS'!K45</f>
        <v>-</v>
      </c>
      <c r="L45" s="320" t="str">
        <f>'COTIDIANO - IS'!L45</f>
        <v>-</v>
      </c>
      <c r="M45" s="320" t="str">
        <f>'COTIDIANO - IS'!M45</f>
        <v>-</v>
      </c>
      <c r="N45" s="320" t="str">
        <f>'COTIDIANO - IS'!N45</f>
        <v>-</v>
      </c>
      <c r="O45" s="320" t="str">
        <f>'COTIDIANO - IS'!O45</f>
        <v>-</v>
      </c>
      <c r="P45" s="320" t="str">
        <f>'COTIDIANO - IS'!P45</f>
        <v>-</v>
      </c>
      <c r="Q45" s="320" t="str">
        <f>'COTIDIANO - IS'!Q45</f>
        <v>-</v>
      </c>
      <c r="R45" s="320" t="str">
        <f>'COTIDIANO - IS'!R45</f>
        <v>-</v>
      </c>
      <c r="S45" s="320" t="str">
        <f>'COTIDIANO - IS'!S45</f>
        <v>-</v>
      </c>
      <c r="T45" s="320" t="str">
        <f>'COTIDIANO - IS'!T45</f>
        <v>-</v>
      </c>
      <c r="U45" s="320" t="str">
        <f>'COTIDIANO - IS'!U45</f>
        <v>-</v>
      </c>
      <c r="V45" s="320" t="str">
        <f>'COTIDIANO - IS'!V45</f>
        <v>-</v>
      </c>
      <c r="W45" s="320" t="str">
        <f>'COTIDIANO - IS'!W45</f>
        <v>-</v>
      </c>
      <c r="X45" s="320" t="str">
        <f>'COTIDIANO - IS'!X45</f>
        <v>-</v>
      </c>
      <c r="Y45" s="288">
        <f>'COTIDIANO - IS'!Y45</f>
        <v>0</v>
      </c>
      <c r="Z45" s="120" t="str">
        <f>'COTIDIANO - IS'!Z45</f>
        <v>Debe mejorar su trabajo.</v>
      </c>
      <c r="AA45" s="168">
        <f>'COTIDIANO - IS'!AA45</f>
        <v>0</v>
      </c>
      <c r="AB45" s="166">
        <f t="shared" si="1"/>
        <v>0</v>
      </c>
      <c r="AC45" s="243">
        <f t="shared" si="0"/>
        <v>0</v>
      </c>
      <c r="AD45" s="163">
        <f>'EXAMENES - IS'!G44</f>
        <v>0</v>
      </c>
      <c r="AE45" s="166">
        <f t="shared" si="2"/>
        <v>0</v>
      </c>
      <c r="AF45" s="243">
        <f t="shared" si="3"/>
        <v>0</v>
      </c>
      <c r="AG45" s="163">
        <f>'EXAMENES - IS'!J44</f>
        <v>0</v>
      </c>
      <c r="AH45" s="168">
        <f>'TAREAS - IS'!I44</f>
        <v>0</v>
      </c>
      <c r="AI45" s="243">
        <f>ASISTENCIA!I37</f>
        <v>10</v>
      </c>
      <c r="AJ45" s="524">
        <f t="shared" si="4"/>
        <v>10</v>
      </c>
      <c r="AK45" s="43">
        <f>'REGISTRO DATOS'!J42</f>
        <v>0</v>
      </c>
    </row>
    <row r="46" spans="1:37" ht="18" customHeight="1">
      <c r="A46" s="321">
        <v>31</v>
      </c>
      <c r="B46" s="322" t="str">
        <f>IFERROR(IF(VLOOKUP(A46,'REGISTRO DATOS'!B:H,2,0)=0,"",VLOOKUP(A46,'REGISTRO DATOS'!B:H,2,0)),"")</f>
        <v/>
      </c>
      <c r="C46" s="322" t="str">
        <f>IFERROR(IF(VLOOKUP(A46,'REGISTRO DATOS'!B:H,3,0)=0,"",VLOOKUP(A46,'REGISTRO DATOS'!B:H,3,0)),"")</f>
        <v/>
      </c>
      <c r="D46" s="322" t="str">
        <f>IFERROR(IF(VLOOKUP(A46,'REGISTRO DATOS'!B:H,4,0)=0,"",VLOOKUP(A46,'REGISTRO DATOS'!B:H,4,0)),"")</f>
        <v/>
      </c>
      <c r="E46" s="320" t="str">
        <f>'COTIDIANO - IS'!E46</f>
        <v>-</v>
      </c>
      <c r="F46" s="320" t="str">
        <f>'COTIDIANO - IS'!F46</f>
        <v>-</v>
      </c>
      <c r="G46" s="320" t="str">
        <f>'COTIDIANO - IS'!G46</f>
        <v>-</v>
      </c>
      <c r="H46" s="320" t="str">
        <f>'COTIDIANO - IS'!H46</f>
        <v>-</v>
      </c>
      <c r="I46" s="320" t="str">
        <f>'COTIDIANO - IS'!I46</f>
        <v>-</v>
      </c>
      <c r="J46" s="320" t="str">
        <f>'COTIDIANO - IS'!J46</f>
        <v>-</v>
      </c>
      <c r="K46" s="320" t="str">
        <f>'COTIDIANO - IS'!K46</f>
        <v>-</v>
      </c>
      <c r="L46" s="320" t="str">
        <f>'COTIDIANO - IS'!L46</f>
        <v>-</v>
      </c>
      <c r="M46" s="320" t="str">
        <f>'COTIDIANO - IS'!M46</f>
        <v>-</v>
      </c>
      <c r="N46" s="320" t="str">
        <f>'COTIDIANO - IS'!N46</f>
        <v>-</v>
      </c>
      <c r="O46" s="320" t="str">
        <f>'COTIDIANO - IS'!O46</f>
        <v>-</v>
      </c>
      <c r="P46" s="320" t="str">
        <f>'COTIDIANO - IS'!P46</f>
        <v>-</v>
      </c>
      <c r="Q46" s="320" t="str">
        <f>'COTIDIANO - IS'!Q46</f>
        <v>-</v>
      </c>
      <c r="R46" s="320" t="str">
        <f>'COTIDIANO - IS'!R46</f>
        <v>-</v>
      </c>
      <c r="S46" s="320" t="str">
        <f>'COTIDIANO - IS'!S46</f>
        <v>-</v>
      </c>
      <c r="T46" s="320" t="str">
        <f>'COTIDIANO - IS'!T46</f>
        <v>-</v>
      </c>
      <c r="U46" s="320" t="str">
        <f>'COTIDIANO - IS'!U46</f>
        <v>-</v>
      </c>
      <c r="V46" s="320" t="str">
        <f>'COTIDIANO - IS'!V46</f>
        <v>-</v>
      </c>
      <c r="W46" s="320" t="str">
        <f>'COTIDIANO - IS'!W46</f>
        <v>-</v>
      </c>
      <c r="X46" s="320" t="str">
        <f>'COTIDIANO - IS'!X46</f>
        <v>-</v>
      </c>
      <c r="Y46" s="288">
        <f>'COTIDIANO - IS'!Y46</f>
        <v>0</v>
      </c>
      <c r="Z46" s="120" t="str">
        <f>'COTIDIANO - IS'!Z46</f>
        <v>Debe mejorar su trabajo.</v>
      </c>
      <c r="AA46" s="168">
        <f>'COTIDIANO - IS'!AA46</f>
        <v>0</v>
      </c>
      <c r="AB46" s="166">
        <f t="shared" si="1"/>
        <v>0</v>
      </c>
      <c r="AC46" s="243">
        <f t="shared" si="0"/>
        <v>0</v>
      </c>
      <c r="AD46" s="163">
        <f>'EXAMENES - IS'!G45</f>
        <v>0</v>
      </c>
      <c r="AE46" s="166">
        <f t="shared" si="2"/>
        <v>0</v>
      </c>
      <c r="AF46" s="243">
        <f t="shared" si="3"/>
        <v>0</v>
      </c>
      <c r="AG46" s="163">
        <f>'EXAMENES - IS'!J45</f>
        <v>0</v>
      </c>
      <c r="AH46" s="168">
        <f>'TAREAS - IS'!I45</f>
        <v>0</v>
      </c>
      <c r="AI46" s="243">
        <f>ASISTENCIA!I38</f>
        <v>10</v>
      </c>
      <c r="AJ46" s="524">
        <f t="shared" si="4"/>
        <v>10</v>
      </c>
      <c r="AK46" s="43">
        <f>'REGISTRO DATOS'!J43</f>
        <v>0</v>
      </c>
    </row>
    <row r="47" spans="1:37" ht="18" customHeight="1">
      <c r="A47" s="324">
        <v>32</v>
      </c>
      <c r="B47" s="322" t="str">
        <f>IFERROR(IF(VLOOKUP(A47,'REGISTRO DATOS'!B:H,2,0)=0,"",VLOOKUP(A47,'REGISTRO DATOS'!B:H,2,0)),"")</f>
        <v/>
      </c>
      <c r="C47" s="322" t="str">
        <f>IFERROR(IF(VLOOKUP(A47,'REGISTRO DATOS'!B:H,3,0)=0,"",VLOOKUP(A47,'REGISTRO DATOS'!B:H,3,0)),"")</f>
        <v/>
      </c>
      <c r="D47" s="322" t="str">
        <f>IFERROR(IF(VLOOKUP(A47,'REGISTRO DATOS'!B:H,4,0)=0,"",VLOOKUP(A47,'REGISTRO DATOS'!B:H,4,0)),"")</f>
        <v/>
      </c>
      <c r="E47" s="320" t="str">
        <f>'COTIDIANO - IS'!E47</f>
        <v>-</v>
      </c>
      <c r="F47" s="320" t="str">
        <f>'COTIDIANO - IS'!F47</f>
        <v>-</v>
      </c>
      <c r="G47" s="320" t="str">
        <f>'COTIDIANO - IS'!G47</f>
        <v>-</v>
      </c>
      <c r="H47" s="320" t="str">
        <f>'COTIDIANO - IS'!H47</f>
        <v>-</v>
      </c>
      <c r="I47" s="320" t="str">
        <f>'COTIDIANO - IS'!I47</f>
        <v>-</v>
      </c>
      <c r="J47" s="320" t="str">
        <f>'COTIDIANO - IS'!J47</f>
        <v>-</v>
      </c>
      <c r="K47" s="320" t="str">
        <f>'COTIDIANO - IS'!K47</f>
        <v>-</v>
      </c>
      <c r="L47" s="320" t="str">
        <f>'COTIDIANO - IS'!L47</f>
        <v>-</v>
      </c>
      <c r="M47" s="320" t="str">
        <f>'COTIDIANO - IS'!M47</f>
        <v>-</v>
      </c>
      <c r="N47" s="320" t="str">
        <f>'COTIDIANO - IS'!N47</f>
        <v>-</v>
      </c>
      <c r="O47" s="320" t="str">
        <f>'COTIDIANO - IS'!O47</f>
        <v>-</v>
      </c>
      <c r="P47" s="320" t="str">
        <f>'COTIDIANO - IS'!P47</f>
        <v>-</v>
      </c>
      <c r="Q47" s="320" t="str">
        <f>'COTIDIANO - IS'!Q47</f>
        <v>-</v>
      </c>
      <c r="R47" s="320" t="str">
        <f>'COTIDIANO - IS'!R47</f>
        <v>-</v>
      </c>
      <c r="S47" s="320" t="str">
        <f>'COTIDIANO - IS'!S47</f>
        <v>-</v>
      </c>
      <c r="T47" s="320" t="str">
        <f>'COTIDIANO - IS'!T47</f>
        <v>-</v>
      </c>
      <c r="U47" s="320" t="str">
        <f>'COTIDIANO - IS'!U47</f>
        <v>-</v>
      </c>
      <c r="V47" s="320" t="str">
        <f>'COTIDIANO - IS'!V47</f>
        <v>-</v>
      </c>
      <c r="W47" s="320" t="str">
        <f>'COTIDIANO - IS'!W47</f>
        <v>-</v>
      </c>
      <c r="X47" s="320" t="str">
        <f>'COTIDIANO - IS'!X47</f>
        <v>-</v>
      </c>
      <c r="Y47" s="288">
        <f>'COTIDIANO - IS'!Y47</f>
        <v>0</v>
      </c>
      <c r="Z47" s="120" t="str">
        <f>'COTIDIANO - IS'!Z47</f>
        <v>Debe mejorar su trabajo.</v>
      </c>
      <c r="AA47" s="168">
        <f>'COTIDIANO - IS'!AA47</f>
        <v>0</v>
      </c>
      <c r="AB47" s="166">
        <f t="shared" si="1"/>
        <v>0</v>
      </c>
      <c r="AC47" s="243">
        <f t="shared" si="0"/>
        <v>0</v>
      </c>
      <c r="AD47" s="163">
        <f>'EXAMENES - IS'!G46</f>
        <v>0</v>
      </c>
      <c r="AE47" s="166">
        <f t="shared" si="2"/>
        <v>0</v>
      </c>
      <c r="AF47" s="243">
        <f t="shared" si="3"/>
        <v>0</v>
      </c>
      <c r="AG47" s="163">
        <f>'EXAMENES - IS'!J46</f>
        <v>0</v>
      </c>
      <c r="AH47" s="168">
        <f>'TAREAS - IS'!I46</f>
        <v>0</v>
      </c>
      <c r="AI47" s="243">
        <f>ASISTENCIA!I39</f>
        <v>10</v>
      </c>
      <c r="AJ47" s="524">
        <f t="shared" si="4"/>
        <v>10</v>
      </c>
      <c r="AK47" s="43">
        <f>'REGISTRO DATOS'!J44</f>
        <v>0</v>
      </c>
    </row>
    <row r="48" spans="1:37" ht="18" customHeight="1">
      <c r="A48" s="324">
        <v>33</v>
      </c>
      <c r="B48" s="322" t="str">
        <f>IFERROR(IF(VLOOKUP(A48,'REGISTRO DATOS'!B:H,2,0)=0,"",VLOOKUP(A48,'REGISTRO DATOS'!B:H,2,0)),"")</f>
        <v/>
      </c>
      <c r="C48" s="322" t="str">
        <f>IFERROR(IF(VLOOKUP(A48,'REGISTRO DATOS'!B:H,3,0)=0,"",VLOOKUP(A48,'REGISTRO DATOS'!B:H,3,0)),"")</f>
        <v/>
      </c>
      <c r="D48" s="322" t="str">
        <f>IFERROR(IF(VLOOKUP(A48,'REGISTRO DATOS'!B:H,4,0)=0,"",VLOOKUP(A48,'REGISTRO DATOS'!B:H,4,0)),"")</f>
        <v/>
      </c>
      <c r="E48" s="320" t="str">
        <f>'COTIDIANO - IS'!E48</f>
        <v>-</v>
      </c>
      <c r="F48" s="320" t="str">
        <f>'COTIDIANO - IS'!F48</f>
        <v>-</v>
      </c>
      <c r="G48" s="320" t="str">
        <f>'COTIDIANO - IS'!G48</f>
        <v>-</v>
      </c>
      <c r="H48" s="320" t="str">
        <f>'COTIDIANO - IS'!H48</f>
        <v>-</v>
      </c>
      <c r="I48" s="320" t="str">
        <f>'COTIDIANO - IS'!I48</f>
        <v>-</v>
      </c>
      <c r="J48" s="320" t="str">
        <f>'COTIDIANO - IS'!J48</f>
        <v>-</v>
      </c>
      <c r="K48" s="320" t="str">
        <f>'COTIDIANO - IS'!K48</f>
        <v>-</v>
      </c>
      <c r="L48" s="320" t="str">
        <f>'COTIDIANO - IS'!L48</f>
        <v>-</v>
      </c>
      <c r="M48" s="320" t="str">
        <f>'COTIDIANO - IS'!M48</f>
        <v>-</v>
      </c>
      <c r="N48" s="320" t="str">
        <f>'COTIDIANO - IS'!N48</f>
        <v>-</v>
      </c>
      <c r="O48" s="320" t="str">
        <f>'COTIDIANO - IS'!O48</f>
        <v>-</v>
      </c>
      <c r="P48" s="320" t="str">
        <f>'COTIDIANO - IS'!P48</f>
        <v>-</v>
      </c>
      <c r="Q48" s="320" t="str">
        <f>'COTIDIANO - IS'!Q48</f>
        <v>-</v>
      </c>
      <c r="R48" s="320" t="str">
        <f>'COTIDIANO - IS'!R48</f>
        <v>-</v>
      </c>
      <c r="S48" s="320" t="str">
        <f>'COTIDIANO - IS'!S48</f>
        <v>-</v>
      </c>
      <c r="T48" s="320" t="str">
        <f>'COTIDIANO - IS'!T48</f>
        <v>-</v>
      </c>
      <c r="U48" s="320" t="str">
        <f>'COTIDIANO - IS'!U48</f>
        <v>-</v>
      </c>
      <c r="V48" s="320" t="str">
        <f>'COTIDIANO - IS'!V48</f>
        <v>-</v>
      </c>
      <c r="W48" s="320" t="str">
        <f>'COTIDIANO - IS'!W48</f>
        <v>-</v>
      </c>
      <c r="X48" s="320" t="str">
        <f>'COTIDIANO - IS'!X48</f>
        <v>-</v>
      </c>
      <c r="Y48" s="288">
        <f>'COTIDIANO - IS'!Y48</f>
        <v>0</v>
      </c>
      <c r="Z48" s="120" t="str">
        <f>'COTIDIANO - IS'!Z48</f>
        <v>Debe mejorar su trabajo.</v>
      </c>
      <c r="AA48" s="168">
        <f>'COTIDIANO - IS'!AA48</f>
        <v>0</v>
      </c>
      <c r="AB48" s="166">
        <f t="shared" si="1"/>
        <v>0</v>
      </c>
      <c r="AC48" s="243">
        <f t="shared" si="0"/>
        <v>0</v>
      </c>
      <c r="AD48" s="163">
        <f>'EXAMENES - IS'!G47</f>
        <v>0</v>
      </c>
      <c r="AE48" s="166">
        <f t="shared" si="2"/>
        <v>0</v>
      </c>
      <c r="AF48" s="243">
        <f t="shared" si="3"/>
        <v>0</v>
      </c>
      <c r="AG48" s="163">
        <f>'EXAMENES - IS'!J47</f>
        <v>0</v>
      </c>
      <c r="AH48" s="168">
        <f>'TAREAS - IS'!I47</f>
        <v>0</v>
      </c>
      <c r="AI48" s="243">
        <f>ASISTENCIA!I40</f>
        <v>10</v>
      </c>
      <c r="AJ48" s="524">
        <f t="shared" si="4"/>
        <v>10</v>
      </c>
      <c r="AK48" s="43">
        <f>'REGISTRO DATOS'!J45</f>
        <v>0</v>
      </c>
    </row>
    <row r="49" spans="1:37" ht="18" customHeight="1">
      <c r="A49" s="328">
        <v>34</v>
      </c>
      <c r="B49" s="322" t="str">
        <f>IFERROR(IF(VLOOKUP(A49,'REGISTRO DATOS'!B:H,2,0)=0,"",VLOOKUP(A49,'REGISTRO DATOS'!B:H,2,0)),"")</f>
        <v/>
      </c>
      <c r="C49" s="322" t="str">
        <f>IFERROR(IF(VLOOKUP(A49,'REGISTRO DATOS'!B:H,3,0)=0,"",VLOOKUP(A49,'REGISTRO DATOS'!B:H,3,0)),"")</f>
        <v/>
      </c>
      <c r="D49" s="322" t="str">
        <f>IFERROR(IF(VLOOKUP(A49,'REGISTRO DATOS'!B:H,4,0)=0,"",VLOOKUP(A49,'REGISTRO DATOS'!B:H,4,0)),"")</f>
        <v/>
      </c>
      <c r="E49" s="320" t="str">
        <f>'COTIDIANO - IS'!E49</f>
        <v>-</v>
      </c>
      <c r="F49" s="320" t="str">
        <f>'COTIDIANO - IS'!F49</f>
        <v>-</v>
      </c>
      <c r="G49" s="320" t="str">
        <f>'COTIDIANO - IS'!G49</f>
        <v>-</v>
      </c>
      <c r="H49" s="320" t="str">
        <f>'COTIDIANO - IS'!H49</f>
        <v>-</v>
      </c>
      <c r="I49" s="320" t="str">
        <f>'COTIDIANO - IS'!I49</f>
        <v>-</v>
      </c>
      <c r="J49" s="320" t="str">
        <f>'COTIDIANO - IS'!J49</f>
        <v>-</v>
      </c>
      <c r="K49" s="320" t="str">
        <f>'COTIDIANO - IS'!K49</f>
        <v>-</v>
      </c>
      <c r="L49" s="320" t="str">
        <f>'COTIDIANO - IS'!L49</f>
        <v>-</v>
      </c>
      <c r="M49" s="320" t="str">
        <f>'COTIDIANO - IS'!M49</f>
        <v>-</v>
      </c>
      <c r="N49" s="320" t="str">
        <f>'COTIDIANO - IS'!N49</f>
        <v>-</v>
      </c>
      <c r="O49" s="320" t="str">
        <f>'COTIDIANO - IS'!O49</f>
        <v>-</v>
      </c>
      <c r="P49" s="320" t="str">
        <f>'COTIDIANO - IS'!P49</f>
        <v>-</v>
      </c>
      <c r="Q49" s="320" t="str">
        <f>'COTIDIANO - IS'!Q49</f>
        <v>-</v>
      </c>
      <c r="R49" s="320" t="str">
        <f>'COTIDIANO - IS'!R49</f>
        <v>-</v>
      </c>
      <c r="S49" s="320" t="str">
        <f>'COTIDIANO - IS'!S49</f>
        <v>-</v>
      </c>
      <c r="T49" s="320" t="str">
        <f>'COTIDIANO - IS'!T49</f>
        <v>-</v>
      </c>
      <c r="U49" s="320" t="str">
        <f>'COTIDIANO - IS'!U49</f>
        <v>-</v>
      </c>
      <c r="V49" s="320" t="str">
        <f>'COTIDIANO - IS'!V49</f>
        <v>-</v>
      </c>
      <c r="W49" s="320" t="str">
        <f>'COTIDIANO - IS'!W49</f>
        <v>-</v>
      </c>
      <c r="X49" s="320" t="str">
        <f>'COTIDIANO - IS'!X49</f>
        <v>-</v>
      </c>
      <c r="Y49" s="288">
        <f>'COTIDIANO - IS'!Y49</f>
        <v>0</v>
      </c>
      <c r="Z49" s="120" t="str">
        <f>'COTIDIANO - IS'!Z49</f>
        <v>Debe mejorar su trabajo.</v>
      </c>
      <c r="AA49" s="168">
        <f>'COTIDIANO - IS'!AA49</f>
        <v>0</v>
      </c>
      <c r="AB49" s="166">
        <f t="shared" si="1"/>
        <v>0</v>
      </c>
      <c r="AC49" s="243">
        <f t="shared" si="0"/>
        <v>0</v>
      </c>
      <c r="AD49" s="163">
        <f>'EXAMENES - IS'!G48</f>
        <v>0</v>
      </c>
      <c r="AE49" s="166">
        <f t="shared" si="2"/>
        <v>0</v>
      </c>
      <c r="AF49" s="243">
        <f t="shared" si="3"/>
        <v>0</v>
      </c>
      <c r="AG49" s="163">
        <f>'EXAMENES - IS'!J48</f>
        <v>0</v>
      </c>
      <c r="AH49" s="168">
        <f>'TAREAS - IS'!I48</f>
        <v>0</v>
      </c>
      <c r="AI49" s="243">
        <f>ASISTENCIA!I41</f>
        <v>10</v>
      </c>
      <c r="AJ49" s="524">
        <f t="shared" si="4"/>
        <v>10</v>
      </c>
      <c r="AK49" s="43">
        <f>'REGISTRO DATOS'!J46</f>
        <v>0</v>
      </c>
    </row>
    <row r="50" spans="1:37" ht="18" customHeight="1">
      <c r="A50" s="324">
        <v>35</v>
      </c>
      <c r="B50" s="322" t="str">
        <f>IFERROR(IF(VLOOKUP(A50,'REGISTRO DATOS'!B:H,2,0)=0,"",VLOOKUP(A50,'REGISTRO DATOS'!B:H,2,0)),"")</f>
        <v/>
      </c>
      <c r="C50" s="322" t="str">
        <f>IFERROR(IF(VLOOKUP(A50,'REGISTRO DATOS'!B:H,3,0)=0,"",VLOOKUP(A50,'REGISTRO DATOS'!B:H,3,0)),"")</f>
        <v/>
      </c>
      <c r="D50" s="322" t="str">
        <f>IFERROR(IF(VLOOKUP(A50,'REGISTRO DATOS'!B:H,4,0)=0,"",VLOOKUP(A50,'REGISTRO DATOS'!B:H,4,0)),"")</f>
        <v/>
      </c>
      <c r="E50" s="320" t="str">
        <f>'COTIDIANO - IS'!E50</f>
        <v>-</v>
      </c>
      <c r="F50" s="320" t="str">
        <f>'COTIDIANO - IS'!F50</f>
        <v>-</v>
      </c>
      <c r="G50" s="320" t="str">
        <f>'COTIDIANO - IS'!G50</f>
        <v>-</v>
      </c>
      <c r="H50" s="320" t="str">
        <f>'COTIDIANO - IS'!H50</f>
        <v>-</v>
      </c>
      <c r="I50" s="320" t="str">
        <f>'COTIDIANO - IS'!I50</f>
        <v>-</v>
      </c>
      <c r="J50" s="320" t="str">
        <f>'COTIDIANO - IS'!J50</f>
        <v>-</v>
      </c>
      <c r="K50" s="320" t="str">
        <f>'COTIDIANO - IS'!K50</f>
        <v>-</v>
      </c>
      <c r="L50" s="320" t="str">
        <f>'COTIDIANO - IS'!L50</f>
        <v>-</v>
      </c>
      <c r="M50" s="320" t="str">
        <f>'COTIDIANO - IS'!M50</f>
        <v>-</v>
      </c>
      <c r="N50" s="320" t="str">
        <f>'COTIDIANO - IS'!N50</f>
        <v>-</v>
      </c>
      <c r="O50" s="320" t="str">
        <f>'COTIDIANO - IS'!O50</f>
        <v>-</v>
      </c>
      <c r="P50" s="320" t="str">
        <f>'COTIDIANO - IS'!P50</f>
        <v>-</v>
      </c>
      <c r="Q50" s="320" t="str">
        <f>'COTIDIANO - IS'!Q50</f>
        <v>-</v>
      </c>
      <c r="R50" s="320" t="str">
        <f>'COTIDIANO - IS'!R50</f>
        <v>-</v>
      </c>
      <c r="S50" s="320" t="str">
        <f>'COTIDIANO - IS'!S50</f>
        <v>-</v>
      </c>
      <c r="T50" s="320" t="str">
        <f>'COTIDIANO - IS'!T50</f>
        <v>-</v>
      </c>
      <c r="U50" s="320" t="str">
        <f>'COTIDIANO - IS'!U50</f>
        <v>-</v>
      </c>
      <c r="V50" s="320" t="str">
        <f>'COTIDIANO - IS'!V50</f>
        <v>-</v>
      </c>
      <c r="W50" s="320" t="str">
        <f>'COTIDIANO - IS'!W50</f>
        <v>-</v>
      </c>
      <c r="X50" s="320" t="str">
        <f>'COTIDIANO - IS'!X50</f>
        <v>-</v>
      </c>
      <c r="Y50" s="288">
        <f>'COTIDIANO - IS'!Y50</f>
        <v>0</v>
      </c>
      <c r="Z50" s="120" t="str">
        <f>'COTIDIANO - IS'!Z50</f>
        <v>Debe mejorar su trabajo.</v>
      </c>
      <c r="AA50" s="168">
        <f>'COTIDIANO - IS'!AA50</f>
        <v>0</v>
      </c>
      <c r="AB50" s="166">
        <f t="shared" si="1"/>
        <v>0</v>
      </c>
      <c r="AC50" s="243">
        <f t="shared" si="0"/>
        <v>0</v>
      </c>
      <c r="AD50" s="163">
        <f>'EXAMENES - IS'!G49</f>
        <v>0</v>
      </c>
      <c r="AE50" s="166">
        <f t="shared" si="2"/>
        <v>0</v>
      </c>
      <c r="AF50" s="243">
        <f t="shared" si="3"/>
        <v>0</v>
      </c>
      <c r="AG50" s="163">
        <f>'EXAMENES - IS'!J49</f>
        <v>0</v>
      </c>
      <c r="AH50" s="168">
        <f>'TAREAS - IS'!I49</f>
        <v>0</v>
      </c>
      <c r="AI50" s="243">
        <f>ASISTENCIA!I42</f>
        <v>10</v>
      </c>
      <c r="AJ50" s="524">
        <f t="shared" si="4"/>
        <v>10</v>
      </c>
      <c r="AK50" s="43">
        <f>'REGISTRO DATOS'!J47</f>
        <v>0</v>
      </c>
    </row>
    <row r="51" spans="1:37" ht="18" customHeight="1">
      <c r="A51" s="327">
        <v>36</v>
      </c>
      <c r="B51" s="322" t="str">
        <f>IFERROR(IF(VLOOKUP(A51,'REGISTRO DATOS'!B:H,2,0)=0,"",VLOOKUP(A51,'REGISTRO DATOS'!B:H,2,0)),"")</f>
        <v/>
      </c>
      <c r="C51" s="322" t="str">
        <f>IFERROR(IF(VLOOKUP(A51,'REGISTRO DATOS'!B:H,3,0)=0,"",VLOOKUP(A51,'REGISTRO DATOS'!B:H,3,0)),"")</f>
        <v/>
      </c>
      <c r="D51" s="322" t="str">
        <f>IFERROR(IF(VLOOKUP(A51,'REGISTRO DATOS'!B:H,4,0)=0,"",VLOOKUP(A51,'REGISTRO DATOS'!B:H,4,0)),"")</f>
        <v/>
      </c>
      <c r="E51" s="320" t="str">
        <f>'COTIDIANO - IS'!E51</f>
        <v>-</v>
      </c>
      <c r="F51" s="320" t="str">
        <f>'COTIDIANO - IS'!F51</f>
        <v>-</v>
      </c>
      <c r="G51" s="320" t="str">
        <f>'COTIDIANO - IS'!G51</f>
        <v>-</v>
      </c>
      <c r="H51" s="320" t="str">
        <f>'COTIDIANO - IS'!H51</f>
        <v>-</v>
      </c>
      <c r="I51" s="320" t="str">
        <f>'COTIDIANO - IS'!I51</f>
        <v>-</v>
      </c>
      <c r="J51" s="320" t="str">
        <f>'COTIDIANO - IS'!J51</f>
        <v>-</v>
      </c>
      <c r="K51" s="320" t="str">
        <f>'COTIDIANO - IS'!K51</f>
        <v>-</v>
      </c>
      <c r="L51" s="320" t="str">
        <f>'COTIDIANO - IS'!L51</f>
        <v>-</v>
      </c>
      <c r="M51" s="320" t="str">
        <f>'COTIDIANO - IS'!M51</f>
        <v>-</v>
      </c>
      <c r="N51" s="320" t="str">
        <f>'COTIDIANO - IS'!N51</f>
        <v>-</v>
      </c>
      <c r="O51" s="320" t="str">
        <f>'COTIDIANO - IS'!O51</f>
        <v>-</v>
      </c>
      <c r="P51" s="320" t="str">
        <f>'COTIDIANO - IS'!P51</f>
        <v>-</v>
      </c>
      <c r="Q51" s="320" t="str">
        <f>'COTIDIANO - IS'!Q51</f>
        <v>-</v>
      </c>
      <c r="R51" s="320" t="str">
        <f>'COTIDIANO - IS'!R51</f>
        <v>-</v>
      </c>
      <c r="S51" s="320" t="str">
        <f>'COTIDIANO - IS'!S51</f>
        <v>-</v>
      </c>
      <c r="T51" s="320" t="str">
        <f>'COTIDIANO - IS'!T51</f>
        <v>-</v>
      </c>
      <c r="U51" s="320" t="str">
        <f>'COTIDIANO - IS'!U51</f>
        <v>-</v>
      </c>
      <c r="V51" s="320" t="str">
        <f>'COTIDIANO - IS'!V51</f>
        <v>-</v>
      </c>
      <c r="W51" s="320" t="str">
        <f>'COTIDIANO - IS'!W51</f>
        <v>-</v>
      </c>
      <c r="X51" s="320" t="str">
        <f>'COTIDIANO - IS'!X51</f>
        <v>-</v>
      </c>
      <c r="Y51" s="288">
        <f>'COTIDIANO - IS'!Y51</f>
        <v>0</v>
      </c>
      <c r="Z51" s="120" t="str">
        <f>'COTIDIANO - IS'!Z51</f>
        <v>Debe mejorar su trabajo.</v>
      </c>
      <c r="AA51" s="168">
        <f>'COTIDIANO - IS'!AA51</f>
        <v>0</v>
      </c>
      <c r="AB51" s="166">
        <f t="shared" si="1"/>
        <v>0</v>
      </c>
      <c r="AC51" s="243">
        <f t="shared" si="0"/>
        <v>0</v>
      </c>
      <c r="AD51" s="163">
        <f>'EXAMENES - IS'!G50</f>
        <v>0</v>
      </c>
      <c r="AE51" s="166">
        <f t="shared" si="2"/>
        <v>0</v>
      </c>
      <c r="AF51" s="243">
        <f t="shared" si="3"/>
        <v>0</v>
      </c>
      <c r="AG51" s="163">
        <f>'EXAMENES - IS'!J50</f>
        <v>0</v>
      </c>
      <c r="AH51" s="168">
        <f>'TAREAS - IS'!I50</f>
        <v>0</v>
      </c>
      <c r="AI51" s="243">
        <f>ASISTENCIA!I43</f>
        <v>10</v>
      </c>
      <c r="AJ51" s="524">
        <f t="shared" si="4"/>
        <v>10</v>
      </c>
      <c r="AK51" s="43">
        <f>'REGISTRO DATOS'!J48</f>
        <v>0</v>
      </c>
    </row>
    <row r="52" spans="1:37" ht="18" customHeight="1">
      <c r="A52" s="321">
        <v>37</v>
      </c>
      <c r="B52" s="322" t="str">
        <f>IFERROR(IF(VLOOKUP(A52,'REGISTRO DATOS'!B:H,2,0)=0,"",VLOOKUP(A52,'REGISTRO DATOS'!B:H,2,0)),"")</f>
        <v/>
      </c>
      <c r="C52" s="322" t="str">
        <f>IFERROR(IF(VLOOKUP(A52,'REGISTRO DATOS'!B:H,3,0)=0,"",VLOOKUP(A52,'REGISTRO DATOS'!B:H,3,0)),"")</f>
        <v/>
      </c>
      <c r="D52" s="322" t="str">
        <f>IFERROR(IF(VLOOKUP(A52,'REGISTRO DATOS'!B:H,4,0)=0,"",VLOOKUP(A52,'REGISTRO DATOS'!B:H,4,0)),"")</f>
        <v/>
      </c>
      <c r="E52" s="320" t="str">
        <f>'COTIDIANO - IS'!E52</f>
        <v>-</v>
      </c>
      <c r="F52" s="320" t="str">
        <f>'COTIDIANO - IS'!F52</f>
        <v>-</v>
      </c>
      <c r="G52" s="320" t="str">
        <f>'COTIDIANO - IS'!G52</f>
        <v>-</v>
      </c>
      <c r="H52" s="320" t="str">
        <f>'COTIDIANO - IS'!H52</f>
        <v>-</v>
      </c>
      <c r="I52" s="320" t="str">
        <f>'COTIDIANO - IS'!I52</f>
        <v>-</v>
      </c>
      <c r="J52" s="320" t="str">
        <f>'COTIDIANO - IS'!J52</f>
        <v>-</v>
      </c>
      <c r="K52" s="320" t="str">
        <f>'COTIDIANO - IS'!K52</f>
        <v>-</v>
      </c>
      <c r="L52" s="320" t="str">
        <f>'COTIDIANO - IS'!L52</f>
        <v>-</v>
      </c>
      <c r="M52" s="320" t="str">
        <f>'COTIDIANO - IS'!M52</f>
        <v>-</v>
      </c>
      <c r="N52" s="320" t="str">
        <f>'COTIDIANO - IS'!N52</f>
        <v>-</v>
      </c>
      <c r="O52" s="320" t="str">
        <f>'COTIDIANO - IS'!O52</f>
        <v>-</v>
      </c>
      <c r="P52" s="320" t="str">
        <f>'COTIDIANO - IS'!P52</f>
        <v>-</v>
      </c>
      <c r="Q52" s="320" t="str">
        <f>'COTIDIANO - IS'!Q52</f>
        <v>-</v>
      </c>
      <c r="R52" s="320" t="str">
        <f>'COTIDIANO - IS'!R52</f>
        <v>-</v>
      </c>
      <c r="S52" s="320" t="str">
        <f>'COTIDIANO - IS'!S52</f>
        <v>-</v>
      </c>
      <c r="T52" s="320" t="str">
        <f>'COTIDIANO - IS'!T52</f>
        <v>-</v>
      </c>
      <c r="U52" s="320" t="str">
        <f>'COTIDIANO - IS'!U52</f>
        <v>-</v>
      </c>
      <c r="V52" s="320" t="str">
        <f>'COTIDIANO - IS'!V52</f>
        <v>-</v>
      </c>
      <c r="W52" s="320" t="str">
        <f>'COTIDIANO - IS'!W52</f>
        <v>-</v>
      </c>
      <c r="X52" s="320" t="str">
        <f>'COTIDIANO - IS'!X52</f>
        <v>-</v>
      </c>
      <c r="Y52" s="288">
        <f>'COTIDIANO - IS'!Y52</f>
        <v>0</v>
      </c>
      <c r="Z52" s="120" t="str">
        <f>'COTIDIANO - IS'!Z52</f>
        <v>Debe mejorar su trabajo.</v>
      </c>
      <c r="AA52" s="168">
        <f>'COTIDIANO - IS'!AA52</f>
        <v>0</v>
      </c>
      <c r="AB52" s="166">
        <f t="shared" si="1"/>
        <v>0</v>
      </c>
      <c r="AC52" s="243">
        <f t="shared" si="0"/>
        <v>0</v>
      </c>
      <c r="AD52" s="163">
        <f>'EXAMENES - IS'!G51</f>
        <v>0</v>
      </c>
      <c r="AE52" s="166">
        <f t="shared" si="2"/>
        <v>0</v>
      </c>
      <c r="AF52" s="243">
        <f t="shared" si="3"/>
        <v>0</v>
      </c>
      <c r="AG52" s="163">
        <f>'EXAMENES - IS'!J51</f>
        <v>0</v>
      </c>
      <c r="AH52" s="168">
        <f>'TAREAS - IS'!I51</f>
        <v>0</v>
      </c>
      <c r="AI52" s="243">
        <f>ASISTENCIA!I44</f>
        <v>10</v>
      </c>
      <c r="AJ52" s="524">
        <f t="shared" si="4"/>
        <v>10</v>
      </c>
      <c r="AK52" s="43">
        <f>'REGISTRO DATOS'!J49</f>
        <v>0</v>
      </c>
    </row>
    <row r="53" spans="1:37" ht="18" customHeight="1">
      <c r="A53" s="327">
        <v>38</v>
      </c>
      <c r="B53" s="322" t="str">
        <f>IFERROR(IF(VLOOKUP(A53,'REGISTRO DATOS'!B:H,2,0)=0,"",VLOOKUP(A53,'REGISTRO DATOS'!B:H,2,0)),"")</f>
        <v/>
      </c>
      <c r="C53" s="322" t="str">
        <f>IFERROR(IF(VLOOKUP(A53,'REGISTRO DATOS'!B:H,3,0)=0,"",VLOOKUP(A53,'REGISTRO DATOS'!B:H,3,0)),"")</f>
        <v/>
      </c>
      <c r="D53" s="322" t="str">
        <f>IFERROR(IF(VLOOKUP(A53,'REGISTRO DATOS'!B:H,4,0)=0,"",VLOOKUP(A53,'REGISTRO DATOS'!B:H,4,0)),"")</f>
        <v/>
      </c>
      <c r="E53" s="320" t="str">
        <f>'COTIDIANO - IS'!E53</f>
        <v>-</v>
      </c>
      <c r="F53" s="320" t="str">
        <f>'COTIDIANO - IS'!F53</f>
        <v>-</v>
      </c>
      <c r="G53" s="320" t="str">
        <f>'COTIDIANO - IS'!G53</f>
        <v>-</v>
      </c>
      <c r="H53" s="320" t="str">
        <f>'COTIDIANO - IS'!H53</f>
        <v>-</v>
      </c>
      <c r="I53" s="320" t="str">
        <f>'COTIDIANO - IS'!I53</f>
        <v>-</v>
      </c>
      <c r="J53" s="320" t="str">
        <f>'COTIDIANO - IS'!J53</f>
        <v>-</v>
      </c>
      <c r="K53" s="320" t="str">
        <f>'COTIDIANO - IS'!K53</f>
        <v>-</v>
      </c>
      <c r="L53" s="320" t="str">
        <f>'COTIDIANO - IS'!L53</f>
        <v>-</v>
      </c>
      <c r="M53" s="320" t="str">
        <f>'COTIDIANO - IS'!M53</f>
        <v>-</v>
      </c>
      <c r="N53" s="320" t="str">
        <f>'COTIDIANO - IS'!N53</f>
        <v>-</v>
      </c>
      <c r="O53" s="320" t="str">
        <f>'COTIDIANO - IS'!O53</f>
        <v>-</v>
      </c>
      <c r="P53" s="320" t="str">
        <f>'COTIDIANO - IS'!P53</f>
        <v>-</v>
      </c>
      <c r="Q53" s="320" t="str">
        <f>'COTIDIANO - IS'!Q53</f>
        <v>-</v>
      </c>
      <c r="R53" s="320" t="str">
        <f>'COTIDIANO - IS'!R53</f>
        <v>-</v>
      </c>
      <c r="S53" s="320" t="str">
        <f>'COTIDIANO - IS'!S53</f>
        <v>-</v>
      </c>
      <c r="T53" s="320" t="str">
        <f>'COTIDIANO - IS'!T53</f>
        <v>-</v>
      </c>
      <c r="U53" s="320" t="str">
        <f>'COTIDIANO - IS'!U53</f>
        <v>-</v>
      </c>
      <c r="V53" s="320" t="str">
        <f>'COTIDIANO - IS'!V53</f>
        <v>-</v>
      </c>
      <c r="W53" s="320" t="str">
        <f>'COTIDIANO - IS'!W53</f>
        <v>-</v>
      </c>
      <c r="X53" s="320" t="str">
        <f>'COTIDIANO - IS'!X53</f>
        <v>-</v>
      </c>
      <c r="Y53" s="288">
        <f>'COTIDIANO - IS'!Y53</f>
        <v>0</v>
      </c>
      <c r="Z53" s="120" t="str">
        <f>'COTIDIANO - IS'!Z53</f>
        <v>Debe mejorar su trabajo.</v>
      </c>
      <c r="AA53" s="168">
        <f>'COTIDIANO - IS'!AA53</f>
        <v>0</v>
      </c>
      <c r="AB53" s="166">
        <f t="shared" si="1"/>
        <v>0</v>
      </c>
      <c r="AC53" s="243">
        <f t="shared" si="0"/>
        <v>0</v>
      </c>
      <c r="AD53" s="163">
        <f>'EXAMENES - IS'!G52</f>
        <v>0</v>
      </c>
      <c r="AE53" s="166">
        <f t="shared" si="2"/>
        <v>0</v>
      </c>
      <c r="AF53" s="243">
        <f t="shared" si="3"/>
        <v>0</v>
      </c>
      <c r="AG53" s="163">
        <f>'EXAMENES - IS'!J52</f>
        <v>0</v>
      </c>
      <c r="AH53" s="168">
        <f>'TAREAS - IS'!I52</f>
        <v>0</v>
      </c>
      <c r="AI53" s="243">
        <f>ASISTENCIA!I45</f>
        <v>10</v>
      </c>
      <c r="AJ53" s="524">
        <f t="shared" si="4"/>
        <v>10</v>
      </c>
      <c r="AK53" s="43">
        <f>'REGISTRO DATOS'!J50</f>
        <v>0</v>
      </c>
    </row>
    <row r="54" spans="1:37" ht="18" customHeight="1">
      <c r="A54" s="324">
        <v>39</v>
      </c>
      <c r="B54" s="322" t="str">
        <f>IFERROR(IF(VLOOKUP(A54,'REGISTRO DATOS'!B:H,2,0)=0,"",VLOOKUP(A54,'REGISTRO DATOS'!B:H,2,0)),"")</f>
        <v/>
      </c>
      <c r="C54" s="322" t="str">
        <f>IFERROR(IF(VLOOKUP(A54,'REGISTRO DATOS'!B:H,3,0)=0,"",VLOOKUP(A54,'REGISTRO DATOS'!B:H,3,0)),"")</f>
        <v/>
      </c>
      <c r="D54" s="322" t="str">
        <f>IFERROR(IF(VLOOKUP(A54,'REGISTRO DATOS'!B:H,4,0)=0,"",VLOOKUP(A54,'REGISTRO DATOS'!B:H,4,0)),"")</f>
        <v/>
      </c>
      <c r="E54" s="320" t="str">
        <f>'COTIDIANO - IS'!E54</f>
        <v>-</v>
      </c>
      <c r="F54" s="320" t="str">
        <f>'COTIDIANO - IS'!F54</f>
        <v>-</v>
      </c>
      <c r="G54" s="320" t="str">
        <f>'COTIDIANO - IS'!G54</f>
        <v>-</v>
      </c>
      <c r="H54" s="320" t="str">
        <f>'COTIDIANO - IS'!H54</f>
        <v>-</v>
      </c>
      <c r="I54" s="320" t="str">
        <f>'COTIDIANO - IS'!I54</f>
        <v>-</v>
      </c>
      <c r="J54" s="320" t="str">
        <f>'COTIDIANO - IS'!J54</f>
        <v>-</v>
      </c>
      <c r="K54" s="320" t="str">
        <f>'COTIDIANO - IS'!K54</f>
        <v>-</v>
      </c>
      <c r="L54" s="320" t="str">
        <f>'COTIDIANO - IS'!L54</f>
        <v>-</v>
      </c>
      <c r="M54" s="320" t="str">
        <f>'COTIDIANO - IS'!M54</f>
        <v>-</v>
      </c>
      <c r="N54" s="320" t="str">
        <f>'COTIDIANO - IS'!N54</f>
        <v>-</v>
      </c>
      <c r="O54" s="320" t="str">
        <f>'COTIDIANO - IS'!O54</f>
        <v>-</v>
      </c>
      <c r="P54" s="320" t="str">
        <f>'COTIDIANO - IS'!P54</f>
        <v>-</v>
      </c>
      <c r="Q54" s="320" t="str">
        <f>'COTIDIANO - IS'!Q54</f>
        <v>-</v>
      </c>
      <c r="R54" s="320" t="str">
        <f>'COTIDIANO - IS'!R54</f>
        <v>-</v>
      </c>
      <c r="S54" s="320" t="str">
        <f>'COTIDIANO - IS'!S54</f>
        <v>-</v>
      </c>
      <c r="T54" s="320" t="str">
        <f>'COTIDIANO - IS'!T54</f>
        <v>-</v>
      </c>
      <c r="U54" s="320" t="str">
        <f>'COTIDIANO - IS'!U54</f>
        <v>-</v>
      </c>
      <c r="V54" s="320" t="str">
        <f>'COTIDIANO - IS'!V54</f>
        <v>-</v>
      </c>
      <c r="W54" s="320" t="str">
        <f>'COTIDIANO - IS'!W54</f>
        <v>-</v>
      </c>
      <c r="X54" s="320" t="str">
        <f>'COTIDIANO - IS'!X54</f>
        <v>-</v>
      </c>
      <c r="Y54" s="288">
        <f>'COTIDIANO - IS'!Y54</f>
        <v>0</v>
      </c>
      <c r="Z54" s="120" t="str">
        <f>'COTIDIANO - IS'!Z54</f>
        <v>Debe mejorar su trabajo.</v>
      </c>
      <c r="AA54" s="168">
        <f>'COTIDIANO - IS'!AA54</f>
        <v>0</v>
      </c>
      <c r="AB54" s="166">
        <f t="shared" si="1"/>
        <v>0</v>
      </c>
      <c r="AC54" s="243">
        <f t="shared" si="0"/>
        <v>0</v>
      </c>
      <c r="AD54" s="163">
        <f>'EXAMENES - IS'!G53</f>
        <v>0</v>
      </c>
      <c r="AE54" s="166">
        <f t="shared" si="2"/>
        <v>0</v>
      </c>
      <c r="AF54" s="243">
        <f t="shared" si="3"/>
        <v>0</v>
      </c>
      <c r="AG54" s="163">
        <f>'EXAMENES - IS'!J53</f>
        <v>0</v>
      </c>
      <c r="AH54" s="168">
        <f>'TAREAS - IS'!I53</f>
        <v>0</v>
      </c>
      <c r="AI54" s="243">
        <f>ASISTENCIA!I46</f>
        <v>10</v>
      </c>
      <c r="AJ54" s="524">
        <f t="shared" si="4"/>
        <v>10</v>
      </c>
      <c r="AK54" s="43">
        <f>'REGISTRO DATOS'!J51</f>
        <v>0</v>
      </c>
    </row>
    <row r="55" spans="1:37" ht="18" customHeight="1">
      <c r="A55" s="329">
        <v>40</v>
      </c>
      <c r="B55" s="330" t="str">
        <f>IFERROR(IF(VLOOKUP(A55,'REGISTRO DATOS'!B:H,2,0)=0,"",VLOOKUP(A55,'REGISTRO DATOS'!B:H,2,0)),"")</f>
        <v/>
      </c>
      <c r="C55" s="330" t="str">
        <f>IFERROR(IF(VLOOKUP(A55,'REGISTRO DATOS'!B:H,3,0)=0,"",VLOOKUP(A55,'REGISTRO DATOS'!B:H,3,0)),"")</f>
        <v/>
      </c>
      <c r="D55" s="330" t="str">
        <f>IFERROR(IF(VLOOKUP(A55,'REGISTRO DATOS'!B:H,4,0)=0,"",VLOOKUP(A55,'REGISTRO DATOS'!B:H,4,0)),"")</f>
        <v/>
      </c>
      <c r="E55" s="320" t="str">
        <f>'COTIDIANO - IS'!E55</f>
        <v>-</v>
      </c>
      <c r="F55" s="320" t="str">
        <f>'COTIDIANO - IS'!F55</f>
        <v>-</v>
      </c>
      <c r="G55" s="320" t="str">
        <f>'COTIDIANO - IS'!G55</f>
        <v>-</v>
      </c>
      <c r="H55" s="320" t="str">
        <f>'COTIDIANO - IS'!H55</f>
        <v>-</v>
      </c>
      <c r="I55" s="320" t="str">
        <f>'COTIDIANO - IS'!I55</f>
        <v>-</v>
      </c>
      <c r="J55" s="320" t="str">
        <f>'COTIDIANO - IS'!J55</f>
        <v>-</v>
      </c>
      <c r="K55" s="320" t="str">
        <f>'COTIDIANO - IS'!K55</f>
        <v>-</v>
      </c>
      <c r="L55" s="320" t="str">
        <f>'COTIDIANO - IS'!L55</f>
        <v>-</v>
      </c>
      <c r="M55" s="320" t="str">
        <f>'COTIDIANO - IS'!M55</f>
        <v>-</v>
      </c>
      <c r="N55" s="320" t="str">
        <f>'COTIDIANO - IS'!N55</f>
        <v>-</v>
      </c>
      <c r="O55" s="320" t="str">
        <f>'COTIDIANO - IS'!O55</f>
        <v>-</v>
      </c>
      <c r="P55" s="320" t="str">
        <f>'COTIDIANO - IS'!P55</f>
        <v>-</v>
      </c>
      <c r="Q55" s="320" t="str">
        <f>'COTIDIANO - IS'!Q55</f>
        <v>-</v>
      </c>
      <c r="R55" s="320" t="str">
        <f>'COTIDIANO - IS'!R55</f>
        <v>-</v>
      </c>
      <c r="S55" s="320" t="str">
        <f>'COTIDIANO - IS'!S55</f>
        <v>-</v>
      </c>
      <c r="T55" s="320" t="str">
        <f>'COTIDIANO - IS'!T55</f>
        <v>-</v>
      </c>
      <c r="U55" s="320" t="str">
        <f>'COTIDIANO - IS'!U55</f>
        <v>-</v>
      </c>
      <c r="V55" s="320" t="str">
        <f>'COTIDIANO - IS'!V55</f>
        <v>-</v>
      </c>
      <c r="W55" s="320" t="str">
        <f>'COTIDIANO - IS'!W55</f>
        <v>-</v>
      </c>
      <c r="X55" s="320" t="str">
        <f>'COTIDIANO - IS'!X55</f>
        <v>-</v>
      </c>
      <c r="Y55" s="288">
        <f>'COTIDIANO - IS'!Y55</f>
        <v>0</v>
      </c>
      <c r="Z55" s="120" t="str">
        <f>'COTIDIANO - IS'!Z55</f>
        <v>Debe mejorar su trabajo.</v>
      </c>
      <c r="AA55" s="168">
        <f>'COTIDIANO - IS'!AA55</f>
        <v>0</v>
      </c>
      <c r="AB55" s="166">
        <f t="shared" si="1"/>
        <v>0</v>
      </c>
      <c r="AC55" s="243">
        <f t="shared" si="0"/>
        <v>0</v>
      </c>
      <c r="AD55" s="163">
        <f>'EXAMENES - IS'!G54</f>
        <v>0</v>
      </c>
      <c r="AE55" s="166">
        <f t="shared" si="2"/>
        <v>0</v>
      </c>
      <c r="AF55" s="243">
        <f t="shared" si="3"/>
        <v>0</v>
      </c>
      <c r="AG55" s="163">
        <f>'EXAMENES - IS'!J54</f>
        <v>0</v>
      </c>
      <c r="AH55" s="168">
        <f>'TAREAS - IS'!I54</f>
        <v>0</v>
      </c>
      <c r="AI55" s="243">
        <f>ASISTENCIA!I47</f>
        <v>10</v>
      </c>
      <c r="AJ55" s="524">
        <f t="shared" si="4"/>
        <v>10</v>
      </c>
      <c r="AK55" s="43">
        <f>'REGISTRO DATOS'!J52</f>
        <v>0</v>
      </c>
    </row>
    <row r="56" spans="1:37" ht="18" customHeight="1">
      <c r="A56" s="331"/>
      <c r="B56" s="331"/>
      <c r="C56" s="331"/>
      <c r="D56" s="331"/>
      <c r="E56" s="331"/>
      <c r="F56" s="331"/>
      <c r="G56" s="331"/>
      <c r="H56" s="331"/>
      <c r="I56" s="331"/>
      <c r="J56" s="331"/>
      <c r="K56" s="331"/>
      <c r="L56" s="331"/>
      <c r="M56" s="331"/>
      <c r="N56" s="331"/>
      <c r="O56" s="331"/>
      <c r="P56" s="331"/>
      <c r="Q56" s="331"/>
      <c r="R56" s="331"/>
      <c r="S56" s="331"/>
      <c r="T56" s="331"/>
      <c r="U56" s="331"/>
      <c r="V56" s="331"/>
      <c r="W56" s="331"/>
      <c r="X56" s="331"/>
      <c r="Y56" s="2"/>
      <c r="Z56" s="223"/>
      <c r="AA56" s="2"/>
      <c r="AB56" s="2"/>
      <c r="AC56" s="2"/>
      <c r="AD56" s="112"/>
      <c r="AE56" s="112"/>
      <c r="AF56" s="2"/>
      <c r="AG56" s="2"/>
      <c r="AH56" s="2"/>
      <c r="AI56" s="2"/>
      <c r="AJ56" s="2"/>
    </row>
    <row r="57" spans="1:37" ht="18" hidden="1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7" ht="18" hidden="1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7" ht="18" hidden="1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7" ht="18" hidden="1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  <row r="61" spans="1:37" ht="18" hidden="1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</row>
    <row r="62" spans="1:37" ht="17.25" hidden="1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</row>
    <row r="63" spans="1:37" ht="17.25" hidden="1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</row>
    <row r="64" spans="1:37" ht="17.25" hidden="1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</row>
    <row r="65" spans="1:36" ht="15" hidden="1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</row>
    <row r="66" spans="1:36" ht="15.75" hidden="1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</row>
    <row r="67" spans="1:36" ht="15" hidden="1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</row>
    <row r="68" spans="1:36" ht="15.75" hidden="1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</row>
    <row r="69" spans="1:36" ht="15" hidden="1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</row>
    <row r="70" spans="1:36" ht="15.75" hidden="1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</row>
    <row r="71" spans="1:36" ht="15" hidden="1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</row>
    <row r="72" spans="1:36" ht="15.75" hidden="1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</row>
    <row r="73" spans="1:36" ht="15" hidden="1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</row>
    <row r="74" spans="1:36" ht="15.75" hidden="1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</row>
    <row r="75" spans="1:36" ht="15" hidden="1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</row>
    <row r="76" spans="1:36" ht="15.75" hidden="1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</row>
    <row r="77" spans="1:36" ht="15" hidden="1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</row>
    <row r="78" spans="1:36" ht="15.75" hidden="1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</row>
    <row r="79" spans="1:36" ht="15" hidden="1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</row>
    <row r="80" spans="1:36" ht="15.75" hidden="1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</row>
    <row r="81" spans="1:36" hidden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</row>
    <row r="82" spans="1:36" hidden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</row>
    <row r="83" spans="1:36" hidden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</row>
    <row r="84" spans="1:36" hidden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</row>
    <row r="85" spans="1:36" hidden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</row>
    <row r="86" spans="1:36" hidden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</row>
    <row r="87" spans="1:36" hidden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</row>
    <row r="88" spans="1:36" hidden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</row>
    <row r="89" spans="1:36" hidden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</row>
    <row r="90" spans="1:36" hidden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</row>
    <row r="91" spans="1:36" hidden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</row>
    <row r="92" spans="1:36" hidden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</row>
    <row r="93" spans="1:36" hidden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</row>
    <row r="94" spans="1:36" hidden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</row>
    <row r="95" spans="1:36" hidden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</row>
    <row r="96" spans="1:36" hidden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</row>
    <row r="97" spans="1:36" hidden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</row>
    <row r="98" spans="1:36" hidden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</row>
    <row r="99" spans="1:36" hidden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</row>
    <row r="100" spans="1:36" hidden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</row>
    <row r="101" spans="1:36" hidden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</row>
    <row r="102" spans="1:36" hidden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</row>
    <row r="103" spans="1:36" hidden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</row>
    <row r="104" spans="1:36" hidden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</row>
    <row r="105" spans="1:36" hidden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</row>
    <row r="106" spans="1:36" hidden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</row>
    <row r="107" spans="1:36" hidden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</row>
    <row r="108" spans="1:36" hidden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</row>
    <row r="109" spans="1:36" hidden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</row>
  </sheetData>
  <dataConsolidate/>
  <mergeCells count="67">
    <mergeCell ref="R1:AG2"/>
    <mergeCell ref="A13:D14"/>
    <mergeCell ref="A9:D9"/>
    <mergeCell ref="E13:X13"/>
    <mergeCell ref="E14:E15"/>
    <mergeCell ref="F14:F15"/>
    <mergeCell ref="E11:H11"/>
    <mergeCell ref="E12:J12"/>
    <mergeCell ref="V14:V15"/>
    <mergeCell ref="U14:U15"/>
    <mergeCell ref="H14:H15"/>
    <mergeCell ref="I14:I15"/>
    <mergeCell ref="J14:J15"/>
    <mergeCell ref="K14:K15"/>
    <mergeCell ref="M14:M15"/>
    <mergeCell ref="A2:B2"/>
    <mergeCell ref="C2:D2"/>
    <mergeCell ref="B11:C11"/>
    <mergeCell ref="T8:Y8"/>
    <mergeCell ref="T10:Y10"/>
    <mergeCell ref="T9:Y9"/>
    <mergeCell ref="T6:W6"/>
    <mergeCell ref="T11:Y11"/>
    <mergeCell ref="T5:W5"/>
    <mergeCell ref="A3:D3"/>
    <mergeCell ref="A8:D8"/>
    <mergeCell ref="E5:L5"/>
    <mergeCell ref="E3:R3"/>
    <mergeCell ref="E8:R8"/>
    <mergeCell ref="E9:P9"/>
    <mergeCell ref="A5:D5"/>
    <mergeCell ref="A4:D4"/>
    <mergeCell ref="AB8:AD8"/>
    <mergeCell ref="E4:R4"/>
    <mergeCell ref="AE13:AG13"/>
    <mergeCell ref="AE14:AE15"/>
    <mergeCell ref="AB9:AG11"/>
    <mergeCell ref="E10:H10"/>
    <mergeCell ref="T14:T15"/>
    <mergeCell ref="N14:N15"/>
    <mergeCell ref="O14:O15"/>
    <mergeCell ref="P14:P15"/>
    <mergeCell ref="Q14:Q15"/>
    <mergeCell ref="R14:R15"/>
    <mergeCell ref="G14:G15"/>
    <mergeCell ref="L14:L15"/>
    <mergeCell ref="W14:W15"/>
    <mergeCell ref="AB13:AD13"/>
    <mergeCell ref="A6:D6"/>
    <mergeCell ref="A7:D7"/>
    <mergeCell ref="E7:R7"/>
    <mergeCell ref="E6:R6"/>
    <mergeCell ref="Z14:Z15"/>
    <mergeCell ref="X14:X15"/>
    <mergeCell ref="S14:S15"/>
    <mergeCell ref="AB14:AB15"/>
    <mergeCell ref="AO26:AR26"/>
    <mergeCell ref="AJ14:AJ15"/>
    <mergeCell ref="Y14:Y15"/>
    <mergeCell ref="AO27:AP27"/>
    <mergeCell ref="AQ27:AR27"/>
    <mergeCell ref="AO17:AP17"/>
    <mergeCell ref="AO16:AR16"/>
    <mergeCell ref="AQ17:AR17"/>
    <mergeCell ref="AO21:AR21"/>
    <mergeCell ref="AO22:AP22"/>
    <mergeCell ref="AQ22:AR22"/>
  </mergeCells>
  <conditionalFormatting sqref="Y16:Y55">
    <cfRule type="cellIs" dxfId="241" priority="49" operator="greaterThan">
      <formula>67</formula>
    </cfRule>
    <cfRule type="cellIs" dxfId="240" priority="50" operator="between">
      <formula>34</formula>
      <formula>67</formula>
    </cfRule>
    <cfRule type="cellIs" dxfId="239" priority="51" operator="lessThan">
      <formula>34</formula>
    </cfRule>
  </conditionalFormatting>
  <conditionalFormatting sqref="E16:X55">
    <cfRule type="cellIs" dxfId="238" priority="48" operator="equal">
      <formula>1</formula>
    </cfRule>
  </conditionalFormatting>
  <conditionalFormatting sqref="E16:X55">
    <cfRule type="cellIs" dxfId="237" priority="47" operator="equal">
      <formula>1</formula>
    </cfRule>
  </conditionalFormatting>
  <conditionalFormatting sqref="E16:X55">
    <cfRule type="cellIs" dxfId="236" priority="46" operator="equal">
      <formula>1</formula>
    </cfRule>
  </conditionalFormatting>
  <conditionalFormatting sqref="R16:S55 X16:X55 L16:M55 F16:G55">
    <cfRule type="cellIs" dxfId="235" priority="45" operator="equal">
      <formula>1</formula>
    </cfRule>
  </conditionalFormatting>
  <conditionalFormatting sqref="E16:X55">
    <cfRule type="cellIs" dxfId="234" priority="44" operator="equal">
      <formula>1</formula>
    </cfRule>
  </conditionalFormatting>
  <conditionalFormatting sqref="E16:X55">
    <cfRule type="cellIs" dxfId="233" priority="41" operator="equal">
      <formula>3</formula>
    </cfRule>
    <cfRule type="cellIs" dxfId="232" priority="42" operator="equal">
      <formula>2</formula>
    </cfRule>
    <cfRule type="cellIs" dxfId="231" priority="43" operator="equal">
      <formula>1</formula>
    </cfRule>
  </conditionalFormatting>
  <conditionalFormatting sqref="Z16:Z55">
    <cfRule type="cellIs" dxfId="230" priority="40" operator="equal">
      <formula>1</formula>
    </cfRule>
  </conditionalFormatting>
  <conditionalFormatting sqref="Z16:Z55">
    <cfRule type="cellIs" dxfId="229" priority="37" operator="equal">
      <formula>3</formula>
    </cfRule>
    <cfRule type="cellIs" dxfId="228" priority="38" operator="equal">
      <formula>2</formula>
    </cfRule>
    <cfRule type="cellIs" dxfId="227" priority="39" operator="equal">
      <formula>1</formula>
    </cfRule>
  </conditionalFormatting>
  <conditionalFormatting sqref="E16:X55">
    <cfRule type="cellIs" dxfId="226" priority="36" operator="equal">
      <formula>1</formula>
    </cfRule>
  </conditionalFormatting>
  <conditionalFormatting sqref="F16:G55">
    <cfRule type="cellIs" dxfId="225" priority="35" operator="equal">
      <formula>1</formula>
    </cfRule>
  </conditionalFormatting>
  <conditionalFormatting sqref="E54:L55">
    <cfRule type="cellIs" dxfId="224" priority="30" operator="equal">
      <formula>1</formula>
    </cfRule>
  </conditionalFormatting>
  <conditionalFormatting sqref="J54:K55 E54:E55">
    <cfRule type="cellIs" dxfId="223" priority="29" operator="equal">
      <formula>1</formula>
    </cfRule>
  </conditionalFormatting>
  <conditionalFormatting sqref="G54:H55">
    <cfRule type="cellIs" dxfId="222" priority="28" operator="equal">
      <formula>1</formula>
    </cfRule>
  </conditionalFormatting>
  <conditionalFormatting sqref="E16:X55">
    <cfRule type="cellIs" dxfId="221" priority="27" operator="equal">
      <formula>1</formula>
    </cfRule>
  </conditionalFormatting>
  <conditionalFormatting sqref="M16:N55 G16:H55">
    <cfRule type="cellIs" dxfId="220" priority="26" operator="equal">
      <formula>1</formula>
    </cfRule>
  </conditionalFormatting>
  <conditionalFormatting sqref="AB16:AB55">
    <cfRule type="cellIs" dxfId="219" priority="24" operator="lessThan">
      <formula>70</formula>
    </cfRule>
    <cfRule type="cellIs" dxfId="218" priority="25" operator="greaterThan">
      <formula>69</formula>
    </cfRule>
  </conditionalFormatting>
  <conditionalFormatting sqref="AE16">
    <cfRule type="cellIs" dxfId="217" priority="22" operator="lessThan">
      <formula>70</formula>
    </cfRule>
    <cfRule type="cellIs" dxfId="216" priority="23" operator="greaterThan">
      <formula>69</formula>
    </cfRule>
  </conditionalFormatting>
  <conditionalFormatting sqref="AE17:AE55">
    <cfRule type="cellIs" dxfId="215" priority="20" operator="lessThan">
      <formula>70</formula>
    </cfRule>
    <cfRule type="cellIs" dxfId="214" priority="21" operator="greaterThan">
      <formula>69</formula>
    </cfRule>
  </conditionalFormatting>
  <conditionalFormatting sqref="AJ16:AJ55">
    <cfRule type="cellIs" dxfId="213" priority="18" operator="lessThan">
      <formula>70</formula>
    </cfRule>
    <cfRule type="cellIs" dxfId="212" priority="19" operator="greaterThan">
      <formula>69</formula>
    </cfRule>
  </conditionalFormatting>
  <conditionalFormatting sqref="F16:F55">
    <cfRule type="cellIs" dxfId="211" priority="17" operator="equal">
      <formula>1</formula>
    </cfRule>
  </conditionalFormatting>
  <conditionalFormatting sqref="A16:AJ55">
    <cfRule type="expression" dxfId="210" priority="1">
      <formula>ROW()=CELL("fila")</formula>
    </cfRule>
  </conditionalFormatting>
  <dataValidations disablePrompts="1" count="1">
    <dataValidation type="list" allowBlank="1" showInputMessage="1" showErrorMessage="1" sqref="AA56:AC64 AF56:AG64 AD57:AE64" xr:uid="{00000000-0002-0000-0000-000000000000}">
      <formula1>$AA$9:$AA$11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2">
    <tabColor theme="5" tint="-0.249977111117893"/>
  </sheetPr>
  <dimension ref="A1:AS109"/>
  <sheetViews>
    <sheetView showGridLines="0" showRowColHeaders="0" zoomScale="63" zoomScaleNormal="70" workbookViewId="0"/>
  </sheetViews>
  <sheetFormatPr baseColWidth="10" defaultColWidth="0" defaultRowHeight="15" zeroHeight="1"/>
  <cols>
    <col min="1" max="1" width="3.28515625" customWidth="1" collapsed="1"/>
    <col min="2" max="2" width="17.28515625" bestFit="1" customWidth="1" collapsed="1"/>
    <col min="3" max="3" width="18" bestFit="1" customWidth="1" collapsed="1"/>
    <col min="4" max="4" width="22.42578125" customWidth="1" collapsed="1"/>
    <col min="5" max="5" width="3.5703125" customWidth="1" collapsed="1"/>
    <col min="6" max="6" width="4.140625" bestFit="1" customWidth="1" collapsed="1"/>
    <col min="7" max="7" width="2.85546875" bestFit="1" customWidth="1" collapsed="1"/>
    <col min="8" max="8" width="3.85546875" bestFit="1" customWidth="1" collapsed="1"/>
    <col min="9" max="9" width="2.85546875" customWidth="1" collapsed="1"/>
    <col min="10" max="10" width="2.85546875" bestFit="1" customWidth="1" collapsed="1"/>
    <col min="11" max="11" width="3.140625" customWidth="1" collapsed="1"/>
    <col min="12" max="12" width="3.42578125" customWidth="1" collapsed="1"/>
    <col min="13" max="13" width="2.85546875" bestFit="1" customWidth="1" collapsed="1"/>
    <col min="14" max="19" width="4.28515625" bestFit="1" customWidth="1" collapsed="1"/>
    <col min="20" max="20" width="4.85546875" customWidth="1" collapsed="1"/>
    <col min="21" max="23" width="4.28515625" bestFit="1" customWidth="1" collapsed="1"/>
    <col min="24" max="24" width="7.5703125" bestFit="1" customWidth="1" collapsed="1"/>
    <col min="25" max="25" width="9.42578125" customWidth="1" collapsed="1"/>
    <col min="26" max="26" width="32.42578125" customWidth="1"/>
    <col min="27" max="27" width="15.28515625" customWidth="1" collapsed="1"/>
    <col min="28" max="28" width="10.28515625" hidden="1" customWidth="1"/>
    <col min="29" max="29" width="9" hidden="1" customWidth="1"/>
    <col min="30" max="30" width="9.5703125" hidden="1" customWidth="1"/>
    <col min="31" max="32" width="8.85546875" customWidth="1"/>
    <col min="33" max="33" width="13.28515625" bestFit="1" customWidth="1"/>
    <col min="34" max="34" width="9.7109375" customWidth="1"/>
    <col min="35" max="35" width="14.7109375" customWidth="1"/>
    <col min="36" max="36" width="10.42578125" customWidth="1" collapsed="1"/>
    <col min="37" max="37" width="7.28515625" hidden="1" customWidth="1"/>
    <col min="38" max="43" width="11.42578125" hidden="1" customWidth="1"/>
    <col min="44" max="44" width="10.140625" hidden="1" customWidth="1"/>
    <col min="45" max="16384" width="11.42578125" hidden="1"/>
  </cols>
  <sheetData>
    <row r="1" spans="1:44" ht="30" customHeight="1"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833" t="s">
        <v>262</v>
      </c>
      <c r="T1" s="833"/>
      <c r="U1" s="833"/>
      <c r="V1" s="833"/>
      <c r="W1" s="833"/>
      <c r="X1" s="833"/>
      <c r="Y1" s="833"/>
      <c r="Z1" s="833"/>
      <c r="AA1" s="833"/>
      <c r="AB1" s="833"/>
      <c r="AC1" s="833"/>
      <c r="AD1" s="833"/>
      <c r="AE1" s="833"/>
      <c r="AF1" s="833"/>
      <c r="AG1" s="833"/>
      <c r="AH1" s="206"/>
      <c r="AI1" s="206"/>
      <c r="AJ1" s="206"/>
    </row>
    <row r="2" spans="1:44" ht="27.75" customHeight="1">
      <c r="A2" s="810"/>
      <c r="B2" s="810"/>
      <c r="C2" s="807"/>
      <c r="D2" s="808"/>
      <c r="E2" s="209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833"/>
      <c r="T2" s="833"/>
      <c r="U2" s="833"/>
      <c r="V2" s="833"/>
      <c r="W2" s="833"/>
      <c r="X2" s="833"/>
      <c r="Y2" s="833"/>
      <c r="Z2" s="833"/>
      <c r="AA2" s="833"/>
      <c r="AB2" s="833"/>
      <c r="AC2" s="833"/>
      <c r="AD2" s="833"/>
      <c r="AE2" s="833"/>
      <c r="AF2" s="833"/>
      <c r="AG2" s="833"/>
      <c r="AH2" s="211"/>
      <c r="AI2" s="211"/>
      <c r="AJ2" s="211"/>
    </row>
    <row r="3" spans="1:44" ht="20.25">
      <c r="A3" s="828" t="s">
        <v>242</v>
      </c>
      <c r="B3" s="828"/>
      <c r="C3" s="828"/>
      <c r="D3" s="828"/>
      <c r="E3" s="829">
        <f>'REGISTRO DATOS'!I3</f>
        <v>0</v>
      </c>
      <c r="F3" s="829"/>
      <c r="G3" s="829"/>
      <c r="H3" s="829"/>
      <c r="I3" s="829"/>
      <c r="J3" s="829"/>
      <c r="K3" s="829"/>
      <c r="L3" s="829"/>
      <c r="M3" s="829"/>
      <c r="N3" s="829"/>
      <c r="O3" s="829"/>
      <c r="P3" s="829"/>
      <c r="Q3" s="829"/>
      <c r="R3" s="829"/>
      <c r="S3" s="212"/>
      <c r="T3" s="212"/>
      <c r="U3" s="212"/>
      <c r="V3" s="212"/>
      <c r="W3" s="212"/>
      <c r="X3" s="212"/>
      <c r="Y3" s="212"/>
      <c r="Z3" s="212"/>
      <c r="AA3" s="212"/>
      <c r="AB3" s="212"/>
      <c r="AC3" s="212"/>
      <c r="AD3" s="212"/>
      <c r="AE3" s="212"/>
      <c r="AF3" s="212"/>
      <c r="AG3" s="212"/>
      <c r="AH3" s="212"/>
      <c r="AI3" s="212"/>
      <c r="AJ3" s="212"/>
    </row>
    <row r="4" spans="1:44" ht="20.25">
      <c r="A4" s="828" t="s">
        <v>261</v>
      </c>
      <c r="B4" s="828"/>
      <c r="C4" s="828"/>
      <c r="D4" s="828"/>
      <c r="E4" s="829" t="str">
        <f>'REGISTRO DATOS'!I4</f>
        <v>COTO</v>
      </c>
      <c r="F4" s="829"/>
      <c r="G4" s="829"/>
      <c r="H4" s="829"/>
      <c r="I4" s="829"/>
      <c r="J4" s="829"/>
      <c r="K4" s="829"/>
      <c r="L4" s="829"/>
      <c r="M4" s="829"/>
      <c r="N4" s="829"/>
      <c r="O4" s="829"/>
      <c r="P4" s="829"/>
      <c r="Q4" s="829"/>
      <c r="R4" s="829"/>
      <c r="S4" s="61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</row>
    <row r="5" spans="1:44" ht="20.25">
      <c r="A5" s="828" t="s">
        <v>258</v>
      </c>
      <c r="B5" s="828"/>
      <c r="C5" s="828"/>
      <c r="D5" s="828"/>
      <c r="E5" s="829" t="str">
        <f>'REGISTRO DATOS'!I5</f>
        <v>06</v>
      </c>
      <c r="F5" s="829"/>
      <c r="G5" s="829"/>
      <c r="H5" s="829"/>
      <c r="I5" s="829"/>
      <c r="J5" s="829"/>
      <c r="K5" s="829"/>
      <c r="L5" s="829"/>
      <c r="M5" s="296"/>
      <c r="N5" s="296"/>
      <c r="O5" s="296"/>
      <c r="P5" s="296"/>
      <c r="Q5" s="296"/>
      <c r="R5" s="296"/>
      <c r="S5" s="62"/>
      <c r="T5" s="811" t="s">
        <v>1</v>
      </c>
      <c r="U5" s="811"/>
      <c r="V5" s="811"/>
      <c r="W5" s="811"/>
      <c r="X5" s="197">
        <f>'REGISTRO DATOS'!I10</f>
        <v>0</v>
      </c>
      <c r="Y5" s="213"/>
      <c r="Z5" s="214"/>
      <c r="AA5" s="62"/>
      <c r="AB5" s="62"/>
      <c r="AC5" s="62"/>
      <c r="AD5" s="62"/>
      <c r="AE5" s="62"/>
      <c r="AF5" s="62"/>
      <c r="AG5" s="62"/>
      <c r="AH5" s="62"/>
      <c r="AI5" s="62"/>
      <c r="AJ5" s="62"/>
    </row>
    <row r="6" spans="1:44" ht="20.25">
      <c r="A6" s="828" t="s">
        <v>9</v>
      </c>
      <c r="B6" s="828"/>
      <c r="C6" s="828"/>
      <c r="D6" s="828"/>
      <c r="E6" s="829">
        <f>'REGISTRO DATOS'!I6</f>
        <v>0</v>
      </c>
      <c r="F6" s="829"/>
      <c r="G6" s="829"/>
      <c r="H6" s="829"/>
      <c r="I6" s="829"/>
      <c r="J6" s="829"/>
      <c r="K6" s="829"/>
      <c r="L6" s="829"/>
      <c r="M6" s="829"/>
      <c r="N6" s="829"/>
      <c r="O6" s="829"/>
      <c r="P6" s="829"/>
      <c r="Q6" s="829"/>
      <c r="R6" s="829"/>
      <c r="S6" s="66"/>
      <c r="T6" s="811" t="s">
        <v>10</v>
      </c>
      <c r="U6" s="811"/>
      <c r="V6" s="811"/>
      <c r="W6" s="811"/>
      <c r="X6" s="215">
        <f>40-COUNTIF(B16:B55,"")</f>
        <v>6</v>
      </c>
      <c r="Y6" s="216"/>
      <c r="Z6" s="62"/>
      <c r="AA6" s="69"/>
      <c r="AB6" s="69"/>
      <c r="AC6" s="69"/>
      <c r="AD6" s="69"/>
      <c r="AE6" s="69"/>
      <c r="AF6" s="69"/>
      <c r="AG6" s="69"/>
      <c r="AH6" s="69"/>
      <c r="AI6" s="69"/>
      <c r="AJ6" s="69"/>
    </row>
    <row r="7" spans="1:44" ht="18.75" customHeight="1">
      <c r="A7" s="828" t="s">
        <v>11</v>
      </c>
      <c r="B7" s="828"/>
      <c r="C7" s="828"/>
      <c r="D7" s="828"/>
      <c r="E7" s="829">
        <f>'REGISTRO DATOS'!I7</f>
        <v>0</v>
      </c>
      <c r="F7" s="829"/>
      <c r="G7" s="829"/>
      <c r="H7" s="829"/>
      <c r="I7" s="829"/>
      <c r="J7" s="829"/>
      <c r="K7" s="829"/>
      <c r="L7" s="829"/>
      <c r="M7" s="829"/>
      <c r="N7" s="829"/>
      <c r="O7" s="829"/>
      <c r="P7" s="829"/>
      <c r="Q7" s="829"/>
      <c r="R7" s="829"/>
      <c r="S7" s="73"/>
      <c r="T7" s="73"/>
      <c r="U7" s="73"/>
      <c r="V7" s="2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</row>
    <row r="8" spans="1:44" ht="19.5" customHeight="1">
      <c r="A8" s="828" t="s">
        <v>44</v>
      </c>
      <c r="B8" s="830"/>
      <c r="C8" s="830"/>
      <c r="D8" s="830"/>
      <c r="E8" s="829">
        <f>'REGISTRO DATOS'!I8</f>
        <v>0</v>
      </c>
      <c r="F8" s="829"/>
      <c r="G8" s="829"/>
      <c r="H8" s="829"/>
      <c r="I8" s="829"/>
      <c r="J8" s="829"/>
      <c r="K8" s="829"/>
      <c r="L8" s="829"/>
      <c r="M8" s="829"/>
      <c r="N8" s="829"/>
      <c r="O8" s="829"/>
      <c r="P8" s="829"/>
      <c r="Q8" s="829"/>
      <c r="R8" s="829"/>
      <c r="S8" s="2"/>
      <c r="T8" s="810"/>
      <c r="U8" s="810"/>
      <c r="V8" s="810"/>
      <c r="W8" s="810"/>
      <c r="X8" s="810"/>
      <c r="Y8" s="810"/>
      <c r="AA8" s="119"/>
      <c r="AB8" s="803"/>
      <c r="AC8" s="803"/>
      <c r="AD8" s="803"/>
      <c r="AE8" s="95"/>
      <c r="AF8" s="95"/>
      <c r="AG8" s="95"/>
      <c r="AH8" s="2"/>
      <c r="AI8" s="2"/>
      <c r="AJ8" s="2"/>
    </row>
    <row r="9" spans="1:44" ht="26.25" customHeight="1">
      <c r="A9" s="828" t="s">
        <v>259</v>
      </c>
      <c r="B9" s="830"/>
      <c r="C9" s="830"/>
      <c r="D9" s="830"/>
      <c r="E9" s="298">
        <f>'REGISTRO DATOS'!I9</f>
        <v>0</v>
      </c>
      <c r="F9" s="298"/>
      <c r="G9" s="298"/>
      <c r="H9" s="298"/>
      <c r="I9" s="298"/>
      <c r="J9" s="298"/>
      <c r="K9" s="298"/>
      <c r="L9" s="298"/>
      <c r="M9" s="298"/>
      <c r="N9" s="298"/>
      <c r="O9" s="298"/>
      <c r="P9" s="298"/>
      <c r="Q9" s="296"/>
      <c r="R9" s="297"/>
      <c r="S9" s="217"/>
      <c r="T9" s="810"/>
      <c r="U9" s="810"/>
      <c r="V9" s="810"/>
      <c r="W9" s="810"/>
      <c r="X9" s="810"/>
      <c r="Y9" s="810"/>
      <c r="Z9" s="119"/>
      <c r="AA9" s="123"/>
      <c r="AB9" s="805"/>
      <c r="AC9" s="805"/>
      <c r="AD9" s="805"/>
      <c r="AE9" s="805"/>
      <c r="AF9" s="805"/>
      <c r="AG9" s="805"/>
      <c r="AH9" s="218"/>
      <c r="AI9" s="218"/>
      <c r="AJ9" s="75"/>
    </row>
    <row r="10" spans="1:44" ht="9.75" customHeight="1">
      <c r="A10" s="2"/>
      <c r="B10" s="2"/>
      <c r="C10" s="2"/>
      <c r="D10" s="2"/>
      <c r="E10" s="806"/>
      <c r="F10" s="806"/>
      <c r="G10" s="806"/>
      <c r="H10" s="806"/>
      <c r="I10" s="119"/>
      <c r="J10" s="119"/>
      <c r="K10" s="119"/>
      <c r="L10" s="119"/>
      <c r="M10" s="119"/>
      <c r="N10" s="119"/>
      <c r="O10" s="119"/>
      <c r="P10" s="119"/>
      <c r="Q10" s="2"/>
      <c r="R10" s="6"/>
      <c r="S10" s="6"/>
      <c r="T10" s="810"/>
      <c r="U10" s="810"/>
      <c r="V10" s="810"/>
      <c r="W10" s="810"/>
      <c r="X10" s="810"/>
      <c r="Y10" s="810"/>
      <c r="Z10" s="219"/>
      <c r="AA10" s="124"/>
      <c r="AB10" s="805"/>
      <c r="AC10" s="805"/>
      <c r="AD10" s="805"/>
      <c r="AE10" s="805"/>
      <c r="AF10" s="805"/>
      <c r="AG10" s="805"/>
      <c r="AH10" s="220"/>
      <c r="AI10" s="220"/>
      <c r="AJ10" s="76"/>
      <c r="AK10" s="2"/>
    </row>
    <row r="11" spans="1:44" ht="3" customHeight="1">
      <c r="A11" s="2"/>
      <c r="B11" s="809"/>
      <c r="C11" s="809"/>
      <c r="D11" s="2"/>
      <c r="E11" s="826"/>
      <c r="F11" s="826"/>
      <c r="G11" s="826"/>
      <c r="H11" s="826"/>
      <c r="I11" s="119"/>
      <c r="J11" s="119"/>
      <c r="K11" s="119"/>
      <c r="L11" s="119"/>
      <c r="M11" s="119"/>
      <c r="N11" s="119"/>
      <c r="O11" s="119"/>
      <c r="P11" s="119"/>
      <c r="Q11" s="2"/>
      <c r="R11" s="34"/>
      <c r="S11" s="34"/>
      <c r="T11" s="810"/>
      <c r="U11" s="810"/>
      <c r="V11" s="810"/>
      <c r="W11" s="810"/>
      <c r="X11" s="810"/>
      <c r="Y11" s="810"/>
      <c r="Z11" s="11"/>
      <c r="AA11" s="125"/>
      <c r="AB11" s="805"/>
      <c r="AC11" s="805"/>
      <c r="AD11" s="805"/>
      <c r="AE11" s="805"/>
      <c r="AF11" s="805"/>
      <c r="AG11" s="805"/>
      <c r="AH11" s="221"/>
      <c r="AI11" s="221"/>
      <c r="AJ11" s="11"/>
      <c r="AK11" s="2"/>
    </row>
    <row r="12" spans="1:44" ht="5.25" customHeight="1" thickBot="1">
      <c r="A12" s="37"/>
      <c r="B12" s="13"/>
      <c r="C12" s="37"/>
      <c r="D12" s="13"/>
      <c r="E12" s="827"/>
      <c r="F12" s="827"/>
      <c r="G12" s="827"/>
      <c r="H12" s="827"/>
      <c r="I12" s="827"/>
      <c r="J12" s="827"/>
      <c r="K12" s="2"/>
      <c r="L12" s="34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126"/>
      <c r="AB12" s="126"/>
      <c r="AC12" s="222"/>
      <c r="AD12" s="222"/>
      <c r="AE12" s="222"/>
      <c r="AF12" s="222"/>
      <c r="AG12" s="222"/>
      <c r="AH12" s="2"/>
      <c r="AI12" s="2"/>
      <c r="AJ12" s="2"/>
    </row>
    <row r="13" spans="1:44" ht="21" customHeight="1" thickBot="1">
      <c r="A13" s="815" t="s">
        <v>17</v>
      </c>
      <c r="B13" s="816"/>
      <c r="C13" s="816"/>
      <c r="D13" s="817"/>
      <c r="E13" s="821" t="s">
        <v>81</v>
      </c>
      <c r="F13" s="822"/>
      <c r="G13" s="822"/>
      <c r="H13" s="822"/>
      <c r="I13" s="822"/>
      <c r="J13" s="822"/>
      <c r="K13" s="822"/>
      <c r="L13" s="822"/>
      <c r="M13" s="822"/>
      <c r="N13" s="822"/>
      <c r="O13" s="822"/>
      <c r="P13" s="822"/>
      <c r="Q13" s="822"/>
      <c r="R13" s="822"/>
      <c r="S13" s="822"/>
      <c r="T13" s="822"/>
      <c r="U13" s="822"/>
      <c r="V13" s="822"/>
      <c r="W13" s="822"/>
      <c r="X13" s="823"/>
      <c r="Y13" s="517"/>
      <c r="Z13" s="11"/>
      <c r="AA13" s="111"/>
      <c r="AB13" s="831" t="s">
        <v>71</v>
      </c>
      <c r="AC13" s="831"/>
      <c r="AD13" s="831"/>
      <c r="AE13" s="831" t="s">
        <v>319</v>
      </c>
      <c r="AF13" s="831"/>
      <c r="AG13" s="831"/>
      <c r="AH13" s="111"/>
      <c r="AI13" s="111"/>
      <c r="AJ13" s="11"/>
    </row>
    <row r="14" spans="1:44" ht="37.5" customHeight="1" thickBot="1">
      <c r="A14" s="818"/>
      <c r="B14" s="819"/>
      <c r="C14" s="819"/>
      <c r="D14" s="820"/>
      <c r="E14" s="824">
        <v>1</v>
      </c>
      <c r="F14" s="801">
        <v>2</v>
      </c>
      <c r="G14" s="801">
        <v>3</v>
      </c>
      <c r="H14" s="801">
        <v>4</v>
      </c>
      <c r="I14" s="801">
        <v>5</v>
      </c>
      <c r="J14" s="801">
        <v>6</v>
      </c>
      <c r="K14" s="801">
        <v>7</v>
      </c>
      <c r="L14" s="801">
        <v>8</v>
      </c>
      <c r="M14" s="801">
        <v>9</v>
      </c>
      <c r="N14" s="801">
        <v>10</v>
      </c>
      <c r="O14" s="801">
        <v>11</v>
      </c>
      <c r="P14" s="801">
        <v>12</v>
      </c>
      <c r="Q14" s="801">
        <v>13</v>
      </c>
      <c r="R14" s="801">
        <v>14</v>
      </c>
      <c r="S14" s="801">
        <v>15</v>
      </c>
      <c r="T14" s="801">
        <v>16</v>
      </c>
      <c r="U14" s="801">
        <v>17</v>
      </c>
      <c r="V14" s="801">
        <v>18</v>
      </c>
      <c r="W14" s="801">
        <v>19</v>
      </c>
      <c r="X14" s="799">
        <v>20</v>
      </c>
      <c r="Y14" s="791" t="s">
        <v>92</v>
      </c>
      <c r="Z14" s="832" t="s">
        <v>88</v>
      </c>
      <c r="AA14" s="301" t="s">
        <v>69</v>
      </c>
      <c r="AB14" s="835" t="s">
        <v>16</v>
      </c>
      <c r="AC14" s="256" t="s">
        <v>90</v>
      </c>
      <c r="AD14" s="256" t="s">
        <v>89</v>
      </c>
      <c r="AE14" s="835" t="s">
        <v>16</v>
      </c>
      <c r="AF14" s="256" t="s">
        <v>91</v>
      </c>
      <c r="AG14" s="256" t="s">
        <v>89</v>
      </c>
      <c r="AH14" s="302" t="s">
        <v>86</v>
      </c>
      <c r="AI14" s="256" t="s">
        <v>70</v>
      </c>
      <c r="AJ14" s="834" t="s">
        <v>56</v>
      </c>
    </row>
    <row r="15" spans="1:44" ht="21" customHeight="1" thickBot="1">
      <c r="A15" s="518" t="s">
        <v>37</v>
      </c>
      <c r="B15" s="519" t="s">
        <v>38</v>
      </c>
      <c r="C15" s="520" t="s">
        <v>39</v>
      </c>
      <c r="D15" s="521" t="s">
        <v>36</v>
      </c>
      <c r="E15" s="825"/>
      <c r="F15" s="802"/>
      <c r="G15" s="802"/>
      <c r="H15" s="802"/>
      <c r="I15" s="802"/>
      <c r="J15" s="802"/>
      <c r="K15" s="802"/>
      <c r="L15" s="802"/>
      <c r="M15" s="802"/>
      <c r="N15" s="802"/>
      <c r="O15" s="802"/>
      <c r="P15" s="802"/>
      <c r="Q15" s="802"/>
      <c r="R15" s="802"/>
      <c r="S15" s="802"/>
      <c r="T15" s="802"/>
      <c r="U15" s="802"/>
      <c r="V15" s="802"/>
      <c r="W15" s="802"/>
      <c r="X15" s="800"/>
      <c r="Y15" s="792"/>
      <c r="Z15" s="832"/>
      <c r="AA15" s="522">
        <f>'COTIDIANO - IIS'!AA15</f>
        <v>0.6</v>
      </c>
      <c r="AB15" s="836"/>
      <c r="AC15" s="304">
        <f>'EXAMENES - IIS'!F14</f>
        <v>0</v>
      </c>
      <c r="AD15" s="523">
        <f>'EXAMENES - IIS'!G14</f>
        <v>25</v>
      </c>
      <c r="AE15" s="836"/>
      <c r="AF15" s="304">
        <f>'EXAMENES - IIS'!I14</f>
        <v>0.2</v>
      </c>
      <c r="AG15" s="523">
        <v>0</v>
      </c>
      <c r="AH15" s="303">
        <f>'TAREAS - IIS'!I14</f>
        <v>0.1</v>
      </c>
      <c r="AI15" s="304">
        <v>0.1</v>
      </c>
      <c r="AJ15" s="834"/>
    </row>
    <row r="16" spans="1:44" ht="18" customHeight="1" thickBot="1">
      <c r="A16" s="321">
        <v>1</v>
      </c>
      <c r="B16" s="322" t="str">
        <f>IFERROR(IF(VLOOKUP(A16,'REGISTRO DATOS'!B:H,2,0)=0,"",VLOOKUP(A16,'REGISTRO DATOS'!B:H,2,0)),"")</f>
        <v/>
      </c>
      <c r="C16" s="322" t="str">
        <f>IFERROR(IF(VLOOKUP(A16,'REGISTRO DATOS'!B:H,3,0)=0,"",VLOOKUP(A16,'REGISTRO DATOS'!B:H,3,0)),"")</f>
        <v/>
      </c>
      <c r="D16" s="322" t="str">
        <f>IFERROR(IF(VLOOKUP(A16,'REGISTRO DATOS'!B:H,4,0)=0,"",VLOOKUP(A16,'REGISTRO DATOS'!B:H,4,0)),"")</f>
        <v>MARIANELA</v>
      </c>
      <c r="E16" s="320" t="str">
        <f>'COTIDIANO - IIS'!E16</f>
        <v>-</v>
      </c>
      <c r="F16" s="320" t="str">
        <f>'COTIDIANO - IIS'!F16</f>
        <v>-</v>
      </c>
      <c r="G16" s="320" t="str">
        <f>'COTIDIANO - IIS'!G16</f>
        <v>-</v>
      </c>
      <c r="H16" s="320" t="str">
        <f>'COTIDIANO - IIS'!H16</f>
        <v>-</v>
      </c>
      <c r="I16" s="320" t="str">
        <f>'COTIDIANO - IIS'!I16</f>
        <v>-</v>
      </c>
      <c r="J16" s="320" t="str">
        <f>'COTIDIANO - IIS'!J16</f>
        <v>-</v>
      </c>
      <c r="K16" s="320" t="str">
        <f>'COTIDIANO - IIS'!K16</f>
        <v>-</v>
      </c>
      <c r="L16" s="320" t="str">
        <f>'COTIDIANO - IIS'!L16</f>
        <v>-</v>
      </c>
      <c r="M16" s="320" t="str">
        <f>'COTIDIANO - IIS'!M16</f>
        <v>-</v>
      </c>
      <c r="N16" s="320" t="str">
        <f>'COTIDIANO - IIS'!N16</f>
        <v>-</v>
      </c>
      <c r="O16" s="320" t="str">
        <f>'COTIDIANO - IIS'!O16</f>
        <v>-</v>
      </c>
      <c r="P16" s="320" t="str">
        <f>'COTIDIANO - IIS'!P16</f>
        <v>-</v>
      </c>
      <c r="Q16" s="320" t="str">
        <f>'COTIDIANO - IIS'!Q16</f>
        <v>-</v>
      </c>
      <c r="R16" s="320" t="str">
        <f>'COTIDIANO - IIS'!R16</f>
        <v>-</v>
      </c>
      <c r="S16" s="320" t="str">
        <f>'COTIDIANO - IIS'!S16</f>
        <v>-</v>
      </c>
      <c r="T16" s="320" t="str">
        <f>'COTIDIANO - IIS'!T16</f>
        <v>-</v>
      </c>
      <c r="U16" s="320" t="str">
        <f>'COTIDIANO - IIS'!U16</f>
        <v>-</v>
      </c>
      <c r="V16" s="320" t="str">
        <f>'COTIDIANO - IIS'!V16</f>
        <v>-</v>
      </c>
      <c r="W16" s="320" t="str">
        <f>'COTIDIANO - IIS'!W16</f>
        <v>-</v>
      </c>
      <c r="X16" s="320" t="str">
        <f>'COTIDIANO - IIS'!X16</f>
        <v>-</v>
      </c>
      <c r="Y16" s="323" t="e">
        <f>'COTIDIANO - IIS'!Y16</f>
        <v>#DIV/0!</v>
      </c>
      <c r="Z16" s="120" t="e">
        <f>'COTIDIANO - IIS'!Z16</f>
        <v>#DIV/0!</v>
      </c>
      <c r="AA16" s="163" t="e">
        <f>'COTIDIANO - IIS'!AA16</f>
        <v>#DIV/0!</v>
      </c>
      <c r="AB16" s="164">
        <f>(AD16/$AD$15)*100</f>
        <v>100</v>
      </c>
      <c r="AC16" s="163">
        <f t="shared" ref="AC16:AC55" si="0">AB16*$AC$15</f>
        <v>0</v>
      </c>
      <c r="AD16" s="163">
        <f>'EXAMENES - IIS'!G15</f>
        <v>25</v>
      </c>
      <c r="AE16" s="164" t="e">
        <f>(AG16/$AG$15)*100</f>
        <v>#DIV/0!</v>
      </c>
      <c r="AF16" s="163" t="e">
        <f>AE16*$AF$15</f>
        <v>#DIV/0!</v>
      </c>
      <c r="AG16" s="163">
        <f>'EXAMENES - IIS'!J15</f>
        <v>0</v>
      </c>
      <c r="AH16" s="163">
        <f>'TAREAS - IIS'!I15</f>
        <v>0</v>
      </c>
      <c r="AI16" s="168">
        <f>ASISTENCIAIIS!I7</f>
        <v>10</v>
      </c>
      <c r="AJ16" s="253" t="e">
        <f>AA16+AC16+AF16+AI16+AH16</f>
        <v>#DIV/0!</v>
      </c>
      <c r="AK16" s="43">
        <f>'REGISTRO DATOS'!J13</f>
        <v>0</v>
      </c>
      <c r="AO16" s="786" t="s">
        <v>204</v>
      </c>
      <c r="AP16" s="787"/>
      <c r="AQ16" s="787"/>
      <c r="AR16" s="788"/>
    </row>
    <row r="17" spans="1:45" ht="24.75" customHeight="1" thickBot="1">
      <c r="A17" s="324">
        <v>2</v>
      </c>
      <c r="B17" s="322" t="str">
        <f>IFERROR(IF(VLOOKUP(A17,'REGISTRO DATOS'!B:H,2,0)=0,"",VLOOKUP(A17,'REGISTRO DATOS'!B:H,2,0)),"")</f>
        <v/>
      </c>
      <c r="C17" s="322" t="str">
        <f>IFERROR(IF(VLOOKUP(A17,'REGISTRO DATOS'!B:H,3,0)=0,"",VLOOKUP(A17,'REGISTRO DATOS'!B:H,3,0)),"")</f>
        <v/>
      </c>
      <c r="D17" s="322" t="str">
        <f>IFERROR(IF(VLOOKUP(A17,'REGISTRO DATOS'!B:H,4,0)=0,"",VLOOKUP(A17,'REGISTRO DATOS'!B:H,4,0)),"")</f>
        <v>GENESIS</v>
      </c>
      <c r="E17" s="320" t="str">
        <f>'COTIDIANO - IIS'!E17</f>
        <v>-</v>
      </c>
      <c r="F17" s="320" t="str">
        <f>'COTIDIANO - IIS'!F17</f>
        <v>-</v>
      </c>
      <c r="G17" s="320" t="str">
        <f>'COTIDIANO - IIS'!G17</f>
        <v>-</v>
      </c>
      <c r="H17" s="320" t="str">
        <f>'COTIDIANO - IIS'!H17</f>
        <v>-</v>
      </c>
      <c r="I17" s="320" t="str">
        <f>'COTIDIANO - IIS'!I17</f>
        <v>-</v>
      </c>
      <c r="J17" s="320" t="str">
        <f>'COTIDIANO - IIS'!J17</f>
        <v>-</v>
      </c>
      <c r="K17" s="320" t="str">
        <f>'COTIDIANO - IIS'!K17</f>
        <v>-</v>
      </c>
      <c r="L17" s="320" t="str">
        <f>'COTIDIANO - IIS'!L17</f>
        <v>-</v>
      </c>
      <c r="M17" s="320" t="str">
        <f>'COTIDIANO - IIS'!M17</f>
        <v>-</v>
      </c>
      <c r="N17" s="320" t="str">
        <f>'COTIDIANO - IIS'!N17</f>
        <v>-</v>
      </c>
      <c r="O17" s="320" t="str">
        <f>'COTIDIANO - IIS'!O17</f>
        <v>-</v>
      </c>
      <c r="P17" s="320" t="str">
        <f>'COTIDIANO - IIS'!P17</f>
        <v>-</v>
      </c>
      <c r="Q17" s="320" t="str">
        <f>'COTIDIANO - IIS'!Q17</f>
        <v>-</v>
      </c>
      <c r="R17" s="320" t="str">
        <f>'COTIDIANO - IIS'!R17</f>
        <v>-</v>
      </c>
      <c r="S17" s="320" t="str">
        <f>'COTIDIANO - IIS'!S17</f>
        <v>-</v>
      </c>
      <c r="T17" s="320" t="str">
        <f>'COTIDIANO - IIS'!T17</f>
        <v>-</v>
      </c>
      <c r="U17" s="320" t="str">
        <f>'COTIDIANO - IIS'!U17</f>
        <v>-</v>
      </c>
      <c r="V17" s="320" t="str">
        <f>'COTIDIANO - IIS'!V17</f>
        <v>-</v>
      </c>
      <c r="W17" s="320" t="str">
        <f>'COTIDIANO - IIS'!W17</f>
        <v>-</v>
      </c>
      <c r="X17" s="320" t="str">
        <f>'COTIDIANO - IIS'!X17</f>
        <v>-</v>
      </c>
      <c r="Y17" s="326" t="e">
        <f>'COTIDIANO - IIS'!Y17</f>
        <v>#DIV/0!</v>
      </c>
      <c r="Z17" s="299" t="e">
        <f>'COTIDIANO - IIS'!Z17</f>
        <v>#DIV/0!</v>
      </c>
      <c r="AA17" s="163" t="e">
        <f>'COTIDIANO - IIS'!AA17</f>
        <v>#DIV/0!</v>
      </c>
      <c r="AB17" s="164">
        <f t="shared" ref="AB17:AB55" si="1">(AD17/$AD$15)*100</f>
        <v>0</v>
      </c>
      <c r="AC17" s="163">
        <f t="shared" si="0"/>
        <v>0</v>
      </c>
      <c r="AD17" s="163">
        <f>'EXAMENES - IIS'!G16</f>
        <v>0</v>
      </c>
      <c r="AE17" s="164" t="e">
        <f t="shared" ref="AE17:AE55" si="2">(AG17/$AG$15)*100</f>
        <v>#DIV/0!</v>
      </c>
      <c r="AF17" s="163" t="e">
        <f t="shared" ref="AF17:AF55" si="3">AE17*$AF$15</f>
        <v>#DIV/0!</v>
      </c>
      <c r="AG17" s="163">
        <f>'EXAMENES - IIS'!J16</f>
        <v>0</v>
      </c>
      <c r="AH17" s="163">
        <f>'TAREAS - IIS'!I16</f>
        <v>0</v>
      </c>
      <c r="AI17" s="168">
        <f>ASISTENCIAIIS!I8</f>
        <v>10</v>
      </c>
      <c r="AJ17" s="253" t="e">
        <f t="shared" ref="AJ17:AJ55" si="4">AA17+AC17+AF17+AI17+AH17</f>
        <v>#DIV/0!</v>
      </c>
      <c r="AK17" s="43">
        <f>'REGISTRO DATOS'!J14</f>
        <v>0</v>
      </c>
      <c r="AO17" s="793" t="s">
        <v>130</v>
      </c>
      <c r="AP17" s="794"/>
      <c r="AQ17" s="786" t="s">
        <v>131</v>
      </c>
      <c r="AR17" s="788"/>
    </row>
    <row r="18" spans="1:45" ht="18" customHeight="1">
      <c r="A18" s="324">
        <v>3</v>
      </c>
      <c r="B18" s="322" t="str">
        <f>IFERROR(IF(VLOOKUP(A18,'REGISTRO DATOS'!B:H,2,0)=0,"",VLOOKUP(A18,'REGISTRO DATOS'!B:H,2,0)),"")</f>
        <v/>
      </c>
      <c r="C18" s="322" t="str">
        <f>IFERROR(IF(VLOOKUP(A18,'REGISTRO DATOS'!B:H,3,0)=0,"",VLOOKUP(A18,'REGISTRO DATOS'!B:H,3,0)),"")</f>
        <v/>
      </c>
      <c r="D18" s="322" t="str">
        <f>IFERROR(IF(VLOOKUP(A18,'REGISTRO DATOS'!B:H,4,0)=0,"",VLOOKUP(A18,'REGISTRO DATOS'!B:H,4,0)),"")</f>
        <v>EILEEN</v>
      </c>
      <c r="E18" s="320" t="str">
        <f>'COTIDIANO - IIS'!E18</f>
        <v>-</v>
      </c>
      <c r="F18" s="320" t="str">
        <f>'COTIDIANO - IIS'!F18</f>
        <v>-</v>
      </c>
      <c r="G18" s="320" t="str">
        <f>'COTIDIANO - IIS'!G18</f>
        <v>-</v>
      </c>
      <c r="H18" s="320" t="str">
        <f>'COTIDIANO - IIS'!H18</f>
        <v>-</v>
      </c>
      <c r="I18" s="320" t="str">
        <f>'COTIDIANO - IIS'!I18</f>
        <v>-</v>
      </c>
      <c r="J18" s="320" t="str">
        <f>'COTIDIANO - IIS'!J18</f>
        <v>-</v>
      </c>
      <c r="K18" s="320" t="str">
        <f>'COTIDIANO - IIS'!K18</f>
        <v>-</v>
      </c>
      <c r="L18" s="320" t="str">
        <f>'COTIDIANO - IIS'!L18</f>
        <v>-</v>
      </c>
      <c r="M18" s="320" t="str">
        <f>'COTIDIANO - IIS'!M18</f>
        <v>-</v>
      </c>
      <c r="N18" s="320" t="str">
        <f>'COTIDIANO - IIS'!N18</f>
        <v>-</v>
      </c>
      <c r="O18" s="320" t="str">
        <f>'COTIDIANO - IIS'!O18</f>
        <v>-</v>
      </c>
      <c r="P18" s="320" t="str">
        <f>'COTIDIANO - IIS'!P18</f>
        <v>-</v>
      </c>
      <c r="Q18" s="320" t="str">
        <f>'COTIDIANO - IIS'!Q18</f>
        <v>-</v>
      </c>
      <c r="R18" s="320" t="str">
        <f>'COTIDIANO - IIS'!R18</f>
        <v>-</v>
      </c>
      <c r="S18" s="320" t="str">
        <f>'COTIDIANO - IIS'!S18</f>
        <v>-</v>
      </c>
      <c r="T18" s="320" t="str">
        <f>'COTIDIANO - IIS'!T18</f>
        <v>-</v>
      </c>
      <c r="U18" s="320" t="str">
        <f>'COTIDIANO - IIS'!U18</f>
        <v>-</v>
      </c>
      <c r="V18" s="320" t="str">
        <f>'COTIDIANO - IIS'!V18</f>
        <v>-</v>
      </c>
      <c r="W18" s="320" t="str">
        <f>'COTIDIANO - IIS'!W18</f>
        <v>-</v>
      </c>
      <c r="X18" s="320" t="str">
        <f>'COTIDIANO - IIS'!X18</f>
        <v>-</v>
      </c>
      <c r="Y18" s="326" t="e">
        <f>'COTIDIANO - IIS'!Y18</f>
        <v>#DIV/0!</v>
      </c>
      <c r="Z18" s="299" t="e">
        <f>'COTIDIANO - IIS'!Z18</f>
        <v>#DIV/0!</v>
      </c>
      <c r="AA18" s="163" t="e">
        <f>'COTIDIANO - IIS'!AA18</f>
        <v>#DIV/0!</v>
      </c>
      <c r="AB18" s="164">
        <f t="shared" si="1"/>
        <v>0</v>
      </c>
      <c r="AC18" s="163">
        <f t="shared" si="0"/>
        <v>0</v>
      </c>
      <c r="AD18" s="163">
        <f>'EXAMENES - IIS'!G17</f>
        <v>0</v>
      </c>
      <c r="AE18" s="164" t="e">
        <f t="shared" si="2"/>
        <v>#DIV/0!</v>
      </c>
      <c r="AF18" s="163" t="e">
        <f t="shared" si="3"/>
        <v>#DIV/0!</v>
      </c>
      <c r="AG18" s="163">
        <f>'EXAMENES - IIS'!J17</f>
        <v>0</v>
      </c>
      <c r="AH18" s="163">
        <f>'TAREAS - IIS'!I17</f>
        <v>0</v>
      </c>
      <c r="AI18" s="168">
        <f>ASISTENCIAIIS!I9</f>
        <v>10</v>
      </c>
      <c r="AJ18" s="253" t="e">
        <f t="shared" si="4"/>
        <v>#DIV/0!</v>
      </c>
      <c r="AK18" s="43">
        <f>'REGISTRO DATOS'!J15</f>
        <v>0</v>
      </c>
      <c r="AO18" s="198" t="s">
        <v>156</v>
      </c>
      <c r="AP18" s="199" t="s">
        <v>155</v>
      </c>
      <c r="AQ18" s="198" t="s">
        <v>156</v>
      </c>
      <c r="AR18" s="199" t="s">
        <v>155</v>
      </c>
    </row>
    <row r="19" spans="1:45" ht="18" customHeight="1" thickBot="1">
      <c r="A19" s="321">
        <v>4</v>
      </c>
      <c r="B19" s="322" t="str">
        <f>IFERROR(IF(VLOOKUP(A19,'REGISTRO DATOS'!B:H,2,0)=0,"",VLOOKUP(A19,'REGISTRO DATOS'!B:H,2,0)),"")</f>
        <v/>
      </c>
      <c r="C19" s="322" t="str">
        <f>IFERROR(IF(VLOOKUP(A19,'REGISTRO DATOS'!B:H,3,0)=0,"",VLOOKUP(A19,'REGISTRO DATOS'!B:H,3,0)),"")</f>
        <v/>
      </c>
      <c r="D19" s="322" t="str">
        <f>IFERROR(IF(VLOOKUP(A19,'REGISTRO DATOS'!B:H,4,0)=0,"",VLOOKUP(A19,'REGISTRO DATOS'!B:H,4,0)),"")</f>
        <v>CINDEL</v>
      </c>
      <c r="E19" s="320" t="str">
        <f>'COTIDIANO - IIS'!E19</f>
        <v>-</v>
      </c>
      <c r="F19" s="320" t="str">
        <f>'COTIDIANO - IIS'!F19</f>
        <v>-</v>
      </c>
      <c r="G19" s="320" t="str">
        <f>'COTIDIANO - IIS'!G19</f>
        <v>-</v>
      </c>
      <c r="H19" s="320" t="str">
        <f>'COTIDIANO - IIS'!H19</f>
        <v>-</v>
      </c>
      <c r="I19" s="320" t="str">
        <f>'COTIDIANO - IIS'!I19</f>
        <v>-</v>
      </c>
      <c r="J19" s="320" t="str">
        <f>'COTIDIANO - IIS'!J19</f>
        <v>-</v>
      </c>
      <c r="K19" s="320" t="str">
        <f>'COTIDIANO - IIS'!K19</f>
        <v>-</v>
      </c>
      <c r="L19" s="320" t="str">
        <f>'COTIDIANO - IIS'!L19</f>
        <v>-</v>
      </c>
      <c r="M19" s="320" t="str">
        <f>'COTIDIANO - IIS'!M19</f>
        <v>-</v>
      </c>
      <c r="N19" s="320" t="str">
        <f>'COTIDIANO - IIS'!N19</f>
        <v>-</v>
      </c>
      <c r="O19" s="320" t="str">
        <f>'COTIDIANO - IIS'!O19</f>
        <v>-</v>
      </c>
      <c r="P19" s="320" t="str">
        <f>'COTIDIANO - IIS'!P19</f>
        <v>-</v>
      </c>
      <c r="Q19" s="320" t="str">
        <f>'COTIDIANO - IIS'!Q19</f>
        <v>-</v>
      </c>
      <c r="R19" s="320" t="str">
        <f>'COTIDIANO - IIS'!R19</f>
        <v>-</v>
      </c>
      <c r="S19" s="320" t="str">
        <f>'COTIDIANO - IIS'!S19</f>
        <v>-</v>
      </c>
      <c r="T19" s="320" t="str">
        <f>'COTIDIANO - IIS'!T19</f>
        <v>-</v>
      </c>
      <c r="U19" s="320" t="str">
        <f>'COTIDIANO - IIS'!U19</f>
        <v>-</v>
      </c>
      <c r="V19" s="320" t="str">
        <f>'COTIDIANO - IIS'!V19</f>
        <v>-</v>
      </c>
      <c r="W19" s="320" t="str">
        <f>'COTIDIANO - IIS'!W19</f>
        <v>-</v>
      </c>
      <c r="X19" s="320" t="str">
        <f>'COTIDIANO - IIS'!X19</f>
        <v>-</v>
      </c>
      <c r="Y19" s="326" t="e">
        <f>'COTIDIANO - IIS'!Y19</f>
        <v>#DIV/0!</v>
      </c>
      <c r="Z19" s="299" t="e">
        <f>'COTIDIANO - IIS'!Z19</f>
        <v>#DIV/0!</v>
      </c>
      <c r="AA19" s="163" t="e">
        <f>'COTIDIANO - IIS'!AA19</f>
        <v>#DIV/0!</v>
      </c>
      <c r="AB19" s="164">
        <f t="shared" si="1"/>
        <v>0</v>
      </c>
      <c r="AC19" s="163">
        <f t="shared" si="0"/>
        <v>0</v>
      </c>
      <c r="AD19" s="163">
        <f>'EXAMENES - IIS'!G18</f>
        <v>0</v>
      </c>
      <c r="AE19" s="164" t="e">
        <f t="shared" si="2"/>
        <v>#DIV/0!</v>
      </c>
      <c r="AF19" s="163" t="e">
        <f t="shared" si="3"/>
        <v>#DIV/0!</v>
      </c>
      <c r="AG19" s="163">
        <f>'EXAMENES - IIS'!J18</f>
        <v>0</v>
      </c>
      <c r="AH19" s="163">
        <f>'TAREAS - IIS'!I18</f>
        <v>0</v>
      </c>
      <c r="AI19" s="168">
        <f>ASISTENCIAIIS!I10</f>
        <v>10</v>
      </c>
      <c r="AJ19" s="253" t="e">
        <f t="shared" si="4"/>
        <v>#DIV/0!</v>
      </c>
      <c r="AK19" s="43">
        <f>'REGISTRO DATOS'!J16</f>
        <v>0</v>
      </c>
      <c r="AO19" s="200">
        <f>COUNTIFS(AK16:AK55,"H",AJ16:AJ55,"&lt;65")</f>
        <v>0</v>
      </c>
      <c r="AP19" s="201">
        <f>COUNTIFS(AK16:AK55,"H",AJ16:AJ55,"&gt;65")</f>
        <v>0</v>
      </c>
      <c r="AQ19" s="200">
        <f>COUNTIFS(AK16:AK55,"M",AJ16:AJ55,"&lt;65")</f>
        <v>0</v>
      </c>
      <c r="AR19" s="201">
        <f>COUNTIFS(AK16:AK55,"M",AJ16:AJ55,"&gt;65")</f>
        <v>0</v>
      </c>
      <c r="AS19" s="43">
        <f>SUM(AO19:AR19)</f>
        <v>0</v>
      </c>
    </row>
    <row r="20" spans="1:45" ht="18" customHeight="1" thickBot="1">
      <c r="A20" s="324">
        <v>5</v>
      </c>
      <c r="B20" s="322" t="str">
        <f>IFERROR(IF(VLOOKUP(A20,'REGISTRO DATOS'!B:H,2,0)=0,"",VLOOKUP(A20,'REGISTRO DATOS'!B:H,2,0)),"")</f>
        <v/>
      </c>
      <c r="C20" s="322" t="str">
        <f>IFERROR(IF(VLOOKUP(A20,'REGISTRO DATOS'!B:H,3,0)=0,"",VLOOKUP(A20,'REGISTRO DATOS'!B:H,3,0)),"")</f>
        <v/>
      </c>
      <c r="D20" s="322" t="str">
        <f>IFERROR(IF(VLOOKUP(A20,'REGISTRO DATOS'!B:H,4,0)=0,"",VLOOKUP(A20,'REGISTRO DATOS'!B:H,4,0)),"")</f>
        <v>NANCY</v>
      </c>
      <c r="E20" s="320" t="str">
        <f>'COTIDIANO - IIS'!E20</f>
        <v>-</v>
      </c>
      <c r="F20" s="320" t="str">
        <f>'COTIDIANO - IIS'!F20</f>
        <v>-</v>
      </c>
      <c r="G20" s="320" t="str">
        <f>'COTIDIANO - IIS'!G20</f>
        <v>-</v>
      </c>
      <c r="H20" s="320" t="str">
        <f>'COTIDIANO - IIS'!H20</f>
        <v>-</v>
      </c>
      <c r="I20" s="320" t="str">
        <f>'COTIDIANO - IIS'!I20</f>
        <v>-</v>
      </c>
      <c r="J20" s="320" t="str">
        <f>'COTIDIANO - IIS'!J20</f>
        <v>-</v>
      </c>
      <c r="K20" s="320" t="str">
        <f>'COTIDIANO - IIS'!K20</f>
        <v>-</v>
      </c>
      <c r="L20" s="320" t="str">
        <f>'COTIDIANO - IIS'!L20</f>
        <v>-</v>
      </c>
      <c r="M20" s="320" t="str">
        <f>'COTIDIANO - IIS'!M20</f>
        <v>-</v>
      </c>
      <c r="N20" s="320" t="str">
        <f>'COTIDIANO - IIS'!N20</f>
        <v>-</v>
      </c>
      <c r="O20" s="320" t="str">
        <f>'COTIDIANO - IIS'!O20</f>
        <v>-</v>
      </c>
      <c r="P20" s="320" t="str">
        <f>'COTIDIANO - IIS'!P20</f>
        <v>-</v>
      </c>
      <c r="Q20" s="320" t="str">
        <f>'COTIDIANO - IIS'!Q20</f>
        <v>-</v>
      </c>
      <c r="R20" s="320" t="str">
        <f>'COTIDIANO - IIS'!R20</f>
        <v>-</v>
      </c>
      <c r="S20" s="320" t="str">
        <f>'COTIDIANO - IIS'!S20</f>
        <v>-</v>
      </c>
      <c r="T20" s="320" t="str">
        <f>'COTIDIANO - IIS'!T20</f>
        <v>-</v>
      </c>
      <c r="U20" s="320" t="str">
        <f>'COTIDIANO - IIS'!U20</f>
        <v>-</v>
      </c>
      <c r="V20" s="320" t="str">
        <f>'COTIDIANO - IIS'!V20</f>
        <v>-</v>
      </c>
      <c r="W20" s="320" t="str">
        <f>'COTIDIANO - IIS'!W20</f>
        <v>-</v>
      </c>
      <c r="X20" s="320" t="str">
        <f>'COTIDIANO - IIS'!X20</f>
        <v>-</v>
      </c>
      <c r="Y20" s="326" t="e">
        <f>'COTIDIANO - IIS'!Y20</f>
        <v>#DIV/0!</v>
      </c>
      <c r="Z20" s="299" t="e">
        <f>'COTIDIANO - IIS'!Z20</f>
        <v>#DIV/0!</v>
      </c>
      <c r="AA20" s="163" t="e">
        <f>'COTIDIANO - IIS'!AA20</f>
        <v>#DIV/0!</v>
      </c>
      <c r="AB20" s="166">
        <f t="shared" si="1"/>
        <v>0</v>
      </c>
      <c r="AC20" s="165">
        <f t="shared" si="0"/>
        <v>0</v>
      </c>
      <c r="AD20" s="163">
        <f>'EXAMENES - IIS'!G19</f>
        <v>0</v>
      </c>
      <c r="AE20" s="166" t="e">
        <f t="shared" si="2"/>
        <v>#DIV/0!</v>
      </c>
      <c r="AF20" s="165" t="e">
        <f t="shared" si="3"/>
        <v>#DIV/0!</v>
      </c>
      <c r="AG20" s="163">
        <f>'EXAMENES - IIS'!J19</f>
        <v>0</v>
      </c>
      <c r="AH20" s="163">
        <f>'TAREAS - IIS'!I19</f>
        <v>0</v>
      </c>
      <c r="AI20" s="168">
        <f>ASISTENCIAIIS!I11</f>
        <v>10</v>
      </c>
      <c r="AJ20" s="253" t="e">
        <f t="shared" si="4"/>
        <v>#DIV/0!</v>
      </c>
      <c r="AK20" s="43">
        <f>'REGISTRO DATOS'!J17</f>
        <v>0</v>
      </c>
    </row>
    <row r="21" spans="1:45" ht="18" customHeight="1" thickBot="1">
      <c r="A21" s="324">
        <v>6</v>
      </c>
      <c r="B21" s="322" t="str">
        <f>IFERROR(IF(VLOOKUP(A21,'REGISTRO DATOS'!B:H,2,0)=0,"",VLOOKUP(A21,'REGISTRO DATOS'!B:H,2,0)),"")</f>
        <v/>
      </c>
      <c r="C21" s="322" t="str">
        <f>IFERROR(IF(VLOOKUP(A21,'REGISTRO DATOS'!B:H,3,0)=0,"",VLOOKUP(A21,'REGISTRO DATOS'!B:H,3,0)),"")</f>
        <v/>
      </c>
      <c r="D21" s="322" t="str">
        <f>IFERROR(IF(VLOOKUP(A21,'REGISTRO DATOS'!B:H,4,0)=0,"",VLOOKUP(A21,'REGISTRO DATOS'!B:H,4,0)),"")</f>
        <v>MARIANA</v>
      </c>
      <c r="E21" s="320" t="str">
        <f>'COTIDIANO - IIS'!E21</f>
        <v>-</v>
      </c>
      <c r="F21" s="320" t="str">
        <f>'COTIDIANO - IIS'!F21</f>
        <v>-</v>
      </c>
      <c r="G21" s="320" t="str">
        <f>'COTIDIANO - IIS'!G21</f>
        <v>-</v>
      </c>
      <c r="H21" s="320" t="str">
        <f>'COTIDIANO - IIS'!H21</f>
        <v>-</v>
      </c>
      <c r="I21" s="320" t="str">
        <f>'COTIDIANO - IIS'!I21</f>
        <v>-</v>
      </c>
      <c r="J21" s="320" t="str">
        <f>'COTIDIANO - IIS'!J21</f>
        <v>-</v>
      </c>
      <c r="K21" s="320" t="str">
        <f>'COTIDIANO - IIS'!K21</f>
        <v>-</v>
      </c>
      <c r="L21" s="320" t="str">
        <f>'COTIDIANO - IIS'!L21</f>
        <v>-</v>
      </c>
      <c r="M21" s="320" t="str">
        <f>'COTIDIANO - IIS'!M21</f>
        <v>-</v>
      </c>
      <c r="N21" s="320" t="str">
        <f>'COTIDIANO - IIS'!N21</f>
        <v>-</v>
      </c>
      <c r="O21" s="320" t="str">
        <f>'COTIDIANO - IIS'!O21</f>
        <v>-</v>
      </c>
      <c r="P21" s="320" t="str">
        <f>'COTIDIANO - IIS'!P21</f>
        <v>-</v>
      </c>
      <c r="Q21" s="320" t="str">
        <f>'COTIDIANO - IIS'!Q21</f>
        <v>-</v>
      </c>
      <c r="R21" s="320" t="str">
        <f>'COTIDIANO - IIS'!R21</f>
        <v>-</v>
      </c>
      <c r="S21" s="320" t="str">
        <f>'COTIDIANO - IIS'!S21</f>
        <v>-</v>
      </c>
      <c r="T21" s="320" t="str">
        <f>'COTIDIANO - IIS'!T21</f>
        <v>-</v>
      </c>
      <c r="U21" s="320" t="str">
        <f>'COTIDIANO - IIS'!U21</f>
        <v>-</v>
      </c>
      <c r="V21" s="320" t="str">
        <f>'COTIDIANO - IIS'!V21</f>
        <v>-</v>
      </c>
      <c r="W21" s="320" t="str">
        <f>'COTIDIANO - IIS'!W21</f>
        <v>-</v>
      </c>
      <c r="X21" s="320" t="str">
        <f>'COTIDIANO - IIS'!X21</f>
        <v>-</v>
      </c>
      <c r="Y21" s="326" t="e">
        <f>'COTIDIANO - IIS'!Y21</f>
        <v>#DIV/0!</v>
      </c>
      <c r="Z21" s="299" t="e">
        <f>'COTIDIANO - IIS'!Z21</f>
        <v>#DIV/0!</v>
      </c>
      <c r="AA21" s="163" t="e">
        <f>'COTIDIANO - IIS'!AA21</f>
        <v>#DIV/0!</v>
      </c>
      <c r="AB21" s="166">
        <f t="shared" si="1"/>
        <v>0</v>
      </c>
      <c r="AC21" s="165">
        <f t="shared" si="0"/>
        <v>0</v>
      </c>
      <c r="AD21" s="163">
        <f>'EXAMENES - IIS'!G20</f>
        <v>0</v>
      </c>
      <c r="AE21" s="166" t="e">
        <f t="shared" si="2"/>
        <v>#DIV/0!</v>
      </c>
      <c r="AF21" s="165" t="e">
        <f t="shared" si="3"/>
        <v>#DIV/0!</v>
      </c>
      <c r="AG21" s="163">
        <f>'EXAMENES - IIS'!J20</f>
        <v>0</v>
      </c>
      <c r="AH21" s="163">
        <f>'TAREAS - IIS'!I20</f>
        <v>0</v>
      </c>
      <c r="AI21" s="168">
        <f>ASISTENCIAIIS!I12</f>
        <v>10</v>
      </c>
      <c r="AJ21" s="253" t="e">
        <f t="shared" si="4"/>
        <v>#DIV/0!</v>
      </c>
      <c r="AK21" s="43">
        <f>'REGISTRO DATOS'!J18</f>
        <v>0</v>
      </c>
      <c r="AO21" s="786" t="s">
        <v>152</v>
      </c>
      <c r="AP21" s="787"/>
      <c r="AQ21" s="787"/>
      <c r="AR21" s="788"/>
    </row>
    <row r="22" spans="1:45" ht="18" customHeight="1" thickBot="1">
      <c r="A22" s="321">
        <v>7</v>
      </c>
      <c r="B22" s="322" t="str">
        <f>IFERROR(IF(VLOOKUP(A22,'REGISTRO DATOS'!B:H,2,0)=0,"",VLOOKUP(A22,'REGISTRO DATOS'!B:H,2,0)),"")</f>
        <v xml:space="preserve">GONZALEZ </v>
      </c>
      <c r="C22" s="322" t="str">
        <f>IFERROR(IF(VLOOKUP(A22,'REGISTRO DATOS'!B:H,3,0)=0,"",VLOOKUP(A22,'REGISTRO DATOS'!B:H,3,0)),"")</f>
        <v>CHAVARRIA</v>
      </c>
      <c r="D22" s="322" t="str">
        <f>IFERROR(IF(VLOOKUP(A22,'REGISTRO DATOS'!B:H,4,0)=0,"",VLOOKUP(A22,'REGISTRO DATOS'!B:H,4,0)),"")</f>
        <v>STEPHANIE</v>
      </c>
      <c r="E22" s="320" t="str">
        <f>'COTIDIANO - IIS'!E22</f>
        <v>-</v>
      </c>
      <c r="F22" s="320" t="str">
        <f>'COTIDIANO - IIS'!F22</f>
        <v>-</v>
      </c>
      <c r="G22" s="320" t="str">
        <f>'COTIDIANO - IIS'!G22</f>
        <v>-</v>
      </c>
      <c r="H22" s="320" t="str">
        <f>'COTIDIANO - IIS'!H22</f>
        <v>-</v>
      </c>
      <c r="I22" s="320" t="str">
        <f>'COTIDIANO - IIS'!I22</f>
        <v>-</v>
      </c>
      <c r="J22" s="320" t="str">
        <f>'COTIDIANO - IIS'!J22</f>
        <v>-</v>
      </c>
      <c r="K22" s="320" t="str">
        <f>'COTIDIANO - IIS'!K22</f>
        <v>-</v>
      </c>
      <c r="L22" s="320" t="str">
        <f>'COTIDIANO - IIS'!L22</f>
        <v>-</v>
      </c>
      <c r="M22" s="320" t="str">
        <f>'COTIDIANO - IIS'!M22</f>
        <v>-</v>
      </c>
      <c r="N22" s="320" t="str">
        <f>'COTIDIANO - IIS'!N22</f>
        <v>-</v>
      </c>
      <c r="O22" s="320" t="str">
        <f>'COTIDIANO - IIS'!O22</f>
        <v>-</v>
      </c>
      <c r="P22" s="320" t="str">
        <f>'COTIDIANO - IIS'!P22</f>
        <v>-</v>
      </c>
      <c r="Q22" s="320" t="str">
        <f>'COTIDIANO - IIS'!Q22</f>
        <v>-</v>
      </c>
      <c r="R22" s="320" t="str">
        <f>'COTIDIANO - IIS'!R22</f>
        <v>-</v>
      </c>
      <c r="S22" s="320" t="str">
        <f>'COTIDIANO - IIS'!S22</f>
        <v>-</v>
      </c>
      <c r="T22" s="320" t="str">
        <f>'COTIDIANO - IIS'!T22</f>
        <v>-</v>
      </c>
      <c r="U22" s="320" t="str">
        <f>'COTIDIANO - IIS'!U22</f>
        <v>-</v>
      </c>
      <c r="V22" s="320" t="str">
        <f>'COTIDIANO - IIS'!V22</f>
        <v>-</v>
      </c>
      <c r="W22" s="320" t="str">
        <f>'COTIDIANO - IIS'!W22</f>
        <v>-</v>
      </c>
      <c r="X22" s="320" t="str">
        <f>'COTIDIANO - IIS'!X22</f>
        <v>-</v>
      </c>
      <c r="Y22" s="326" t="e">
        <f>'COTIDIANO - IIS'!Y22</f>
        <v>#DIV/0!</v>
      </c>
      <c r="Z22" s="299" t="e">
        <f>'COTIDIANO - IIS'!Z22</f>
        <v>#DIV/0!</v>
      </c>
      <c r="AA22" s="163" t="e">
        <f>'COTIDIANO - IIS'!AA22</f>
        <v>#DIV/0!</v>
      </c>
      <c r="AB22" s="166">
        <f t="shared" si="1"/>
        <v>0</v>
      </c>
      <c r="AC22" s="165">
        <f t="shared" si="0"/>
        <v>0</v>
      </c>
      <c r="AD22" s="163">
        <f>'EXAMENES - IIS'!G21</f>
        <v>0</v>
      </c>
      <c r="AE22" s="166" t="e">
        <f t="shared" si="2"/>
        <v>#DIV/0!</v>
      </c>
      <c r="AF22" s="165" t="e">
        <f t="shared" si="3"/>
        <v>#DIV/0!</v>
      </c>
      <c r="AG22" s="163">
        <f>'EXAMENES - IIS'!J21</f>
        <v>0</v>
      </c>
      <c r="AH22" s="163">
        <f>'TAREAS - IIS'!I21</f>
        <v>0</v>
      </c>
      <c r="AI22" s="168">
        <f>ASISTENCIAIIS!I13</f>
        <v>10</v>
      </c>
      <c r="AJ22" s="253" t="e">
        <f t="shared" si="4"/>
        <v>#DIV/0!</v>
      </c>
      <c r="AK22" s="43">
        <f>'REGISTRO DATOS'!J19</f>
        <v>0</v>
      </c>
      <c r="AO22" s="793" t="s">
        <v>130</v>
      </c>
      <c r="AP22" s="794"/>
      <c r="AQ22" s="786" t="s">
        <v>131</v>
      </c>
      <c r="AR22" s="788"/>
    </row>
    <row r="23" spans="1:45" ht="18" customHeight="1">
      <c r="A23" s="324">
        <v>8</v>
      </c>
      <c r="B23" s="322" t="str">
        <f>IFERROR(IF(VLOOKUP(A23,'REGISTRO DATOS'!B:H,2,0)=0,"",VLOOKUP(A23,'REGISTRO DATOS'!B:H,2,0)),"")</f>
        <v/>
      </c>
      <c r="C23" s="322" t="str">
        <f>IFERROR(IF(VLOOKUP(A23,'REGISTRO DATOS'!B:H,3,0)=0,"",VLOOKUP(A23,'REGISTRO DATOS'!B:H,3,0)),"")</f>
        <v/>
      </c>
      <c r="D23" s="322" t="str">
        <f>IFERROR(IF(VLOOKUP(A23,'REGISTRO DATOS'!B:H,4,0)=0,"",VLOOKUP(A23,'REGISTRO DATOS'!B:H,4,0)),"")</f>
        <v>YASCINI</v>
      </c>
      <c r="E23" s="320" t="str">
        <f>'COTIDIANO - IIS'!E23</f>
        <v>-</v>
      </c>
      <c r="F23" s="320" t="str">
        <f>'COTIDIANO - IIS'!F23</f>
        <v>-</v>
      </c>
      <c r="G23" s="320" t="str">
        <f>'COTIDIANO - IIS'!G23</f>
        <v>-</v>
      </c>
      <c r="H23" s="320" t="str">
        <f>'COTIDIANO - IIS'!H23</f>
        <v>-</v>
      </c>
      <c r="I23" s="320" t="str">
        <f>'COTIDIANO - IIS'!I23</f>
        <v>-</v>
      </c>
      <c r="J23" s="320" t="str">
        <f>'COTIDIANO - IIS'!J23</f>
        <v>-</v>
      </c>
      <c r="K23" s="320" t="str">
        <f>'COTIDIANO - IIS'!K23</f>
        <v>-</v>
      </c>
      <c r="L23" s="320" t="str">
        <f>'COTIDIANO - IIS'!L23</f>
        <v>-</v>
      </c>
      <c r="M23" s="320" t="str">
        <f>'COTIDIANO - IIS'!M23</f>
        <v>-</v>
      </c>
      <c r="N23" s="320" t="str">
        <f>'COTIDIANO - IIS'!N23</f>
        <v>-</v>
      </c>
      <c r="O23" s="320" t="str">
        <f>'COTIDIANO - IIS'!O23</f>
        <v>-</v>
      </c>
      <c r="P23" s="320" t="str">
        <f>'COTIDIANO - IIS'!P23</f>
        <v>-</v>
      </c>
      <c r="Q23" s="320" t="str">
        <f>'COTIDIANO - IIS'!Q23</f>
        <v>-</v>
      </c>
      <c r="R23" s="320" t="str">
        <f>'COTIDIANO - IIS'!R23</f>
        <v>-</v>
      </c>
      <c r="S23" s="320" t="str">
        <f>'COTIDIANO - IIS'!S23</f>
        <v>-</v>
      </c>
      <c r="T23" s="320" t="str">
        <f>'COTIDIANO - IIS'!T23</f>
        <v>-</v>
      </c>
      <c r="U23" s="320" t="str">
        <f>'COTIDIANO - IIS'!U23</f>
        <v>-</v>
      </c>
      <c r="V23" s="320" t="str">
        <f>'COTIDIANO - IIS'!V23</f>
        <v>-</v>
      </c>
      <c r="W23" s="320" t="str">
        <f>'COTIDIANO - IIS'!W23</f>
        <v>-</v>
      </c>
      <c r="X23" s="320" t="str">
        <f>'COTIDIANO - IIS'!X23</f>
        <v>-</v>
      </c>
      <c r="Y23" s="326" t="e">
        <f>'COTIDIANO - IIS'!Y23</f>
        <v>#DIV/0!</v>
      </c>
      <c r="Z23" s="299" t="e">
        <f>'COTIDIANO - IIS'!Z23</f>
        <v>#DIV/0!</v>
      </c>
      <c r="AA23" s="163" t="e">
        <f>'COTIDIANO - IIS'!AA23</f>
        <v>#DIV/0!</v>
      </c>
      <c r="AB23" s="166">
        <f t="shared" si="1"/>
        <v>0</v>
      </c>
      <c r="AC23" s="165">
        <f t="shared" si="0"/>
        <v>0</v>
      </c>
      <c r="AD23" s="163">
        <f>'EXAMENES - IIS'!G22</f>
        <v>0</v>
      </c>
      <c r="AE23" s="166" t="e">
        <f t="shared" si="2"/>
        <v>#DIV/0!</v>
      </c>
      <c r="AF23" s="165" t="e">
        <f t="shared" si="3"/>
        <v>#DIV/0!</v>
      </c>
      <c r="AG23" s="163">
        <f>'EXAMENES - IIS'!J22</f>
        <v>0</v>
      </c>
      <c r="AH23" s="163">
        <f>'TAREAS - IIS'!I22</f>
        <v>0</v>
      </c>
      <c r="AI23" s="168">
        <f>ASISTENCIAIIS!I14</f>
        <v>10</v>
      </c>
      <c r="AJ23" s="253" t="e">
        <f t="shared" si="4"/>
        <v>#DIV/0!</v>
      </c>
      <c r="AK23" s="43">
        <f>'REGISTRO DATOS'!J20</f>
        <v>0</v>
      </c>
      <c r="AO23" s="198" t="s">
        <v>156</v>
      </c>
      <c r="AP23" s="199" t="s">
        <v>155</v>
      </c>
      <c r="AQ23" s="198" t="s">
        <v>156</v>
      </c>
      <c r="AR23" s="199" t="s">
        <v>155</v>
      </c>
    </row>
    <row r="24" spans="1:45" ht="18" customHeight="1" thickBot="1">
      <c r="A24" s="324">
        <v>9</v>
      </c>
      <c r="B24" s="322" t="str">
        <f>IFERROR(IF(VLOOKUP(A24,'REGISTRO DATOS'!B:H,2,0)=0,"",VLOOKUP(A24,'REGISTRO DATOS'!B:H,2,0)),"")</f>
        <v>CUBILLO</v>
      </c>
      <c r="C24" s="322" t="str">
        <f>IFERROR(IF(VLOOKUP(A24,'REGISTRO DATOS'!B:H,3,0)=0,"",VLOOKUP(A24,'REGISTRO DATOS'!B:H,3,0)),"")</f>
        <v/>
      </c>
      <c r="D24" s="322" t="str">
        <f>IFERROR(IF(VLOOKUP(A24,'REGISTRO DATOS'!B:H,4,0)=0,"",VLOOKUP(A24,'REGISTRO DATOS'!B:H,4,0)),"")</f>
        <v xml:space="preserve">DYLAN </v>
      </c>
      <c r="E24" s="320" t="str">
        <f>'COTIDIANO - IIS'!E24</f>
        <v>-</v>
      </c>
      <c r="F24" s="320" t="str">
        <f>'COTIDIANO - IIS'!F24</f>
        <v>-</v>
      </c>
      <c r="G24" s="320" t="str">
        <f>'COTIDIANO - IIS'!G24</f>
        <v>-</v>
      </c>
      <c r="H24" s="320" t="str">
        <f>'COTIDIANO - IIS'!H24</f>
        <v>-</v>
      </c>
      <c r="I24" s="320" t="str">
        <f>'COTIDIANO - IIS'!I24</f>
        <v>-</v>
      </c>
      <c r="J24" s="320" t="str">
        <f>'COTIDIANO - IIS'!J24</f>
        <v>-</v>
      </c>
      <c r="K24" s="320" t="str">
        <f>'COTIDIANO - IIS'!K24</f>
        <v>-</v>
      </c>
      <c r="L24" s="320" t="str">
        <f>'COTIDIANO - IIS'!L24</f>
        <v>-</v>
      </c>
      <c r="M24" s="320" t="str">
        <f>'COTIDIANO - IIS'!M24</f>
        <v>-</v>
      </c>
      <c r="N24" s="320" t="str">
        <f>'COTIDIANO - IIS'!N24</f>
        <v>-</v>
      </c>
      <c r="O24" s="320" t="str">
        <f>'COTIDIANO - IIS'!O24</f>
        <v>-</v>
      </c>
      <c r="P24" s="320" t="str">
        <f>'COTIDIANO - IIS'!P24</f>
        <v>-</v>
      </c>
      <c r="Q24" s="320" t="str">
        <f>'COTIDIANO - IIS'!Q24</f>
        <v>-</v>
      </c>
      <c r="R24" s="320" t="str">
        <f>'COTIDIANO - IIS'!R24</f>
        <v>-</v>
      </c>
      <c r="S24" s="320" t="str">
        <f>'COTIDIANO - IIS'!S24</f>
        <v>-</v>
      </c>
      <c r="T24" s="320" t="str">
        <f>'COTIDIANO - IIS'!T24</f>
        <v>-</v>
      </c>
      <c r="U24" s="320" t="str">
        <f>'COTIDIANO - IIS'!U24</f>
        <v>-</v>
      </c>
      <c r="V24" s="320" t="str">
        <f>'COTIDIANO - IIS'!V24</f>
        <v>-</v>
      </c>
      <c r="W24" s="320" t="str">
        <f>'COTIDIANO - IIS'!W24</f>
        <v>-</v>
      </c>
      <c r="X24" s="320" t="str">
        <f>'COTIDIANO - IIS'!X24</f>
        <v>-</v>
      </c>
      <c r="Y24" s="326" t="e">
        <f>'COTIDIANO - IIS'!Y24</f>
        <v>#DIV/0!</v>
      </c>
      <c r="Z24" s="299" t="e">
        <f>'COTIDIANO - IIS'!Z24</f>
        <v>#DIV/0!</v>
      </c>
      <c r="AA24" s="163" t="e">
        <f>'COTIDIANO - IIS'!AA24</f>
        <v>#DIV/0!</v>
      </c>
      <c r="AB24" s="166">
        <f t="shared" si="1"/>
        <v>0</v>
      </c>
      <c r="AC24" s="165">
        <f t="shared" si="0"/>
        <v>0</v>
      </c>
      <c r="AD24" s="163">
        <f>'EXAMENES - IIS'!G23</f>
        <v>0</v>
      </c>
      <c r="AE24" s="166" t="e">
        <f t="shared" si="2"/>
        <v>#DIV/0!</v>
      </c>
      <c r="AF24" s="165" t="e">
        <f t="shared" si="3"/>
        <v>#DIV/0!</v>
      </c>
      <c r="AG24" s="163">
        <f>'EXAMENES - IIS'!J23</f>
        <v>0</v>
      </c>
      <c r="AH24" s="163">
        <f>'TAREAS - IIS'!I23</f>
        <v>0</v>
      </c>
      <c r="AI24" s="168">
        <f>ASISTENCIAIIS!I15</f>
        <v>10</v>
      </c>
      <c r="AJ24" s="253" t="e">
        <f t="shared" si="4"/>
        <v>#DIV/0!</v>
      </c>
      <c r="AK24" s="43">
        <f>'REGISTRO DATOS'!J21</f>
        <v>0</v>
      </c>
      <c r="AO24" s="200">
        <f>COUNTIFS(AK16:AK55,"H",AB16:AB55,"&lt;65")</f>
        <v>0</v>
      </c>
      <c r="AP24" s="201">
        <f>COUNTIFS(AK16:AK55,"H",AB16:AB55,"&gt;65")</f>
        <v>0</v>
      </c>
      <c r="AQ24" s="200">
        <f>COUNTIFS(AK16:AK55,"M",AB16:AB55,"&lt;65")</f>
        <v>0</v>
      </c>
      <c r="AR24" s="201">
        <f>COUNTIFS(AK16:AK55,"M",AB16:AB55,"&gt;65")</f>
        <v>0</v>
      </c>
      <c r="AS24" s="43">
        <f>SUM(AO24:AR24)</f>
        <v>0</v>
      </c>
    </row>
    <row r="25" spans="1:45" ht="18" customHeight="1" thickBot="1">
      <c r="A25" s="321">
        <v>10</v>
      </c>
      <c r="B25" s="322" t="str">
        <f>IFERROR(IF(VLOOKUP(A25,'REGISTRO DATOS'!B:H,2,0)=0,"",VLOOKUP(A25,'REGISTRO DATOS'!B:H,2,0)),"")</f>
        <v/>
      </c>
      <c r="C25" s="322" t="str">
        <f>IFERROR(IF(VLOOKUP(A25,'REGISTRO DATOS'!B:H,3,0)=0,"",VLOOKUP(A25,'REGISTRO DATOS'!B:H,3,0)),"")</f>
        <v/>
      </c>
      <c r="D25" s="322" t="str">
        <f>IFERROR(IF(VLOOKUP(A25,'REGISTRO DATOS'!B:H,4,0)=0,"",VLOOKUP(A25,'REGISTRO DATOS'!B:H,4,0)),"")</f>
        <v>KATTYA</v>
      </c>
      <c r="E25" s="320" t="str">
        <f>'COTIDIANO - IIS'!E25</f>
        <v>-</v>
      </c>
      <c r="F25" s="320" t="str">
        <f>'COTIDIANO - IIS'!F25</f>
        <v>-</v>
      </c>
      <c r="G25" s="320" t="str">
        <f>'COTIDIANO - IIS'!G25</f>
        <v>-</v>
      </c>
      <c r="H25" s="320" t="str">
        <f>'COTIDIANO - IIS'!H25</f>
        <v>-</v>
      </c>
      <c r="I25" s="320" t="str">
        <f>'COTIDIANO - IIS'!I25</f>
        <v>-</v>
      </c>
      <c r="J25" s="320" t="str">
        <f>'COTIDIANO - IIS'!J25</f>
        <v>-</v>
      </c>
      <c r="K25" s="320" t="str">
        <f>'COTIDIANO - IIS'!K25</f>
        <v>-</v>
      </c>
      <c r="L25" s="320" t="str">
        <f>'COTIDIANO - IIS'!L25</f>
        <v>-</v>
      </c>
      <c r="M25" s="320" t="str">
        <f>'COTIDIANO - IIS'!M25</f>
        <v>-</v>
      </c>
      <c r="N25" s="320" t="str">
        <f>'COTIDIANO - IIS'!N25</f>
        <v>-</v>
      </c>
      <c r="O25" s="320" t="str">
        <f>'COTIDIANO - IIS'!O25</f>
        <v>-</v>
      </c>
      <c r="P25" s="320" t="str">
        <f>'COTIDIANO - IIS'!P25</f>
        <v>-</v>
      </c>
      <c r="Q25" s="320" t="str">
        <f>'COTIDIANO - IIS'!Q25</f>
        <v>-</v>
      </c>
      <c r="R25" s="320" t="str">
        <f>'COTIDIANO - IIS'!R25</f>
        <v>-</v>
      </c>
      <c r="S25" s="320" t="str">
        <f>'COTIDIANO - IIS'!S25</f>
        <v>-</v>
      </c>
      <c r="T25" s="320" t="str">
        <f>'COTIDIANO - IIS'!T25</f>
        <v>-</v>
      </c>
      <c r="U25" s="320" t="str">
        <f>'COTIDIANO - IIS'!U25</f>
        <v>-</v>
      </c>
      <c r="V25" s="320" t="str">
        <f>'COTIDIANO - IIS'!V25</f>
        <v>-</v>
      </c>
      <c r="W25" s="320" t="str">
        <f>'COTIDIANO - IIS'!W25</f>
        <v>-</v>
      </c>
      <c r="X25" s="320" t="str">
        <f>'COTIDIANO - IIS'!X25</f>
        <v>-</v>
      </c>
      <c r="Y25" s="326" t="e">
        <f>'COTIDIANO - IIS'!Y25</f>
        <v>#DIV/0!</v>
      </c>
      <c r="Z25" s="299" t="e">
        <f>'COTIDIANO - IIS'!Z25</f>
        <v>#DIV/0!</v>
      </c>
      <c r="AA25" s="163" t="e">
        <f>'COTIDIANO - IIS'!AA25</f>
        <v>#DIV/0!</v>
      </c>
      <c r="AB25" s="166">
        <f t="shared" si="1"/>
        <v>0</v>
      </c>
      <c r="AC25" s="165">
        <f t="shared" si="0"/>
        <v>0</v>
      </c>
      <c r="AD25" s="163">
        <f>'EXAMENES - IIS'!G24</f>
        <v>0</v>
      </c>
      <c r="AE25" s="166" t="e">
        <f t="shared" si="2"/>
        <v>#DIV/0!</v>
      </c>
      <c r="AF25" s="165" t="e">
        <f t="shared" si="3"/>
        <v>#DIV/0!</v>
      </c>
      <c r="AG25" s="163">
        <f>'EXAMENES - IIS'!J24</f>
        <v>0</v>
      </c>
      <c r="AH25" s="163">
        <f>'TAREAS - IIS'!I24</f>
        <v>0</v>
      </c>
      <c r="AI25" s="168">
        <f>ASISTENCIAIIS!I16</f>
        <v>10</v>
      </c>
      <c r="AJ25" s="253" t="e">
        <f t="shared" si="4"/>
        <v>#DIV/0!</v>
      </c>
      <c r="AK25" s="43">
        <f>'REGISTRO DATOS'!J22</f>
        <v>0</v>
      </c>
    </row>
    <row r="26" spans="1:45" ht="18" customHeight="1" thickBot="1">
      <c r="A26" s="324">
        <v>11</v>
      </c>
      <c r="B26" s="322" t="str">
        <f>IFERROR(IF(VLOOKUP(A26,'REGISTRO DATOS'!B:H,2,0)=0,"",VLOOKUP(A26,'REGISTRO DATOS'!B:H,2,0)),"")</f>
        <v>BRIZUELA</v>
      </c>
      <c r="C26" s="322" t="str">
        <f>IFERROR(IF(VLOOKUP(A26,'REGISTRO DATOS'!B:H,3,0)=0,"",VLOOKUP(A26,'REGISTRO DATOS'!B:H,3,0)),"")</f>
        <v/>
      </c>
      <c r="D26" s="322" t="str">
        <f>IFERROR(IF(VLOOKUP(A26,'REGISTRO DATOS'!B:H,4,0)=0,"",VLOOKUP(A26,'REGISTRO DATOS'!B:H,4,0)),"")</f>
        <v>FABIOLA</v>
      </c>
      <c r="E26" s="320" t="str">
        <f>'COTIDIANO - IIS'!E26</f>
        <v>-</v>
      </c>
      <c r="F26" s="320" t="str">
        <f>'COTIDIANO - IIS'!F26</f>
        <v>-</v>
      </c>
      <c r="G26" s="320" t="str">
        <f>'COTIDIANO - IIS'!G26</f>
        <v>-</v>
      </c>
      <c r="H26" s="320" t="str">
        <f>'COTIDIANO - IIS'!H26</f>
        <v>-</v>
      </c>
      <c r="I26" s="320" t="str">
        <f>'COTIDIANO - IIS'!I26</f>
        <v>-</v>
      </c>
      <c r="J26" s="320" t="str">
        <f>'COTIDIANO - IIS'!J26</f>
        <v>-</v>
      </c>
      <c r="K26" s="320" t="str">
        <f>'COTIDIANO - IIS'!K26</f>
        <v>-</v>
      </c>
      <c r="L26" s="320" t="str">
        <f>'COTIDIANO - IIS'!L26</f>
        <v>-</v>
      </c>
      <c r="M26" s="320" t="str">
        <f>'COTIDIANO - IIS'!M26</f>
        <v>-</v>
      </c>
      <c r="N26" s="320" t="str">
        <f>'COTIDIANO - IIS'!N26</f>
        <v>-</v>
      </c>
      <c r="O26" s="320" t="str">
        <f>'COTIDIANO - IIS'!O26</f>
        <v>-</v>
      </c>
      <c r="P26" s="320" t="str">
        <f>'COTIDIANO - IIS'!P26</f>
        <v>-</v>
      </c>
      <c r="Q26" s="320" t="str">
        <f>'COTIDIANO - IIS'!Q26</f>
        <v>-</v>
      </c>
      <c r="R26" s="320" t="str">
        <f>'COTIDIANO - IIS'!R26</f>
        <v>-</v>
      </c>
      <c r="S26" s="320" t="str">
        <f>'COTIDIANO - IIS'!S26</f>
        <v>-</v>
      </c>
      <c r="T26" s="320" t="str">
        <f>'COTIDIANO - IIS'!T26</f>
        <v>-</v>
      </c>
      <c r="U26" s="320" t="str">
        <f>'COTIDIANO - IIS'!U26</f>
        <v>-</v>
      </c>
      <c r="V26" s="320" t="str">
        <f>'COTIDIANO - IIS'!V26</f>
        <v>-</v>
      </c>
      <c r="W26" s="320" t="str">
        <f>'COTIDIANO - IIS'!W26</f>
        <v>-</v>
      </c>
      <c r="X26" s="320" t="str">
        <f>'COTIDIANO - IIS'!X26</f>
        <v>-</v>
      </c>
      <c r="Y26" s="326" t="e">
        <f>'COTIDIANO - IIS'!Y26</f>
        <v>#DIV/0!</v>
      </c>
      <c r="Z26" s="299" t="e">
        <f>'COTIDIANO - IIS'!Z26</f>
        <v>#DIV/0!</v>
      </c>
      <c r="AA26" s="163" t="e">
        <f>'COTIDIANO - IIS'!AA26</f>
        <v>#DIV/0!</v>
      </c>
      <c r="AB26" s="166">
        <f t="shared" si="1"/>
        <v>0</v>
      </c>
      <c r="AC26" s="165">
        <f t="shared" si="0"/>
        <v>0</v>
      </c>
      <c r="AD26" s="163">
        <f>'EXAMENES - IIS'!G25</f>
        <v>0</v>
      </c>
      <c r="AE26" s="166" t="e">
        <f t="shared" si="2"/>
        <v>#DIV/0!</v>
      </c>
      <c r="AF26" s="165" t="e">
        <f t="shared" si="3"/>
        <v>#DIV/0!</v>
      </c>
      <c r="AG26" s="163">
        <f>'EXAMENES - IIS'!J25</f>
        <v>0</v>
      </c>
      <c r="AH26" s="163">
        <f>'TAREAS - IIS'!I25</f>
        <v>0</v>
      </c>
      <c r="AI26" s="168">
        <f>ASISTENCIAIIS!I17</f>
        <v>10</v>
      </c>
      <c r="AJ26" s="253" t="e">
        <f t="shared" si="4"/>
        <v>#DIV/0!</v>
      </c>
      <c r="AK26" s="43">
        <f>'REGISTRO DATOS'!J23</f>
        <v>0</v>
      </c>
      <c r="AO26" s="786" t="s">
        <v>158</v>
      </c>
      <c r="AP26" s="787"/>
      <c r="AQ26" s="787"/>
      <c r="AR26" s="788"/>
    </row>
    <row r="27" spans="1:45" ht="18" customHeight="1" thickBot="1">
      <c r="A27" s="324">
        <v>12</v>
      </c>
      <c r="B27" s="322" t="str">
        <f>IFERROR(IF(VLOOKUP(A27,'REGISTRO DATOS'!B:H,2,0)=0,"",VLOOKUP(A27,'REGISTRO DATOS'!B:H,2,0)),"")</f>
        <v/>
      </c>
      <c r="C27" s="322" t="str">
        <f>IFERROR(IF(VLOOKUP(A27,'REGISTRO DATOS'!B:H,3,0)=0,"",VLOOKUP(A27,'REGISTRO DATOS'!B:H,3,0)),"")</f>
        <v/>
      </c>
      <c r="D27" s="322" t="str">
        <f>IFERROR(IF(VLOOKUP(A27,'REGISTRO DATOS'!B:H,4,0)=0,"",VLOOKUP(A27,'REGISTRO DATOS'!B:H,4,0)),"")</f>
        <v>DARIANA</v>
      </c>
      <c r="E27" s="320" t="str">
        <f>'COTIDIANO - IIS'!E27</f>
        <v>-</v>
      </c>
      <c r="F27" s="320" t="str">
        <f>'COTIDIANO - IIS'!F27</f>
        <v>-</v>
      </c>
      <c r="G27" s="320" t="str">
        <f>'COTIDIANO - IIS'!G27</f>
        <v>-</v>
      </c>
      <c r="H27" s="320" t="str">
        <f>'COTIDIANO - IIS'!H27</f>
        <v>-</v>
      </c>
      <c r="I27" s="320" t="str">
        <f>'COTIDIANO - IIS'!I27</f>
        <v>-</v>
      </c>
      <c r="J27" s="320" t="str">
        <f>'COTIDIANO - IIS'!J27</f>
        <v>-</v>
      </c>
      <c r="K27" s="320" t="str">
        <f>'COTIDIANO - IIS'!K27</f>
        <v>-</v>
      </c>
      <c r="L27" s="320" t="str">
        <f>'COTIDIANO - IIS'!L27</f>
        <v>-</v>
      </c>
      <c r="M27" s="320" t="str">
        <f>'COTIDIANO - IIS'!M27</f>
        <v>-</v>
      </c>
      <c r="N27" s="320" t="str">
        <f>'COTIDIANO - IIS'!N27</f>
        <v>-</v>
      </c>
      <c r="O27" s="320" t="str">
        <f>'COTIDIANO - IIS'!O27</f>
        <v>-</v>
      </c>
      <c r="P27" s="320" t="str">
        <f>'COTIDIANO - IIS'!P27</f>
        <v>-</v>
      </c>
      <c r="Q27" s="320" t="str">
        <f>'COTIDIANO - IIS'!Q27</f>
        <v>-</v>
      </c>
      <c r="R27" s="320" t="str">
        <f>'COTIDIANO - IIS'!R27</f>
        <v>-</v>
      </c>
      <c r="S27" s="320" t="str">
        <f>'COTIDIANO - IIS'!S27</f>
        <v>-</v>
      </c>
      <c r="T27" s="320" t="str">
        <f>'COTIDIANO - IIS'!T27</f>
        <v>-</v>
      </c>
      <c r="U27" s="320" t="str">
        <f>'COTIDIANO - IIS'!U27</f>
        <v>-</v>
      </c>
      <c r="V27" s="320" t="str">
        <f>'COTIDIANO - IIS'!V27</f>
        <v>-</v>
      </c>
      <c r="W27" s="320" t="str">
        <f>'COTIDIANO - IIS'!W27</f>
        <v>-</v>
      </c>
      <c r="X27" s="320" t="str">
        <f>'COTIDIANO - IIS'!X27</f>
        <v>-</v>
      </c>
      <c r="Y27" s="326" t="e">
        <f>'COTIDIANO - IIS'!Y27</f>
        <v>#DIV/0!</v>
      </c>
      <c r="Z27" s="299" t="e">
        <f>'COTIDIANO - IIS'!Z27</f>
        <v>#DIV/0!</v>
      </c>
      <c r="AA27" s="163" t="e">
        <f>'COTIDIANO - IIS'!AA27</f>
        <v>#DIV/0!</v>
      </c>
      <c r="AB27" s="166">
        <f t="shared" si="1"/>
        <v>0</v>
      </c>
      <c r="AC27" s="165">
        <f t="shared" si="0"/>
        <v>0</v>
      </c>
      <c r="AD27" s="163">
        <f>'EXAMENES - IIS'!G26</f>
        <v>0</v>
      </c>
      <c r="AE27" s="166" t="e">
        <f t="shared" si="2"/>
        <v>#DIV/0!</v>
      </c>
      <c r="AF27" s="165" t="e">
        <f t="shared" si="3"/>
        <v>#DIV/0!</v>
      </c>
      <c r="AG27" s="163">
        <f>'EXAMENES - IIS'!J26</f>
        <v>0</v>
      </c>
      <c r="AH27" s="163">
        <f>'TAREAS - IIS'!I26</f>
        <v>0</v>
      </c>
      <c r="AI27" s="168">
        <f>ASISTENCIAIIS!I18</f>
        <v>10</v>
      </c>
      <c r="AJ27" s="253" t="e">
        <f t="shared" si="4"/>
        <v>#DIV/0!</v>
      </c>
      <c r="AK27" s="43">
        <f>'REGISTRO DATOS'!J24</f>
        <v>0</v>
      </c>
      <c r="AO27" s="793" t="s">
        <v>130</v>
      </c>
      <c r="AP27" s="794"/>
      <c r="AQ27" s="786" t="s">
        <v>131</v>
      </c>
      <c r="AR27" s="788"/>
    </row>
    <row r="28" spans="1:45" ht="18" customHeight="1">
      <c r="A28" s="321">
        <v>13</v>
      </c>
      <c r="B28" s="322" t="str">
        <f>IFERROR(IF(VLOOKUP(A28,'REGISTRO DATOS'!B:H,2,0)=0,"",VLOOKUP(A28,'REGISTRO DATOS'!B:H,2,0)),"")</f>
        <v/>
      </c>
      <c r="C28" s="322" t="str">
        <f>IFERROR(IF(VLOOKUP(A28,'REGISTRO DATOS'!B:H,3,0)=0,"",VLOOKUP(A28,'REGISTRO DATOS'!B:H,3,0)),"")</f>
        <v/>
      </c>
      <c r="D28" s="322" t="str">
        <f>IFERROR(IF(VLOOKUP(A28,'REGISTRO DATOS'!B:H,4,0)=0,"",VLOOKUP(A28,'REGISTRO DATOS'!B:H,4,0)),"")</f>
        <v>JENIFER</v>
      </c>
      <c r="E28" s="320" t="str">
        <f>'COTIDIANO - IIS'!E28</f>
        <v>-</v>
      </c>
      <c r="F28" s="320" t="str">
        <f>'COTIDIANO - IIS'!F28</f>
        <v>-</v>
      </c>
      <c r="G28" s="320" t="str">
        <f>'COTIDIANO - IIS'!G28</f>
        <v>-</v>
      </c>
      <c r="H28" s="320" t="str">
        <f>'COTIDIANO - IIS'!H28</f>
        <v>-</v>
      </c>
      <c r="I28" s="320" t="str">
        <f>'COTIDIANO - IIS'!I28</f>
        <v>-</v>
      </c>
      <c r="J28" s="320" t="str">
        <f>'COTIDIANO - IIS'!J28</f>
        <v>-</v>
      </c>
      <c r="K28" s="320" t="str">
        <f>'COTIDIANO - IIS'!K28</f>
        <v>-</v>
      </c>
      <c r="L28" s="320" t="str">
        <f>'COTIDIANO - IIS'!L28</f>
        <v>-</v>
      </c>
      <c r="M28" s="320" t="str">
        <f>'COTIDIANO - IIS'!M28</f>
        <v>-</v>
      </c>
      <c r="N28" s="320" t="str">
        <f>'COTIDIANO - IIS'!N28</f>
        <v>-</v>
      </c>
      <c r="O28" s="320" t="str">
        <f>'COTIDIANO - IIS'!O28</f>
        <v>-</v>
      </c>
      <c r="P28" s="320" t="str">
        <f>'COTIDIANO - IIS'!P28</f>
        <v>-</v>
      </c>
      <c r="Q28" s="320" t="str">
        <f>'COTIDIANO - IIS'!Q28</f>
        <v>-</v>
      </c>
      <c r="R28" s="320" t="str">
        <f>'COTIDIANO - IIS'!R28</f>
        <v>-</v>
      </c>
      <c r="S28" s="320" t="str">
        <f>'COTIDIANO - IIS'!S28</f>
        <v>-</v>
      </c>
      <c r="T28" s="320" t="str">
        <f>'COTIDIANO - IIS'!T28</f>
        <v>-</v>
      </c>
      <c r="U28" s="320" t="str">
        <f>'COTIDIANO - IIS'!U28</f>
        <v>-</v>
      </c>
      <c r="V28" s="320" t="str">
        <f>'COTIDIANO - IIS'!V28</f>
        <v>-</v>
      </c>
      <c r="W28" s="320" t="str">
        <f>'COTIDIANO - IIS'!W28</f>
        <v>-</v>
      </c>
      <c r="X28" s="320" t="str">
        <f>'COTIDIANO - IIS'!X28</f>
        <v>-</v>
      </c>
      <c r="Y28" s="326" t="e">
        <f>'COTIDIANO - IIS'!Y28</f>
        <v>#DIV/0!</v>
      </c>
      <c r="Z28" s="299" t="e">
        <f>'COTIDIANO - IIS'!Z28</f>
        <v>#DIV/0!</v>
      </c>
      <c r="AA28" s="163" t="e">
        <f>'COTIDIANO - IIS'!AA28</f>
        <v>#DIV/0!</v>
      </c>
      <c r="AB28" s="166">
        <f t="shared" si="1"/>
        <v>0</v>
      </c>
      <c r="AC28" s="165">
        <f t="shared" si="0"/>
        <v>0</v>
      </c>
      <c r="AD28" s="163">
        <f>'EXAMENES - IIS'!G27</f>
        <v>0</v>
      </c>
      <c r="AE28" s="166" t="e">
        <f t="shared" si="2"/>
        <v>#DIV/0!</v>
      </c>
      <c r="AF28" s="165" t="e">
        <f t="shared" si="3"/>
        <v>#DIV/0!</v>
      </c>
      <c r="AG28" s="163">
        <f>'EXAMENES - IIS'!J27</f>
        <v>0</v>
      </c>
      <c r="AH28" s="163">
        <f>'TAREAS - IIS'!I27</f>
        <v>0</v>
      </c>
      <c r="AI28" s="168">
        <f>ASISTENCIAIIS!I19</f>
        <v>10</v>
      </c>
      <c r="AJ28" s="253" t="e">
        <f t="shared" si="4"/>
        <v>#DIV/0!</v>
      </c>
      <c r="AK28" s="43">
        <f>'REGISTRO DATOS'!J25</f>
        <v>0</v>
      </c>
      <c r="AO28" s="198" t="s">
        <v>156</v>
      </c>
      <c r="AP28" s="199" t="s">
        <v>155</v>
      </c>
      <c r="AQ28" s="198" t="s">
        <v>156</v>
      </c>
      <c r="AR28" s="199" t="s">
        <v>155</v>
      </c>
    </row>
    <row r="29" spans="1:45" ht="18" customHeight="1" thickBot="1">
      <c r="A29" s="327">
        <v>14</v>
      </c>
      <c r="B29" s="322" t="str">
        <f>IFERROR(IF(VLOOKUP(A29,'REGISTRO DATOS'!B:H,2,0)=0,"",VLOOKUP(A29,'REGISTRO DATOS'!B:H,2,0)),"")</f>
        <v/>
      </c>
      <c r="C29" s="322" t="str">
        <f>IFERROR(IF(VLOOKUP(A29,'REGISTRO DATOS'!B:H,3,0)=0,"",VLOOKUP(A29,'REGISTRO DATOS'!B:H,3,0)),"")</f>
        <v/>
      </c>
      <c r="D29" s="322" t="str">
        <f>IFERROR(IF(VLOOKUP(A29,'REGISTRO DATOS'!B:H,4,0)=0,"",VLOOKUP(A29,'REGISTRO DATOS'!B:H,4,0)),"")</f>
        <v>GABRIELA</v>
      </c>
      <c r="E29" s="320" t="str">
        <f>'COTIDIANO - IIS'!E29</f>
        <v>-</v>
      </c>
      <c r="F29" s="320" t="str">
        <f>'COTIDIANO - IIS'!F29</f>
        <v>-</v>
      </c>
      <c r="G29" s="320" t="str">
        <f>'COTIDIANO - IIS'!G29</f>
        <v>-</v>
      </c>
      <c r="H29" s="320" t="str">
        <f>'COTIDIANO - IIS'!H29</f>
        <v>-</v>
      </c>
      <c r="I29" s="320" t="str">
        <f>'COTIDIANO - IIS'!I29</f>
        <v>-</v>
      </c>
      <c r="J29" s="320" t="str">
        <f>'COTIDIANO - IIS'!J29</f>
        <v>-</v>
      </c>
      <c r="K29" s="320" t="str">
        <f>'COTIDIANO - IIS'!K29</f>
        <v>-</v>
      </c>
      <c r="L29" s="320" t="str">
        <f>'COTIDIANO - IIS'!L29</f>
        <v>-</v>
      </c>
      <c r="M29" s="320" t="str">
        <f>'COTIDIANO - IIS'!M29</f>
        <v>-</v>
      </c>
      <c r="N29" s="320" t="str">
        <f>'COTIDIANO - IIS'!N29</f>
        <v>-</v>
      </c>
      <c r="O29" s="320" t="str">
        <f>'COTIDIANO - IIS'!O29</f>
        <v>-</v>
      </c>
      <c r="P29" s="320" t="str">
        <f>'COTIDIANO - IIS'!P29</f>
        <v>-</v>
      </c>
      <c r="Q29" s="320" t="str">
        <f>'COTIDIANO - IIS'!Q29</f>
        <v>-</v>
      </c>
      <c r="R29" s="320" t="str">
        <f>'COTIDIANO - IIS'!R29</f>
        <v>-</v>
      </c>
      <c r="S29" s="320" t="str">
        <f>'COTIDIANO - IIS'!S29</f>
        <v>-</v>
      </c>
      <c r="T29" s="320" t="str">
        <f>'COTIDIANO - IIS'!T29</f>
        <v>-</v>
      </c>
      <c r="U29" s="320" t="str">
        <f>'COTIDIANO - IIS'!U29</f>
        <v>-</v>
      </c>
      <c r="V29" s="320" t="str">
        <f>'COTIDIANO - IIS'!V29</f>
        <v>-</v>
      </c>
      <c r="W29" s="320" t="str">
        <f>'COTIDIANO - IIS'!W29</f>
        <v>-</v>
      </c>
      <c r="X29" s="320" t="str">
        <f>'COTIDIANO - IIS'!X29</f>
        <v>-</v>
      </c>
      <c r="Y29" s="326" t="e">
        <f>'COTIDIANO - IIS'!Y29</f>
        <v>#DIV/0!</v>
      </c>
      <c r="Z29" s="299" t="e">
        <f>'COTIDIANO - IIS'!Z29</f>
        <v>#DIV/0!</v>
      </c>
      <c r="AA29" s="163" t="e">
        <f>'COTIDIANO - IIS'!AA29</f>
        <v>#DIV/0!</v>
      </c>
      <c r="AB29" s="166">
        <f t="shared" si="1"/>
        <v>0</v>
      </c>
      <c r="AC29" s="165">
        <f t="shared" si="0"/>
        <v>0</v>
      </c>
      <c r="AD29" s="163">
        <f>'EXAMENES - IIS'!G28</f>
        <v>0</v>
      </c>
      <c r="AE29" s="166" t="e">
        <f t="shared" si="2"/>
        <v>#DIV/0!</v>
      </c>
      <c r="AF29" s="165" t="e">
        <f t="shared" si="3"/>
        <v>#DIV/0!</v>
      </c>
      <c r="AG29" s="163">
        <f>'EXAMENES - IIS'!J28</f>
        <v>0</v>
      </c>
      <c r="AH29" s="163">
        <f>'TAREAS - IIS'!I28</f>
        <v>0</v>
      </c>
      <c r="AI29" s="168">
        <f>ASISTENCIAIIS!I20</f>
        <v>10</v>
      </c>
      <c r="AJ29" s="253" t="e">
        <f t="shared" si="4"/>
        <v>#DIV/0!</v>
      </c>
      <c r="AK29" s="43">
        <f>'REGISTRO DATOS'!J26</f>
        <v>0</v>
      </c>
      <c r="AO29" s="200">
        <f>COUNTIFS(AK16:AK55,"H",AE16:AE55,"&lt;65")</f>
        <v>0</v>
      </c>
      <c r="AP29" s="201">
        <f>COUNTIFS(AK16:AK55,"H",AE16:AE55,"&gt;65")</f>
        <v>0</v>
      </c>
      <c r="AQ29" s="200">
        <f>COUNTIFS(AK16:AK55,"M",AE16:AE55,"&lt;65")</f>
        <v>0</v>
      </c>
      <c r="AR29" s="201">
        <f>COUNTIFS(AK16:AK55,"M",AE16:AE55,"&gt;65")</f>
        <v>0</v>
      </c>
      <c r="AS29" s="43">
        <f>SUM(AO29:AR29)</f>
        <v>0</v>
      </c>
    </row>
    <row r="30" spans="1:45" ht="18" customHeight="1">
      <c r="A30" s="324">
        <v>15</v>
      </c>
      <c r="B30" s="322" t="str">
        <f>IFERROR(IF(VLOOKUP(A30,'REGISTRO DATOS'!B:H,2,0)=0,"",VLOOKUP(A30,'REGISTRO DATOS'!B:H,2,0)),"")</f>
        <v xml:space="preserve">SERRANO </v>
      </c>
      <c r="C30" s="322" t="str">
        <f>IFERROR(IF(VLOOKUP(A30,'REGISTRO DATOS'!B:H,3,0)=0,"",VLOOKUP(A30,'REGISTRO DATOS'!B:H,3,0)),"")</f>
        <v>VILLEGAS</v>
      </c>
      <c r="D30" s="322" t="str">
        <f>IFERROR(IF(VLOOKUP(A30,'REGISTRO DATOS'!B:H,4,0)=0,"",VLOOKUP(A30,'REGISTRO DATOS'!B:H,4,0)),"")</f>
        <v xml:space="preserve">DYLAN </v>
      </c>
      <c r="E30" s="320" t="str">
        <f>'COTIDIANO - IIS'!E30</f>
        <v>-</v>
      </c>
      <c r="F30" s="320" t="str">
        <f>'COTIDIANO - IIS'!F30</f>
        <v>-</v>
      </c>
      <c r="G30" s="320" t="str">
        <f>'COTIDIANO - IIS'!G30</f>
        <v>-</v>
      </c>
      <c r="H30" s="320" t="str">
        <f>'COTIDIANO - IIS'!H30</f>
        <v>-</v>
      </c>
      <c r="I30" s="320" t="str">
        <f>'COTIDIANO - IIS'!I30</f>
        <v>-</v>
      </c>
      <c r="J30" s="320" t="str">
        <f>'COTIDIANO - IIS'!J30</f>
        <v>-</v>
      </c>
      <c r="K30" s="320" t="str">
        <f>'COTIDIANO - IIS'!K30</f>
        <v>-</v>
      </c>
      <c r="L30" s="320" t="str">
        <f>'COTIDIANO - IIS'!L30</f>
        <v>-</v>
      </c>
      <c r="M30" s="320" t="str">
        <f>'COTIDIANO - IIS'!M30</f>
        <v>-</v>
      </c>
      <c r="N30" s="320" t="str">
        <f>'COTIDIANO - IIS'!N30</f>
        <v>-</v>
      </c>
      <c r="O30" s="320" t="str">
        <f>'COTIDIANO - IIS'!O30</f>
        <v>-</v>
      </c>
      <c r="P30" s="320" t="str">
        <f>'COTIDIANO - IIS'!P30</f>
        <v>-</v>
      </c>
      <c r="Q30" s="320" t="str">
        <f>'COTIDIANO - IIS'!Q30</f>
        <v>-</v>
      </c>
      <c r="R30" s="320" t="str">
        <f>'COTIDIANO - IIS'!R30</f>
        <v>-</v>
      </c>
      <c r="S30" s="320" t="str">
        <f>'COTIDIANO - IIS'!S30</f>
        <v>-</v>
      </c>
      <c r="T30" s="320" t="str">
        <f>'COTIDIANO - IIS'!T30</f>
        <v>-</v>
      </c>
      <c r="U30" s="320" t="str">
        <f>'COTIDIANO - IIS'!U30</f>
        <v>-</v>
      </c>
      <c r="V30" s="320" t="str">
        <f>'COTIDIANO - IIS'!V30</f>
        <v>-</v>
      </c>
      <c r="W30" s="320" t="str">
        <f>'COTIDIANO - IIS'!W30</f>
        <v>-</v>
      </c>
      <c r="X30" s="320" t="str">
        <f>'COTIDIANO - IIS'!X30</f>
        <v>-</v>
      </c>
      <c r="Y30" s="326" t="e">
        <f>'COTIDIANO - IIS'!Y30</f>
        <v>#DIV/0!</v>
      </c>
      <c r="Z30" s="299" t="e">
        <f>'COTIDIANO - IIS'!Z30</f>
        <v>#DIV/0!</v>
      </c>
      <c r="AA30" s="163" t="e">
        <f>'COTIDIANO - IIS'!AA30</f>
        <v>#DIV/0!</v>
      </c>
      <c r="AB30" s="166">
        <f t="shared" si="1"/>
        <v>0</v>
      </c>
      <c r="AC30" s="165">
        <f t="shared" si="0"/>
        <v>0</v>
      </c>
      <c r="AD30" s="163">
        <f>'EXAMENES - IIS'!G29</f>
        <v>0</v>
      </c>
      <c r="AE30" s="166" t="e">
        <f t="shared" si="2"/>
        <v>#DIV/0!</v>
      </c>
      <c r="AF30" s="165" t="e">
        <f t="shared" si="3"/>
        <v>#DIV/0!</v>
      </c>
      <c r="AG30" s="163">
        <f>'EXAMENES - IIS'!J29</f>
        <v>0</v>
      </c>
      <c r="AH30" s="163">
        <f>'TAREAS - IIS'!I29</f>
        <v>0</v>
      </c>
      <c r="AI30" s="168">
        <f>ASISTENCIAIIS!I21</f>
        <v>10</v>
      </c>
      <c r="AJ30" s="253" t="e">
        <f t="shared" si="4"/>
        <v>#DIV/0!</v>
      </c>
      <c r="AK30" s="43">
        <f>'REGISTRO DATOS'!J27</f>
        <v>0</v>
      </c>
    </row>
    <row r="31" spans="1:45" ht="18" customHeight="1">
      <c r="A31" s="328">
        <v>16</v>
      </c>
      <c r="B31" s="322" t="str">
        <f>IFERROR(IF(VLOOKUP(A31,'REGISTRO DATOS'!B:H,2,0)=0,"",VLOOKUP(A31,'REGISTRO DATOS'!B:H,2,0)),"")</f>
        <v/>
      </c>
      <c r="C31" s="322" t="str">
        <f>IFERROR(IF(VLOOKUP(A31,'REGISTRO DATOS'!B:H,3,0)=0,"",VLOOKUP(A31,'REGISTRO DATOS'!B:H,3,0)),"")</f>
        <v/>
      </c>
      <c r="D31" s="322" t="str">
        <f>IFERROR(IF(VLOOKUP(A31,'REGISTRO DATOS'!B:H,4,0)=0,"",VLOOKUP(A31,'REGISTRO DATOS'!B:H,4,0)),"")</f>
        <v>ANA</v>
      </c>
      <c r="E31" s="320" t="str">
        <f>'COTIDIANO - IIS'!E31</f>
        <v>-</v>
      </c>
      <c r="F31" s="320" t="str">
        <f>'COTIDIANO - IIS'!F31</f>
        <v>-</v>
      </c>
      <c r="G31" s="320" t="str">
        <f>'COTIDIANO - IIS'!G31</f>
        <v>-</v>
      </c>
      <c r="H31" s="320" t="str">
        <f>'COTIDIANO - IIS'!H31</f>
        <v>-</v>
      </c>
      <c r="I31" s="320" t="str">
        <f>'COTIDIANO - IIS'!I31</f>
        <v>-</v>
      </c>
      <c r="J31" s="320" t="str">
        <f>'COTIDIANO - IIS'!J31</f>
        <v>-</v>
      </c>
      <c r="K31" s="320" t="str">
        <f>'COTIDIANO - IIS'!K31</f>
        <v>-</v>
      </c>
      <c r="L31" s="320" t="str">
        <f>'COTIDIANO - IIS'!L31</f>
        <v>-</v>
      </c>
      <c r="M31" s="320" t="str">
        <f>'COTIDIANO - IIS'!M31</f>
        <v>-</v>
      </c>
      <c r="N31" s="320" t="str">
        <f>'COTIDIANO - IIS'!N31</f>
        <v>-</v>
      </c>
      <c r="O31" s="320" t="str">
        <f>'COTIDIANO - IIS'!O31</f>
        <v>-</v>
      </c>
      <c r="P31" s="320" t="str">
        <f>'COTIDIANO - IIS'!P31</f>
        <v>-</v>
      </c>
      <c r="Q31" s="320" t="str">
        <f>'COTIDIANO - IIS'!Q31</f>
        <v>-</v>
      </c>
      <c r="R31" s="320" t="str">
        <f>'COTIDIANO - IIS'!R31</f>
        <v>-</v>
      </c>
      <c r="S31" s="320" t="str">
        <f>'COTIDIANO - IIS'!S31</f>
        <v>-</v>
      </c>
      <c r="T31" s="320" t="str">
        <f>'COTIDIANO - IIS'!T31</f>
        <v>-</v>
      </c>
      <c r="U31" s="320" t="str">
        <f>'COTIDIANO - IIS'!U31</f>
        <v>-</v>
      </c>
      <c r="V31" s="320" t="str">
        <f>'COTIDIANO - IIS'!V31</f>
        <v>-</v>
      </c>
      <c r="W31" s="320" t="str">
        <f>'COTIDIANO - IIS'!W31</f>
        <v>-</v>
      </c>
      <c r="X31" s="320" t="str">
        <f>'COTIDIANO - IIS'!X31</f>
        <v>-</v>
      </c>
      <c r="Y31" s="326" t="e">
        <f>'COTIDIANO - IIS'!Y31</f>
        <v>#DIV/0!</v>
      </c>
      <c r="Z31" s="299" t="e">
        <f>'COTIDIANO - IIS'!Z31</f>
        <v>#DIV/0!</v>
      </c>
      <c r="AA31" s="163" t="e">
        <f>'COTIDIANO - IIS'!AA31</f>
        <v>#DIV/0!</v>
      </c>
      <c r="AB31" s="166">
        <f t="shared" si="1"/>
        <v>0</v>
      </c>
      <c r="AC31" s="165">
        <f t="shared" si="0"/>
        <v>0</v>
      </c>
      <c r="AD31" s="163">
        <f>'EXAMENES - IIS'!G30</f>
        <v>0</v>
      </c>
      <c r="AE31" s="166" t="e">
        <f t="shared" si="2"/>
        <v>#DIV/0!</v>
      </c>
      <c r="AF31" s="165" t="e">
        <f t="shared" si="3"/>
        <v>#DIV/0!</v>
      </c>
      <c r="AG31" s="163">
        <f>'EXAMENES - IIS'!J30</f>
        <v>0</v>
      </c>
      <c r="AH31" s="163">
        <f>'TAREAS - IIS'!I30</f>
        <v>0</v>
      </c>
      <c r="AI31" s="168">
        <f>ASISTENCIAIIS!I22</f>
        <v>10</v>
      </c>
      <c r="AJ31" s="253" t="e">
        <f t="shared" si="4"/>
        <v>#DIV/0!</v>
      </c>
      <c r="AK31" s="43">
        <f>'REGISTRO DATOS'!J28</f>
        <v>0</v>
      </c>
    </row>
    <row r="32" spans="1:45" ht="18" customHeight="1">
      <c r="A32" s="324">
        <v>17</v>
      </c>
      <c r="B32" s="322" t="str">
        <f>IFERROR(IF(VLOOKUP(A32,'REGISTRO DATOS'!B:H,2,0)=0,"",VLOOKUP(A32,'REGISTRO DATOS'!B:H,2,0)),"")</f>
        <v>QUIROS</v>
      </c>
      <c r="C32" s="322" t="str">
        <f>IFERROR(IF(VLOOKUP(A32,'REGISTRO DATOS'!B:H,3,0)=0,"",VLOOKUP(A32,'REGISTRO DATOS'!B:H,3,0)),"")</f>
        <v/>
      </c>
      <c r="D32" s="322" t="str">
        <f>IFERROR(IF(VLOOKUP(A32,'REGISTRO DATOS'!B:H,4,0)=0,"",VLOOKUP(A32,'REGISTRO DATOS'!B:H,4,0)),"")</f>
        <v>ANDY</v>
      </c>
      <c r="E32" s="320" t="str">
        <f>'COTIDIANO - IIS'!E32</f>
        <v>-</v>
      </c>
      <c r="F32" s="320" t="str">
        <f>'COTIDIANO - IIS'!F32</f>
        <v>-</v>
      </c>
      <c r="G32" s="320" t="str">
        <f>'COTIDIANO - IIS'!G32</f>
        <v>-</v>
      </c>
      <c r="H32" s="320" t="str">
        <f>'COTIDIANO - IIS'!H32</f>
        <v>-</v>
      </c>
      <c r="I32" s="320" t="str">
        <f>'COTIDIANO - IIS'!I32</f>
        <v>-</v>
      </c>
      <c r="J32" s="320" t="str">
        <f>'COTIDIANO - IIS'!J32</f>
        <v>-</v>
      </c>
      <c r="K32" s="320" t="str">
        <f>'COTIDIANO - IIS'!K32</f>
        <v>-</v>
      </c>
      <c r="L32" s="320" t="str">
        <f>'COTIDIANO - IIS'!L32</f>
        <v>-</v>
      </c>
      <c r="M32" s="320" t="str">
        <f>'COTIDIANO - IIS'!M32</f>
        <v>-</v>
      </c>
      <c r="N32" s="320" t="str">
        <f>'COTIDIANO - IIS'!N32</f>
        <v>-</v>
      </c>
      <c r="O32" s="320" t="str">
        <f>'COTIDIANO - IIS'!O32</f>
        <v>-</v>
      </c>
      <c r="P32" s="320" t="str">
        <f>'COTIDIANO - IIS'!P32</f>
        <v>-</v>
      </c>
      <c r="Q32" s="320" t="str">
        <f>'COTIDIANO - IIS'!Q32</f>
        <v>-</v>
      </c>
      <c r="R32" s="320" t="str">
        <f>'COTIDIANO - IIS'!R32</f>
        <v>-</v>
      </c>
      <c r="S32" s="320" t="str">
        <f>'COTIDIANO - IIS'!S32</f>
        <v>-</v>
      </c>
      <c r="T32" s="320" t="str">
        <f>'COTIDIANO - IIS'!T32</f>
        <v>-</v>
      </c>
      <c r="U32" s="320" t="str">
        <f>'COTIDIANO - IIS'!U32</f>
        <v>-</v>
      </c>
      <c r="V32" s="320" t="str">
        <f>'COTIDIANO - IIS'!V32</f>
        <v>-</v>
      </c>
      <c r="W32" s="320" t="str">
        <f>'COTIDIANO - IIS'!W32</f>
        <v>-</v>
      </c>
      <c r="X32" s="320" t="str">
        <f>'COTIDIANO - IIS'!X32</f>
        <v>-</v>
      </c>
      <c r="Y32" s="326" t="e">
        <f>'COTIDIANO - IIS'!Y32</f>
        <v>#DIV/0!</v>
      </c>
      <c r="Z32" s="299" t="e">
        <f>'COTIDIANO - IIS'!Z32</f>
        <v>#DIV/0!</v>
      </c>
      <c r="AA32" s="163" t="e">
        <f>'COTIDIANO - IIS'!AA32</f>
        <v>#DIV/0!</v>
      </c>
      <c r="AB32" s="166">
        <f t="shared" si="1"/>
        <v>0</v>
      </c>
      <c r="AC32" s="165">
        <f t="shared" si="0"/>
        <v>0</v>
      </c>
      <c r="AD32" s="163">
        <f>'EXAMENES - IIS'!G31</f>
        <v>0</v>
      </c>
      <c r="AE32" s="166" t="e">
        <f t="shared" si="2"/>
        <v>#DIV/0!</v>
      </c>
      <c r="AF32" s="165" t="e">
        <f t="shared" si="3"/>
        <v>#DIV/0!</v>
      </c>
      <c r="AG32" s="163">
        <f>'EXAMENES - IIS'!J31</f>
        <v>0</v>
      </c>
      <c r="AH32" s="163">
        <f>'TAREAS - IIS'!I31</f>
        <v>0</v>
      </c>
      <c r="AI32" s="168">
        <f>ASISTENCIAIIS!I23</f>
        <v>10</v>
      </c>
      <c r="AJ32" s="253" t="e">
        <f t="shared" si="4"/>
        <v>#DIV/0!</v>
      </c>
      <c r="AK32" s="43">
        <f>'REGISTRO DATOS'!J29</f>
        <v>0</v>
      </c>
    </row>
    <row r="33" spans="1:37" ht="18" customHeight="1">
      <c r="A33" s="327">
        <v>18</v>
      </c>
      <c r="B33" s="322" t="str">
        <f>IFERROR(IF(VLOOKUP(A33,'REGISTRO DATOS'!B:H,2,0)=0,"",VLOOKUP(A33,'REGISTRO DATOS'!B:H,2,0)),"")</f>
        <v>RIVER</v>
      </c>
      <c r="C33" s="322" t="str">
        <f>IFERROR(IF(VLOOKUP(A33,'REGISTRO DATOS'!B:H,3,0)=0,"",VLOOKUP(A33,'REGISTRO DATOS'!B:H,3,0)),"")</f>
        <v/>
      </c>
      <c r="D33" s="322" t="str">
        <f>IFERROR(IF(VLOOKUP(A33,'REGISTRO DATOS'!B:H,4,0)=0,"",VLOOKUP(A33,'REGISTRO DATOS'!B:H,4,0)),"")</f>
        <v>STEPHANIE</v>
      </c>
      <c r="E33" s="320" t="str">
        <f>'COTIDIANO - IIS'!E33</f>
        <v>-</v>
      </c>
      <c r="F33" s="320" t="str">
        <f>'COTIDIANO - IIS'!F33</f>
        <v>-</v>
      </c>
      <c r="G33" s="320" t="str">
        <f>'COTIDIANO - IIS'!G33</f>
        <v>-</v>
      </c>
      <c r="H33" s="320" t="str">
        <f>'COTIDIANO - IIS'!H33</f>
        <v>-</v>
      </c>
      <c r="I33" s="320" t="str">
        <f>'COTIDIANO - IIS'!I33</f>
        <v>-</v>
      </c>
      <c r="J33" s="320" t="str">
        <f>'COTIDIANO - IIS'!J33</f>
        <v>-</v>
      </c>
      <c r="K33" s="320" t="str">
        <f>'COTIDIANO - IIS'!K33</f>
        <v>-</v>
      </c>
      <c r="L33" s="320" t="str">
        <f>'COTIDIANO - IIS'!L33</f>
        <v>-</v>
      </c>
      <c r="M33" s="320" t="str">
        <f>'COTIDIANO - IIS'!M33</f>
        <v>-</v>
      </c>
      <c r="N33" s="320" t="str">
        <f>'COTIDIANO - IIS'!N33</f>
        <v>-</v>
      </c>
      <c r="O33" s="320" t="str">
        <f>'COTIDIANO - IIS'!O33</f>
        <v>-</v>
      </c>
      <c r="P33" s="320" t="str">
        <f>'COTIDIANO - IIS'!P33</f>
        <v>-</v>
      </c>
      <c r="Q33" s="320" t="str">
        <f>'COTIDIANO - IIS'!Q33</f>
        <v>-</v>
      </c>
      <c r="R33" s="320" t="str">
        <f>'COTIDIANO - IIS'!R33</f>
        <v>-</v>
      </c>
      <c r="S33" s="320" t="str">
        <f>'COTIDIANO - IIS'!S33</f>
        <v>-</v>
      </c>
      <c r="T33" s="320" t="str">
        <f>'COTIDIANO - IIS'!T33</f>
        <v>-</v>
      </c>
      <c r="U33" s="320" t="str">
        <f>'COTIDIANO - IIS'!U33</f>
        <v>-</v>
      </c>
      <c r="V33" s="320" t="str">
        <f>'COTIDIANO - IIS'!V33</f>
        <v>-</v>
      </c>
      <c r="W33" s="320" t="str">
        <f>'COTIDIANO - IIS'!W33</f>
        <v>-</v>
      </c>
      <c r="X33" s="320" t="str">
        <f>'COTIDIANO - IIS'!X33</f>
        <v>-</v>
      </c>
      <c r="Y33" s="326" t="e">
        <f>'COTIDIANO - IIS'!Y33</f>
        <v>#DIV/0!</v>
      </c>
      <c r="Z33" s="299" t="e">
        <f>'COTIDIANO - IIS'!Z33</f>
        <v>#DIV/0!</v>
      </c>
      <c r="AA33" s="163" t="e">
        <f>'COTIDIANO - IIS'!AA33</f>
        <v>#DIV/0!</v>
      </c>
      <c r="AB33" s="166">
        <f t="shared" si="1"/>
        <v>0</v>
      </c>
      <c r="AC33" s="165">
        <f t="shared" si="0"/>
        <v>0</v>
      </c>
      <c r="AD33" s="163">
        <f>'EXAMENES - IIS'!G32</f>
        <v>0</v>
      </c>
      <c r="AE33" s="166" t="e">
        <f t="shared" si="2"/>
        <v>#DIV/0!</v>
      </c>
      <c r="AF33" s="165" t="e">
        <f t="shared" si="3"/>
        <v>#DIV/0!</v>
      </c>
      <c r="AG33" s="163">
        <f>'EXAMENES - IIS'!J32</f>
        <v>0</v>
      </c>
      <c r="AH33" s="163">
        <f>'TAREAS - IIS'!I32</f>
        <v>0</v>
      </c>
      <c r="AI33" s="168">
        <f>ASISTENCIAIIS!I24</f>
        <v>10</v>
      </c>
      <c r="AJ33" s="253" t="e">
        <f t="shared" si="4"/>
        <v>#DIV/0!</v>
      </c>
      <c r="AK33" s="43">
        <f>'REGISTRO DATOS'!J30</f>
        <v>0</v>
      </c>
    </row>
    <row r="34" spans="1:37" ht="18" customHeight="1">
      <c r="A34" s="321">
        <v>19</v>
      </c>
      <c r="B34" s="322" t="str">
        <f>IFERROR(IF(VLOOKUP(A34,'REGISTRO DATOS'!B:H,2,0)=0,"",VLOOKUP(A34,'REGISTRO DATOS'!B:H,2,0)),"")</f>
        <v/>
      </c>
      <c r="C34" s="322" t="str">
        <f>IFERROR(IF(VLOOKUP(A34,'REGISTRO DATOS'!B:H,3,0)=0,"",VLOOKUP(A34,'REGISTRO DATOS'!B:H,3,0)),"")</f>
        <v>FABIAN</v>
      </c>
      <c r="D34" s="322" t="str">
        <f>IFERROR(IF(VLOOKUP(A34,'REGISTRO DATOS'!B:H,4,0)=0,"",VLOOKUP(A34,'REGISTRO DATOS'!B:H,4,0)),"")</f>
        <v/>
      </c>
      <c r="E34" s="320" t="str">
        <f>'COTIDIANO - IIS'!E34</f>
        <v>-</v>
      </c>
      <c r="F34" s="320" t="str">
        <f>'COTIDIANO - IIS'!F34</f>
        <v>-</v>
      </c>
      <c r="G34" s="320" t="str">
        <f>'COTIDIANO - IIS'!G34</f>
        <v>-</v>
      </c>
      <c r="H34" s="320" t="str">
        <f>'COTIDIANO - IIS'!H34</f>
        <v>-</v>
      </c>
      <c r="I34" s="320" t="str">
        <f>'COTIDIANO - IIS'!I34</f>
        <v>-</v>
      </c>
      <c r="J34" s="320" t="str">
        <f>'COTIDIANO - IIS'!J34</f>
        <v>-</v>
      </c>
      <c r="K34" s="320" t="str">
        <f>'COTIDIANO - IIS'!K34</f>
        <v>-</v>
      </c>
      <c r="L34" s="320" t="str">
        <f>'COTIDIANO - IIS'!L34</f>
        <v>-</v>
      </c>
      <c r="M34" s="320" t="str">
        <f>'COTIDIANO - IIS'!M34</f>
        <v>-</v>
      </c>
      <c r="N34" s="320" t="str">
        <f>'COTIDIANO - IIS'!N34</f>
        <v>-</v>
      </c>
      <c r="O34" s="320" t="str">
        <f>'COTIDIANO - IIS'!O34</f>
        <v>-</v>
      </c>
      <c r="P34" s="320" t="str">
        <f>'COTIDIANO - IIS'!P34</f>
        <v>-</v>
      </c>
      <c r="Q34" s="320" t="str">
        <f>'COTIDIANO - IIS'!Q34</f>
        <v>-</v>
      </c>
      <c r="R34" s="320" t="str">
        <f>'COTIDIANO - IIS'!R34</f>
        <v>-</v>
      </c>
      <c r="S34" s="320" t="str">
        <f>'COTIDIANO - IIS'!S34</f>
        <v>-</v>
      </c>
      <c r="T34" s="320" t="str">
        <f>'COTIDIANO - IIS'!T34</f>
        <v>-</v>
      </c>
      <c r="U34" s="320" t="str">
        <f>'COTIDIANO - IIS'!U34</f>
        <v>-</v>
      </c>
      <c r="V34" s="320" t="str">
        <f>'COTIDIANO - IIS'!V34</f>
        <v>-</v>
      </c>
      <c r="W34" s="320" t="str">
        <f>'COTIDIANO - IIS'!W34</f>
        <v>-</v>
      </c>
      <c r="X34" s="320" t="str">
        <f>'COTIDIANO - IIS'!X34</f>
        <v>-</v>
      </c>
      <c r="Y34" s="326" t="e">
        <f>'COTIDIANO - IIS'!Y34</f>
        <v>#DIV/0!</v>
      </c>
      <c r="Z34" s="299" t="e">
        <f>'COTIDIANO - IIS'!Z34</f>
        <v>#DIV/0!</v>
      </c>
      <c r="AA34" s="163" t="e">
        <f>'COTIDIANO - IIS'!AA34</f>
        <v>#DIV/0!</v>
      </c>
      <c r="AB34" s="166">
        <f t="shared" si="1"/>
        <v>0</v>
      </c>
      <c r="AC34" s="165">
        <f t="shared" si="0"/>
        <v>0</v>
      </c>
      <c r="AD34" s="163">
        <f>'EXAMENES - IIS'!G33</f>
        <v>0</v>
      </c>
      <c r="AE34" s="166" t="e">
        <f t="shared" si="2"/>
        <v>#DIV/0!</v>
      </c>
      <c r="AF34" s="165" t="e">
        <f t="shared" si="3"/>
        <v>#DIV/0!</v>
      </c>
      <c r="AG34" s="163">
        <f>'EXAMENES - IIS'!J33</f>
        <v>0</v>
      </c>
      <c r="AH34" s="163">
        <f>'TAREAS - IIS'!I33</f>
        <v>0</v>
      </c>
      <c r="AI34" s="168">
        <f>ASISTENCIAIIS!I25</f>
        <v>10</v>
      </c>
      <c r="AJ34" s="253" t="e">
        <f t="shared" si="4"/>
        <v>#DIV/0!</v>
      </c>
      <c r="AK34" s="43">
        <f>'REGISTRO DATOS'!J31</f>
        <v>0</v>
      </c>
    </row>
    <row r="35" spans="1:37" ht="18" customHeight="1">
      <c r="A35" s="327">
        <v>20</v>
      </c>
      <c r="B35" s="322" t="str">
        <f>IFERROR(IF(VLOOKUP(A35,'REGISTRO DATOS'!B:H,2,0)=0,"",VLOOKUP(A35,'REGISTRO DATOS'!B:H,2,0)),"")</f>
        <v/>
      </c>
      <c r="C35" s="322" t="str">
        <f>IFERROR(IF(VLOOKUP(A35,'REGISTRO DATOS'!B:H,3,0)=0,"",VLOOKUP(A35,'REGISTRO DATOS'!B:H,3,0)),"")</f>
        <v>EMILIN</v>
      </c>
      <c r="D35" s="322" t="str">
        <f>IFERROR(IF(VLOOKUP(A35,'REGISTRO DATOS'!B:H,4,0)=0,"",VLOOKUP(A35,'REGISTRO DATOS'!B:H,4,0)),"")</f>
        <v/>
      </c>
      <c r="E35" s="320" t="str">
        <f>'COTIDIANO - IIS'!E35</f>
        <v>-</v>
      </c>
      <c r="F35" s="320" t="str">
        <f>'COTIDIANO - IIS'!F35</f>
        <v>-</v>
      </c>
      <c r="G35" s="320" t="str">
        <f>'COTIDIANO - IIS'!G35</f>
        <v>-</v>
      </c>
      <c r="H35" s="320" t="str">
        <f>'COTIDIANO - IIS'!H35</f>
        <v>-</v>
      </c>
      <c r="I35" s="320" t="str">
        <f>'COTIDIANO - IIS'!I35</f>
        <v>-</v>
      </c>
      <c r="J35" s="320" t="str">
        <f>'COTIDIANO - IIS'!J35</f>
        <v>-</v>
      </c>
      <c r="K35" s="320" t="str">
        <f>'COTIDIANO - IIS'!K35</f>
        <v>-</v>
      </c>
      <c r="L35" s="320" t="str">
        <f>'COTIDIANO - IIS'!L35</f>
        <v>-</v>
      </c>
      <c r="M35" s="320" t="str">
        <f>'COTIDIANO - IIS'!M35</f>
        <v>-</v>
      </c>
      <c r="N35" s="320" t="str">
        <f>'COTIDIANO - IIS'!N35</f>
        <v>-</v>
      </c>
      <c r="O35" s="320" t="str">
        <f>'COTIDIANO - IIS'!O35</f>
        <v>-</v>
      </c>
      <c r="P35" s="320" t="str">
        <f>'COTIDIANO - IIS'!P35</f>
        <v>-</v>
      </c>
      <c r="Q35" s="320" t="str">
        <f>'COTIDIANO - IIS'!Q35</f>
        <v>-</v>
      </c>
      <c r="R35" s="320" t="str">
        <f>'COTIDIANO - IIS'!R35</f>
        <v>-</v>
      </c>
      <c r="S35" s="320" t="str">
        <f>'COTIDIANO - IIS'!S35</f>
        <v>-</v>
      </c>
      <c r="T35" s="320" t="str">
        <f>'COTIDIANO - IIS'!T35</f>
        <v>-</v>
      </c>
      <c r="U35" s="320" t="str">
        <f>'COTIDIANO - IIS'!U35</f>
        <v>-</v>
      </c>
      <c r="V35" s="320" t="str">
        <f>'COTIDIANO - IIS'!V35</f>
        <v>-</v>
      </c>
      <c r="W35" s="320" t="str">
        <f>'COTIDIANO - IIS'!W35</f>
        <v>-</v>
      </c>
      <c r="X35" s="320" t="str">
        <f>'COTIDIANO - IIS'!X35</f>
        <v>-</v>
      </c>
      <c r="Y35" s="326" t="e">
        <f>'COTIDIANO - IIS'!Y35</f>
        <v>#DIV/0!</v>
      </c>
      <c r="Z35" s="299" t="e">
        <f>'COTIDIANO - IIS'!Z35</f>
        <v>#DIV/0!</v>
      </c>
      <c r="AA35" s="163" t="e">
        <f>'COTIDIANO - IIS'!AA35</f>
        <v>#DIV/0!</v>
      </c>
      <c r="AB35" s="166">
        <f t="shared" si="1"/>
        <v>0</v>
      </c>
      <c r="AC35" s="165">
        <f t="shared" si="0"/>
        <v>0</v>
      </c>
      <c r="AD35" s="163">
        <f>'EXAMENES - IIS'!G34</f>
        <v>0</v>
      </c>
      <c r="AE35" s="166" t="e">
        <f t="shared" si="2"/>
        <v>#DIV/0!</v>
      </c>
      <c r="AF35" s="165" t="e">
        <f t="shared" si="3"/>
        <v>#DIV/0!</v>
      </c>
      <c r="AG35" s="163">
        <f>'EXAMENES - IIS'!J34</f>
        <v>0</v>
      </c>
      <c r="AH35" s="163">
        <f>'TAREAS - IIS'!I34</f>
        <v>0</v>
      </c>
      <c r="AI35" s="168">
        <f>ASISTENCIAIIS!I26</f>
        <v>10</v>
      </c>
      <c r="AJ35" s="253" t="e">
        <f t="shared" si="4"/>
        <v>#DIV/0!</v>
      </c>
      <c r="AK35" s="43">
        <f>'REGISTRO DATOS'!J32</f>
        <v>0</v>
      </c>
    </row>
    <row r="36" spans="1:37" ht="18" customHeight="1">
      <c r="A36" s="324">
        <v>21</v>
      </c>
      <c r="B36" s="322" t="str">
        <f>IFERROR(IF(VLOOKUP(A36,'REGISTRO DATOS'!B:H,2,0)=0,"",VLOOKUP(A36,'REGISTRO DATOS'!B:H,2,0)),"")</f>
        <v/>
      </c>
      <c r="C36" s="322" t="str">
        <f>IFERROR(IF(VLOOKUP(A36,'REGISTRO DATOS'!B:H,3,0)=0,"",VLOOKUP(A36,'REGISTRO DATOS'!B:H,3,0)),"")</f>
        <v/>
      </c>
      <c r="D36" s="322" t="str">
        <f>IFERROR(IF(VLOOKUP(A36,'REGISTRO DATOS'!B:H,4,0)=0,"",VLOOKUP(A36,'REGISTRO DATOS'!B:H,4,0)),"")</f>
        <v/>
      </c>
      <c r="E36" s="320" t="str">
        <f>'COTIDIANO - IIS'!E36</f>
        <v>-</v>
      </c>
      <c r="F36" s="320" t="str">
        <f>'COTIDIANO - IIS'!F36</f>
        <v>-</v>
      </c>
      <c r="G36" s="320" t="str">
        <f>'COTIDIANO - IIS'!G36</f>
        <v>-</v>
      </c>
      <c r="H36" s="320" t="str">
        <f>'COTIDIANO - IIS'!H36</f>
        <v>-</v>
      </c>
      <c r="I36" s="320" t="str">
        <f>'COTIDIANO - IIS'!I36</f>
        <v>-</v>
      </c>
      <c r="J36" s="320" t="str">
        <f>'COTIDIANO - IIS'!J36</f>
        <v>-</v>
      </c>
      <c r="K36" s="320" t="str">
        <f>'COTIDIANO - IIS'!K36</f>
        <v>-</v>
      </c>
      <c r="L36" s="320" t="str">
        <f>'COTIDIANO - IIS'!L36</f>
        <v>-</v>
      </c>
      <c r="M36" s="320" t="str">
        <f>'COTIDIANO - IIS'!M36</f>
        <v>-</v>
      </c>
      <c r="N36" s="320" t="str">
        <f>'COTIDIANO - IIS'!N36</f>
        <v>-</v>
      </c>
      <c r="O36" s="320" t="str">
        <f>'COTIDIANO - IIS'!O36</f>
        <v>-</v>
      </c>
      <c r="P36" s="320" t="str">
        <f>'COTIDIANO - IIS'!P36</f>
        <v>-</v>
      </c>
      <c r="Q36" s="320" t="str">
        <f>'COTIDIANO - IIS'!Q36</f>
        <v>-</v>
      </c>
      <c r="R36" s="320" t="str">
        <f>'COTIDIANO - IIS'!R36</f>
        <v>-</v>
      </c>
      <c r="S36" s="320" t="str">
        <f>'COTIDIANO - IIS'!S36</f>
        <v>-</v>
      </c>
      <c r="T36" s="320" t="str">
        <f>'COTIDIANO - IIS'!T36</f>
        <v>-</v>
      </c>
      <c r="U36" s="320" t="str">
        <f>'COTIDIANO - IIS'!U36</f>
        <v>-</v>
      </c>
      <c r="V36" s="320" t="str">
        <f>'COTIDIANO - IIS'!V36</f>
        <v>-</v>
      </c>
      <c r="W36" s="320" t="str">
        <f>'COTIDIANO - IIS'!W36</f>
        <v>-</v>
      </c>
      <c r="X36" s="320" t="str">
        <f>'COTIDIANO - IIS'!X36</f>
        <v>-</v>
      </c>
      <c r="Y36" s="326" t="e">
        <f>'COTIDIANO - IIS'!Y36</f>
        <v>#DIV/0!</v>
      </c>
      <c r="Z36" s="299" t="e">
        <f>'COTIDIANO - IIS'!Z36</f>
        <v>#DIV/0!</v>
      </c>
      <c r="AA36" s="163" t="e">
        <f>'COTIDIANO - IIS'!AA36</f>
        <v>#DIV/0!</v>
      </c>
      <c r="AB36" s="166">
        <f t="shared" si="1"/>
        <v>0</v>
      </c>
      <c r="AC36" s="165">
        <f t="shared" si="0"/>
        <v>0</v>
      </c>
      <c r="AD36" s="163">
        <f>'EXAMENES - IIS'!G35</f>
        <v>0</v>
      </c>
      <c r="AE36" s="166" t="e">
        <f t="shared" si="2"/>
        <v>#DIV/0!</v>
      </c>
      <c r="AF36" s="165" t="e">
        <f t="shared" si="3"/>
        <v>#DIV/0!</v>
      </c>
      <c r="AG36" s="163">
        <f>'EXAMENES - IIS'!J35</f>
        <v>0</v>
      </c>
      <c r="AH36" s="163">
        <f>'TAREAS - IIS'!I35</f>
        <v>0</v>
      </c>
      <c r="AI36" s="168">
        <f>ASISTENCIAIIS!I27</f>
        <v>10</v>
      </c>
      <c r="AJ36" s="253" t="e">
        <f t="shared" si="4"/>
        <v>#DIV/0!</v>
      </c>
      <c r="AK36" s="43">
        <f>'REGISTRO DATOS'!J33</f>
        <v>0</v>
      </c>
    </row>
    <row r="37" spans="1:37" ht="18" customHeight="1">
      <c r="A37" s="328">
        <v>22</v>
      </c>
      <c r="B37" s="322" t="str">
        <f>IFERROR(IF(VLOOKUP(A37,'REGISTRO DATOS'!B:H,2,0)=0,"",VLOOKUP(A37,'REGISTRO DATOS'!B:H,2,0)),"")</f>
        <v/>
      </c>
      <c r="C37" s="322" t="str">
        <f>IFERROR(IF(VLOOKUP(A37,'REGISTRO DATOS'!B:H,3,0)=0,"",VLOOKUP(A37,'REGISTRO DATOS'!B:H,3,0)),"")</f>
        <v/>
      </c>
      <c r="D37" s="322" t="str">
        <f>IFERROR(IF(VLOOKUP(A37,'REGISTRO DATOS'!B:H,4,0)=0,"",VLOOKUP(A37,'REGISTRO DATOS'!B:H,4,0)),"")</f>
        <v/>
      </c>
      <c r="E37" s="320" t="str">
        <f>'COTIDIANO - IIS'!E37</f>
        <v>-</v>
      </c>
      <c r="F37" s="320" t="str">
        <f>'COTIDIANO - IIS'!F37</f>
        <v>-</v>
      </c>
      <c r="G37" s="320" t="str">
        <f>'COTIDIANO - IIS'!G37</f>
        <v>-</v>
      </c>
      <c r="H37" s="320" t="str">
        <f>'COTIDIANO - IIS'!H37</f>
        <v>-</v>
      </c>
      <c r="I37" s="320" t="str">
        <f>'COTIDIANO - IIS'!I37</f>
        <v>-</v>
      </c>
      <c r="J37" s="320" t="str">
        <f>'COTIDIANO - IIS'!J37</f>
        <v>-</v>
      </c>
      <c r="K37" s="320" t="str">
        <f>'COTIDIANO - IIS'!K37</f>
        <v>-</v>
      </c>
      <c r="L37" s="320" t="str">
        <f>'COTIDIANO - IIS'!L37</f>
        <v>-</v>
      </c>
      <c r="M37" s="320" t="str">
        <f>'COTIDIANO - IIS'!M37</f>
        <v>-</v>
      </c>
      <c r="N37" s="320" t="str">
        <f>'COTIDIANO - IIS'!N37</f>
        <v>-</v>
      </c>
      <c r="O37" s="320" t="str">
        <f>'COTIDIANO - IIS'!O37</f>
        <v>-</v>
      </c>
      <c r="P37" s="320" t="str">
        <f>'COTIDIANO - IIS'!P37</f>
        <v>-</v>
      </c>
      <c r="Q37" s="320" t="str">
        <f>'COTIDIANO - IIS'!Q37</f>
        <v>-</v>
      </c>
      <c r="R37" s="320" t="str">
        <f>'COTIDIANO - IIS'!R37</f>
        <v>-</v>
      </c>
      <c r="S37" s="320" t="str">
        <f>'COTIDIANO - IIS'!S37</f>
        <v>-</v>
      </c>
      <c r="T37" s="320" t="str">
        <f>'COTIDIANO - IIS'!T37</f>
        <v>-</v>
      </c>
      <c r="U37" s="320" t="str">
        <f>'COTIDIANO - IIS'!U37</f>
        <v>-</v>
      </c>
      <c r="V37" s="320" t="str">
        <f>'COTIDIANO - IIS'!V37</f>
        <v>-</v>
      </c>
      <c r="W37" s="320" t="str">
        <f>'COTIDIANO - IIS'!W37</f>
        <v>-</v>
      </c>
      <c r="X37" s="320" t="str">
        <f>'COTIDIANO - IIS'!X37</f>
        <v>-</v>
      </c>
      <c r="Y37" s="326" t="e">
        <f>'COTIDIANO - IIS'!Y37</f>
        <v>#DIV/0!</v>
      </c>
      <c r="Z37" s="299" t="e">
        <f>'COTIDIANO - IIS'!Z37</f>
        <v>#DIV/0!</v>
      </c>
      <c r="AA37" s="163" t="e">
        <f>'COTIDIANO - IIS'!AA37</f>
        <v>#DIV/0!</v>
      </c>
      <c r="AB37" s="166">
        <f t="shared" si="1"/>
        <v>0</v>
      </c>
      <c r="AC37" s="165">
        <f t="shared" si="0"/>
        <v>0</v>
      </c>
      <c r="AD37" s="163">
        <f>'EXAMENES - IIS'!G36</f>
        <v>0</v>
      </c>
      <c r="AE37" s="166" t="e">
        <f t="shared" si="2"/>
        <v>#DIV/0!</v>
      </c>
      <c r="AF37" s="165" t="e">
        <f t="shared" si="3"/>
        <v>#DIV/0!</v>
      </c>
      <c r="AG37" s="163">
        <f>'EXAMENES - IIS'!J36</f>
        <v>0</v>
      </c>
      <c r="AH37" s="163">
        <f>'TAREAS - IIS'!I36</f>
        <v>0</v>
      </c>
      <c r="AI37" s="168">
        <f>ASISTENCIAIIS!I28</f>
        <v>10</v>
      </c>
      <c r="AJ37" s="253" t="e">
        <f t="shared" si="4"/>
        <v>#DIV/0!</v>
      </c>
      <c r="AK37" s="43">
        <f>'REGISTRO DATOS'!J34</f>
        <v>0</v>
      </c>
    </row>
    <row r="38" spans="1:37" ht="18" customHeight="1">
      <c r="A38" s="324">
        <v>23</v>
      </c>
      <c r="B38" s="322" t="str">
        <f>IFERROR(IF(VLOOKUP(A38,'REGISTRO DATOS'!B:H,2,0)=0,"",VLOOKUP(A38,'REGISTRO DATOS'!B:H,2,0)),"")</f>
        <v/>
      </c>
      <c r="C38" s="322" t="str">
        <f>IFERROR(IF(VLOOKUP(A38,'REGISTRO DATOS'!B:H,3,0)=0,"",VLOOKUP(A38,'REGISTRO DATOS'!B:H,3,0)),"")</f>
        <v/>
      </c>
      <c r="D38" s="322" t="str">
        <f>IFERROR(IF(VLOOKUP(A38,'REGISTRO DATOS'!B:H,4,0)=0,"",VLOOKUP(A38,'REGISTRO DATOS'!B:H,4,0)),"")</f>
        <v/>
      </c>
      <c r="E38" s="320" t="str">
        <f>'COTIDIANO - IIS'!E38</f>
        <v>-</v>
      </c>
      <c r="F38" s="320" t="str">
        <f>'COTIDIANO - IIS'!F38</f>
        <v>-</v>
      </c>
      <c r="G38" s="320" t="str">
        <f>'COTIDIANO - IIS'!G38</f>
        <v>-</v>
      </c>
      <c r="H38" s="320" t="str">
        <f>'COTIDIANO - IIS'!H38</f>
        <v>-</v>
      </c>
      <c r="I38" s="320" t="str">
        <f>'COTIDIANO - IIS'!I38</f>
        <v>-</v>
      </c>
      <c r="J38" s="320" t="str">
        <f>'COTIDIANO - IIS'!J38</f>
        <v>-</v>
      </c>
      <c r="K38" s="320" t="str">
        <f>'COTIDIANO - IIS'!K38</f>
        <v>-</v>
      </c>
      <c r="L38" s="320" t="str">
        <f>'COTIDIANO - IIS'!L38</f>
        <v>-</v>
      </c>
      <c r="M38" s="320" t="str">
        <f>'COTIDIANO - IIS'!M38</f>
        <v>-</v>
      </c>
      <c r="N38" s="320" t="str">
        <f>'COTIDIANO - IIS'!N38</f>
        <v>-</v>
      </c>
      <c r="O38" s="320" t="str">
        <f>'COTIDIANO - IIS'!O38</f>
        <v>-</v>
      </c>
      <c r="P38" s="320" t="str">
        <f>'COTIDIANO - IIS'!P38</f>
        <v>-</v>
      </c>
      <c r="Q38" s="320" t="str">
        <f>'COTIDIANO - IIS'!Q38</f>
        <v>-</v>
      </c>
      <c r="R38" s="320" t="str">
        <f>'COTIDIANO - IIS'!R38</f>
        <v>-</v>
      </c>
      <c r="S38" s="320" t="str">
        <f>'COTIDIANO - IIS'!S38</f>
        <v>-</v>
      </c>
      <c r="T38" s="320" t="str">
        <f>'COTIDIANO - IIS'!T38</f>
        <v>-</v>
      </c>
      <c r="U38" s="320" t="str">
        <f>'COTIDIANO - IIS'!U38</f>
        <v>-</v>
      </c>
      <c r="V38" s="320" t="str">
        <f>'COTIDIANO - IIS'!V38</f>
        <v>-</v>
      </c>
      <c r="W38" s="320" t="str">
        <f>'COTIDIANO - IIS'!W38</f>
        <v>-</v>
      </c>
      <c r="X38" s="320" t="str">
        <f>'COTIDIANO - IIS'!X38</f>
        <v>-</v>
      </c>
      <c r="Y38" s="326" t="e">
        <f>'COTIDIANO - IIS'!Y38</f>
        <v>#DIV/0!</v>
      </c>
      <c r="Z38" s="299" t="e">
        <f>'COTIDIANO - IIS'!Z38</f>
        <v>#DIV/0!</v>
      </c>
      <c r="AA38" s="163" t="e">
        <f>'COTIDIANO - IIS'!AA38</f>
        <v>#DIV/0!</v>
      </c>
      <c r="AB38" s="166">
        <f t="shared" si="1"/>
        <v>0</v>
      </c>
      <c r="AC38" s="165">
        <f t="shared" si="0"/>
        <v>0</v>
      </c>
      <c r="AD38" s="163">
        <f>'EXAMENES - IIS'!G37</f>
        <v>0</v>
      </c>
      <c r="AE38" s="166" t="e">
        <f t="shared" si="2"/>
        <v>#DIV/0!</v>
      </c>
      <c r="AF38" s="165" t="e">
        <f t="shared" si="3"/>
        <v>#DIV/0!</v>
      </c>
      <c r="AG38" s="163">
        <f>'EXAMENES - IIS'!J37</f>
        <v>0</v>
      </c>
      <c r="AH38" s="163">
        <f>'TAREAS - IIS'!I37</f>
        <v>0</v>
      </c>
      <c r="AI38" s="168">
        <f>ASISTENCIAIIS!I29</f>
        <v>10</v>
      </c>
      <c r="AJ38" s="253" t="e">
        <f t="shared" si="4"/>
        <v>#DIV/0!</v>
      </c>
      <c r="AK38" s="43">
        <f>'REGISTRO DATOS'!J35</f>
        <v>0</v>
      </c>
    </row>
    <row r="39" spans="1:37" ht="18" customHeight="1">
      <c r="A39" s="327">
        <v>24</v>
      </c>
      <c r="B39" s="322" t="str">
        <f>IFERROR(IF(VLOOKUP(A39,'REGISTRO DATOS'!B:H,2,0)=0,"",VLOOKUP(A39,'REGISTRO DATOS'!B:H,2,0)),"")</f>
        <v/>
      </c>
      <c r="C39" s="322" t="str">
        <f>IFERROR(IF(VLOOKUP(A39,'REGISTRO DATOS'!B:H,3,0)=0,"",VLOOKUP(A39,'REGISTRO DATOS'!B:H,3,0)),"")</f>
        <v/>
      </c>
      <c r="D39" s="322" t="str">
        <f>IFERROR(IF(VLOOKUP(A39,'REGISTRO DATOS'!B:H,4,0)=0,"",VLOOKUP(A39,'REGISTRO DATOS'!B:H,4,0)),"")</f>
        <v/>
      </c>
      <c r="E39" s="320" t="str">
        <f>'COTIDIANO - IIS'!E39</f>
        <v>-</v>
      </c>
      <c r="F39" s="320" t="str">
        <f>'COTIDIANO - IIS'!F39</f>
        <v>-</v>
      </c>
      <c r="G39" s="320" t="str">
        <f>'COTIDIANO - IIS'!G39</f>
        <v>-</v>
      </c>
      <c r="H39" s="320" t="str">
        <f>'COTIDIANO - IIS'!H39</f>
        <v>-</v>
      </c>
      <c r="I39" s="320" t="str">
        <f>'COTIDIANO - IIS'!I39</f>
        <v>-</v>
      </c>
      <c r="J39" s="320" t="str">
        <f>'COTIDIANO - IIS'!J39</f>
        <v>-</v>
      </c>
      <c r="K39" s="320" t="str">
        <f>'COTIDIANO - IIS'!K39</f>
        <v>-</v>
      </c>
      <c r="L39" s="320" t="str">
        <f>'COTIDIANO - IIS'!L39</f>
        <v>-</v>
      </c>
      <c r="M39" s="320" t="str">
        <f>'COTIDIANO - IIS'!M39</f>
        <v>-</v>
      </c>
      <c r="N39" s="320" t="str">
        <f>'COTIDIANO - IIS'!N39</f>
        <v>-</v>
      </c>
      <c r="O39" s="320" t="str">
        <f>'COTIDIANO - IIS'!O39</f>
        <v>-</v>
      </c>
      <c r="P39" s="320" t="str">
        <f>'COTIDIANO - IIS'!P39</f>
        <v>-</v>
      </c>
      <c r="Q39" s="320" t="str">
        <f>'COTIDIANO - IIS'!Q39</f>
        <v>-</v>
      </c>
      <c r="R39" s="320" t="str">
        <f>'COTIDIANO - IIS'!R39</f>
        <v>-</v>
      </c>
      <c r="S39" s="320" t="str">
        <f>'COTIDIANO - IIS'!S39</f>
        <v>-</v>
      </c>
      <c r="T39" s="320" t="str">
        <f>'COTIDIANO - IIS'!T39</f>
        <v>-</v>
      </c>
      <c r="U39" s="320" t="str">
        <f>'COTIDIANO - IIS'!U39</f>
        <v>-</v>
      </c>
      <c r="V39" s="320" t="str">
        <f>'COTIDIANO - IIS'!V39</f>
        <v>-</v>
      </c>
      <c r="W39" s="320" t="str">
        <f>'COTIDIANO - IIS'!W39</f>
        <v>-</v>
      </c>
      <c r="X39" s="320" t="str">
        <f>'COTIDIANO - IIS'!X39</f>
        <v>-</v>
      </c>
      <c r="Y39" s="326" t="e">
        <f>'COTIDIANO - IIS'!Y39</f>
        <v>#DIV/0!</v>
      </c>
      <c r="Z39" s="299" t="e">
        <f>'COTIDIANO - IIS'!Z39</f>
        <v>#DIV/0!</v>
      </c>
      <c r="AA39" s="163" t="e">
        <f>'COTIDIANO - IIS'!AA39</f>
        <v>#DIV/0!</v>
      </c>
      <c r="AB39" s="166">
        <f t="shared" si="1"/>
        <v>0</v>
      </c>
      <c r="AC39" s="165">
        <f t="shared" si="0"/>
        <v>0</v>
      </c>
      <c r="AD39" s="163">
        <f>'EXAMENES - IIS'!G38</f>
        <v>0</v>
      </c>
      <c r="AE39" s="166" t="e">
        <f t="shared" si="2"/>
        <v>#DIV/0!</v>
      </c>
      <c r="AF39" s="165" t="e">
        <f t="shared" si="3"/>
        <v>#DIV/0!</v>
      </c>
      <c r="AG39" s="163">
        <f>'EXAMENES - IIS'!J38</f>
        <v>0</v>
      </c>
      <c r="AH39" s="163">
        <f>'TAREAS - IIS'!I38</f>
        <v>0</v>
      </c>
      <c r="AI39" s="168">
        <f>ASISTENCIAIIS!I30</f>
        <v>10</v>
      </c>
      <c r="AJ39" s="253" t="e">
        <f t="shared" si="4"/>
        <v>#DIV/0!</v>
      </c>
      <c r="AK39" s="43">
        <f>'REGISTRO DATOS'!J36</f>
        <v>0</v>
      </c>
    </row>
    <row r="40" spans="1:37" ht="18" customHeight="1">
      <c r="A40" s="321">
        <v>25</v>
      </c>
      <c r="B40" s="322" t="str">
        <f>IFERROR(IF(VLOOKUP(A40,'REGISTRO DATOS'!B:H,2,0)=0,"",VLOOKUP(A40,'REGISTRO DATOS'!B:H,2,0)),"")</f>
        <v/>
      </c>
      <c r="C40" s="322" t="str">
        <f>IFERROR(IF(VLOOKUP(A40,'REGISTRO DATOS'!B:H,3,0)=0,"",VLOOKUP(A40,'REGISTRO DATOS'!B:H,3,0)),"")</f>
        <v/>
      </c>
      <c r="D40" s="322" t="str">
        <f>IFERROR(IF(VLOOKUP(A40,'REGISTRO DATOS'!B:H,4,0)=0,"",VLOOKUP(A40,'REGISTRO DATOS'!B:H,4,0)),"")</f>
        <v/>
      </c>
      <c r="E40" s="320" t="str">
        <f>'COTIDIANO - IIS'!E40</f>
        <v>-</v>
      </c>
      <c r="F40" s="320" t="str">
        <f>'COTIDIANO - IIS'!F40</f>
        <v>-</v>
      </c>
      <c r="G40" s="320" t="str">
        <f>'COTIDIANO - IIS'!G40</f>
        <v>-</v>
      </c>
      <c r="H40" s="320" t="str">
        <f>'COTIDIANO - IIS'!H40</f>
        <v>-</v>
      </c>
      <c r="I40" s="320" t="str">
        <f>'COTIDIANO - IIS'!I40</f>
        <v>-</v>
      </c>
      <c r="J40" s="320" t="str">
        <f>'COTIDIANO - IIS'!J40</f>
        <v>-</v>
      </c>
      <c r="K40" s="320" t="str">
        <f>'COTIDIANO - IIS'!K40</f>
        <v>-</v>
      </c>
      <c r="L40" s="320" t="str">
        <f>'COTIDIANO - IIS'!L40</f>
        <v>-</v>
      </c>
      <c r="M40" s="320" t="str">
        <f>'COTIDIANO - IIS'!M40</f>
        <v>-</v>
      </c>
      <c r="N40" s="320" t="str">
        <f>'COTIDIANO - IIS'!N40</f>
        <v>-</v>
      </c>
      <c r="O40" s="320" t="str">
        <f>'COTIDIANO - IIS'!O40</f>
        <v>-</v>
      </c>
      <c r="P40" s="320" t="str">
        <f>'COTIDIANO - IIS'!P40</f>
        <v>-</v>
      </c>
      <c r="Q40" s="320" t="str">
        <f>'COTIDIANO - IIS'!Q40</f>
        <v>-</v>
      </c>
      <c r="R40" s="320" t="str">
        <f>'COTIDIANO - IIS'!R40</f>
        <v>-</v>
      </c>
      <c r="S40" s="320" t="str">
        <f>'COTIDIANO - IIS'!S40</f>
        <v>-</v>
      </c>
      <c r="T40" s="320" t="str">
        <f>'COTIDIANO - IIS'!T40</f>
        <v>-</v>
      </c>
      <c r="U40" s="320" t="str">
        <f>'COTIDIANO - IIS'!U40</f>
        <v>-</v>
      </c>
      <c r="V40" s="320" t="str">
        <f>'COTIDIANO - IIS'!V40</f>
        <v>-</v>
      </c>
      <c r="W40" s="320" t="str">
        <f>'COTIDIANO - IIS'!W40</f>
        <v>-</v>
      </c>
      <c r="X40" s="320" t="str">
        <f>'COTIDIANO - IIS'!X40</f>
        <v>-</v>
      </c>
      <c r="Y40" s="326" t="e">
        <f>'COTIDIANO - IIS'!Y40</f>
        <v>#DIV/0!</v>
      </c>
      <c r="Z40" s="299" t="e">
        <f>'COTIDIANO - IIS'!Z40</f>
        <v>#DIV/0!</v>
      </c>
      <c r="AA40" s="163" t="e">
        <f>'COTIDIANO - IIS'!AA40</f>
        <v>#DIV/0!</v>
      </c>
      <c r="AB40" s="166">
        <f t="shared" si="1"/>
        <v>0</v>
      </c>
      <c r="AC40" s="165">
        <f t="shared" si="0"/>
        <v>0</v>
      </c>
      <c r="AD40" s="163">
        <f>'EXAMENES - IIS'!G39</f>
        <v>0</v>
      </c>
      <c r="AE40" s="166" t="e">
        <f t="shared" si="2"/>
        <v>#DIV/0!</v>
      </c>
      <c r="AF40" s="165" t="e">
        <f t="shared" si="3"/>
        <v>#DIV/0!</v>
      </c>
      <c r="AG40" s="163">
        <f>'EXAMENES - IIS'!J39</f>
        <v>0</v>
      </c>
      <c r="AH40" s="163">
        <f>'TAREAS - IIS'!I39</f>
        <v>0</v>
      </c>
      <c r="AI40" s="168">
        <f>ASISTENCIAIIS!I31</f>
        <v>10</v>
      </c>
      <c r="AJ40" s="253" t="e">
        <f t="shared" si="4"/>
        <v>#DIV/0!</v>
      </c>
      <c r="AK40" s="43">
        <f>'REGISTRO DATOS'!J37</f>
        <v>0</v>
      </c>
    </row>
    <row r="41" spans="1:37" ht="18" customHeight="1">
      <c r="A41" s="327">
        <v>26</v>
      </c>
      <c r="B41" s="322" t="str">
        <f>IFERROR(IF(VLOOKUP(A41,'REGISTRO DATOS'!B:H,2,0)=0,"",VLOOKUP(A41,'REGISTRO DATOS'!B:H,2,0)),"")</f>
        <v/>
      </c>
      <c r="C41" s="322" t="str">
        <f>IFERROR(IF(VLOOKUP(A41,'REGISTRO DATOS'!B:H,3,0)=0,"",VLOOKUP(A41,'REGISTRO DATOS'!B:H,3,0)),"")</f>
        <v/>
      </c>
      <c r="D41" s="322" t="str">
        <f>IFERROR(IF(VLOOKUP(A41,'REGISTRO DATOS'!B:H,4,0)=0,"",VLOOKUP(A41,'REGISTRO DATOS'!B:H,4,0)),"")</f>
        <v/>
      </c>
      <c r="E41" s="320" t="str">
        <f>'COTIDIANO - IIS'!E41</f>
        <v>-</v>
      </c>
      <c r="F41" s="320" t="str">
        <f>'COTIDIANO - IIS'!F41</f>
        <v>-</v>
      </c>
      <c r="G41" s="320" t="str">
        <f>'COTIDIANO - IIS'!G41</f>
        <v>-</v>
      </c>
      <c r="H41" s="320" t="str">
        <f>'COTIDIANO - IIS'!H41</f>
        <v>-</v>
      </c>
      <c r="I41" s="320">
        <f>'COTIDIANO - IIS'!I41</f>
        <v>0</v>
      </c>
      <c r="J41" s="320" t="str">
        <f>'COTIDIANO - IIS'!J41</f>
        <v>-</v>
      </c>
      <c r="K41" s="320" t="str">
        <f>'COTIDIANO - IIS'!K41</f>
        <v>-</v>
      </c>
      <c r="L41" s="320" t="str">
        <f>'COTIDIANO - IIS'!L41</f>
        <v>-</v>
      </c>
      <c r="M41" s="320" t="str">
        <f>'COTIDIANO - IIS'!M41</f>
        <v>-</v>
      </c>
      <c r="N41" s="320" t="str">
        <f>'COTIDIANO - IIS'!N41</f>
        <v>-</v>
      </c>
      <c r="O41" s="320" t="str">
        <f>'COTIDIANO - IIS'!O41</f>
        <v>-</v>
      </c>
      <c r="P41" s="320" t="str">
        <f>'COTIDIANO - IIS'!P41</f>
        <v>-</v>
      </c>
      <c r="Q41" s="320" t="str">
        <f>'COTIDIANO - IIS'!Q41</f>
        <v>-</v>
      </c>
      <c r="R41" s="320" t="str">
        <f>'COTIDIANO - IIS'!R41</f>
        <v>-</v>
      </c>
      <c r="S41" s="320" t="str">
        <f>'COTIDIANO - IIS'!S41</f>
        <v>-</v>
      </c>
      <c r="T41" s="320" t="str">
        <f>'COTIDIANO - IIS'!T41</f>
        <v>-</v>
      </c>
      <c r="U41" s="320" t="str">
        <f>'COTIDIANO - IIS'!U41</f>
        <v>-</v>
      </c>
      <c r="V41" s="320" t="str">
        <f>'COTIDIANO - IIS'!V41</f>
        <v>-</v>
      </c>
      <c r="W41" s="320" t="str">
        <f>'COTIDIANO - IIS'!W41</f>
        <v>-</v>
      </c>
      <c r="X41" s="320" t="str">
        <f>'COTIDIANO - IIS'!X41</f>
        <v>-</v>
      </c>
      <c r="Y41" s="326" t="e">
        <f>'COTIDIANO - IIS'!Y41</f>
        <v>#DIV/0!</v>
      </c>
      <c r="Z41" s="299" t="e">
        <f>'COTIDIANO - IIS'!Z41</f>
        <v>#DIV/0!</v>
      </c>
      <c r="AA41" s="163" t="e">
        <f>'COTIDIANO - IIS'!AA41</f>
        <v>#DIV/0!</v>
      </c>
      <c r="AB41" s="166">
        <f t="shared" si="1"/>
        <v>0</v>
      </c>
      <c r="AC41" s="165">
        <f t="shared" si="0"/>
        <v>0</v>
      </c>
      <c r="AD41" s="163">
        <f>'EXAMENES - IIS'!G40</f>
        <v>0</v>
      </c>
      <c r="AE41" s="166" t="e">
        <f t="shared" si="2"/>
        <v>#DIV/0!</v>
      </c>
      <c r="AF41" s="165" t="e">
        <f t="shared" si="3"/>
        <v>#DIV/0!</v>
      </c>
      <c r="AG41" s="163">
        <f>'EXAMENES - IIS'!J40</f>
        <v>0</v>
      </c>
      <c r="AH41" s="163">
        <f>'TAREAS - IIS'!I40</f>
        <v>0</v>
      </c>
      <c r="AI41" s="168">
        <f>ASISTENCIAIIS!I32</f>
        <v>10</v>
      </c>
      <c r="AJ41" s="253" t="e">
        <f t="shared" si="4"/>
        <v>#DIV/0!</v>
      </c>
      <c r="AK41" s="43">
        <f>'REGISTRO DATOS'!J38</f>
        <v>0</v>
      </c>
    </row>
    <row r="42" spans="1:37" ht="18" customHeight="1">
      <c r="A42" s="324">
        <v>27</v>
      </c>
      <c r="B42" s="322" t="str">
        <f>IFERROR(IF(VLOOKUP(A42,'REGISTRO DATOS'!B:H,2,0)=0,"",VLOOKUP(A42,'REGISTRO DATOS'!B:H,2,0)),"")</f>
        <v/>
      </c>
      <c r="C42" s="322" t="str">
        <f>IFERROR(IF(VLOOKUP(A42,'REGISTRO DATOS'!B:H,3,0)=0,"",VLOOKUP(A42,'REGISTRO DATOS'!B:H,3,0)),"")</f>
        <v/>
      </c>
      <c r="D42" s="322" t="str">
        <f>IFERROR(IF(VLOOKUP(A42,'REGISTRO DATOS'!B:H,4,0)=0,"",VLOOKUP(A42,'REGISTRO DATOS'!B:H,4,0)),"")</f>
        <v/>
      </c>
      <c r="E42" s="320" t="str">
        <f>'COTIDIANO - IIS'!E42</f>
        <v>-</v>
      </c>
      <c r="F42" s="320" t="str">
        <f>'COTIDIANO - IIS'!F42</f>
        <v>-</v>
      </c>
      <c r="G42" s="320" t="str">
        <f>'COTIDIANO - IIS'!G42</f>
        <v>-</v>
      </c>
      <c r="H42" s="320" t="str">
        <f>'COTIDIANO - IIS'!H42</f>
        <v>-</v>
      </c>
      <c r="I42" s="320" t="str">
        <f>'COTIDIANO - IIS'!I42</f>
        <v>-</v>
      </c>
      <c r="J42" s="320" t="str">
        <f>'COTIDIANO - IIS'!J42</f>
        <v>-</v>
      </c>
      <c r="K42" s="320" t="str">
        <f>'COTIDIANO - IIS'!K42</f>
        <v>-</v>
      </c>
      <c r="L42" s="320" t="str">
        <f>'COTIDIANO - IIS'!L42</f>
        <v>-</v>
      </c>
      <c r="M42" s="320" t="str">
        <f>'COTIDIANO - IIS'!M42</f>
        <v>-</v>
      </c>
      <c r="N42" s="320" t="str">
        <f>'COTIDIANO - IIS'!N42</f>
        <v>-</v>
      </c>
      <c r="O42" s="320" t="str">
        <f>'COTIDIANO - IIS'!O42</f>
        <v>-</v>
      </c>
      <c r="P42" s="320" t="str">
        <f>'COTIDIANO - IIS'!P42</f>
        <v>-</v>
      </c>
      <c r="Q42" s="320" t="str">
        <f>'COTIDIANO - IIS'!Q42</f>
        <v>-</v>
      </c>
      <c r="R42" s="320" t="str">
        <f>'COTIDIANO - IIS'!R42</f>
        <v>-</v>
      </c>
      <c r="S42" s="320" t="str">
        <f>'COTIDIANO - IIS'!S42</f>
        <v>-</v>
      </c>
      <c r="T42" s="320" t="str">
        <f>'COTIDIANO - IIS'!T42</f>
        <v>-</v>
      </c>
      <c r="U42" s="320" t="str">
        <f>'COTIDIANO - IIS'!U42</f>
        <v>-</v>
      </c>
      <c r="V42" s="320" t="str">
        <f>'COTIDIANO - IIS'!V42</f>
        <v>-</v>
      </c>
      <c r="W42" s="320" t="str">
        <f>'COTIDIANO - IIS'!W42</f>
        <v>-</v>
      </c>
      <c r="X42" s="320" t="str">
        <f>'COTIDIANO - IIS'!X42</f>
        <v>-</v>
      </c>
      <c r="Y42" s="326" t="e">
        <f>'COTIDIANO - IIS'!Y42</f>
        <v>#DIV/0!</v>
      </c>
      <c r="Z42" s="299" t="e">
        <f>'COTIDIANO - IIS'!Z42</f>
        <v>#DIV/0!</v>
      </c>
      <c r="AA42" s="163" t="e">
        <f>'COTIDIANO - IIS'!AA42</f>
        <v>#DIV/0!</v>
      </c>
      <c r="AB42" s="166">
        <f t="shared" si="1"/>
        <v>0</v>
      </c>
      <c r="AC42" s="165">
        <f t="shared" si="0"/>
        <v>0</v>
      </c>
      <c r="AD42" s="163">
        <f>'EXAMENES - IIS'!G41</f>
        <v>0</v>
      </c>
      <c r="AE42" s="166" t="e">
        <f t="shared" si="2"/>
        <v>#DIV/0!</v>
      </c>
      <c r="AF42" s="165" t="e">
        <f t="shared" si="3"/>
        <v>#DIV/0!</v>
      </c>
      <c r="AG42" s="163">
        <f>'EXAMENES - IIS'!J41</f>
        <v>0</v>
      </c>
      <c r="AH42" s="163">
        <f>'TAREAS - IIS'!I41</f>
        <v>0</v>
      </c>
      <c r="AI42" s="168">
        <f>ASISTENCIAIIS!I33</f>
        <v>10</v>
      </c>
      <c r="AJ42" s="253" t="e">
        <f t="shared" si="4"/>
        <v>#DIV/0!</v>
      </c>
      <c r="AK42" s="43">
        <f>'REGISTRO DATOS'!J39</f>
        <v>0</v>
      </c>
    </row>
    <row r="43" spans="1:37" ht="18" customHeight="1">
      <c r="A43" s="328">
        <v>28</v>
      </c>
      <c r="B43" s="322" t="str">
        <f>IFERROR(IF(VLOOKUP(A43,'REGISTRO DATOS'!B:H,2,0)=0,"",VLOOKUP(A43,'REGISTRO DATOS'!B:H,2,0)),"")</f>
        <v/>
      </c>
      <c r="C43" s="322" t="str">
        <f>IFERROR(IF(VLOOKUP(A43,'REGISTRO DATOS'!B:H,3,0)=0,"",VLOOKUP(A43,'REGISTRO DATOS'!B:H,3,0)),"")</f>
        <v/>
      </c>
      <c r="D43" s="322" t="str">
        <f>IFERROR(IF(VLOOKUP(A43,'REGISTRO DATOS'!B:H,4,0)=0,"",VLOOKUP(A43,'REGISTRO DATOS'!B:H,4,0)),"")</f>
        <v/>
      </c>
      <c r="E43" s="320" t="str">
        <f>'COTIDIANO - IIS'!E43</f>
        <v>-</v>
      </c>
      <c r="F43" s="320" t="str">
        <f>'COTIDIANO - IIS'!F43</f>
        <v>-</v>
      </c>
      <c r="G43" s="320" t="str">
        <f>'COTIDIANO - IIS'!G43</f>
        <v>-</v>
      </c>
      <c r="H43" s="320" t="str">
        <f>'COTIDIANO - IIS'!H43</f>
        <v>-</v>
      </c>
      <c r="I43" s="320" t="str">
        <f>'COTIDIANO - IIS'!I43</f>
        <v>-</v>
      </c>
      <c r="J43" s="320" t="str">
        <f>'COTIDIANO - IIS'!J43</f>
        <v>-</v>
      </c>
      <c r="K43" s="320" t="str">
        <f>'COTIDIANO - IIS'!K43</f>
        <v>-</v>
      </c>
      <c r="L43" s="320" t="str">
        <f>'COTIDIANO - IIS'!L43</f>
        <v>-</v>
      </c>
      <c r="M43" s="320" t="str">
        <f>'COTIDIANO - IIS'!M43</f>
        <v>-</v>
      </c>
      <c r="N43" s="320" t="str">
        <f>'COTIDIANO - IIS'!N43</f>
        <v>-</v>
      </c>
      <c r="O43" s="320" t="str">
        <f>'COTIDIANO - IIS'!O43</f>
        <v>-</v>
      </c>
      <c r="P43" s="320" t="str">
        <f>'COTIDIANO - IIS'!P43</f>
        <v>-</v>
      </c>
      <c r="Q43" s="320" t="str">
        <f>'COTIDIANO - IIS'!Q43</f>
        <v>-</v>
      </c>
      <c r="R43" s="320" t="str">
        <f>'COTIDIANO - IIS'!R43</f>
        <v>-</v>
      </c>
      <c r="S43" s="320" t="str">
        <f>'COTIDIANO - IIS'!S43</f>
        <v>-</v>
      </c>
      <c r="T43" s="320" t="str">
        <f>'COTIDIANO - IIS'!T43</f>
        <v>-</v>
      </c>
      <c r="U43" s="320" t="str">
        <f>'COTIDIANO - IIS'!U43</f>
        <v>-</v>
      </c>
      <c r="V43" s="320" t="str">
        <f>'COTIDIANO - IIS'!V43</f>
        <v>-</v>
      </c>
      <c r="W43" s="320" t="str">
        <f>'COTIDIANO - IIS'!W43</f>
        <v>-</v>
      </c>
      <c r="X43" s="320" t="str">
        <f>'COTIDIANO - IIS'!X43</f>
        <v>-</v>
      </c>
      <c r="Y43" s="326" t="e">
        <f>'COTIDIANO - IIS'!Y43</f>
        <v>#DIV/0!</v>
      </c>
      <c r="Z43" s="299" t="e">
        <f>'COTIDIANO - IIS'!Z43</f>
        <v>#DIV/0!</v>
      </c>
      <c r="AA43" s="163" t="e">
        <f>'COTIDIANO - IIS'!AA43</f>
        <v>#DIV/0!</v>
      </c>
      <c r="AB43" s="166">
        <f t="shared" si="1"/>
        <v>0</v>
      </c>
      <c r="AC43" s="165">
        <f t="shared" si="0"/>
        <v>0</v>
      </c>
      <c r="AD43" s="163">
        <f>'EXAMENES - IIS'!G42</f>
        <v>0</v>
      </c>
      <c r="AE43" s="166" t="e">
        <f t="shared" si="2"/>
        <v>#DIV/0!</v>
      </c>
      <c r="AF43" s="165" t="e">
        <f t="shared" si="3"/>
        <v>#DIV/0!</v>
      </c>
      <c r="AG43" s="163">
        <f>'EXAMENES - IIS'!J42</f>
        <v>0</v>
      </c>
      <c r="AH43" s="163">
        <f>'TAREAS - IIS'!I42</f>
        <v>0</v>
      </c>
      <c r="AI43" s="168">
        <f>ASISTENCIAIIS!I34</f>
        <v>10</v>
      </c>
      <c r="AJ43" s="253" t="e">
        <f t="shared" si="4"/>
        <v>#DIV/0!</v>
      </c>
      <c r="AK43" s="43">
        <f>'REGISTRO DATOS'!J40</f>
        <v>0</v>
      </c>
    </row>
    <row r="44" spans="1:37" ht="18" customHeight="1">
      <c r="A44" s="324">
        <v>29</v>
      </c>
      <c r="B44" s="322" t="str">
        <f>IFERROR(IF(VLOOKUP(A44,'REGISTRO DATOS'!B:H,2,0)=0,"",VLOOKUP(A44,'REGISTRO DATOS'!B:H,2,0)),"")</f>
        <v/>
      </c>
      <c r="C44" s="322" t="str">
        <f>IFERROR(IF(VLOOKUP(A44,'REGISTRO DATOS'!B:H,3,0)=0,"",VLOOKUP(A44,'REGISTRO DATOS'!B:H,3,0)),"")</f>
        <v/>
      </c>
      <c r="D44" s="322" t="str">
        <f>IFERROR(IF(VLOOKUP(A44,'REGISTRO DATOS'!B:H,4,0)=0,"",VLOOKUP(A44,'REGISTRO DATOS'!B:H,4,0)),"")</f>
        <v/>
      </c>
      <c r="E44" s="320" t="str">
        <f>'COTIDIANO - IIS'!E44</f>
        <v>-</v>
      </c>
      <c r="F44" s="320" t="str">
        <f>'COTIDIANO - IIS'!F44</f>
        <v>-</v>
      </c>
      <c r="G44" s="320" t="str">
        <f>'COTIDIANO - IIS'!G44</f>
        <v>-</v>
      </c>
      <c r="H44" s="320" t="str">
        <f>'COTIDIANO - IIS'!H44</f>
        <v>-</v>
      </c>
      <c r="I44" s="320" t="str">
        <f>'COTIDIANO - IIS'!I44</f>
        <v>-</v>
      </c>
      <c r="J44" s="320" t="str">
        <f>'COTIDIANO - IIS'!J44</f>
        <v>-</v>
      </c>
      <c r="K44" s="320" t="str">
        <f>'COTIDIANO - IIS'!K44</f>
        <v>-</v>
      </c>
      <c r="L44" s="320" t="str">
        <f>'COTIDIANO - IIS'!L44</f>
        <v>-</v>
      </c>
      <c r="M44" s="320" t="str">
        <f>'COTIDIANO - IIS'!M44</f>
        <v>-</v>
      </c>
      <c r="N44" s="320" t="str">
        <f>'COTIDIANO - IIS'!N44</f>
        <v>-</v>
      </c>
      <c r="O44" s="320" t="str">
        <f>'COTIDIANO - IIS'!O44</f>
        <v>-</v>
      </c>
      <c r="P44" s="320" t="str">
        <f>'COTIDIANO - IIS'!P44</f>
        <v>-</v>
      </c>
      <c r="Q44" s="320" t="str">
        <f>'COTIDIANO - IIS'!Q44</f>
        <v>-</v>
      </c>
      <c r="R44" s="320" t="str">
        <f>'COTIDIANO - IIS'!R44</f>
        <v>-</v>
      </c>
      <c r="S44" s="320" t="str">
        <f>'COTIDIANO - IIS'!S44</f>
        <v>-</v>
      </c>
      <c r="T44" s="320" t="str">
        <f>'COTIDIANO - IIS'!T44</f>
        <v>-</v>
      </c>
      <c r="U44" s="320" t="str">
        <f>'COTIDIANO - IIS'!U44</f>
        <v>-</v>
      </c>
      <c r="V44" s="320" t="str">
        <f>'COTIDIANO - IIS'!V44</f>
        <v>-</v>
      </c>
      <c r="W44" s="320" t="str">
        <f>'COTIDIANO - IIS'!W44</f>
        <v>-</v>
      </c>
      <c r="X44" s="320" t="str">
        <f>'COTIDIANO - IIS'!X44</f>
        <v>-</v>
      </c>
      <c r="Y44" s="326" t="e">
        <f>'COTIDIANO - IIS'!Y44</f>
        <v>#DIV/0!</v>
      </c>
      <c r="Z44" s="299" t="e">
        <f>'COTIDIANO - IIS'!Z44</f>
        <v>#DIV/0!</v>
      </c>
      <c r="AA44" s="163" t="e">
        <f>'COTIDIANO - IIS'!AA44</f>
        <v>#DIV/0!</v>
      </c>
      <c r="AB44" s="166">
        <f t="shared" si="1"/>
        <v>0</v>
      </c>
      <c r="AC44" s="165">
        <f t="shared" si="0"/>
        <v>0</v>
      </c>
      <c r="AD44" s="163">
        <f>'EXAMENES - IIS'!G43</f>
        <v>0</v>
      </c>
      <c r="AE44" s="166" t="e">
        <f t="shared" si="2"/>
        <v>#DIV/0!</v>
      </c>
      <c r="AF44" s="165" t="e">
        <f t="shared" si="3"/>
        <v>#DIV/0!</v>
      </c>
      <c r="AG44" s="163">
        <f>'EXAMENES - IIS'!J43</f>
        <v>0</v>
      </c>
      <c r="AH44" s="163">
        <f>'TAREAS - IIS'!I43</f>
        <v>0</v>
      </c>
      <c r="AI44" s="168">
        <f>ASISTENCIAIIS!I35</f>
        <v>10</v>
      </c>
      <c r="AJ44" s="253" t="e">
        <f t="shared" si="4"/>
        <v>#DIV/0!</v>
      </c>
      <c r="AK44" s="43">
        <f>'REGISTRO DATOS'!J41</f>
        <v>0</v>
      </c>
    </row>
    <row r="45" spans="1:37" ht="18" customHeight="1">
      <c r="A45" s="327">
        <v>30</v>
      </c>
      <c r="B45" s="322" t="str">
        <f>IFERROR(IF(VLOOKUP(A45,'REGISTRO DATOS'!B:H,2,0)=0,"",VLOOKUP(A45,'REGISTRO DATOS'!B:H,2,0)),"")</f>
        <v/>
      </c>
      <c r="C45" s="322" t="str">
        <f>IFERROR(IF(VLOOKUP(A45,'REGISTRO DATOS'!B:H,3,0)=0,"",VLOOKUP(A45,'REGISTRO DATOS'!B:H,3,0)),"")</f>
        <v/>
      </c>
      <c r="D45" s="322" t="str">
        <f>IFERROR(IF(VLOOKUP(A45,'REGISTRO DATOS'!B:H,4,0)=0,"",VLOOKUP(A45,'REGISTRO DATOS'!B:H,4,0)),"")</f>
        <v/>
      </c>
      <c r="E45" s="320" t="str">
        <f>'COTIDIANO - IIS'!E45</f>
        <v>-</v>
      </c>
      <c r="F45" s="320" t="str">
        <f>'COTIDIANO - IIS'!F45</f>
        <v>-</v>
      </c>
      <c r="G45" s="320" t="str">
        <f>'COTIDIANO - IIS'!G45</f>
        <v>-</v>
      </c>
      <c r="H45" s="320" t="str">
        <f>'COTIDIANO - IIS'!H45</f>
        <v>-</v>
      </c>
      <c r="I45" s="320" t="str">
        <f>'COTIDIANO - IIS'!I45</f>
        <v>-</v>
      </c>
      <c r="J45" s="320" t="str">
        <f>'COTIDIANO - IIS'!J45</f>
        <v>-</v>
      </c>
      <c r="K45" s="320" t="str">
        <f>'COTIDIANO - IIS'!K45</f>
        <v>-</v>
      </c>
      <c r="L45" s="320" t="str">
        <f>'COTIDIANO - IIS'!L45</f>
        <v>-</v>
      </c>
      <c r="M45" s="320" t="str">
        <f>'COTIDIANO - IIS'!M45</f>
        <v>-</v>
      </c>
      <c r="N45" s="320" t="str">
        <f>'COTIDIANO - IIS'!N45</f>
        <v>-</v>
      </c>
      <c r="O45" s="320" t="str">
        <f>'COTIDIANO - IIS'!O45</f>
        <v>-</v>
      </c>
      <c r="P45" s="320" t="str">
        <f>'COTIDIANO - IIS'!P45</f>
        <v>-</v>
      </c>
      <c r="Q45" s="320" t="str">
        <f>'COTIDIANO - IIS'!Q45</f>
        <v>-</v>
      </c>
      <c r="R45" s="320" t="str">
        <f>'COTIDIANO - IIS'!R45</f>
        <v>-</v>
      </c>
      <c r="S45" s="320" t="str">
        <f>'COTIDIANO - IIS'!S45</f>
        <v>-</v>
      </c>
      <c r="T45" s="320" t="str">
        <f>'COTIDIANO - IIS'!T45</f>
        <v>-</v>
      </c>
      <c r="U45" s="320" t="str">
        <f>'COTIDIANO - IIS'!U45</f>
        <v>-</v>
      </c>
      <c r="V45" s="320" t="str">
        <f>'COTIDIANO - IIS'!V45</f>
        <v>-</v>
      </c>
      <c r="W45" s="320" t="str">
        <f>'COTIDIANO - IIS'!W45</f>
        <v>-</v>
      </c>
      <c r="X45" s="320" t="str">
        <f>'COTIDIANO - IIS'!X45</f>
        <v>-</v>
      </c>
      <c r="Y45" s="326" t="e">
        <f>'COTIDIANO - IIS'!Y45</f>
        <v>#DIV/0!</v>
      </c>
      <c r="Z45" s="299" t="e">
        <f>'COTIDIANO - IIS'!Z45</f>
        <v>#DIV/0!</v>
      </c>
      <c r="AA45" s="163" t="e">
        <f>'COTIDIANO - IIS'!AA45</f>
        <v>#DIV/0!</v>
      </c>
      <c r="AB45" s="166">
        <f t="shared" si="1"/>
        <v>0</v>
      </c>
      <c r="AC45" s="165">
        <f t="shared" si="0"/>
        <v>0</v>
      </c>
      <c r="AD45" s="163">
        <f>'EXAMENES - IIS'!G44</f>
        <v>0</v>
      </c>
      <c r="AE45" s="166" t="e">
        <f t="shared" si="2"/>
        <v>#DIV/0!</v>
      </c>
      <c r="AF45" s="165" t="e">
        <f t="shared" si="3"/>
        <v>#DIV/0!</v>
      </c>
      <c r="AG45" s="163">
        <f>'EXAMENES - IIS'!J44</f>
        <v>0</v>
      </c>
      <c r="AH45" s="163">
        <f>'TAREAS - IIS'!I44</f>
        <v>0</v>
      </c>
      <c r="AI45" s="168">
        <f>ASISTENCIAIIS!I36</f>
        <v>10</v>
      </c>
      <c r="AJ45" s="253" t="e">
        <f t="shared" si="4"/>
        <v>#DIV/0!</v>
      </c>
      <c r="AK45" s="43">
        <f>'REGISTRO DATOS'!J42</f>
        <v>0</v>
      </c>
    </row>
    <row r="46" spans="1:37" ht="18" customHeight="1">
      <c r="A46" s="321">
        <v>31</v>
      </c>
      <c r="B46" s="322" t="str">
        <f>IFERROR(IF(VLOOKUP(A46,'REGISTRO DATOS'!B:H,2,0)=0,"",VLOOKUP(A46,'REGISTRO DATOS'!B:H,2,0)),"")</f>
        <v/>
      </c>
      <c r="C46" s="322" t="str">
        <f>IFERROR(IF(VLOOKUP(A46,'REGISTRO DATOS'!B:H,3,0)=0,"",VLOOKUP(A46,'REGISTRO DATOS'!B:H,3,0)),"")</f>
        <v/>
      </c>
      <c r="D46" s="322" t="str">
        <f>IFERROR(IF(VLOOKUP(A46,'REGISTRO DATOS'!B:H,4,0)=0,"",VLOOKUP(A46,'REGISTRO DATOS'!B:H,4,0)),"")</f>
        <v/>
      </c>
      <c r="E46" s="320" t="str">
        <f>'COTIDIANO - IIS'!E46</f>
        <v>-</v>
      </c>
      <c r="F46" s="320" t="str">
        <f>'COTIDIANO - IIS'!F46</f>
        <v>-</v>
      </c>
      <c r="G46" s="320" t="str">
        <f>'COTIDIANO - IIS'!G46</f>
        <v>-</v>
      </c>
      <c r="H46" s="320" t="str">
        <f>'COTIDIANO - IIS'!H46</f>
        <v>-</v>
      </c>
      <c r="I46" s="320" t="str">
        <f>'COTIDIANO - IIS'!I46</f>
        <v>-</v>
      </c>
      <c r="J46" s="320" t="str">
        <f>'COTIDIANO - IIS'!J46</f>
        <v>-</v>
      </c>
      <c r="K46" s="320" t="str">
        <f>'COTIDIANO - IIS'!K46</f>
        <v>-</v>
      </c>
      <c r="L46" s="320" t="str">
        <f>'COTIDIANO - IIS'!L46</f>
        <v>-</v>
      </c>
      <c r="M46" s="320" t="str">
        <f>'COTIDIANO - IIS'!M46</f>
        <v>-</v>
      </c>
      <c r="N46" s="320" t="str">
        <f>'COTIDIANO - IIS'!N46</f>
        <v>-</v>
      </c>
      <c r="O46" s="320" t="str">
        <f>'COTIDIANO - IIS'!O46</f>
        <v>-</v>
      </c>
      <c r="P46" s="320" t="str">
        <f>'COTIDIANO - IIS'!P46</f>
        <v>-</v>
      </c>
      <c r="Q46" s="320" t="str">
        <f>'COTIDIANO - IIS'!Q46</f>
        <v>-</v>
      </c>
      <c r="R46" s="320" t="str">
        <f>'COTIDIANO - IIS'!R46</f>
        <v>-</v>
      </c>
      <c r="S46" s="320" t="str">
        <f>'COTIDIANO - IIS'!S46</f>
        <v>-</v>
      </c>
      <c r="T46" s="320" t="str">
        <f>'COTIDIANO - IIS'!T46</f>
        <v>-</v>
      </c>
      <c r="U46" s="320" t="str">
        <f>'COTIDIANO - IIS'!U46</f>
        <v>-</v>
      </c>
      <c r="V46" s="320" t="str">
        <f>'COTIDIANO - IIS'!V46</f>
        <v>-</v>
      </c>
      <c r="W46" s="320" t="str">
        <f>'COTIDIANO - IIS'!W46</f>
        <v>-</v>
      </c>
      <c r="X46" s="320" t="str">
        <f>'COTIDIANO - IIS'!X46</f>
        <v>-</v>
      </c>
      <c r="Y46" s="326" t="e">
        <f>'COTIDIANO - IIS'!Y46</f>
        <v>#DIV/0!</v>
      </c>
      <c r="Z46" s="299" t="e">
        <f>'COTIDIANO - IIS'!Z46</f>
        <v>#DIV/0!</v>
      </c>
      <c r="AA46" s="163" t="e">
        <f>'COTIDIANO - IIS'!AA46</f>
        <v>#DIV/0!</v>
      </c>
      <c r="AB46" s="166">
        <f t="shared" si="1"/>
        <v>0</v>
      </c>
      <c r="AC46" s="165">
        <f t="shared" si="0"/>
        <v>0</v>
      </c>
      <c r="AD46" s="163">
        <f>'EXAMENES - IIS'!G45</f>
        <v>0</v>
      </c>
      <c r="AE46" s="166" t="e">
        <f t="shared" si="2"/>
        <v>#DIV/0!</v>
      </c>
      <c r="AF46" s="165" t="e">
        <f t="shared" si="3"/>
        <v>#DIV/0!</v>
      </c>
      <c r="AG46" s="163">
        <f>'EXAMENES - IIS'!J45</f>
        <v>0</v>
      </c>
      <c r="AH46" s="163">
        <f>'TAREAS - IIS'!I45</f>
        <v>0</v>
      </c>
      <c r="AI46" s="168">
        <f>ASISTENCIAIIS!I37</f>
        <v>10</v>
      </c>
      <c r="AJ46" s="253" t="e">
        <f t="shared" si="4"/>
        <v>#DIV/0!</v>
      </c>
      <c r="AK46" s="43">
        <f>'REGISTRO DATOS'!J43</f>
        <v>0</v>
      </c>
    </row>
    <row r="47" spans="1:37" ht="18" customHeight="1">
      <c r="A47" s="324">
        <v>32</v>
      </c>
      <c r="B47" s="322" t="str">
        <f>IFERROR(IF(VLOOKUP(A47,'REGISTRO DATOS'!B:H,2,0)=0,"",VLOOKUP(A47,'REGISTRO DATOS'!B:H,2,0)),"")</f>
        <v/>
      </c>
      <c r="C47" s="322" t="str">
        <f>IFERROR(IF(VLOOKUP(A47,'REGISTRO DATOS'!B:H,3,0)=0,"",VLOOKUP(A47,'REGISTRO DATOS'!B:H,3,0)),"")</f>
        <v/>
      </c>
      <c r="D47" s="322" t="str">
        <f>IFERROR(IF(VLOOKUP(A47,'REGISTRO DATOS'!B:H,4,0)=0,"",VLOOKUP(A47,'REGISTRO DATOS'!B:H,4,0)),"")</f>
        <v/>
      </c>
      <c r="E47" s="320" t="str">
        <f>'COTIDIANO - IIS'!E47</f>
        <v>-</v>
      </c>
      <c r="F47" s="320" t="str">
        <f>'COTIDIANO - IIS'!F47</f>
        <v>-</v>
      </c>
      <c r="G47" s="320" t="str">
        <f>'COTIDIANO - IIS'!G47</f>
        <v>-</v>
      </c>
      <c r="H47" s="320" t="str">
        <f>'COTIDIANO - IIS'!H47</f>
        <v>-</v>
      </c>
      <c r="I47" s="320" t="str">
        <f>'COTIDIANO - IIS'!I47</f>
        <v>-</v>
      </c>
      <c r="J47" s="320" t="str">
        <f>'COTIDIANO - IIS'!J47</f>
        <v>-</v>
      </c>
      <c r="K47" s="320" t="str">
        <f>'COTIDIANO - IIS'!K47</f>
        <v>-</v>
      </c>
      <c r="L47" s="320" t="str">
        <f>'COTIDIANO - IIS'!L47</f>
        <v>-</v>
      </c>
      <c r="M47" s="320" t="str">
        <f>'COTIDIANO - IIS'!M47</f>
        <v>-</v>
      </c>
      <c r="N47" s="320" t="str">
        <f>'COTIDIANO - IIS'!N47</f>
        <v>-</v>
      </c>
      <c r="O47" s="320" t="str">
        <f>'COTIDIANO - IIS'!O47</f>
        <v>-</v>
      </c>
      <c r="P47" s="320" t="str">
        <f>'COTIDIANO - IIS'!P47</f>
        <v>-</v>
      </c>
      <c r="Q47" s="320" t="str">
        <f>'COTIDIANO - IIS'!Q47</f>
        <v>-</v>
      </c>
      <c r="R47" s="320" t="str">
        <f>'COTIDIANO - IIS'!R47</f>
        <v>-</v>
      </c>
      <c r="S47" s="320" t="str">
        <f>'COTIDIANO - IIS'!S47</f>
        <v>-</v>
      </c>
      <c r="T47" s="320" t="str">
        <f>'COTIDIANO - IIS'!T47</f>
        <v>-</v>
      </c>
      <c r="U47" s="320" t="str">
        <f>'COTIDIANO - IIS'!U47</f>
        <v>-</v>
      </c>
      <c r="V47" s="320" t="str">
        <f>'COTIDIANO - IIS'!V47</f>
        <v>-</v>
      </c>
      <c r="W47" s="320" t="str">
        <f>'COTIDIANO - IIS'!W47</f>
        <v>-</v>
      </c>
      <c r="X47" s="320" t="str">
        <f>'COTIDIANO - IIS'!X47</f>
        <v>-</v>
      </c>
      <c r="Y47" s="326" t="e">
        <f>'COTIDIANO - IIS'!Y47</f>
        <v>#DIV/0!</v>
      </c>
      <c r="Z47" s="299" t="e">
        <f>'COTIDIANO - IIS'!Z47</f>
        <v>#DIV/0!</v>
      </c>
      <c r="AA47" s="163" t="e">
        <f>'COTIDIANO - IIS'!AA47</f>
        <v>#DIV/0!</v>
      </c>
      <c r="AB47" s="166">
        <f t="shared" si="1"/>
        <v>0</v>
      </c>
      <c r="AC47" s="165">
        <f t="shared" si="0"/>
        <v>0</v>
      </c>
      <c r="AD47" s="163">
        <f>'EXAMENES - IIS'!G46</f>
        <v>0</v>
      </c>
      <c r="AE47" s="166" t="e">
        <f t="shared" si="2"/>
        <v>#DIV/0!</v>
      </c>
      <c r="AF47" s="165" t="e">
        <f t="shared" si="3"/>
        <v>#DIV/0!</v>
      </c>
      <c r="AG47" s="163">
        <f>'EXAMENES - IIS'!J46</f>
        <v>0</v>
      </c>
      <c r="AH47" s="163">
        <f>'TAREAS - IIS'!I46</f>
        <v>0</v>
      </c>
      <c r="AI47" s="168">
        <f>ASISTENCIAIIS!I38</f>
        <v>10</v>
      </c>
      <c r="AJ47" s="253" t="e">
        <f t="shared" si="4"/>
        <v>#DIV/0!</v>
      </c>
      <c r="AK47" s="43">
        <f>'REGISTRO DATOS'!J44</f>
        <v>0</v>
      </c>
    </row>
    <row r="48" spans="1:37" ht="18" customHeight="1">
      <c r="A48" s="324">
        <v>33</v>
      </c>
      <c r="B48" s="322" t="str">
        <f>IFERROR(IF(VLOOKUP(A48,'REGISTRO DATOS'!B:H,2,0)=0,"",VLOOKUP(A48,'REGISTRO DATOS'!B:H,2,0)),"")</f>
        <v/>
      </c>
      <c r="C48" s="322" t="str">
        <f>IFERROR(IF(VLOOKUP(A48,'REGISTRO DATOS'!B:H,3,0)=0,"",VLOOKUP(A48,'REGISTRO DATOS'!B:H,3,0)),"")</f>
        <v/>
      </c>
      <c r="D48" s="322" t="str">
        <f>IFERROR(IF(VLOOKUP(A48,'REGISTRO DATOS'!B:H,4,0)=0,"",VLOOKUP(A48,'REGISTRO DATOS'!B:H,4,0)),"")</f>
        <v/>
      </c>
      <c r="E48" s="320" t="str">
        <f>'COTIDIANO - IIS'!E48</f>
        <v>-</v>
      </c>
      <c r="F48" s="320" t="str">
        <f>'COTIDIANO - IIS'!F48</f>
        <v>-</v>
      </c>
      <c r="G48" s="320" t="str">
        <f>'COTIDIANO - IIS'!G48</f>
        <v>-</v>
      </c>
      <c r="H48" s="320" t="str">
        <f>'COTIDIANO - IIS'!H48</f>
        <v>-</v>
      </c>
      <c r="I48" s="320" t="str">
        <f>'COTIDIANO - IIS'!I48</f>
        <v>-</v>
      </c>
      <c r="J48" s="320" t="str">
        <f>'COTIDIANO - IIS'!J48</f>
        <v>-</v>
      </c>
      <c r="K48" s="320" t="str">
        <f>'COTIDIANO - IIS'!K48</f>
        <v>-</v>
      </c>
      <c r="L48" s="320" t="str">
        <f>'COTIDIANO - IIS'!L48</f>
        <v>-</v>
      </c>
      <c r="M48" s="320" t="str">
        <f>'COTIDIANO - IIS'!M48</f>
        <v>-</v>
      </c>
      <c r="N48" s="320" t="str">
        <f>'COTIDIANO - IIS'!N48</f>
        <v>-</v>
      </c>
      <c r="O48" s="320" t="str">
        <f>'COTIDIANO - IIS'!O48</f>
        <v>-</v>
      </c>
      <c r="P48" s="320" t="str">
        <f>'COTIDIANO - IIS'!P48</f>
        <v>-</v>
      </c>
      <c r="Q48" s="320" t="str">
        <f>'COTIDIANO - IIS'!Q48</f>
        <v>-</v>
      </c>
      <c r="R48" s="320" t="str">
        <f>'COTIDIANO - IIS'!R48</f>
        <v>-</v>
      </c>
      <c r="S48" s="320" t="str">
        <f>'COTIDIANO - IIS'!S48</f>
        <v>-</v>
      </c>
      <c r="T48" s="320" t="str">
        <f>'COTIDIANO - IIS'!T48</f>
        <v>-</v>
      </c>
      <c r="U48" s="320" t="str">
        <f>'COTIDIANO - IIS'!U48</f>
        <v>-</v>
      </c>
      <c r="V48" s="320" t="str">
        <f>'COTIDIANO - IIS'!V48</f>
        <v>-</v>
      </c>
      <c r="W48" s="320" t="str">
        <f>'COTIDIANO - IIS'!W48</f>
        <v>-</v>
      </c>
      <c r="X48" s="320" t="str">
        <f>'COTIDIANO - IIS'!X48</f>
        <v>-</v>
      </c>
      <c r="Y48" s="326" t="e">
        <f>'COTIDIANO - IIS'!Y48</f>
        <v>#DIV/0!</v>
      </c>
      <c r="Z48" s="299" t="e">
        <f>'COTIDIANO - IIS'!Z48</f>
        <v>#DIV/0!</v>
      </c>
      <c r="AA48" s="163" t="e">
        <f>'COTIDIANO - IIS'!AA48</f>
        <v>#DIV/0!</v>
      </c>
      <c r="AB48" s="166">
        <f t="shared" si="1"/>
        <v>0</v>
      </c>
      <c r="AC48" s="165">
        <f t="shared" si="0"/>
        <v>0</v>
      </c>
      <c r="AD48" s="163">
        <f>'EXAMENES - IIS'!G47</f>
        <v>0</v>
      </c>
      <c r="AE48" s="166" t="e">
        <f t="shared" si="2"/>
        <v>#DIV/0!</v>
      </c>
      <c r="AF48" s="165" t="e">
        <f t="shared" si="3"/>
        <v>#DIV/0!</v>
      </c>
      <c r="AG48" s="163">
        <f>'EXAMENES - IIS'!J47</f>
        <v>0</v>
      </c>
      <c r="AH48" s="163">
        <f>'TAREAS - IIS'!I47</f>
        <v>0</v>
      </c>
      <c r="AI48" s="168">
        <f>ASISTENCIAIIS!I39</f>
        <v>10</v>
      </c>
      <c r="AJ48" s="253" t="e">
        <f t="shared" si="4"/>
        <v>#DIV/0!</v>
      </c>
      <c r="AK48" s="43">
        <f>'REGISTRO DATOS'!J45</f>
        <v>0</v>
      </c>
    </row>
    <row r="49" spans="1:37" ht="18" customHeight="1">
      <c r="A49" s="328">
        <v>34</v>
      </c>
      <c r="B49" s="322" t="str">
        <f>IFERROR(IF(VLOOKUP(A49,'REGISTRO DATOS'!B:H,2,0)=0,"",VLOOKUP(A49,'REGISTRO DATOS'!B:H,2,0)),"")</f>
        <v/>
      </c>
      <c r="C49" s="322" t="str">
        <f>IFERROR(IF(VLOOKUP(A49,'REGISTRO DATOS'!B:H,3,0)=0,"",VLOOKUP(A49,'REGISTRO DATOS'!B:H,3,0)),"")</f>
        <v/>
      </c>
      <c r="D49" s="322" t="str">
        <f>IFERROR(IF(VLOOKUP(A49,'REGISTRO DATOS'!B:H,4,0)=0,"",VLOOKUP(A49,'REGISTRO DATOS'!B:H,4,0)),"")</f>
        <v/>
      </c>
      <c r="E49" s="320" t="str">
        <f>'COTIDIANO - IIS'!E49</f>
        <v>-</v>
      </c>
      <c r="F49" s="320" t="str">
        <f>'COTIDIANO - IIS'!F49</f>
        <v>-</v>
      </c>
      <c r="G49" s="320" t="str">
        <f>'COTIDIANO - IIS'!G49</f>
        <v>-</v>
      </c>
      <c r="H49" s="320" t="str">
        <f>'COTIDIANO - IIS'!H49</f>
        <v>-</v>
      </c>
      <c r="I49" s="320" t="str">
        <f>'COTIDIANO - IIS'!I49</f>
        <v>-</v>
      </c>
      <c r="J49" s="320" t="str">
        <f>'COTIDIANO - IIS'!J49</f>
        <v>-</v>
      </c>
      <c r="K49" s="320" t="str">
        <f>'COTIDIANO - IIS'!K49</f>
        <v>-</v>
      </c>
      <c r="L49" s="320" t="str">
        <f>'COTIDIANO - IIS'!L49</f>
        <v>-</v>
      </c>
      <c r="M49" s="320" t="str">
        <f>'COTIDIANO - IIS'!M49</f>
        <v>-</v>
      </c>
      <c r="N49" s="320" t="str">
        <f>'COTIDIANO - IIS'!N49</f>
        <v>-</v>
      </c>
      <c r="O49" s="320" t="str">
        <f>'COTIDIANO - IIS'!O49</f>
        <v>-</v>
      </c>
      <c r="P49" s="320" t="str">
        <f>'COTIDIANO - IIS'!P49</f>
        <v>-</v>
      </c>
      <c r="Q49" s="320" t="str">
        <f>'COTIDIANO - IIS'!Q49</f>
        <v>-</v>
      </c>
      <c r="R49" s="320" t="str">
        <f>'COTIDIANO - IIS'!R49</f>
        <v>-</v>
      </c>
      <c r="S49" s="320" t="str">
        <f>'COTIDIANO - IIS'!S49</f>
        <v>-</v>
      </c>
      <c r="T49" s="320" t="str">
        <f>'COTIDIANO - IIS'!T49</f>
        <v>-</v>
      </c>
      <c r="U49" s="320" t="str">
        <f>'COTIDIANO - IIS'!U49</f>
        <v>-</v>
      </c>
      <c r="V49" s="320" t="str">
        <f>'COTIDIANO - IIS'!V49</f>
        <v>-</v>
      </c>
      <c r="W49" s="320" t="str">
        <f>'COTIDIANO - IIS'!W49</f>
        <v>-</v>
      </c>
      <c r="X49" s="325" t="str">
        <f>'COTIDIANO - IIS'!X49</f>
        <v>-</v>
      </c>
      <c r="Y49" s="326" t="e">
        <f>'COTIDIANO - IIS'!Y49</f>
        <v>#DIV/0!</v>
      </c>
      <c r="Z49" s="299" t="e">
        <f>'COTIDIANO - IIS'!Z49</f>
        <v>#DIV/0!</v>
      </c>
      <c r="AA49" s="163" t="e">
        <f>'COTIDIANO - IIS'!AA49</f>
        <v>#DIV/0!</v>
      </c>
      <c r="AB49" s="166">
        <f t="shared" si="1"/>
        <v>0</v>
      </c>
      <c r="AC49" s="165">
        <f t="shared" si="0"/>
        <v>0</v>
      </c>
      <c r="AD49" s="163">
        <f>'EXAMENES - IIS'!G48</f>
        <v>0</v>
      </c>
      <c r="AE49" s="166" t="e">
        <f t="shared" si="2"/>
        <v>#DIV/0!</v>
      </c>
      <c r="AF49" s="165" t="e">
        <f t="shared" si="3"/>
        <v>#DIV/0!</v>
      </c>
      <c r="AG49" s="163">
        <f>'EXAMENES - IIS'!J48</f>
        <v>0</v>
      </c>
      <c r="AH49" s="163">
        <f>'TAREAS - IIS'!I48</f>
        <v>0</v>
      </c>
      <c r="AI49" s="168">
        <f>ASISTENCIAIIS!I40</f>
        <v>10</v>
      </c>
      <c r="AJ49" s="253" t="e">
        <f t="shared" si="4"/>
        <v>#DIV/0!</v>
      </c>
      <c r="AK49" s="43">
        <f>'REGISTRO DATOS'!J46</f>
        <v>0</v>
      </c>
    </row>
    <row r="50" spans="1:37" ht="18" customHeight="1">
      <c r="A50" s="324">
        <v>35</v>
      </c>
      <c r="B50" s="322" t="str">
        <f>IFERROR(IF(VLOOKUP(A50,'REGISTRO DATOS'!B:H,2,0)=0,"",VLOOKUP(A50,'REGISTRO DATOS'!B:H,2,0)),"")</f>
        <v/>
      </c>
      <c r="C50" s="322" t="str">
        <f>IFERROR(IF(VLOOKUP(A50,'REGISTRO DATOS'!B:H,3,0)=0,"",VLOOKUP(A50,'REGISTRO DATOS'!B:H,3,0)),"")</f>
        <v/>
      </c>
      <c r="D50" s="322" t="str">
        <f>IFERROR(IF(VLOOKUP(A50,'REGISTRO DATOS'!B:H,4,0)=0,"",VLOOKUP(A50,'REGISTRO DATOS'!B:H,4,0)),"")</f>
        <v/>
      </c>
      <c r="E50" s="320" t="str">
        <f>'COTIDIANO - IIS'!E50</f>
        <v>-</v>
      </c>
      <c r="F50" s="320" t="str">
        <f>'COTIDIANO - IIS'!F50</f>
        <v>-</v>
      </c>
      <c r="G50" s="320" t="str">
        <f>'COTIDIANO - IIS'!G50</f>
        <v>-</v>
      </c>
      <c r="H50" s="320" t="str">
        <f>'COTIDIANO - IIS'!H50</f>
        <v>-</v>
      </c>
      <c r="I50" s="320" t="str">
        <f>'COTIDIANO - IIS'!I50</f>
        <v>-</v>
      </c>
      <c r="J50" s="320" t="str">
        <f>'COTIDIANO - IIS'!J50</f>
        <v>-</v>
      </c>
      <c r="K50" s="320" t="str">
        <f>'COTIDIANO - IIS'!K50</f>
        <v>-</v>
      </c>
      <c r="L50" s="320" t="str">
        <f>'COTIDIANO - IIS'!L50</f>
        <v>-</v>
      </c>
      <c r="M50" s="320" t="str">
        <f>'COTIDIANO - IIS'!M50</f>
        <v>-</v>
      </c>
      <c r="N50" s="320" t="str">
        <f>'COTIDIANO - IIS'!N50</f>
        <v>-</v>
      </c>
      <c r="O50" s="320" t="str">
        <f>'COTIDIANO - IIS'!O50</f>
        <v>-</v>
      </c>
      <c r="P50" s="320" t="str">
        <f>'COTIDIANO - IIS'!P50</f>
        <v>-</v>
      </c>
      <c r="Q50" s="320" t="str">
        <f>'COTIDIANO - IIS'!Q50</f>
        <v>-</v>
      </c>
      <c r="R50" s="320" t="str">
        <f>'COTIDIANO - IIS'!R50</f>
        <v>-</v>
      </c>
      <c r="S50" s="320" t="str">
        <f>'COTIDIANO - IIS'!S50</f>
        <v>-</v>
      </c>
      <c r="T50" s="320" t="str">
        <f>'COTIDIANO - IIS'!T50</f>
        <v>-</v>
      </c>
      <c r="U50" s="320" t="str">
        <f>'COTIDIANO - IIS'!U50</f>
        <v>-</v>
      </c>
      <c r="V50" s="320" t="str">
        <f>'COTIDIANO - IIS'!V50</f>
        <v>-</v>
      </c>
      <c r="W50" s="320" t="str">
        <f>'COTIDIANO - IIS'!W50</f>
        <v>-</v>
      </c>
      <c r="X50" s="325" t="str">
        <f>'COTIDIANO - IIS'!X50</f>
        <v>-</v>
      </c>
      <c r="Y50" s="326" t="e">
        <f>'COTIDIANO - IIS'!Y50</f>
        <v>#DIV/0!</v>
      </c>
      <c r="Z50" s="299" t="e">
        <f>'COTIDIANO - IIS'!Z50</f>
        <v>#DIV/0!</v>
      </c>
      <c r="AA50" s="163" t="e">
        <f>'COTIDIANO - IIS'!AA50</f>
        <v>#DIV/0!</v>
      </c>
      <c r="AB50" s="166">
        <f t="shared" si="1"/>
        <v>0</v>
      </c>
      <c r="AC50" s="165">
        <f t="shared" si="0"/>
        <v>0</v>
      </c>
      <c r="AD50" s="163">
        <f>'EXAMENES - IIS'!G49</f>
        <v>0</v>
      </c>
      <c r="AE50" s="166" t="e">
        <f t="shared" si="2"/>
        <v>#DIV/0!</v>
      </c>
      <c r="AF50" s="165" t="e">
        <f t="shared" si="3"/>
        <v>#DIV/0!</v>
      </c>
      <c r="AG50" s="163">
        <f>'EXAMENES - IIS'!J49</f>
        <v>0</v>
      </c>
      <c r="AH50" s="163">
        <f>'TAREAS - IIS'!I49</f>
        <v>0</v>
      </c>
      <c r="AI50" s="168">
        <f>ASISTENCIAIIS!I41</f>
        <v>10</v>
      </c>
      <c r="AJ50" s="253" t="e">
        <f t="shared" si="4"/>
        <v>#DIV/0!</v>
      </c>
      <c r="AK50" s="43">
        <f>'REGISTRO DATOS'!J47</f>
        <v>0</v>
      </c>
    </row>
    <row r="51" spans="1:37" ht="18" customHeight="1">
      <c r="A51" s="327">
        <v>36</v>
      </c>
      <c r="B51" s="322" t="str">
        <f>IFERROR(IF(VLOOKUP(A51,'REGISTRO DATOS'!B:H,2,0)=0,"",VLOOKUP(A51,'REGISTRO DATOS'!B:H,2,0)),"")</f>
        <v/>
      </c>
      <c r="C51" s="322" t="str">
        <f>IFERROR(IF(VLOOKUP(A51,'REGISTRO DATOS'!B:H,3,0)=0,"",VLOOKUP(A51,'REGISTRO DATOS'!B:H,3,0)),"")</f>
        <v/>
      </c>
      <c r="D51" s="322" t="str">
        <f>IFERROR(IF(VLOOKUP(A51,'REGISTRO DATOS'!B:H,4,0)=0,"",VLOOKUP(A51,'REGISTRO DATOS'!B:H,4,0)),"")</f>
        <v/>
      </c>
      <c r="E51" s="320" t="str">
        <f>'COTIDIANO - IIS'!E51</f>
        <v>-</v>
      </c>
      <c r="F51" s="320" t="str">
        <f>'COTIDIANO - IIS'!F51</f>
        <v>-</v>
      </c>
      <c r="G51" s="320" t="str">
        <f>'COTIDIANO - IIS'!G51</f>
        <v>-</v>
      </c>
      <c r="H51" s="320" t="str">
        <f>'COTIDIANO - IIS'!H51</f>
        <v>-</v>
      </c>
      <c r="I51" s="320" t="str">
        <f>'COTIDIANO - IIS'!I51</f>
        <v>-</v>
      </c>
      <c r="J51" s="320" t="str">
        <f>'COTIDIANO - IIS'!J51</f>
        <v>-</v>
      </c>
      <c r="K51" s="320" t="str">
        <f>'COTIDIANO - IIS'!K51</f>
        <v>-</v>
      </c>
      <c r="L51" s="320" t="str">
        <f>'COTIDIANO - IIS'!L51</f>
        <v>-</v>
      </c>
      <c r="M51" s="320" t="str">
        <f>'COTIDIANO - IIS'!M51</f>
        <v>-</v>
      </c>
      <c r="N51" s="320" t="str">
        <f>'COTIDIANO - IIS'!N51</f>
        <v>-</v>
      </c>
      <c r="O51" s="320" t="str">
        <f>'COTIDIANO - IIS'!O51</f>
        <v>-</v>
      </c>
      <c r="P51" s="320" t="str">
        <f>'COTIDIANO - IIS'!P51</f>
        <v>-</v>
      </c>
      <c r="Q51" s="320" t="str">
        <f>'COTIDIANO - IIS'!Q51</f>
        <v>-</v>
      </c>
      <c r="R51" s="320" t="str">
        <f>'COTIDIANO - IIS'!R51</f>
        <v>-</v>
      </c>
      <c r="S51" s="320" t="str">
        <f>'COTIDIANO - IIS'!S51</f>
        <v>-</v>
      </c>
      <c r="T51" s="320" t="str">
        <f>'COTIDIANO - IIS'!T51</f>
        <v>-</v>
      </c>
      <c r="U51" s="320" t="str">
        <f>'COTIDIANO - IIS'!U51</f>
        <v>-</v>
      </c>
      <c r="V51" s="320" t="str">
        <f>'COTIDIANO - IIS'!V51</f>
        <v>-</v>
      </c>
      <c r="W51" s="320" t="str">
        <f>'COTIDIANO - IIS'!W51</f>
        <v>-</v>
      </c>
      <c r="X51" s="325" t="str">
        <f>'COTIDIANO - IIS'!X51</f>
        <v>-</v>
      </c>
      <c r="Y51" s="326" t="e">
        <f>'COTIDIANO - IIS'!Y51</f>
        <v>#DIV/0!</v>
      </c>
      <c r="Z51" s="299" t="e">
        <f>'COTIDIANO - IIS'!Z51</f>
        <v>#DIV/0!</v>
      </c>
      <c r="AA51" s="163" t="e">
        <f>'COTIDIANO - IIS'!AA51</f>
        <v>#DIV/0!</v>
      </c>
      <c r="AB51" s="166">
        <f t="shared" si="1"/>
        <v>0</v>
      </c>
      <c r="AC51" s="165">
        <f t="shared" si="0"/>
        <v>0</v>
      </c>
      <c r="AD51" s="163">
        <f>'EXAMENES - IIS'!G50</f>
        <v>0</v>
      </c>
      <c r="AE51" s="166" t="e">
        <f t="shared" si="2"/>
        <v>#DIV/0!</v>
      </c>
      <c r="AF51" s="165" t="e">
        <f t="shared" si="3"/>
        <v>#DIV/0!</v>
      </c>
      <c r="AG51" s="163">
        <f>'EXAMENES - IIS'!J50</f>
        <v>0</v>
      </c>
      <c r="AH51" s="163">
        <f>'TAREAS - IIS'!I50</f>
        <v>0</v>
      </c>
      <c r="AI51" s="168">
        <f>ASISTENCIAIIS!I42</f>
        <v>10</v>
      </c>
      <c r="AJ51" s="253" t="e">
        <f t="shared" si="4"/>
        <v>#DIV/0!</v>
      </c>
      <c r="AK51" s="43">
        <f>'REGISTRO DATOS'!J48</f>
        <v>0</v>
      </c>
    </row>
    <row r="52" spans="1:37" ht="18" customHeight="1">
      <c r="A52" s="321">
        <v>37</v>
      </c>
      <c r="B52" s="322" t="str">
        <f>IFERROR(IF(VLOOKUP(A52,'REGISTRO DATOS'!B:H,2,0)=0,"",VLOOKUP(A52,'REGISTRO DATOS'!B:H,2,0)),"")</f>
        <v/>
      </c>
      <c r="C52" s="322" t="str">
        <f>IFERROR(IF(VLOOKUP(A52,'REGISTRO DATOS'!B:H,3,0)=0,"",VLOOKUP(A52,'REGISTRO DATOS'!B:H,3,0)),"")</f>
        <v/>
      </c>
      <c r="D52" s="322" t="str">
        <f>IFERROR(IF(VLOOKUP(A52,'REGISTRO DATOS'!B:H,4,0)=0,"",VLOOKUP(A52,'REGISTRO DATOS'!B:H,4,0)),"")</f>
        <v/>
      </c>
      <c r="E52" s="320" t="str">
        <f>'COTIDIANO - IIS'!E52</f>
        <v>-</v>
      </c>
      <c r="F52" s="320" t="str">
        <f>'COTIDIANO - IIS'!F52</f>
        <v>-</v>
      </c>
      <c r="G52" s="320" t="str">
        <f>'COTIDIANO - IIS'!G52</f>
        <v>-</v>
      </c>
      <c r="H52" s="320" t="str">
        <f>'COTIDIANO - IIS'!H52</f>
        <v>-</v>
      </c>
      <c r="I52" s="320" t="str">
        <f>'COTIDIANO - IIS'!I52</f>
        <v>-</v>
      </c>
      <c r="J52" s="320" t="str">
        <f>'COTIDIANO - IIS'!J52</f>
        <v>-</v>
      </c>
      <c r="K52" s="320" t="str">
        <f>'COTIDIANO - IIS'!K52</f>
        <v>-</v>
      </c>
      <c r="L52" s="320" t="str">
        <f>'COTIDIANO - IIS'!L52</f>
        <v>-</v>
      </c>
      <c r="M52" s="320" t="str">
        <f>'COTIDIANO - IIS'!M52</f>
        <v>-</v>
      </c>
      <c r="N52" s="320" t="str">
        <f>'COTIDIANO - IIS'!N52</f>
        <v>-</v>
      </c>
      <c r="O52" s="320" t="str">
        <f>'COTIDIANO - IIS'!O52</f>
        <v>-</v>
      </c>
      <c r="P52" s="320" t="str">
        <f>'COTIDIANO - IIS'!P52</f>
        <v>-</v>
      </c>
      <c r="Q52" s="320" t="str">
        <f>'COTIDIANO - IIS'!Q52</f>
        <v>-</v>
      </c>
      <c r="R52" s="320" t="str">
        <f>'COTIDIANO - IIS'!R52</f>
        <v>-</v>
      </c>
      <c r="S52" s="320" t="str">
        <f>'COTIDIANO - IIS'!S52</f>
        <v>-</v>
      </c>
      <c r="T52" s="320" t="str">
        <f>'COTIDIANO - IIS'!T52</f>
        <v>-</v>
      </c>
      <c r="U52" s="320" t="str">
        <f>'COTIDIANO - IIS'!U52</f>
        <v>-</v>
      </c>
      <c r="V52" s="320" t="str">
        <f>'COTIDIANO - IIS'!V52</f>
        <v>-</v>
      </c>
      <c r="W52" s="320" t="str">
        <f>'COTIDIANO - IIS'!W52</f>
        <v>-</v>
      </c>
      <c r="X52" s="325" t="str">
        <f>'COTIDIANO - IIS'!X52</f>
        <v>-</v>
      </c>
      <c r="Y52" s="326" t="e">
        <f>'COTIDIANO - IIS'!Y52</f>
        <v>#DIV/0!</v>
      </c>
      <c r="Z52" s="299" t="e">
        <f>'COTIDIANO - IIS'!Z52</f>
        <v>#DIV/0!</v>
      </c>
      <c r="AA52" s="163" t="e">
        <f>'COTIDIANO - IIS'!AA52</f>
        <v>#DIV/0!</v>
      </c>
      <c r="AB52" s="166">
        <f t="shared" si="1"/>
        <v>0</v>
      </c>
      <c r="AC52" s="165">
        <f t="shared" si="0"/>
        <v>0</v>
      </c>
      <c r="AD52" s="163">
        <f>'EXAMENES - IIS'!G51</f>
        <v>0</v>
      </c>
      <c r="AE52" s="166" t="e">
        <f t="shared" si="2"/>
        <v>#DIV/0!</v>
      </c>
      <c r="AF52" s="165" t="e">
        <f t="shared" si="3"/>
        <v>#DIV/0!</v>
      </c>
      <c r="AG52" s="163">
        <f>'EXAMENES - IIS'!J51</f>
        <v>0</v>
      </c>
      <c r="AH52" s="163">
        <f>'TAREAS - IIS'!I51</f>
        <v>0</v>
      </c>
      <c r="AI52" s="168">
        <f>ASISTENCIAIIS!I43</f>
        <v>10</v>
      </c>
      <c r="AJ52" s="253" t="e">
        <f t="shared" si="4"/>
        <v>#DIV/0!</v>
      </c>
      <c r="AK52" s="43">
        <f>'REGISTRO DATOS'!J49</f>
        <v>0</v>
      </c>
    </row>
    <row r="53" spans="1:37" ht="18" customHeight="1">
      <c r="A53" s="327">
        <v>38</v>
      </c>
      <c r="B53" s="322" t="str">
        <f>IFERROR(IF(VLOOKUP(A53,'REGISTRO DATOS'!B:H,2,0)=0,"",VLOOKUP(A53,'REGISTRO DATOS'!B:H,2,0)),"")</f>
        <v/>
      </c>
      <c r="C53" s="322" t="str">
        <f>IFERROR(IF(VLOOKUP(A53,'REGISTRO DATOS'!B:H,3,0)=0,"",VLOOKUP(A53,'REGISTRO DATOS'!B:H,3,0)),"")</f>
        <v/>
      </c>
      <c r="D53" s="322" t="str">
        <f>IFERROR(IF(VLOOKUP(A53,'REGISTRO DATOS'!B:H,4,0)=0,"",VLOOKUP(A53,'REGISTRO DATOS'!B:H,4,0)),"")</f>
        <v/>
      </c>
      <c r="E53" s="320" t="str">
        <f>'COTIDIANO - IIS'!E53</f>
        <v>-</v>
      </c>
      <c r="F53" s="320" t="str">
        <f>'COTIDIANO - IIS'!F53</f>
        <v>-</v>
      </c>
      <c r="G53" s="320" t="str">
        <f>'COTIDIANO - IIS'!G53</f>
        <v>-</v>
      </c>
      <c r="H53" s="320" t="str">
        <f>'COTIDIANO - IIS'!H53</f>
        <v>-</v>
      </c>
      <c r="I53" s="320" t="str">
        <f>'COTIDIANO - IIS'!I53</f>
        <v>-</v>
      </c>
      <c r="J53" s="320" t="str">
        <f>'COTIDIANO - IIS'!J53</f>
        <v>-</v>
      </c>
      <c r="K53" s="320" t="str">
        <f>'COTIDIANO - IIS'!K53</f>
        <v>-</v>
      </c>
      <c r="L53" s="320" t="str">
        <f>'COTIDIANO - IIS'!L53</f>
        <v>-</v>
      </c>
      <c r="M53" s="320" t="str">
        <f>'COTIDIANO - IIS'!M53</f>
        <v>-</v>
      </c>
      <c r="N53" s="320" t="str">
        <f>'COTIDIANO - IIS'!N53</f>
        <v>-</v>
      </c>
      <c r="O53" s="320" t="str">
        <f>'COTIDIANO - IIS'!O53</f>
        <v>-</v>
      </c>
      <c r="P53" s="320" t="str">
        <f>'COTIDIANO - IIS'!P53</f>
        <v>-</v>
      </c>
      <c r="Q53" s="320" t="str">
        <f>'COTIDIANO - IIS'!Q53</f>
        <v>-</v>
      </c>
      <c r="R53" s="320" t="str">
        <f>'COTIDIANO - IIS'!R53</f>
        <v>-</v>
      </c>
      <c r="S53" s="320" t="str">
        <f>'COTIDIANO - IIS'!S53</f>
        <v>-</v>
      </c>
      <c r="T53" s="320" t="str">
        <f>'COTIDIANO - IIS'!T53</f>
        <v>-</v>
      </c>
      <c r="U53" s="320" t="str">
        <f>'COTIDIANO - IIS'!U53</f>
        <v>-</v>
      </c>
      <c r="V53" s="320" t="str">
        <f>'COTIDIANO - IIS'!V53</f>
        <v>-</v>
      </c>
      <c r="W53" s="320" t="str">
        <f>'COTIDIANO - IIS'!W53</f>
        <v>-</v>
      </c>
      <c r="X53" s="325" t="str">
        <f>'COTIDIANO - IIS'!X53</f>
        <v>-</v>
      </c>
      <c r="Y53" s="326" t="e">
        <f>'COTIDIANO - IIS'!Y53</f>
        <v>#DIV/0!</v>
      </c>
      <c r="Z53" s="299" t="e">
        <f>'COTIDIANO - IIS'!Z53</f>
        <v>#DIV/0!</v>
      </c>
      <c r="AA53" s="163" t="e">
        <f>'COTIDIANO - IIS'!AA53</f>
        <v>#DIV/0!</v>
      </c>
      <c r="AB53" s="166">
        <f t="shared" si="1"/>
        <v>0</v>
      </c>
      <c r="AC53" s="165">
        <f t="shared" si="0"/>
        <v>0</v>
      </c>
      <c r="AD53" s="163">
        <f>'EXAMENES - IIS'!G52</f>
        <v>0</v>
      </c>
      <c r="AE53" s="166" t="e">
        <f t="shared" si="2"/>
        <v>#DIV/0!</v>
      </c>
      <c r="AF53" s="165" t="e">
        <f t="shared" si="3"/>
        <v>#DIV/0!</v>
      </c>
      <c r="AG53" s="163">
        <f>'EXAMENES - IIS'!J52</f>
        <v>0</v>
      </c>
      <c r="AH53" s="163">
        <f>'TAREAS - IIS'!I52</f>
        <v>0</v>
      </c>
      <c r="AI53" s="168">
        <f>ASISTENCIAIIS!I44</f>
        <v>10</v>
      </c>
      <c r="AJ53" s="253" t="e">
        <f t="shared" si="4"/>
        <v>#DIV/0!</v>
      </c>
      <c r="AK53" s="43">
        <f>'REGISTRO DATOS'!J50</f>
        <v>0</v>
      </c>
    </row>
    <row r="54" spans="1:37" ht="18" customHeight="1">
      <c r="A54" s="324">
        <v>39</v>
      </c>
      <c r="B54" s="322" t="str">
        <f>IFERROR(IF(VLOOKUP(A54,'REGISTRO DATOS'!B:H,2,0)=0,"",VLOOKUP(A54,'REGISTRO DATOS'!B:H,2,0)),"")</f>
        <v/>
      </c>
      <c r="C54" s="322" t="str">
        <f>IFERROR(IF(VLOOKUP(A54,'REGISTRO DATOS'!B:H,3,0)=0,"",VLOOKUP(A54,'REGISTRO DATOS'!B:H,3,0)),"")</f>
        <v/>
      </c>
      <c r="D54" s="322" t="str">
        <f>IFERROR(IF(VLOOKUP(A54,'REGISTRO DATOS'!B:H,4,0)=0,"",VLOOKUP(A54,'REGISTRO DATOS'!B:H,4,0)),"")</f>
        <v/>
      </c>
      <c r="E54" s="320" t="str">
        <f>'COTIDIANO - IIS'!E54</f>
        <v>-</v>
      </c>
      <c r="F54" s="320" t="str">
        <f>'COTIDIANO - IIS'!F54</f>
        <v>-</v>
      </c>
      <c r="G54" s="320" t="str">
        <f>'COTIDIANO - IIS'!G54</f>
        <v>-</v>
      </c>
      <c r="H54" s="320" t="str">
        <f>'COTIDIANO - IIS'!H54</f>
        <v>-</v>
      </c>
      <c r="I54" s="320" t="str">
        <f>'COTIDIANO - IIS'!I54</f>
        <v>-</v>
      </c>
      <c r="J54" s="320" t="str">
        <f>'COTIDIANO - IIS'!J54</f>
        <v>-</v>
      </c>
      <c r="K54" s="320" t="str">
        <f>'COTIDIANO - IIS'!K54</f>
        <v>-</v>
      </c>
      <c r="L54" s="320" t="str">
        <f>'COTIDIANO - IIS'!L54</f>
        <v>-</v>
      </c>
      <c r="M54" s="320" t="str">
        <f>'COTIDIANO - IIS'!M54</f>
        <v>-</v>
      </c>
      <c r="N54" s="320" t="str">
        <f>'COTIDIANO - IIS'!N54</f>
        <v>-</v>
      </c>
      <c r="O54" s="320" t="str">
        <f>'COTIDIANO - IIS'!O54</f>
        <v>-</v>
      </c>
      <c r="P54" s="320" t="str">
        <f>'COTIDIANO - IIS'!P54</f>
        <v>-</v>
      </c>
      <c r="Q54" s="320" t="str">
        <f>'COTIDIANO - IIS'!Q54</f>
        <v>-</v>
      </c>
      <c r="R54" s="320" t="str">
        <f>'COTIDIANO - IIS'!R54</f>
        <v>-</v>
      </c>
      <c r="S54" s="320" t="str">
        <f>'COTIDIANO - IIS'!S54</f>
        <v>-</v>
      </c>
      <c r="T54" s="320" t="str">
        <f>'COTIDIANO - IIS'!T54</f>
        <v>-</v>
      </c>
      <c r="U54" s="320" t="str">
        <f>'COTIDIANO - IIS'!U54</f>
        <v>-</v>
      </c>
      <c r="V54" s="320" t="str">
        <f>'COTIDIANO - IIS'!V54</f>
        <v>-</v>
      </c>
      <c r="W54" s="320" t="str">
        <f>'COTIDIANO - IIS'!W54</f>
        <v>-</v>
      </c>
      <c r="X54" s="325" t="str">
        <f>'COTIDIANO - IIS'!X54</f>
        <v>-</v>
      </c>
      <c r="Y54" s="326" t="e">
        <f>'COTIDIANO - IIS'!Y54</f>
        <v>#DIV/0!</v>
      </c>
      <c r="Z54" s="299" t="e">
        <f>'COTIDIANO - IIS'!Z54</f>
        <v>#DIV/0!</v>
      </c>
      <c r="AA54" s="163" t="e">
        <f>'COTIDIANO - IIS'!AA54</f>
        <v>#DIV/0!</v>
      </c>
      <c r="AB54" s="166">
        <f t="shared" si="1"/>
        <v>0</v>
      </c>
      <c r="AC54" s="165">
        <f t="shared" si="0"/>
        <v>0</v>
      </c>
      <c r="AD54" s="163">
        <f>'EXAMENES - IIS'!G53</f>
        <v>0</v>
      </c>
      <c r="AE54" s="166" t="e">
        <f t="shared" si="2"/>
        <v>#DIV/0!</v>
      </c>
      <c r="AF54" s="165" t="e">
        <f t="shared" si="3"/>
        <v>#DIV/0!</v>
      </c>
      <c r="AG54" s="163">
        <f>'EXAMENES - IIS'!J53</f>
        <v>0</v>
      </c>
      <c r="AH54" s="163">
        <f>'TAREAS - IIS'!I53</f>
        <v>0</v>
      </c>
      <c r="AI54" s="168">
        <f>ASISTENCIAIIS!I45</f>
        <v>10</v>
      </c>
      <c r="AJ54" s="253" t="e">
        <f t="shared" si="4"/>
        <v>#DIV/0!</v>
      </c>
      <c r="AK54" s="43">
        <f>'REGISTRO DATOS'!J51</f>
        <v>0</v>
      </c>
    </row>
    <row r="55" spans="1:37" ht="18" customHeight="1">
      <c r="A55" s="329">
        <v>40</v>
      </c>
      <c r="B55" s="330" t="str">
        <f>IFERROR(IF(VLOOKUP(A55,'REGISTRO DATOS'!B:H,2,0)=0,"",VLOOKUP(A55,'REGISTRO DATOS'!B:H,2,0)),"")</f>
        <v/>
      </c>
      <c r="C55" s="330" t="str">
        <f>IFERROR(IF(VLOOKUP(A55,'REGISTRO DATOS'!B:H,3,0)=0,"",VLOOKUP(A55,'REGISTRO DATOS'!B:H,3,0)),"")</f>
        <v/>
      </c>
      <c r="D55" s="330" t="str">
        <f>IFERROR(IF(VLOOKUP(A55,'REGISTRO DATOS'!B:H,4,0)=0,"",VLOOKUP(A55,'REGISTRO DATOS'!B:H,4,0)),"")</f>
        <v/>
      </c>
      <c r="E55" s="320" t="str">
        <f>'COTIDIANO - IIS'!E55</f>
        <v>-</v>
      </c>
      <c r="F55" s="320" t="str">
        <f>'COTIDIANO - IIS'!F55</f>
        <v>-</v>
      </c>
      <c r="G55" s="320" t="str">
        <f>'COTIDIANO - IIS'!G55</f>
        <v>-</v>
      </c>
      <c r="H55" s="320" t="str">
        <f>'COTIDIANO - IIS'!H55</f>
        <v>-</v>
      </c>
      <c r="I55" s="320" t="str">
        <f>'COTIDIANO - IIS'!I55</f>
        <v>-</v>
      </c>
      <c r="J55" s="320" t="str">
        <f>'COTIDIANO - IIS'!J55</f>
        <v>-</v>
      </c>
      <c r="K55" s="320" t="str">
        <f>'COTIDIANO - IIS'!K55</f>
        <v>-</v>
      </c>
      <c r="L55" s="320" t="str">
        <f>'COTIDIANO - IIS'!L55</f>
        <v>-</v>
      </c>
      <c r="M55" s="320" t="str">
        <f>'COTIDIANO - IIS'!M55</f>
        <v>-</v>
      </c>
      <c r="N55" s="320" t="str">
        <f>'COTIDIANO - IIS'!N55</f>
        <v>-</v>
      </c>
      <c r="O55" s="320" t="str">
        <f>'COTIDIANO - IIS'!O55</f>
        <v>-</v>
      </c>
      <c r="P55" s="320" t="str">
        <f>'COTIDIANO - IIS'!P55</f>
        <v>-</v>
      </c>
      <c r="Q55" s="320" t="str">
        <f>'COTIDIANO - IIS'!Q55</f>
        <v>-</v>
      </c>
      <c r="R55" s="320" t="str">
        <f>'COTIDIANO - IIS'!R55</f>
        <v>-</v>
      </c>
      <c r="S55" s="320" t="str">
        <f>'COTIDIANO - IIS'!S55</f>
        <v>-</v>
      </c>
      <c r="T55" s="320" t="str">
        <f>'COTIDIANO - IIS'!T55</f>
        <v>-</v>
      </c>
      <c r="U55" s="320" t="str">
        <f>'COTIDIANO - IIS'!U55</f>
        <v>-</v>
      </c>
      <c r="V55" s="320" t="str">
        <f>'COTIDIANO - IIS'!V55</f>
        <v>-</v>
      </c>
      <c r="W55" s="320" t="str">
        <f>'COTIDIANO - IIS'!W55</f>
        <v>-</v>
      </c>
      <c r="X55" s="325" t="str">
        <f>'COTIDIANO - IIS'!X55</f>
        <v>-</v>
      </c>
      <c r="Y55" s="326" t="e">
        <f>'COTIDIANO - IIS'!Y55</f>
        <v>#DIV/0!</v>
      </c>
      <c r="Z55" s="299" t="e">
        <f>'COTIDIANO - IIS'!Z55</f>
        <v>#DIV/0!</v>
      </c>
      <c r="AA55" s="163" t="e">
        <f>'COTIDIANO - IIS'!AA55</f>
        <v>#DIV/0!</v>
      </c>
      <c r="AB55" s="166">
        <f t="shared" si="1"/>
        <v>0</v>
      </c>
      <c r="AC55" s="165">
        <f t="shared" si="0"/>
        <v>0</v>
      </c>
      <c r="AD55" s="163">
        <f>'EXAMENES - IIS'!G54</f>
        <v>0</v>
      </c>
      <c r="AE55" s="166" t="e">
        <f t="shared" si="2"/>
        <v>#DIV/0!</v>
      </c>
      <c r="AF55" s="165" t="e">
        <f t="shared" si="3"/>
        <v>#DIV/0!</v>
      </c>
      <c r="AG55" s="163">
        <f>'EXAMENES - IIS'!J54</f>
        <v>0</v>
      </c>
      <c r="AH55" s="163">
        <f>'TAREAS - IIS'!I54</f>
        <v>0</v>
      </c>
      <c r="AI55" s="168">
        <f>ASISTENCIAIIS!I46</f>
        <v>10</v>
      </c>
      <c r="AJ55" s="253" t="e">
        <f t="shared" si="4"/>
        <v>#DIV/0!</v>
      </c>
      <c r="AK55" s="43">
        <f>'REGISTRO DATOS'!J52</f>
        <v>0</v>
      </c>
    </row>
    <row r="56" spans="1:37" ht="18" customHeight="1">
      <c r="A56" s="331"/>
      <c r="B56" s="331"/>
      <c r="C56" s="331"/>
      <c r="D56" s="331"/>
      <c r="E56" s="331"/>
      <c r="F56" s="331"/>
      <c r="G56" s="331"/>
      <c r="H56" s="331"/>
      <c r="I56" s="331"/>
      <c r="J56" s="331"/>
      <c r="K56" s="331"/>
      <c r="L56" s="331"/>
      <c r="M56" s="331"/>
      <c r="N56" s="331"/>
      <c r="O56" s="331"/>
      <c r="P56" s="331"/>
      <c r="Q56" s="331"/>
      <c r="R56" s="331"/>
      <c r="S56" s="331"/>
      <c r="T56" s="331"/>
      <c r="U56" s="331"/>
      <c r="V56" s="331"/>
      <c r="W56" s="331"/>
      <c r="X56" s="331"/>
      <c r="Y56" s="332"/>
      <c r="Z56" s="223"/>
      <c r="AA56" s="2"/>
      <c r="AB56" s="2"/>
      <c r="AC56" s="2"/>
      <c r="AD56" s="112"/>
      <c r="AE56" s="112"/>
      <c r="AF56" s="2"/>
      <c r="AG56" s="2"/>
      <c r="AH56" s="2"/>
      <c r="AI56" s="2"/>
      <c r="AJ56" s="2"/>
    </row>
    <row r="57" spans="1:37" ht="18" hidden="1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7" ht="18" hidden="1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7" ht="18" hidden="1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7" ht="18" hidden="1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  <row r="61" spans="1:37" ht="18" hidden="1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</row>
    <row r="62" spans="1:37" ht="17.25" hidden="1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</row>
    <row r="63" spans="1:37" ht="17.25" hidden="1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</row>
    <row r="64" spans="1:37" ht="17.25" hidden="1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</row>
    <row r="65" spans="1:36" ht="15" hidden="1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</row>
    <row r="66" spans="1:36" ht="15.75" hidden="1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</row>
    <row r="67" spans="1:36" ht="15" hidden="1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</row>
    <row r="68" spans="1:36" ht="15.75" hidden="1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</row>
    <row r="69" spans="1:36" ht="15" hidden="1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</row>
    <row r="70" spans="1:36" ht="15.75" hidden="1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</row>
    <row r="71" spans="1:36" ht="15" hidden="1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</row>
    <row r="72" spans="1:36" ht="15.75" hidden="1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</row>
    <row r="73" spans="1:36" ht="15" hidden="1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</row>
    <row r="74" spans="1:36" ht="15.75" hidden="1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</row>
    <row r="75" spans="1:36" ht="15" hidden="1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</row>
    <row r="76" spans="1:36" ht="15.75" hidden="1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</row>
    <row r="77" spans="1:36" ht="15" hidden="1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</row>
    <row r="78" spans="1:36" ht="15.75" hidden="1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</row>
    <row r="79" spans="1:36" ht="15" hidden="1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</row>
    <row r="80" spans="1:36" ht="15.75" hidden="1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</row>
    <row r="81" spans="1:36" hidden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</row>
    <row r="82" spans="1:36" hidden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</row>
    <row r="83" spans="1:36" hidden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</row>
    <row r="84" spans="1:36" hidden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</row>
    <row r="85" spans="1:36" hidden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</row>
    <row r="86" spans="1:36" hidden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</row>
    <row r="87" spans="1:36" hidden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</row>
    <row r="88" spans="1:36" hidden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</row>
    <row r="89" spans="1:36" hidden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</row>
    <row r="90" spans="1:36" hidden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</row>
    <row r="91" spans="1:36" hidden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</row>
    <row r="92" spans="1:36" hidden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</row>
    <row r="93" spans="1:36" hidden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</row>
    <row r="94" spans="1:36" hidden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</row>
    <row r="95" spans="1:36" hidden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</row>
    <row r="96" spans="1:36" hidden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</row>
    <row r="97" spans="1:36" hidden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</row>
    <row r="98" spans="1:36" hidden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</row>
    <row r="99" spans="1:36" hidden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</row>
    <row r="100" spans="1:36" hidden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</row>
    <row r="101" spans="1:36" hidden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</row>
    <row r="102" spans="1:36" hidden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</row>
    <row r="103" spans="1:36" hidden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</row>
    <row r="104" spans="1:36" hidden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</row>
    <row r="105" spans="1:36" hidden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</row>
    <row r="106" spans="1:36" hidden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</row>
    <row r="107" spans="1:36" hidden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</row>
    <row r="108" spans="1:36" hidden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</row>
    <row r="109" spans="1:36" hidden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</row>
  </sheetData>
  <dataConsolidate/>
  <mergeCells count="66">
    <mergeCell ref="S1:AG2"/>
    <mergeCell ref="AO22:AP22"/>
    <mergeCell ref="AQ22:AR22"/>
    <mergeCell ref="AO26:AR26"/>
    <mergeCell ref="AO27:AP27"/>
    <mergeCell ref="AQ27:AR27"/>
    <mergeCell ref="AJ14:AJ15"/>
    <mergeCell ref="AO16:AR16"/>
    <mergeCell ref="AO17:AP17"/>
    <mergeCell ref="AQ17:AR17"/>
    <mergeCell ref="AO21:AR21"/>
    <mergeCell ref="AE13:AG13"/>
    <mergeCell ref="AB14:AB15"/>
    <mergeCell ref="AE14:AE15"/>
    <mergeCell ref="AB8:AD8"/>
    <mergeCell ref="E12:J12"/>
    <mergeCell ref="A13:D14"/>
    <mergeCell ref="E13:X13"/>
    <mergeCell ref="AB13:AD13"/>
    <mergeCell ref="Z14:Z15"/>
    <mergeCell ref="O14:O15"/>
    <mergeCell ref="P14:P15"/>
    <mergeCell ref="Q14:Q15"/>
    <mergeCell ref="R14:R15"/>
    <mergeCell ref="S14:S15"/>
    <mergeCell ref="T14:T15"/>
    <mergeCell ref="U14:U15"/>
    <mergeCell ref="V14:V15"/>
    <mergeCell ref="W14:W15"/>
    <mergeCell ref="X14:X15"/>
    <mergeCell ref="Y14:Y15"/>
    <mergeCell ref="E14:E15"/>
    <mergeCell ref="F14:F15"/>
    <mergeCell ref="G14:G15"/>
    <mergeCell ref="H14:H15"/>
    <mergeCell ref="I14:I15"/>
    <mergeCell ref="J14:J15"/>
    <mergeCell ref="K14:K15"/>
    <mergeCell ref="L14:L15"/>
    <mergeCell ref="M14:M15"/>
    <mergeCell ref="N14:N15"/>
    <mergeCell ref="A9:D9"/>
    <mergeCell ref="T9:Y9"/>
    <mergeCell ref="AB9:AG11"/>
    <mergeCell ref="E10:H10"/>
    <mergeCell ref="T10:Y10"/>
    <mergeCell ref="B11:C11"/>
    <mergeCell ref="E11:H11"/>
    <mergeCell ref="T11:Y11"/>
    <mergeCell ref="A5:D5"/>
    <mergeCell ref="E5:L5"/>
    <mergeCell ref="T5:W5"/>
    <mergeCell ref="A6:D6"/>
    <mergeCell ref="E6:R6"/>
    <mergeCell ref="T6:W6"/>
    <mergeCell ref="A7:D7"/>
    <mergeCell ref="E7:R7"/>
    <mergeCell ref="A8:D8"/>
    <mergeCell ref="E8:R8"/>
    <mergeCell ref="T8:Y8"/>
    <mergeCell ref="A2:B2"/>
    <mergeCell ref="C2:D2"/>
    <mergeCell ref="A3:D3"/>
    <mergeCell ref="E3:R3"/>
    <mergeCell ref="A4:D4"/>
    <mergeCell ref="E4:R4"/>
  </mergeCells>
  <conditionalFormatting sqref="Y16:Y55">
    <cfRule type="cellIs" dxfId="209" priority="44" operator="greaterThan">
      <formula>67</formula>
    </cfRule>
    <cfRule type="cellIs" dxfId="208" priority="45" operator="between">
      <formula>34</formula>
      <formula>67</formula>
    </cfRule>
    <cfRule type="cellIs" dxfId="207" priority="46" operator="lessThan">
      <formula>34</formula>
    </cfRule>
  </conditionalFormatting>
  <conditionalFormatting sqref="E16:X55">
    <cfRule type="cellIs" dxfId="206" priority="43" operator="equal">
      <formula>1</formula>
    </cfRule>
  </conditionalFormatting>
  <conditionalFormatting sqref="E16:X55">
    <cfRule type="cellIs" dxfId="205" priority="42" operator="equal">
      <formula>1</formula>
    </cfRule>
  </conditionalFormatting>
  <conditionalFormatting sqref="E16:X55">
    <cfRule type="cellIs" dxfId="204" priority="41" operator="equal">
      <formula>1</formula>
    </cfRule>
  </conditionalFormatting>
  <conditionalFormatting sqref="F16:X55">
    <cfRule type="cellIs" dxfId="203" priority="40" operator="equal">
      <formula>1</formula>
    </cfRule>
  </conditionalFormatting>
  <conditionalFormatting sqref="E16:X55">
    <cfRule type="cellIs" dxfId="202" priority="39" operator="equal">
      <formula>1</formula>
    </cfRule>
  </conditionalFormatting>
  <conditionalFormatting sqref="E16:X55">
    <cfRule type="cellIs" dxfId="201" priority="36" operator="equal">
      <formula>3</formula>
    </cfRule>
    <cfRule type="cellIs" dxfId="200" priority="37" operator="equal">
      <formula>2</formula>
    </cfRule>
    <cfRule type="cellIs" dxfId="199" priority="38" operator="equal">
      <formula>1</formula>
    </cfRule>
  </conditionalFormatting>
  <conditionalFormatting sqref="Z16:Z55">
    <cfRule type="cellIs" dxfId="198" priority="35" operator="equal">
      <formula>1</formula>
    </cfRule>
  </conditionalFormatting>
  <conditionalFormatting sqref="Z16:Z55">
    <cfRule type="cellIs" dxfId="197" priority="32" operator="equal">
      <formula>3</formula>
    </cfRule>
    <cfRule type="cellIs" dxfId="196" priority="33" operator="equal">
      <formula>2</formula>
    </cfRule>
    <cfRule type="cellIs" dxfId="195" priority="34" operator="equal">
      <formula>1</formula>
    </cfRule>
  </conditionalFormatting>
  <conditionalFormatting sqref="E16:X55">
    <cfRule type="cellIs" dxfId="194" priority="31" operator="equal">
      <formula>1</formula>
    </cfRule>
  </conditionalFormatting>
  <conditionalFormatting sqref="F16:X55">
    <cfRule type="cellIs" dxfId="193" priority="30" operator="equal">
      <formula>1</formula>
    </cfRule>
  </conditionalFormatting>
  <conditionalFormatting sqref="E54:L55">
    <cfRule type="cellIs" dxfId="192" priority="29" operator="equal">
      <formula>1</formula>
    </cfRule>
  </conditionalFormatting>
  <conditionalFormatting sqref="J54:K55 E54:E55">
    <cfRule type="cellIs" dxfId="191" priority="28" operator="equal">
      <formula>1</formula>
    </cfRule>
  </conditionalFormatting>
  <conditionalFormatting sqref="G54:H55">
    <cfRule type="cellIs" dxfId="190" priority="27" operator="equal">
      <formula>1</formula>
    </cfRule>
  </conditionalFormatting>
  <conditionalFormatting sqref="E16:X55">
    <cfRule type="cellIs" dxfId="189" priority="26" operator="equal">
      <formula>1</formula>
    </cfRule>
  </conditionalFormatting>
  <conditionalFormatting sqref="G16:H55 M16:N55">
    <cfRule type="cellIs" dxfId="188" priority="25" operator="equal">
      <formula>1</formula>
    </cfRule>
  </conditionalFormatting>
  <conditionalFormatting sqref="AB16:AB55">
    <cfRule type="cellIs" dxfId="187" priority="23" operator="lessThan">
      <formula>70</formula>
    </cfRule>
    <cfRule type="cellIs" dxfId="186" priority="24" operator="greaterThan">
      <formula>69</formula>
    </cfRule>
  </conditionalFormatting>
  <conditionalFormatting sqref="AE16">
    <cfRule type="cellIs" dxfId="185" priority="21" operator="lessThan">
      <formula>70</formula>
    </cfRule>
    <cfRule type="cellIs" dxfId="184" priority="22" operator="greaterThan">
      <formula>69</formula>
    </cfRule>
  </conditionalFormatting>
  <conditionalFormatting sqref="AE17:AE55">
    <cfRule type="cellIs" dxfId="183" priority="19" operator="lessThan">
      <formula>70</formula>
    </cfRule>
    <cfRule type="cellIs" dxfId="182" priority="20" operator="greaterThan">
      <formula>69</formula>
    </cfRule>
  </conditionalFormatting>
  <conditionalFormatting sqref="AJ16:AJ55">
    <cfRule type="cellIs" dxfId="181" priority="17" operator="lessThan">
      <formula>70</formula>
    </cfRule>
    <cfRule type="cellIs" dxfId="180" priority="18" operator="greaterThan">
      <formula>69</formula>
    </cfRule>
  </conditionalFormatting>
  <conditionalFormatting sqref="F16:X55">
    <cfRule type="cellIs" dxfId="179" priority="16" operator="equal">
      <formula>1</formula>
    </cfRule>
  </conditionalFormatting>
  <conditionalFormatting sqref="A16:AJ55">
    <cfRule type="expression" dxfId="178" priority="1">
      <formula>ROW()=CELL("fila")</formula>
    </cfRule>
  </conditionalFormatting>
  <dataValidations disablePrompts="1" count="1">
    <dataValidation type="list" allowBlank="1" showInputMessage="1" showErrorMessage="1" sqref="AA56:AC64 AF56:AG64 AD57:AE64" xr:uid="{00000000-0002-0000-0100-000000000000}">
      <formula1>$AA$9:$AA$11</formula1>
    </dataValidation>
  </dataValidations>
  <pageMargins left="0.7" right="0.7" top="0.75" bottom="0.75" header="0.3" footer="0.3"/>
  <pageSetup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9"/>
  <dimension ref="A1:T122"/>
  <sheetViews>
    <sheetView showGridLines="0" showRowColHeaders="0" zoomScaleNormal="100" workbookViewId="0"/>
  </sheetViews>
  <sheetFormatPr baseColWidth="10" defaultRowHeight="15"/>
  <cols>
    <col min="13" max="13" width="12.42578125" customWidth="1"/>
    <col min="14" max="14" width="3.5703125" customWidth="1"/>
  </cols>
  <sheetData>
    <row r="1" spans="1:20">
      <c r="A1" s="269"/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"/>
      <c r="T1" s="2"/>
    </row>
    <row r="2" spans="1:20">
      <c r="A2" s="269"/>
      <c r="B2" s="269"/>
      <c r="C2" s="269"/>
      <c r="D2" s="269"/>
      <c r="E2" s="269"/>
      <c r="F2" s="269"/>
      <c r="G2" s="269"/>
      <c r="H2" s="269"/>
      <c r="I2" s="269"/>
      <c r="J2" s="269"/>
      <c r="K2" s="269"/>
      <c r="L2" s="269"/>
      <c r="M2" s="269"/>
      <c r="N2" s="269"/>
      <c r="O2" s="269"/>
      <c r="P2" s="269"/>
      <c r="Q2" s="269"/>
      <c r="R2" s="269"/>
      <c r="S2" s="2"/>
      <c r="T2" s="2"/>
    </row>
    <row r="3" spans="1:20">
      <c r="A3" s="269"/>
      <c r="B3" s="269"/>
      <c r="C3" s="269"/>
      <c r="D3" s="269"/>
      <c r="E3" s="269"/>
      <c r="F3" s="269"/>
      <c r="G3" s="269"/>
      <c r="H3" s="269"/>
      <c r="I3" s="269"/>
      <c r="J3" s="269"/>
      <c r="K3" s="269"/>
      <c r="L3" s="269"/>
      <c r="M3" s="269"/>
      <c r="N3" s="269"/>
      <c r="O3" s="269"/>
      <c r="P3" s="269"/>
      <c r="Q3" s="269"/>
      <c r="R3" s="269"/>
      <c r="S3" s="2"/>
      <c r="T3" s="2"/>
    </row>
    <row r="4" spans="1:20">
      <c r="A4" s="269"/>
      <c r="B4" s="269"/>
      <c r="C4" s="269"/>
      <c r="D4" s="269"/>
      <c r="E4" s="269"/>
      <c r="F4" s="269"/>
      <c r="G4" s="269"/>
      <c r="H4" s="269"/>
      <c r="I4" s="269"/>
      <c r="J4" s="269"/>
      <c r="K4" s="269"/>
      <c r="L4" s="269"/>
      <c r="M4" s="269"/>
      <c r="N4" s="269"/>
      <c r="O4" s="269"/>
      <c r="P4" s="269"/>
      <c r="Q4" s="269"/>
      <c r="R4" s="269"/>
      <c r="S4" s="2"/>
      <c r="T4" s="2"/>
    </row>
    <row r="5" spans="1:20">
      <c r="A5" s="269"/>
      <c r="B5" s="269"/>
      <c r="C5" s="269"/>
      <c r="D5" s="269"/>
      <c r="E5" s="269"/>
      <c r="F5" s="269"/>
      <c r="G5" s="269"/>
      <c r="H5" s="269"/>
      <c r="I5" s="269"/>
      <c r="J5" s="269"/>
      <c r="K5" s="269"/>
      <c r="L5" s="269"/>
      <c r="M5" s="269"/>
      <c r="N5" s="269"/>
      <c r="O5" s="269"/>
      <c r="P5" s="269"/>
      <c r="Q5" s="269"/>
      <c r="R5" s="269"/>
      <c r="S5" s="2"/>
      <c r="T5" s="2"/>
    </row>
    <row r="6" spans="1:20">
      <c r="A6" s="269"/>
      <c r="B6" s="269"/>
      <c r="C6" s="269"/>
      <c r="D6" s="269"/>
      <c r="E6" s="269"/>
      <c r="F6" s="269"/>
      <c r="G6" s="269"/>
      <c r="H6" s="269"/>
      <c r="I6" s="269"/>
      <c r="J6" s="269"/>
      <c r="K6" s="269"/>
      <c r="L6" s="269"/>
      <c r="M6" s="269"/>
      <c r="N6" s="269"/>
      <c r="O6" s="269"/>
      <c r="P6" s="269"/>
      <c r="Q6" s="269"/>
      <c r="R6" s="269"/>
      <c r="S6" s="2"/>
      <c r="T6" s="2"/>
    </row>
    <row r="7" spans="1:20">
      <c r="A7" s="269"/>
      <c r="B7" s="269"/>
      <c r="C7" s="269"/>
      <c r="D7" s="269"/>
      <c r="E7" s="269"/>
      <c r="F7" s="269"/>
      <c r="G7" s="269"/>
      <c r="H7" s="269"/>
      <c r="I7" s="269"/>
      <c r="J7" s="269"/>
      <c r="K7" s="269"/>
      <c r="L7" s="269"/>
      <c r="M7" s="269"/>
      <c r="N7" s="269"/>
      <c r="O7" s="269"/>
      <c r="P7" s="269"/>
      <c r="Q7" s="269"/>
      <c r="R7" s="269"/>
      <c r="S7" s="2"/>
      <c r="T7" s="2"/>
    </row>
    <row r="8" spans="1:20">
      <c r="A8" s="269"/>
      <c r="B8" s="269"/>
      <c r="C8" s="269"/>
      <c r="D8" s="269"/>
      <c r="E8" s="269"/>
      <c r="F8" s="269"/>
      <c r="G8" s="269"/>
      <c r="H8" s="269"/>
      <c r="I8" s="269"/>
      <c r="J8" s="269"/>
      <c r="K8" s="269"/>
      <c r="L8" s="269"/>
      <c r="M8" s="269"/>
      <c r="N8" s="269"/>
      <c r="O8" s="269"/>
      <c r="P8" s="269"/>
      <c r="Q8" s="269"/>
      <c r="R8" s="269"/>
      <c r="S8" s="2"/>
      <c r="T8" s="2"/>
    </row>
    <row r="9" spans="1:20">
      <c r="A9" s="269"/>
      <c r="B9" s="269"/>
      <c r="C9" s="269"/>
      <c r="D9" s="269"/>
      <c r="E9" s="269"/>
      <c r="F9" s="269"/>
      <c r="G9" s="269"/>
      <c r="H9" s="269"/>
      <c r="I9" s="269"/>
      <c r="J9" s="269"/>
      <c r="K9" s="269"/>
      <c r="L9" s="269"/>
      <c r="M9" s="269"/>
      <c r="N9" s="269"/>
      <c r="O9" s="269"/>
      <c r="P9" s="269"/>
      <c r="Q9" s="269"/>
      <c r="R9" s="269"/>
      <c r="S9" s="2"/>
      <c r="T9" s="2"/>
    </row>
    <row r="10" spans="1:20">
      <c r="A10" s="269"/>
      <c r="B10" s="269"/>
      <c r="C10" s="269"/>
      <c r="D10" s="269"/>
      <c r="E10" s="269"/>
      <c r="F10" s="269"/>
      <c r="G10" s="269"/>
      <c r="H10" s="269"/>
      <c r="I10" s="269"/>
      <c r="J10" s="269"/>
      <c r="K10" s="269"/>
      <c r="L10" s="269"/>
      <c r="M10" s="269"/>
      <c r="N10" s="269"/>
      <c r="O10" s="269"/>
      <c r="P10" s="269"/>
      <c r="Q10" s="269"/>
      <c r="R10" s="269"/>
      <c r="S10" s="2"/>
      <c r="T10" s="2"/>
    </row>
    <row r="11" spans="1:20">
      <c r="A11" s="269"/>
      <c r="B11" s="269"/>
      <c r="C11" s="269"/>
      <c r="D11" s="269"/>
      <c r="E11" s="269"/>
      <c r="F11" s="269"/>
      <c r="G11" s="269"/>
      <c r="H11" s="269"/>
      <c r="I11" s="269"/>
      <c r="J11" s="269"/>
      <c r="K11" s="269"/>
      <c r="L11" s="269"/>
      <c r="M11" s="269"/>
      <c r="N11" s="269"/>
      <c r="O11" s="269"/>
      <c r="P11" s="269"/>
      <c r="Q11" s="269"/>
      <c r="R11" s="269"/>
      <c r="S11" s="2"/>
      <c r="T11" s="2"/>
    </row>
    <row r="12" spans="1:20">
      <c r="A12" s="269"/>
      <c r="B12" s="269"/>
      <c r="C12" s="269"/>
      <c r="D12" s="269"/>
      <c r="E12" s="269"/>
      <c r="F12" s="269"/>
      <c r="G12" s="269"/>
      <c r="H12" s="269"/>
      <c r="I12" s="269"/>
      <c r="J12" s="269"/>
      <c r="K12" s="269"/>
      <c r="L12" s="269"/>
      <c r="M12" s="269"/>
      <c r="N12" s="269"/>
      <c r="O12" s="269"/>
      <c r="P12" s="269"/>
      <c r="Q12" s="269"/>
      <c r="R12" s="269"/>
      <c r="S12" s="2"/>
      <c r="T12" s="2"/>
    </row>
    <row r="13" spans="1:20">
      <c r="A13" s="269"/>
      <c r="B13" s="269"/>
      <c r="C13" s="269"/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69"/>
      <c r="S13" s="2"/>
      <c r="T13" s="2"/>
    </row>
    <row r="14" spans="1:20">
      <c r="A14" s="269"/>
      <c r="B14" s="269"/>
      <c r="C14" s="269"/>
      <c r="D14" s="269"/>
      <c r="E14" s="269"/>
      <c r="F14" s="269"/>
      <c r="G14" s="269"/>
      <c r="H14" s="269"/>
      <c r="I14" s="269"/>
      <c r="J14" s="269"/>
      <c r="K14" s="269"/>
      <c r="L14" s="269"/>
      <c r="M14" s="269"/>
      <c r="N14" s="269"/>
      <c r="O14" s="269"/>
      <c r="P14" s="269"/>
      <c r="Q14" s="269"/>
      <c r="R14" s="269"/>
      <c r="S14" s="2"/>
      <c r="T14" s="2"/>
    </row>
    <row r="15" spans="1:20">
      <c r="A15" s="269"/>
      <c r="B15" s="269"/>
      <c r="C15" s="269"/>
      <c r="D15" s="269"/>
      <c r="E15" s="269"/>
      <c r="F15" s="269"/>
      <c r="G15" s="269"/>
      <c r="H15" s="269"/>
      <c r="I15" s="269"/>
      <c r="J15" s="269"/>
      <c r="K15" s="269"/>
      <c r="L15" s="269"/>
      <c r="M15" s="269"/>
      <c r="N15" s="269"/>
      <c r="O15" s="269"/>
      <c r="P15" s="269"/>
      <c r="Q15" s="269"/>
      <c r="R15" s="269"/>
      <c r="S15" s="2"/>
      <c r="T15" s="2"/>
    </row>
    <row r="16" spans="1:20">
      <c r="A16" s="269"/>
      <c r="B16" s="269"/>
      <c r="C16" s="269"/>
      <c r="D16" s="269"/>
      <c r="E16" s="269"/>
      <c r="F16" s="269"/>
      <c r="G16" s="269"/>
      <c r="H16" s="269"/>
      <c r="I16" s="269"/>
      <c r="J16" s="269"/>
      <c r="K16" s="269"/>
      <c r="L16" s="269"/>
      <c r="M16" s="269"/>
      <c r="N16" s="269"/>
      <c r="O16" s="269"/>
      <c r="P16" s="269"/>
      <c r="Q16" s="269"/>
      <c r="R16" s="269"/>
      <c r="S16" s="2"/>
      <c r="T16" s="2"/>
    </row>
    <row r="17" spans="1:20">
      <c r="A17" s="269"/>
      <c r="B17" s="269"/>
      <c r="C17" s="269"/>
      <c r="D17" s="269"/>
      <c r="E17" s="269"/>
      <c r="F17" s="269"/>
      <c r="G17" s="269"/>
      <c r="H17" s="269"/>
      <c r="I17" s="269"/>
      <c r="J17" s="269"/>
      <c r="K17" s="269"/>
      <c r="L17" s="269"/>
      <c r="M17" s="269"/>
      <c r="N17" s="269"/>
      <c r="O17" s="269"/>
      <c r="P17" s="269"/>
      <c r="Q17" s="269"/>
      <c r="R17" s="269"/>
      <c r="S17" s="2"/>
      <c r="T17" s="2"/>
    </row>
    <row r="18" spans="1:20">
      <c r="A18" s="269"/>
      <c r="B18" s="269"/>
      <c r="C18" s="269"/>
      <c r="D18" s="269"/>
      <c r="E18" s="269"/>
      <c r="F18" s="269"/>
      <c r="G18" s="269"/>
      <c r="H18" s="269"/>
      <c r="I18" s="269"/>
      <c r="J18" s="269"/>
      <c r="K18" s="269"/>
      <c r="L18" s="269"/>
      <c r="M18" s="269"/>
      <c r="N18" s="269"/>
      <c r="O18" s="269"/>
      <c r="P18" s="269"/>
      <c r="Q18" s="269"/>
      <c r="R18" s="269"/>
      <c r="S18" s="2"/>
      <c r="T18" s="2"/>
    </row>
    <row r="19" spans="1:20">
      <c r="A19" s="269"/>
      <c r="B19" s="269"/>
      <c r="C19" s="269"/>
      <c r="D19" s="269"/>
      <c r="E19" s="269"/>
      <c r="F19" s="269"/>
      <c r="G19" s="269"/>
      <c r="H19" s="269"/>
      <c r="I19" s="269"/>
      <c r="J19" s="269"/>
      <c r="K19" s="269"/>
      <c r="L19" s="269"/>
      <c r="M19" s="269"/>
      <c r="N19" s="269"/>
      <c r="O19" s="269"/>
      <c r="P19" s="269"/>
      <c r="Q19" s="269"/>
      <c r="R19" s="269"/>
      <c r="S19" s="2"/>
      <c r="T19" s="2"/>
    </row>
    <row r="20" spans="1:20">
      <c r="A20" s="269"/>
      <c r="B20" s="269"/>
      <c r="C20" s="269"/>
      <c r="D20" s="269"/>
      <c r="E20" s="269"/>
      <c r="F20" s="269"/>
      <c r="G20" s="269"/>
      <c r="H20" s="269"/>
      <c r="I20" s="269"/>
      <c r="J20" s="269"/>
      <c r="K20" s="269"/>
      <c r="L20" s="269"/>
      <c r="M20" s="269"/>
      <c r="N20" s="269"/>
      <c r="O20" s="269"/>
      <c r="P20" s="269"/>
      <c r="Q20" s="269"/>
      <c r="R20" s="269"/>
      <c r="S20" s="2"/>
      <c r="T20" s="2"/>
    </row>
    <row r="21" spans="1:20">
      <c r="A21" s="269"/>
      <c r="B21" s="269"/>
      <c r="C21" s="269"/>
      <c r="D21" s="269"/>
      <c r="E21" s="269"/>
      <c r="F21" s="269"/>
      <c r="G21" s="269"/>
      <c r="H21" s="269"/>
      <c r="I21" s="269"/>
      <c r="J21" s="269"/>
      <c r="K21" s="269"/>
      <c r="L21" s="269"/>
      <c r="M21" s="269"/>
      <c r="N21" s="269"/>
      <c r="O21" s="269"/>
      <c r="P21" s="269"/>
      <c r="Q21" s="269"/>
      <c r="R21" s="269"/>
      <c r="S21" s="2"/>
      <c r="T21" s="2"/>
    </row>
    <row r="22" spans="1:20">
      <c r="A22" s="269"/>
      <c r="B22" s="269"/>
      <c r="C22" s="269"/>
      <c r="D22" s="269"/>
      <c r="E22" s="269"/>
      <c r="F22" s="269"/>
      <c r="G22" s="269"/>
      <c r="H22" s="269"/>
      <c r="I22" s="269"/>
      <c r="J22" s="269"/>
      <c r="K22" s="269"/>
      <c r="L22" s="269"/>
      <c r="M22" s="269"/>
      <c r="N22" s="269"/>
      <c r="O22" s="269"/>
      <c r="P22" s="269"/>
      <c r="Q22" s="269"/>
      <c r="R22" s="269"/>
      <c r="S22" s="2"/>
      <c r="T22" s="2"/>
    </row>
    <row r="23" spans="1:20">
      <c r="A23" s="269"/>
      <c r="B23" s="269"/>
      <c r="C23" s="269"/>
      <c r="D23" s="269"/>
      <c r="E23" s="269"/>
      <c r="F23" s="269"/>
      <c r="G23" s="269"/>
      <c r="H23" s="269"/>
      <c r="I23" s="269"/>
      <c r="J23" s="269"/>
      <c r="K23" s="269"/>
      <c r="L23" s="269"/>
      <c r="M23" s="269"/>
      <c r="N23" s="269"/>
      <c r="O23" s="269"/>
      <c r="P23" s="269"/>
      <c r="Q23" s="269"/>
      <c r="R23" s="269"/>
      <c r="S23" s="2"/>
      <c r="T23" s="2"/>
    </row>
    <row r="24" spans="1:20">
      <c r="A24" s="269"/>
      <c r="B24" s="269"/>
      <c r="C24" s="269"/>
      <c r="D24" s="269"/>
      <c r="E24" s="269"/>
      <c r="F24" s="269"/>
      <c r="G24" s="269"/>
      <c r="H24" s="269"/>
      <c r="I24" s="269"/>
      <c r="J24" s="269"/>
      <c r="K24" s="269"/>
      <c r="L24" s="269"/>
      <c r="M24" s="269"/>
      <c r="N24" s="269"/>
      <c r="O24" s="269"/>
      <c r="P24" s="269"/>
      <c r="Q24" s="269"/>
      <c r="R24" s="269"/>
      <c r="S24" s="2"/>
      <c r="T24" s="2"/>
    </row>
    <row r="25" spans="1:20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1:20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1:20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1:20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1:20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1:20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1:20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1:20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1:20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1:20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1:20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1:20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1:20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1:20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1:20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1:20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1:20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1:20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1:20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1:20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</row>
    <row r="45" spans="1:20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</row>
    <row r="46" spans="1:20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</row>
    <row r="47" spans="1:20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</row>
    <row r="48" spans="1:20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</row>
    <row r="49" spans="1:20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</row>
    <row r="50" spans="1:20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</row>
    <row r="51" spans="1:20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</row>
    <row r="52" spans="1:20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1:20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1:20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1:20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1:20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1:20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1:20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1:20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1:20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1:20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1:20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1:20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1:20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1:20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1:20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1:20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1:20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1:20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1:20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1:20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2" spans="1:20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</row>
    <row r="73" spans="1:20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</row>
    <row r="74" spans="1:20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</row>
    <row r="75" spans="1:20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</row>
    <row r="76" spans="1:20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</row>
    <row r="77" spans="1:20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</row>
    <row r="78" spans="1:20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</row>
    <row r="79" spans="1:20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</row>
    <row r="80" spans="1:20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</row>
    <row r="81" spans="1:20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</row>
    <row r="82" spans="1:20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</row>
    <row r="83" spans="1:20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</row>
    <row r="84" spans="1:20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</row>
    <row r="85" spans="1:20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</row>
    <row r="86" spans="1:20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</row>
    <row r="87" spans="1:20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</row>
    <row r="88" spans="1:20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</row>
    <row r="89" spans="1:20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</row>
    <row r="90" spans="1:20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</row>
    <row r="91" spans="1:20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</row>
    <row r="92" spans="1:20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</row>
    <row r="93" spans="1:20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</row>
    <row r="94" spans="1:20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</row>
    <row r="95" spans="1:20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</row>
    <row r="96" spans="1:20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</row>
    <row r="97" spans="1:20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</row>
    <row r="98" spans="1:20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</row>
    <row r="99" spans="1:20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</row>
    <row r="100" spans="1:20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</row>
    <row r="101" spans="1:20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</row>
    <row r="102" spans="1:20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</row>
    <row r="103" spans="1:20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</row>
    <row r="104" spans="1:20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</row>
    <row r="105" spans="1:20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</row>
    <row r="106" spans="1:20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</row>
    <row r="107" spans="1:20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</row>
    <row r="108" spans="1:20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</row>
    <row r="109" spans="1:20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</row>
    <row r="110" spans="1:20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</row>
    <row r="111" spans="1:20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</row>
    <row r="112" spans="1:20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</row>
    <row r="113" spans="1:20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</row>
    <row r="114" spans="1:20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</row>
    <row r="115" spans="1:20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</row>
    <row r="116" spans="1:20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</row>
    <row r="117" spans="1:20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</row>
    <row r="118" spans="1:20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</row>
    <row r="119" spans="1:20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</row>
    <row r="120" spans="1:20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</row>
    <row r="121" spans="1:20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</row>
    <row r="122" spans="1:20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8"/>
  <dimension ref="A1:R31"/>
  <sheetViews>
    <sheetView showGridLines="0" showRowColHeaders="0" topLeftCell="A7" workbookViewId="0"/>
  </sheetViews>
  <sheetFormatPr baseColWidth="10" defaultRowHeight="15"/>
  <sheetData>
    <row r="1" spans="1:18">
      <c r="A1" s="267"/>
      <c r="B1" s="267"/>
      <c r="C1" s="267"/>
      <c r="D1" s="267"/>
      <c r="E1" s="267"/>
      <c r="F1" s="267"/>
      <c r="G1" s="267"/>
      <c r="H1" s="267"/>
      <c r="I1" s="267"/>
      <c r="J1" s="267"/>
      <c r="K1" s="267"/>
      <c r="L1" s="267"/>
      <c r="M1" s="267"/>
      <c r="N1" s="267"/>
      <c r="O1" s="267"/>
      <c r="P1" s="267"/>
      <c r="Q1" s="267"/>
      <c r="R1" s="2"/>
    </row>
    <row r="2" spans="1:18">
      <c r="A2" s="267"/>
      <c r="B2" s="267"/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"/>
    </row>
    <row r="3" spans="1:18">
      <c r="A3" s="267"/>
      <c r="B3" s="267"/>
      <c r="C3" s="267"/>
      <c r="D3" s="267"/>
      <c r="E3" s="267"/>
      <c r="F3" s="267"/>
      <c r="G3" s="267"/>
      <c r="H3" s="267"/>
      <c r="I3" s="267"/>
      <c r="J3" s="267"/>
      <c r="K3" s="267"/>
      <c r="L3" s="267"/>
      <c r="M3" s="267"/>
      <c r="N3" s="267"/>
      <c r="O3" s="267"/>
      <c r="P3" s="267"/>
      <c r="Q3" s="267"/>
      <c r="R3" s="2"/>
    </row>
    <row r="4" spans="1:18">
      <c r="A4" s="267"/>
      <c r="B4" s="267"/>
      <c r="C4" s="267"/>
      <c r="D4" s="267"/>
      <c r="E4" s="267"/>
      <c r="F4" s="267"/>
      <c r="G4" s="267"/>
      <c r="H4" s="267"/>
      <c r="I4" s="267"/>
      <c r="J4" s="267"/>
      <c r="K4" s="267"/>
      <c r="L4" s="267"/>
      <c r="M4" s="267"/>
      <c r="N4" s="267"/>
      <c r="O4" s="267"/>
      <c r="P4" s="267"/>
      <c r="Q4" s="267"/>
      <c r="R4" s="2"/>
    </row>
    <row r="5" spans="1:18">
      <c r="A5" s="267"/>
      <c r="B5" s="267"/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  <c r="O5" s="267"/>
      <c r="P5" s="267"/>
      <c r="Q5" s="267"/>
      <c r="R5" s="2"/>
    </row>
    <row r="6" spans="1:18">
      <c r="A6" s="267"/>
      <c r="B6" s="267"/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/>
      <c r="N6" s="267"/>
      <c r="O6" s="267"/>
      <c r="P6" s="267"/>
      <c r="Q6" s="267"/>
      <c r="R6" s="2"/>
    </row>
    <row r="7" spans="1:18">
      <c r="A7" s="267"/>
      <c r="B7" s="267"/>
      <c r="C7" s="267"/>
      <c r="D7" s="267"/>
      <c r="E7" s="267"/>
      <c r="F7" s="267"/>
      <c r="G7" s="267"/>
      <c r="H7" s="267"/>
      <c r="I7" s="267"/>
      <c r="J7" s="267"/>
      <c r="K7" s="267"/>
      <c r="L7" s="267"/>
      <c r="M7" s="267"/>
      <c r="N7" s="267"/>
      <c r="O7" s="267"/>
      <c r="P7" s="267"/>
      <c r="Q7" s="267"/>
      <c r="R7" s="2"/>
    </row>
    <row r="8" spans="1:18">
      <c r="A8" s="267"/>
      <c r="B8" s="267"/>
      <c r="C8" s="267"/>
      <c r="D8" s="267"/>
      <c r="E8" s="267"/>
      <c r="F8" s="267"/>
      <c r="G8" s="267"/>
      <c r="H8" s="267"/>
      <c r="I8" s="267"/>
      <c r="J8" s="267"/>
      <c r="K8" s="267"/>
      <c r="L8" s="267"/>
      <c r="M8" s="267"/>
      <c r="N8" s="267"/>
      <c r="O8" s="267"/>
      <c r="P8" s="267"/>
      <c r="Q8" s="267"/>
      <c r="R8" s="2"/>
    </row>
    <row r="9" spans="1:18">
      <c r="A9" s="267"/>
      <c r="B9" s="267"/>
      <c r="C9" s="267"/>
      <c r="D9" s="267"/>
      <c r="E9" s="267"/>
      <c r="F9" s="267"/>
      <c r="G9" s="267"/>
      <c r="H9" s="267"/>
      <c r="I9" s="267"/>
      <c r="J9" s="267"/>
      <c r="K9" s="267"/>
      <c r="L9" s="267"/>
      <c r="M9" s="267"/>
      <c r="N9" s="267"/>
      <c r="O9" s="267"/>
      <c r="P9" s="267"/>
      <c r="Q9" s="267"/>
      <c r="R9" s="2"/>
    </row>
    <row r="10" spans="1:18">
      <c r="A10" s="267"/>
      <c r="B10" s="267"/>
      <c r="C10" s="267"/>
      <c r="D10" s="267"/>
      <c r="E10" s="267"/>
      <c r="F10" s="267"/>
      <c r="G10" s="267"/>
      <c r="H10" s="267"/>
      <c r="I10" s="267"/>
      <c r="J10" s="267"/>
      <c r="K10" s="267"/>
      <c r="L10" s="267"/>
      <c r="M10" s="267"/>
      <c r="N10" s="267"/>
      <c r="O10" s="267"/>
      <c r="P10" s="267"/>
      <c r="Q10" s="267"/>
      <c r="R10" s="2"/>
    </row>
    <row r="11" spans="1:18">
      <c r="A11" s="267"/>
      <c r="B11" s="267"/>
      <c r="C11" s="267"/>
      <c r="D11" s="267"/>
      <c r="E11" s="267"/>
      <c r="F11" s="267"/>
      <c r="G11" s="267"/>
      <c r="H11" s="267"/>
      <c r="I11" s="267"/>
      <c r="J11" s="267"/>
      <c r="K11" s="267"/>
      <c r="L11" s="267"/>
      <c r="M11" s="267"/>
      <c r="N11" s="267"/>
      <c r="O11" s="267"/>
      <c r="P11" s="267"/>
      <c r="Q11" s="267"/>
      <c r="R11" s="2"/>
    </row>
    <row r="12" spans="1:18">
      <c r="A12" s="267"/>
      <c r="B12" s="267"/>
      <c r="C12" s="267"/>
      <c r="D12" s="267"/>
      <c r="E12" s="267"/>
      <c r="F12" s="267"/>
      <c r="G12" s="267"/>
      <c r="H12" s="267"/>
      <c r="I12" s="267"/>
      <c r="J12" s="267"/>
      <c r="K12" s="267"/>
      <c r="L12" s="267"/>
      <c r="M12" s="267"/>
      <c r="N12" s="267"/>
      <c r="O12" s="267"/>
      <c r="P12" s="267"/>
      <c r="Q12" s="267"/>
      <c r="R12" s="2"/>
    </row>
    <row r="13" spans="1:18">
      <c r="A13" s="267"/>
      <c r="B13" s="267"/>
      <c r="C13" s="267"/>
      <c r="D13" s="267"/>
      <c r="E13" s="267"/>
      <c r="F13" s="267"/>
      <c r="G13" s="267"/>
      <c r="H13" s="267"/>
      <c r="I13" s="267"/>
      <c r="J13" s="267"/>
      <c r="K13" s="267"/>
      <c r="L13" s="267"/>
      <c r="M13" s="267"/>
      <c r="N13" s="267"/>
      <c r="O13" s="267"/>
      <c r="P13" s="267"/>
      <c r="Q13" s="267"/>
      <c r="R13" s="2"/>
    </row>
    <row r="14" spans="1:18">
      <c r="A14" s="267"/>
      <c r="B14" s="267"/>
      <c r="C14" s="267"/>
      <c r="D14" s="267"/>
      <c r="E14" s="267"/>
      <c r="F14" s="267"/>
      <c r="G14" s="267"/>
      <c r="H14" s="267"/>
      <c r="I14" s="267"/>
      <c r="J14" s="267"/>
      <c r="K14" s="267"/>
      <c r="L14" s="267"/>
      <c r="M14" s="267"/>
      <c r="N14" s="267"/>
      <c r="O14" s="267"/>
      <c r="P14" s="267"/>
      <c r="Q14" s="267"/>
      <c r="R14" s="2"/>
    </row>
    <row r="15" spans="1:18">
      <c r="A15" s="267"/>
      <c r="B15" s="267"/>
      <c r="C15" s="267"/>
      <c r="D15" s="267"/>
      <c r="E15" s="267"/>
      <c r="F15" s="267"/>
      <c r="G15" s="267"/>
      <c r="H15" s="267"/>
      <c r="I15" s="267"/>
      <c r="J15" s="267"/>
      <c r="K15" s="267"/>
      <c r="L15" s="267"/>
      <c r="M15" s="267"/>
      <c r="N15" s="267"/>
      <c r="O15" s="267"/>
      <c r="P15" s="267"/>
      <c r="Q15" s="267"/>
      <c r="R15" s="2"/>
    </row>
    <row r="16" spans="1:18">
      <c r="A16" s="267"/>
      <c r="B16" s="267"/>
      <c r="C16" s="267"/>
      <c r="D16" s="267"/>
      <c r="E16" s="267"/>
      <c r="F16" s="267"/>
      <c r="G16" s="267"/>
      <c r="H16" s="267"/>
      <c r="I16" s="267"/>
      <c r="J16" s="267"/>
      <c r="K16" s="267"/>
      <c r="L16" s="267"/>
      <c r="M16" s="267"/>
      <c r="N16" s="267"/>
      <c r="O16" s="267"/>
      <c r="P16" s="267"/>
      <c r="Q16" s="267"/>
      <c r="R16" s="2"/>
    </row>
    <row r="17" spans="1:18">
      <c r="A17" s="267"/>
      <c r="B17" s="267"/>
      <c r="C17" s="267"/>
      <c r="D17" s="267"/>
      <c r="E17" s="267"/>
      <c r="F17" s="267"/>
      <c r="G17" s="267"/>
      <c r="H17" s="267"/>
      <c r="I17" s="267"/>
      <c r="J17" s="267"/>
      <c r="K17" s="267"/>
      <c r="L17" s="267"/>
      <c r="M17" s="267"/>
      <c r="N17" s="267"/>
      <c r="O17" s="267"/>
      <c r="P17" s="267"/>
      <c r="Q17" s="267"/>
      <c r="R17" s="2"/>
    </row>
    <row r="18" spans="1:18">
      <c r="A18" s="267"/>
      <c r="B18" s="267"/>
      <c r="C18" s="267"/>
      <c r="D18" s="267"/>
      <c r="E18" s="267"/>
      <c r="F18" s="267"/>
      <c r="G18" s="267"/>
      <c r="H18" s="267"/>
      <c r="I18" s="267"/>
      <c r="J18" s="267"/>
      <c r="K18" s="267"/>
      <c r="L18" s="267"/>
      <c r="M18" s="267"/>
      <c r="N18" s="267"/>
      <c r="O18" s="267"/>
      <c r="P18" s="267"/>
      <c r="Q18" s="267"/>
      <c r="R18" s="2"/>
    </row>
    <row r="19" spans="1:18">
      <c r="A19" s="267"/>
      <c r="B19" s="267"/>
      <c r="C19" s="267"/>
      <c r="D19" s="267"/>
      <c r="E19" s="267"/>
      <c r="F19" s="267"/>
      <c r="G19" s="267"/>
      <c r="H19" s="267"/>
      <c r="I19" s="267"/>
      <c r="J19" s="267"/>
      <c r="K19" s="267"/>
      <c r="L19" s="267"/>
      <c r="M19" s="267"/>
      <c r="N19" s="267"/>
      <c r="O19" s="267"/>
      <c r="P19" s="267"/>
      <c r="Q19" s="267"/>
      <c r="R19" s="2"/>
    </row>
    <row r="20" spans="1:18">
      <c r="A20" s="267"/>
      <c r="B20" s="267"/>
      <c r="C20" s="267"/>
      <c r="D20" s="267"/>
      <c r="E20" s="267"/>
      <c r="F20" s="267"/>
      <c r="G20" s="267"/>
      <c r="H20" s="267"/>
      <c r="I20" s="267"/>
      <c r="J20" s="267"/>
      <c r="K20" s="267"/>
      <c r="L20" s="267"/>
      <c r="M20" s="267"/>
      <c r="N20" s="267"/>
      <c r="O20" s="267"/>
      <c r="P20" s="267"/>
      <c r="Q20" s="267"/>
      <c r="R20" s="2"/>
    </row>
    <row r="21" spans="1:18">
      <c r="A21" s="267"/>
      <c r="B21" s="267"/>
      <c r="C21" s="267"/>
      <c r="D21" s="267"/>
      <c r="E21" s="267"/>
      <c r="F21" s="267"/>
      <c r="G21" s="267"/>
      <c r="H21" s="267"/>
      <c r="I21" s="267"/>
      <c r="J21" s="267"/>
      <c r="K21" s="267"/>
      <c r="L21" s="267"/>
      <c r="M21" s="267"/>
      <c r="N21" s="267"/>
      <c r="O21" s="267"/>
      <c r="P21" s="267"/>
      <c r="Q21" s="267"/>
      <c r="R21" s="2"/>
    </row>
    <row r="22" spans="1:18">
      <c r="A22" s="267"/>
      <c r="B22" s="267"/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7"/>
      <c r="N22" s="267"/>
      <c r="O22" s="267"/>
      <c r="P22" s="267"/>
      <c r="Q22" s="267"/>
      <c r="R22" s="2"/>
    </row>
    <row r="23" spans="1:18">
      <c r="A23" s="267"/>
      <c r="B23" s="267"/>
      <c r="C23" s="267"/>
      <c r="D23" s="267"/>
      <c r="E23" s="267"/>
      <c r="F23" s="267"/>
      <c r="G23" s="267"/>
      <c r="H23" s="267"/>
      <c r="I23" s="267"/>
      <c r="J23" s="267"/>
      <c r="K23" s="267"/>
      <c r="L23" s="267"/>
      <c r="M23" s="267"/>
      <c r="N23" s="267"/>
      <c r="O23" s="267"/>
      <c r="P23" s="267"/>
      <c r="Q23" s="267"/>
      <c r="R23" s="2"/>
    </row>
    <row r="24" spans="1:18">
      <c r="A24" s="267"/>
      <c r="B24" s="267"/>
      <c r="C24" s="267"/>
      <c r="D24" s="267"/>
      <c r="E24" s="267"/>
      <c r="F24" s="267"/>
      <c r="G24" s="267"/>
      <c r="H24" s="267"/>
      <c r="I24" s="267"/>
      <c r="J24" s="267"/>
      <c r="K24" s="267"/>
      <c r="L24" s="267"/>
      <c r="M24" s="267"/>
      <c r="N24" s="267"/>
      <c r="O24" s="267"/>
      <c r="P24" s="267"/>
      <c r="Q24" s="267"/>
      <c r="R24" s="2"/>
    </row>
    <row r="25" spans="1:18">
      <c r="A25" s="267"/>
      <c r="B25" s="267"/>
      <c r="C25" s="267"/>
      <c r="D25" s="267"/>
      <c r="E25" s="267"/>
      <c r="F25" s="267"/>
      <c r="G25" s="267"/>
      <c r="H25" s="267"/>
      <c r="I25" s="267"/>
      <c r="J25" s="267"/>
      <c r="K25" s="267"/>
      <c r="L25" s="267"/>
      <c r="M25" s="267"/>
      <c r="N25" s="267"/>
      <c r="O25" s="267"/>
      <c r="P25" s="267"/>
      <c r="Q25" s="267"/>
      <c r="R25" s="2"/>
    </row>
    <row r="26" spans="1:18">
      <c r="A26" s="267"/>
      <c r="B26" s="267"/>
      <c r="C26" s="267"/>
      <c r="D26" s="267"/>
      <c r="E26" s="267"/>
      <c r="F26" s="267"/>
      <c r="G26" s="267"/>
      <c r="H26" s="267"/>
      <c r="I26" s="267"/>
      <c r="J26" s="267"/>
      <c r="K26" s="267"/>
      <c r="L26" s="267"/>
      <c r="M26" s="267"/>
      <c r="N26" s="267"/>
      <c r="O26" s="267"/>
      <c r="P26" s="267"/>
      <c r="Q26" s="267"/>
      <c r="R26" s="2"/>
    </row>
    <row r="27" spans="1:18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1:18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1:18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1:18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1:18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0"/>
  <dimension ref="A1:R31"/>
  <sheetViews>
    <sheetView showGridLines="0" showRowColHeaders="0" zoomScale="101" workbookViewId="0"/>
  </sheetViews>
  <sheetFormatPr baseColWidth="10" defaultRowHeight="15"/>
  <sheetData>
    <row r="1" spans="1:18">
      <c r="A1" s="267"/>
      <c r="B1" s="267"/>
      <c r="C1" s="267"/>
      <c r="D1" s="267"/>
      <c r="E1" s="267"/>
      <c r="F1" s="267"/>
      <c r="G1" s="267"/>
      <c r="H1" s="267"/>
      <c r="I1" s="267"/>
      <c r="J1" s="267"/>
      <c r="K1" s="267"/>
      <c r="L1" s="267"/>
      <c r="M1" s="267"/>
      <c r="N1" s="267"/>
      <c r="O1" s="267"/>
      <c r="P1" s="267"/>
      <c r="Q1" s="267"/>
      <c r="R1" s="2"/>
    </row>
    <row r="2" spans="1:18">
      <c r="A2" s="267"/>
      <c r="B2" s="267"/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"/>
    </row>
    <row r="3" spans="1:18">
      <c r="A3" s="267"/>
      <c r="B3" s="267"/>
      <c r="C3" s="267"/>
      <c r="D3" s="267"/>
      <c r="E3" s="267"/>
      <c r="F3" s="267"/>
      <c r="G3" s="267"/>
      <c r="H3" s="267"/>
      <c r="I3" s="267"/>
      <c r="J3" s="267"/>
      <c r="K3" s="267"/>
      <c r="L3" s="267"/>
      <c r="M3" s="267"/>
      <c r="N3" s="267"/>
      <c r="O3" s="267"/>
      <c r="P3" s="267"/>
      <c r="Q3" s="267"/>
      <c r="R3" s="2"/>
    </row>
    <row r="4" spans="1:18">
      <c r="A4" s="267"/>
      <c r="B4" s="267"/>
      <c r="C4" s="267"/>
      <c r="D4" s="267"/>
      <c r="E4" s="267"/>
      <c r="F4" s="267"/>
      <c r="G4" s="267"/>
      <c r="H4" s="267"/>
      <c r="I4" s="267"/>
      <c r="J4" s="267"/>
      <c r="K4" s="267"/>
      <c r="L4" s="267"/>
      <c r="M4" s="267"/>
      <c r="N4" s="267"/>
      <c r="O4" s="267"/>
      <c r="P4" s="267"/>
      <c r="Q4" s="267"/>
      <c r="R4" s="2"/>
    </row>
    <row r="5" spans="1:18">
      <c r="A5" s="267"/>
      <c r="B5" s="267"/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  <c r="O5" s="267"/>
      <c r="P5" s="267"/>
      <c r="Q5" s="267"/>
      <c r="R5" s="2"/>
    </row>
    <row r="6" spans="1:18">
      <c r="A6" s="267"/>
      <c r="B6" s="267"/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/>
      <c r="N6" s="267"/>
      <c r="O6" s="267"/>
      <c r="P6" s="267"/>
      <c r="Q6" s="267"/>
      <c r="R6" s="2"/>
    </row>
    <row r="7" spans="1:18">
      <c r="A7" s="267"/>
      <c r="B7" s="267"/>
      <c r="C7" s="267"/>
      <c r="D7" s="267"/>
      <c r="E7" s="267"/>
      <c r="F7" s="267"/>
      <c r="G7" s="267"/>
      <c r="H7" s="267"/>
      <c r="I7" s="267"/>
      <c r="J7" s="267"/>
      <c r="K7" s="267"/>
      <c r="L7" s="267"/>
      <c r="M7" s="267"/>
      <c r="N7" s="267"/>
      <c r="O7" s="267"/>
      <c r="P7" s="267"/>
      <c r="Q7" s="267"/>
      <c r="R7" s="2"/>
    </row>
    <row r="8" spans="1:18">
      <c r="A8" s="267"/>
      <c r="B8" s="267"/>
      <c r="C8" s="267"/>
      <c r="D8" s="267"/>
      <c r="E8" s="267"/>
      <c r="F8" s="267"/>
      <c r="G8" s="267"/>
      <c r="H8" s="267"/>
      <c r="I8" s="267"/>
      <c r="J8" s="267"/>
      <c r="K8" s="267"/>
      <c r="L8" s="267"/>
      <c r="M8" s="267"/>
      <c r="N8" s="267"/>
      <c r="O8" s="267"/>
      <c r="P8" s="267"/>
      <c r="Q8" s="267"/>
      <c r="R8" s="2"/>
    </row>
    <row r="9" spans="1:18">
      <c r="A9" s="267"/>
      <c r="B9" s="267"/>
      <c r="C9" s="267"/>
      <c r="D9" s="267"/>
      <c r="E9" s="267"/>
      <c r="F9" s="267"/>
      <c r="G9" s="267"/>
      <c r="H9" s="267"/>
      <c r="I9" s="267"/>
      <c r="J9" s="267"/>
      <c r="K9" s="267"/>
      <c r="L9" s="267"/>
      <c r="M9" s="267"/>
      <c r="N9" s="267"/>
      <c r="O9" s="267"/>
      <c r="P9" s="267"/>
      <c r="Q9" s="267"/>
      <c r="R9" s="2"/>
    </row>
    <row r="10" spans="1:18">
      <c r="A10" s="267"/>
      <c r="B10" s="267"/>
      <c r="C10" s="267"/>
      <c r="D10" s="267"/>
      <c r="E10" s="267"/>
      <c r="F10" s="267"/>
      <c r="G10" s="267"/>
      <c r="H10" s="267"/>
      <c r="I10" s="267"/>
      <c r="J10" s="267"/>
      <c r="K10" s="267"/>
      <c r="L10" s="267"/>
      <c r="M10" s="267"/>
      <c r="N10" s="267"/>
      <c r="O10" s="267"/>
      <c r="P10" s="267"/>
      <c r="Q10" s="267"/>
      <c r="R10" s="2"/>
    </row>
    <row r="11" spans="1:18">
      <c r="A11" s="267"/>
      <c r="B11" s="267"/>
      <c r="C11" s="267"/>
      <c r="D11" s="267"/>
      <c r="E11" s="267"/>
      <c r="F11" s="267"/>
      <c r="G11" s="267"/>
      <c r="H11" s="267"/>
      <c r="I11" s="267"/>
      <c r="J11" s="267"/>
      <c r="K11" s="267"/>
      <c r="L11" s="267"/>
      <c r="M11" s="267"/>
      <c r="N11" s="267"/>
      <c r="O11" s="267"/>
      <c r="P11" s="267"/>
      <c r="Q11" s="267"/>
      <c r="R11" s="2"/>
    </row>
    <row r="12" spans="1:18">
      <c r="A12" s="267"/>
      <c r="B12" s="267"/>
      <c r="C12" s="267"/>
      <c r="D12" s="267"/>
      <c r="E12" s="267"/>
      <c r="F12" s="267"/>
      <c r="G12" s="267"/>
      <c r="H12" s="267"/>
      <c r="I12" s="267"/>
      <c r="J12" s="267"/>
      <c r="K12" s="267"/>
      <c r="L12" s="267"/>
      <c r="M12" s="267"/>
      <c r="N12" s="267"/>
      <c r="O12" s="267"/>
      <c r="P12" s="267"/>
      <c r="Q12" s="267"/>
      <c r="R12" s="2"/>
    </row>
    <row r="13" spans="1:18">
      <c r="A13" s="267"/>
      <c r="B13" s="267"/>
      <c r="C13" s="267"/>
      <c r="D13" s="267"/>
      <c r="E13" s="267"/>
      <c r="F13" s="267"/>
      <c r="G13" s="267"/>
      <c r="H13" s="267"/>
      <c r="I13" s="267"/>
      <c r="J13" s="267"/>
      <c r="K13" s="267"/>
      <c r="L13" s="267"/>
      <c r="M13" s="267"/>
      <c r="N13" s="267"/>
      <c r="O13" s="267"/>
      <c r="P13" s="267"/>
      <c r="Q13" s="267"/>
      <c r="R13" s="2"/>
    </row>
    <row r="14" spans="1:18">
      <c r="A14" s="267"/>
      <c r="B14" s="267"/>
      <c r="C14" s="267"/>
      <c r="D14" s="267"/>
      <c r="E14" s="267"/>
      <c r="F14" s="267"/>
      <c r="G14" s="267"/>
      <c r="H14" s="267"/>
      <c r="I14" s="267"/>
      <c r="J14" s="267"/>
      <c r="K14" s="267"/>
      <c r="L14" s="267"/>
      <c r="M14" s="267"/>
      <c r="N14" s="267"/>
      <c r="O14" s="267"/>
      <c r="P14" s="267"/>
      <c r="Q14" s="267"/>
      <c r="R14" s="2"/>
    </row>
    <row r="15" spans="1:18">
      <c r="A15" s="267"/>
      <c r="B15" s="267"/>
      <c r="C15" s="267"/>
      <c r="D15" s="267"/>
      <c r="E15" s="267"/>
      <c r="F15" s="267"/>
      <c r="G15" s="267"/>
      <c r="H15" s="267"/>
      <c r="I15" s="267"/>
      <c r="J15" s="267"/>
      <c r="K15" s="267"/>
      <c r="L15" s="267"/>
      <c r="M15" s="267"/>
      <c r="N15" s="267"/>
      <c r="O15" s="267"/>
      <c r="P15" s="267"/>
      <c r="Q15" s="267"/>
      <c r="R15" s="2"/>
    </row>
    <row r="16" spans="1:18">
      <c r="A16" s="267"/>
      <c r="B16" s="267"/>
      <c r="C16" s="267"/>
      <c r="D16" s="267"/>
      <c r="E16" s="267"/>
      <c r="F16" s="267"/>
      <c r="G16" s="267"/>
      <c r="H16" s="267"/>
      <c r="I16" s="267"/>
      <c r="J16" s="267"/>
      <c r="K16" s="267"/>
      <c r="L16" s="267"/>
      <c r="M16" s="267"/>
      <c r="N16" s="267"/>
      <c r="O16" s="267"/>
      <c r="P16" s="267"/>
      <c r="Q16" s="267"/>
      <c r="R16" s="2"/>
    </row>
    <row r="17" spans="1:18">
      <c r="A17" s="267"/>
      <c r="B17" s="267"/>
      <c r="C17" s="267"/>
      <c r="D17" s="267"/>
      <c r="E17" s="267"/>
      <c r="F17" s="267"/>
      <c r="G17" s="267"/>
      <c r="H17" s="267"/>
      <c r="I17" s="267"/>
      <c r="J17" s="267"/>
      <c r="K17" s="267"/>
      <c r="L17" s="267"/>
      <c r="M17" s="267"/>
      <c r="N17" s="267"/>
      <c r="O17" s="267"/>
      <c r="P17" s="267"/>
      <c r="Q17" s="267"/>
      <c r="R17" s="2"/>
    </row>
    <row r="18" spans="1:18">
      <c r="A18" s="267"/>
      <c r="B18" s="267"/>
      <c r="C18" s="267"/>
      <c r="D18" s="267"/>
      <c r="E18" s="267"/>
      <c r="F18" s="267"/>
      <c r="G18" s="267"/>
      <c r="H18" s="267"/>
      <c r="I18" s="267"/>
      <c r="J18" s="267"/>
      <c r="K18" s="267"/>
      <c r="L18" s="267"/>
      <c r="M18" s="267"/>
      <c r="N18" s="267"/>
      <c r="O18" s="267"/>
      <c r="P18" s="267"/>
      <c r="Q18" s="267"/>
      <c r="R18" s="2"/>
    </row>
    <row r="19" spans="1:18">
      <c r="A19" s="267"/>
      <c r="B19" s="267"/>
      <c r="C19" s="267"/>
      <c r="D19" s="267"/>
      <c r="E19" s="267"/>
      <c r="F19" s="267"/>
      <c r="G19" s="267"/>
      <c r="H19" s="267"/>
      <c r="I19" s="267"/>
      <c r="J19" s="267"/>
      <c r="K19" s="267"/>
      <c r="L19" s="267"/>
      <c r="M19" s="267"/>
      <c r="N19" s="267"/>
      <c r="O19" s="267"/>
      <c r="P19" s="267"/>
      <c r="Q19" s="267"/>
      <c r="R19" s="2"/>
    </row>
    <row r="20" spans="1:18">
      <c r="A20" s="267"/>
      <c r="B20" s="267"/>
      <c r="C20" s="267"/>
      <c r="D20" s="267"/>
      <c r="E20" s="267"/>
      <c r="F20" s="267"/>
      <c r="G20" s="267"/>
      <c r="H20" s="267"/>
      <c r="I20" s="267"/>
      <c r="J20" s="267"/>
      <c r="K20" s="267"/>
      <c r="L20" s="267"/>
      <c r="M20" s="267"/>
      <c r="N20" s="267"/>
      <c r="O20" s="267"/>
      <c r="P20" s="267"/>
      <c r="Q20" s="267"/>
      <c r="R20" s="2"/>
    </row>
    <row r="21" spans="1:18">
      <c r="A21" s="267"/>
      <c r="B21" s="267"/>
      <c r="C21" s="267"/>
      <c r="D21" s="267"/>
      <c r="E21" s="267"/>
      <c r="F21" s="267"/>
      <c r="G21" s="267"/>
      <c r="H21" s="267"/>
      <c r="I21" s="267"/>
      <c r="J21" s="267"/>
      <c r="K21" s="267"/>
      <c r="L21" s="267"/>
      <c r="M21" s="267"/>
      <c r="N21" s="267"/>
      <c r="O21" s="267"/>
      <c r="P21" s="267"/>
      <c r="Q21" s="267"/>
      <c r="R21" s="2"/>
    </row>
    <row r="22" spans="1:18">
      <c r="A22" s="267"/>
      <c r="B22" s="267"/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7"/>
      <c r="N22" s="267"/>
      <c r="O22" s="267"/>
      <c r="P22" s="267"/>
      <c r="Q22" s="267"/>
      <c r="R22" s="2"/>
    </row>
    <row r="23" spans="1:18">
      <c r="A23" s="267"/>
      <c r="B23" s="267"/>
      <c r="C23" s="267"/>
      <c r="D23" s="267"/>
      <c r="E23" s="267"/>
      <c r="F23" s="267"/>
      <c r="G23" s="267"/>
      <c r="H23" s="267"/>
      <c r="I23" s="267"/>
      <c r="J23" s="267"/>
      <c r="K23" s="267"/>
      <c r="L23" s="267"/>
      <c r="M23" s="267"/>
      <c r="N23" s="267"/>
      <c r="O23" s="267"/>
      <c r="P23" s="267"/>
      <c r="Q23" s="267"/>
      <c r="R23" s="2"/>
    </row>
    <row r="24" spans="1:18">
      <c r="A24" s="267"/>
      <c r="B24" s="267"/>
      <c r="C24" s="267"/>
      <c r="D24" s="267"/>
      <c r="E24" s="267"/>
      <c r="F24" s="267"/>
      <c r="G24" s="267"/>
      <c r="H24" s="267"/>
      <c r="I24" s="267"/>
      <c r="J24" s="267"/>
      <c r="K24" s="267"/>
      <c r="L24" s="267"/>
      <c r="M24" s="267"/>
      <c r="N24" s="267"/>
      <c r="O24" s="267"/>
      <c r="P24" s="267"/>
      <c r="Q24" s="267"/>
      <c r="R24" s="2"/>
    </row>
    <row r="25" spans="1:18">
      <c r="A25" s="267"/>
      <c r="B25" s="267"/>
      <c r="C25" s="267"/>
      <c r="D25" s="267"/>
      <c r="E25" s="267"/>
      <c r="F25" s="267"/>
      <c r="G25" s="267"/>
      <c r="H25" s="267"/>
      <c r="I25" s="267"/>
      <c r="J25" s="267"/>
      <c r="K25" s="267"/>
      <c r="L25" s="267"/>
      <c r="M25" s="267"/>
      <c r="N25" s="267"/>
      <c r="O25" s="267"/>
      <c r="P25" s="267"/>
      <c r="Q25" s="267"/>
      <c r="R25" s="2"/>
    </row>
    <row r="26" spans="1:18">
      <c r="A26" s="267"/>
      <c r="B26" s="267"/>
      <c r="C26" s="267"/>
      <c r="D26" s="267"/>
      <c r="E26" s="267"/>
      <c r="F26" s="267"/>
      <c r="G26" s="267"/>
      <c r="H26" s="267"/>
      <c r="I26" s="267"/>
      <c r="J26" s="267"/>
      <c r="K26" s="267"/>
      <c r="L26" s="267"/>
      <c r="M26" s="267"/>
      <c r="N26" s="267"/>
      <c r="O26" s="267"/>
      <c r="P26" s="267"/>
      <c r="Q26" s="267"/>
      <c r="R26" s="2"/>
    </row>
    <row r="27" spans="1:18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1:18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1:18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1:18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1:18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FFFF00"/>
  </sheetPr>
  <dimension ref="A1:V54"/>
  <sheetViews>
    <sheetView showGridLines="0" zoomScale="77" zoomScaleNormal="90" workbookViewId="0">
      <selection activeCell="I3" sqref="I3"/>
    </sheetView>
  </sheetViews>
  <sheetFormatPr baseColWidth="10" defaultColWidth="0" defaultRowHeight="15" zeroHeight="1"/>
  <cols>
    <col min="1" max="1" width="4.85546875" customWidth="1"/>
    <col min="2" max="2" width="5.28515625" style="43" customWidth="1" collapsed="1"/>
    <col min="3" max="3" width="14.140625" bestFit="1" customWidth="1" collapsed="1"/>
    <col min="4" max="4" width="18" customWidth="1" collapsed="1"/>
    <col min="5" max="5" width="23.7109375" bestFit="1" customWidth="1" collapsed="1"/>
    <col min="6" max="6" width="21.42578125" style="44" customWidth="1" collapsed="1"/>
    <col min="7" max="7" width="17.28515625" style="43" hidden="1" customWidth="1" collapsed="1"/>
    <col min="8" max="8" width="24.85546875" hidden="1" customWidth="1" collapsed="1"/>
    <col min="9" max="9" width="58.85546875" customWidth="1" collapsed="1"/>
    <col min="10" max="10" width="17.5703125" style="44" customWidth="1" collapsed="1"/>
    <col min="11" max="11" width="15.7109375" customWidth="1" collapsed="1"/>
    <col min="12" max="12" width="10.85546875" customWidth="1" collapsed="1"/>
    <col min="13" max="13" width="6" customWidth="1" collapsed="1"/>
    <col min="14" max="14" width="12.7109375" customWidth="1" collapsed="1"/>
    <col min="15" max="15" width="7.140625" customWidth="1" collapsed="1"/>
    <col min="16" max="16" width="8.42578125" customWidth="1" collapsed="1"/>
    <col min="17" max="17" width="11.42578125" customWidth="1" collapsed="1"/>
    <col min="18" max="18" width="10.85546875" customWidth="1" collapsed="1"/>
    <col min="19" max="21" width="0" hidden="1" customWidth="1" collapsed="1"/>
    <col min="22" max="22" width="0" hidden="1" customWidth="1"/>
    <col min="23" max="16384" width="10.85546875" hidden="1" collapsed="1"/>
  </cols>
  <sheetData>
    <row r="1" spans="1:21">
      <c r="A1" s="285"/>
      <c r="B1" s="289"/>
      <c r="C1" s="285"/>
      <c r="D1" s="285"/>
      <c r="E1" s="285"/>
      <c r="F1" s="290"/>
      <c r="G1" s="289"/>
      <c r="H1" s="285"/>
      <c r="I1" s="285"/>
      <c r="J1" s="290"/>
      <c r="K1" s="285"/>
      <c r="L1" s="285"/>
      <c r="M1" s="285"/>
      <c r="N1" s="285"/>
      <c r="O1" s="285"/>
      <c r="P1" s="285"/>
      <c r="Q1" s="285"/>
      <c r="R1" s="285"/>
      <c r="S1" s="285"/>
      <c r="T1" s="2"/>
      <c r="U1" s="2"/>
    </row>
    <row r="2" spans="1:21" ht="15.75" thickBot="1">
      <c r="A2" s="285"/>
      <c r="B2" s="289"/>
      <c r="C2" s="285"/>
      <c r="D2" s="285"/>
      <c r="E2" s="285"/>
      <c r="F2" s="290"/>
      <c r="G2" s="289"/>
      <c r="H2" s="285"/>
      <c r="I2" s="285"/>
      <c r="J2" s="290"/>
      <c r="K2" s="285"/>
      <c r="L2" s="285"/>
      <c r="M2" s="285"/>
      <c r="N2" s="285"/>
      <c r="O2" s="285"/>
      <c r="P2" s="285"/>
      <c r="Q2" s="285"/>
      <c r="R2" s="285"/>
      <c r="S2" s="285"/>
      <c r="T2" s="2"/>
      <c r="U2" s="2"/>
    </row>
    <row r="3" spans="1:21" ht="18.75">
      <c r="A3" s="285"/>
      <c r="B3" s="289"/>
      <c r="C3" s="839" t="s">
        <v>216</v>
      </c>
      <c r="D3" s="839"/>
      <c r="E3" s="839"/>
      <c r="F3" s="839"/>
      <c r="G3" s="291"/>
      <c r="H3" s="292"/>
      <c r="I3" s="425"/>
      <c r="J3" s="290"/>
      <c r="K3" s="285"/>
      <c r="L3" s="285"/>
      <c r="M3" s="285"/>
      <c r="N3" s="285"/>
      <c r="O3" s="285"/>
      <c r="P3" s="285"/>
      <c r="Q3" s="285"/>
      <c r="R3" s="285"/>
      <c r="S3" s="285"/>
      <c r="T3" s="2"/>
      <c r="U3" s="2"/>
    </row>
    <row r="4" spans="1:21" ht="19.5" thickBot="1">
      <c r="A4" s="285"/>
      <c r="B4" s="289"/>
      <c r="C4" s="839" t="s">
        <v>215</v>
      </c>
      <c r="D4" s="839"/>
      <c r="E4" s="839"/>
      <c r="F4" s="839"/>
      <c r="G4" s="291"/>
      <c r="H4" s="292"/>
      <c r="I4" s="426" t="s">
        <v>323</v>
      </c>
      <c r="J4" s="290"/>
      <c r="K4" s="837" t="s">
        <v>222</v>
      </c>
      <c r="L4" s="838"/>
      <c r="M4" s="285"/>
      <c r="N4" s="285"/>
      <c r="O4" s="285"/>
      <c r="P4" s="285"/>
      <c r="Q4" s="285"/>
      <c r="R4" s="285"/>
      <c r="S4" s="285"/>
      <c r="T4" s="2"/>
      <c r="U4" s="2"/>
    </row>
    <row r="5" spans="1:21" ht="19.5" thickBot="1">
      <c r="A5" s="285"/>
      <c r="B5" s="289"/>
      <c r="C5" s="839" t="s">
        <v>217</v>
      </c>
      <c r="D5" s="839"/>
      <c r="E5" s="839"/>
      <c r="F5" s="839"/>
      <c r="G5" s="291"/>
      <c r="H5" s="292"/>
      <c r="I5" s="773" t="s">
        <v>324</v>
      </c>
      <c r="J5" s="290"/>
      <c r="K5" s="650" t="s">
        <v>223</v>
      </c>
      <c r="L5" s="651">
        <f>COUNTIF(J13:J52,"H")</f>
        <v>0</v>
      </c>
      <c r="M5" s="285"/>
      <c r="N5" s="285"/>
      <c r="O5" s="285"/>
      <c r="P5" s="285"/>
      <c r="Q5" s="285"/>
      <c r="R5" s="285"/>
      <c r="S5" s="285"/>
      <c r="T5" s="2"/>
      <c r="U5" s="2"/>
    </row>
    <row r="6" spans="1:21" ht="19.5" thickBot="1">
      <c r="A6" s="285"/>
      <c r="B6" s="289"/>
      <c r="C6" s="843" t="s">
        <v>62</v>
      </c>
      <c r="D6" s="843"/>
      <c r="E6" s="843"/>
      <c r="F6" s="843"/>
      <c r="G6" s="291"/>
      <c r="H6" s="292"/>
      <c r="I6" s="763"/>
      <c r="J6" s="290"/>
      <c r="K6" s="652" t="s">
        <v>224</v>
      </c>
      <c r="L6" s="651">
        <f>COUNTIF(J13:J53,"M")</f>
        <v>0</v>
      </c>
      <c r="M6" s="285"/>
      <c r="N6" s="285"/>
      <c r="O6" s="285"/>
      <c r="P6" s="285"/>
      <c r="Q6" s="285"/>
      <c r="R6" s="285"/>
      <c r="S6" s="285"/>
      <c r="T6" s="2"/>
      <c r="U6" s="2"/>
    </row>
    <row r="7" spans="1:21" ht="19.5" thickBot="1">
      <c r="A7" s="285"/>
      <c r="B7" s="289"/>
      <c r="C7" s="843" t="s">
        <v>218</v>
      </c>
      <c r="D7" s="843"/>
      <c r="E7" s="843"/>
      <c r="F7" s="843"/>
      <c r="G7" s="291"/>
      <c r="H7" s="292"/>
      <c r="I7" s="426"/>
      <c r="J7" s="290"/>
      <c r="K7" s="653" t="s">
        <v>54</v>
      </c>
      <c r="L7" s="651">
        <f>L5+L6</f>
        <v>0</v>
      </c>
      <c r="M7" s="285"/>
      <c r="N7" s="285"/>
      <c r="O7" s="285"/>
      <c r="P7" s="285"/>
      <c r="Q7" s="285"/>
      <c r="R7" s="285"/>
      <c r="S7" s="285"/>
      <c r="T7" s="2"/>
      <c r="U7" s="2"/>
    </row>
    <row r="8" spans="1:21" ht="18.75">
      <c r="A8" s="285"/>
      <c r="B8" s="289"/>
      <c r="C8" s="839" t="s">
        <v>219</v>
      </c>
      <c r="D8" s="840"/>
      <c r="E8" s="840"/>
      <c r="F8" s="840"/>
      <c r="G8" s="291"/>
      <c r="H8" s="292"/>
      <c r="I8" s="426"/>
      <c r="J8" s="290"/>
      <c r="K8" s="285"/>
      <c r="L8" s="285"/>
      <c r="M8" s="285"/>
      <c r="N8" s="285"/>
      <c r="O8" s="285"/>
      <c r="P8" s="285"/>
      <c r="Q8" s="285"/>
      <c r="R8" s="285"/>
      <c r="S8" s="285"/>
      <c r="T8" s="2"/>
      <c r="U8" s="2"/>
    </row>
    <row r="9" spans="1:21" ht="18.75">
      <c r="A9" s="285"/>
      <c r="B9" s="289"/>
      <c r="C9" s="839" t="s">
        <v>220</v>
      </c>
      <c r="D9" s="840"/>
      <c r="E9" s="840"/>
      <c r="F9" s="840"/>
      <c r="G9" s="291"/>
      <c r="H9" s="292"/>
      <c r="I9" s="774"/>
      <c r="J9" s="290"/>
      <c r="K9" s="285"/>
      <c r="L9" s="285"/>
      <c r="M9" s="285"/>
      <c r="N9" s="285"/>
      <c r="O9" s="285"/>
      <c r="P9" s="285"/>
      <c r="Q9" s="285"/>
      <c r="R9" s="285"/>
      <c r="S9" s="285"/>
      <c r="T9" s="2"/>
      <c r="U9" s="2"/>
    </row>
    <row r="10" spans="1:21" ht="27" thickBot="1">
      <c r="A10" s="285"/>
      <c r="B10" s="289"/>
      <c r="C10" s="841" t="s">
        <v>151</v>
      </c>
      <c r="D10" s="842"/>
      <c r="E10" s="842"/>
      <c r="F10" s="842"/>
      <c r="G10" s="289"/>
      <c r="H10" s="285"/>
      <c r="I10" s="427"/>
      <c r="J10" s="290"/>
      <c r="K10" s="285"/>
      <c r="L10" s="285"/>
      <c r="M10" s="285"/>
      <c r="N10" s="285"/>
      <c r="O10" s="285"/>
      <c r="P10" s="285"/>
      <c r="Q10" s="285"/>
      <c r="R10" s="285"/>
      <c r="S10" s="285"/>
      <c r="T10" s="2"/>
      <c r="U10" s="2"/>
    </row>
    <row r="11" spans="1:21">
      <c r="A11" s="285"/>
      <c r="B11" s="289"/>
      <c r="C11" s="285"/>
      <c r="D11" s="285"/>
      <c r="E11" s="285"/>
      <c r="F11" s="290"/>
      <c r="G11" s="289"/>
      <c r="H11" s="285"/>
      <c r="I11" s="285"/>
      <c r="J11" s="290"/>
      <c r="K11" s="285"/>
      <c r="L11" s="285"/>
      <c r="M11" s="285"/>
      <c r="N11" s="285"/>
      <c r="O11" s="285"/>
      <c r="P11" s="285"/>
      <c r="Q11" s="285"/>
      <c r="R11" s="285"/>
      <c r="S11" s="285"/>
      <c r="T11" s="2"/>
      <c r="U11" s="2"/>
    </row>
    <row r="12" spans="1:21" ht="36">
      <c r="A12" s="285"/>
      <c r="B12" s="293" t="s">
        <v>37</v>
      </c>
      <c r="C12" s="293" t="s">
        <v>38</v>
      </c>
      <c r="D12" s="293" t="s">
        <v>39</v>
      </c>
      <c r="E12" s="293" t="s">
        <v>36</v>
      </c>
      <c r="F12" s="293" t="s">
        <v>87</v>
      </c>
      <c r="G12" s="293"/>
      <c r="H12" s="293" t="s">
        <v>74</v>
      </c>
      <c r="I12" s="294" t="s">
        <v>75</v>
      </c>
      <c r="J12" s="673" t="s">
        <v>289</v>
      </c>
      <c r="K12" s="295" t="s">
        <v>221</v>
      </c>
      <c r="L12" s="285"/>
      <c r="M12" s="285"/>
      <c r="N12" s="285"/>
      <c r="O12" s="285"/>
      <c r="P12" s="285"/>
      <c r="Q12" s="285"/>
      <c r="R12" s="285"/>
      <c r="S12" s="268"/>
      <c r="T12" s="2"/>
      <c r="U12" s="2"/>
    </row>
    <row r="13" spans="1:21" ht="18">
      <c r="A13" s="285"/>
      <c r="B13" s="428">
        <v>1</v>
      </c>
      <c r="C13" s="419"/>
      <c r="D13" s="419"/>
      <c r="E13" s="419" t="s">
        <v>326</v>
      </c>
      <c r="F13" s="419"/>
      <c r="G13" s="421" t="s">
        <v>42</v>
      </c>
      <c r="H13" s="421" t="s">
        <v>41</v>
      </c>
      <c r="I13" s="266" t="str">
        <f t="shared" ref="I13:I16" si="0">F13&amp;G13&amp;H13</f>
        <v>@est.mep.go.cr</v>
      </c>
      <c r="J13" s="422"/>
      <c r="K13" s="423"/>
      <c r="L13" s="285"/>
      <c r="M13" s="285"/>
      <c r="N13" s="285"/>
      <c r="O13" s="285"/>
      <c r="P13" s="285"/>
      <c r="Q13" s="285"/>
      <c r="R13" s="285"/>
      <c r="S13" s="268"/>
      <c r="T13" s="2"/>
      <c r="U13" s="2"/>
    </row>
    <row r="14" spans="1:21" ht="18">
      <c r="A14" s="285"/>
      <c r="B14" s="428">
        <v>2</v>
      </c>
      <c r="C14" s="419"/>
      <c r="D14" s="419"/>
      <c r="E14" s="419" t="s">
        <v>327</v>
      </c>
      <c r="F14" s="419"/>
      <c r="G14" s="421" t="s">
        <v>42</v>
      </c>
      <c r="H14" s="421" t="s">
        <v>41</v>
      </c>
      <c r="I14" s="266" t="str">
        <f t="shared" si="0"/>
        <v>@est.mep.go.cr</v>
      </c>
      <c r="J14" s="422"/>
      <c r="K14" s="423"/>
      <c r="L14" s="285"/>
      <c r="M14" s="285"/>
      <c r="N14" s="285"/>
      <c r="O14" s="285"/>
      <c r="P14" s="285"/>
      <c r="Q14" s="285"/>
      <c r="R14" s="285"/>
      <c r="S14" s="268"/>
      <c r="T14" s="2"/>
      <c r="U14" s="2"/>
    </row>
    <row r="15" spans="1:21" ht="18">
      <c r="A15" s="285"/>
      <c r="B15" s="428">
        <v>3</v>
      </c>
      <c r="C15" s="419"/>
      <c r="D15" s="419"/>
      <c r="E15" s="419" t="s">
        <v>328</v>
      </c>
      <c r="F15" s="419"/>
      <c r="G15" s="421" t="s">
        <v>42</v>
      </c>
      <c r="H15" s="421" t="s">
        <v>41</v>
      </c>
      <c r="I15" s="266" t="str">
        <f t="shared" si="0"/>
        <v>@est.mep.go.cr</v>
      </c>
      <c r="J15" s="422"/>
      <c r="K15" s="423"/>
      <c r="L15" s="285"/>
      <c r="M15" s="285"/>
      <c r="N15" s="285"/>
      <c r="O15" s="285"/>
      <c r="P15" s="285"/>
      <c r="Q15" s="285"/>
      <c r="R15" s="285"/>
      <c r="S15" s="268"/>
      <c r="T15" s="2"/>
      <c r="U15" s="2"/>
    </row>
    <row r="16" spans="1:21" ht="18">
      <c r="A16" s="285"/>
      <c r="B16" s="428">
        <v>4</v>
      </c>
      <c r="C16" s="419"/>
      <c r="D16" s="419"/>
      <c r="E16" s="419" t="s">
        <v>329</v>
      </c>
      <c r="F16" s="419"/>
      <c r="G16" s="421" t="s">
        <v>42</v>
      </c>
      <c r="H16" s="421" t="s">
        <v>41</v>
      </c>
      <c r="I16" s="266" t="str">
        <f t="shared" si="0"/>
        <v>@est.mep.go.cr</v>
      </c>
      <c r="J16" s="422"/>
      <c r="K16" s="423"/>
      <c r="L16" s="285"/>
      <c r="M16" s="285"/>
      <c r="N16" s="285"/>
      <c r="O16" s="285"/>
      <c r="P16" s="285"/>
      <c r="Q16" s="285"/>
      <c r="R16" s="285"/>
      <c r="S16" s="268"/>
      <c r="T16" s="2"/>
      <c r="U16" s="2"/>
    </row>
    <row r="17" spans="1:21" ht="18">
      <c r="A17" s="285"/>
      <c r="B17" s="428">
        <v>5</v>
      </c>
      <c r="C17" s="419"/>
      <c r="D17" s="419"/>
      <c r="E17" s="419" t="s">
        <v>330</v>
      </c>
      <c r="F17" s="419"/>
      <c r="G17" s="421" t="s">
        <v>42</v>
      </c>
      <c r="H17" s="421" t="s">
        <v>41</v>
      </c>
      <c r="I17" s="266" t="str">
        <f t="shared" ref="I17:I18" si="1">F17&amp;G17&amp;H17</f>
        <v>@est.mep.go.cr</v>
      </c>
      <c r="J17" s="422"/>
      <c r="K17" s="423"/>
      <c r="L17" s="285"/>
      <c r="M17" s="285"/>
      <c r="N17" s="285"/>
      <c r="O17" s="285"/>
      <c r="P17" s="285"/>
      <c r="Q17" s="285"/>
      <c r="R17" s="285"/>
      <c r="S17" s="268"/>
      <c r="T17" s="2"/>
      <c r="U17" s="2"/>
    </row>
    <row r="18" spans="1:21" ht="18">
      <c r="A18" s="285"/>
      <c r="B18" s="428">
        <v>6</v>
      </c>
      <c r="C18" s="419"/>
      <c r="D18" s="419"/>
      <c r="E18" s="419" t="s">
        <v>331</v>
      </c>
      <c r="F18" s="419"/>
      <c r="G18" s="421" t="s">
        <v>42</v>
      </c>
      <c r="H18" s="421" t="s">
        <v>41</v>
      </c>
      <c r="I18" s="266" t="str">
        <f t="shared" si="1"/>
        <v>@est.mep.go.cr</v>
      </c>
      <c r="J18" s="422"/>
      <c r="K18" s="423"/>
      <c r="L18" s="285"/>
      <c r="M18" s="285"/>
      <c r="N18" s="285"/>
      <c r="O18" s="285"/>
      <c r="P18" s="285"/>
      <c r="Q18" s="285"/>
      <c r="R18" s="285"/>
      <c r="S18" s="268"/>
      <c r="T18" s="2"/>
      <c r="U18" s="2"/>
    </row>
    <row r="19" spans="1:21" ht="18">
      <c r="A19" s="285"/>
      <c r="B19" s="428">
        <v>7</v>
      </c>
      <c r="C19" s="419" t="s">
        <v>332</v>
      </c>
      <c r="D19" s="419" t="s">
        <v>333</v>
      </c>
      <c r="E19" s="419" t="s">
        <v>334</v>
      </c>
      <c r="F19" s="419"/>
      <c r="G19" s="421" t="s">
        <v>42</v>
      </c>
      <c r="H19" s="421" t="s">
        <v>41</v>
      </c>
      <c r="I19" s="266" t="str">
        <f t="shared" ref="I19:I52" si="2">F19&amp;G19&amp;H19</f>
        <v>@est.mep.go.cr</v>
      </c>
      <c r="J19" s="422"/>
      <c r="K19" s="423"/>
      <c r="L19" s="285"/>
      <c r="M19" s="285"/>
      <c r="N19" s="285"/>
      <c r="O19" s="285"/>
      <c r="P19" s="285"/>
      <c r="Q19" s="285"/>
      <c r="R19" s="285"/>
      <c r="S19" s="268"/>
      <c r="T19" s="2"/>
      <c r="U19" s="2"/>
    </row>
    <row r="20" spans="1:21" ht="18">
      <c r="A20" s="285"/>
      <c r="B20" s="428">
        <v>8</v>
      </c>
      <c r="C20" s="419"/>
      <c r="D20" s="419"/>
      <c r="E20" s="419" t="s">
        <v>335</v>
      </c>
      <c r="F20" s="419"/>
      <c r="G20" s="421" t="s">
        <v>42</v>
      </c>
      <c r="H20" s="421" t="s">
        <v>41</v>
      </c>
      <c r="I20" s="266" t="str">
        <f t="shared" si="2"/>
        <v>@est.mep.go.cr</v>
      </c>
      <c r="J20" s="422"/>
      <c r="K20" s="423"/>
      <c r="L20" s="285"/>
      <c r="M20" s="285"/>
      <c r="N20" s="285"/>
      <c r="O20" s="285"/>
      <c r="P20" s="285"/>
      <c r="Q20" s="285"/>
      <c r="R20" s="285"/>
      <c r="S20" s="268"/>
      <c r="T20" s="2"/>
      <c r="U20" s="2"/>
    </row>
    <row r="21" spans="1:21" ht="18">
      <c r="A21" s="285"/>
      <c r="B21" s="428">
        <v>9</v>
      </c>
      <c r="C21" s="419" t="s">
        <v>337</v>
      </c>
      <c r="D21" s="419"/>
      <c r="E21" s="419" t="s">
        <v>336</v>
      </c>
      <c r="F21" s="419"/>
      <c r="G21" s="421" t="s">
        <v>42</v>
      </c>
      <c r="H21" s="421" t="s">
        <v>41</v>
      </c>
      <c r="I21" s="266" t="str">
        <f t="shared" si="2"/>
        <v>@est.mep.go.cr</v>
      </c>
      <c r="J21" s="422"/>
      <c r="K21" s="423"/>
      <c r="L21" s="285"/>
      <c r="M21" s="285"/>
      <c r="N21" s="285"/>
      <c r="O21" s="285"/>
      <c r="P21" s="285"/>
      <c r="Q21" s="285"/>
      <c r="R21" s="285"/>
      <c r="S21" s="268"/>
      <c r="T21" s="2"/>
      <c r="U21" s="2"/>
    </row>
    <row r="22" spans="1:21" ht="18">
      <c r="A22" s="285"/>
      <c r="B22" s="428">
        <v>10</v>
      </c>
      <c r="C22" s="419"/>
      <c r="D22" s="419"/>
      <c r="E22" s="419" t="s">
        <v>338</v>
      </c>
      <c r="F22" s="419"/>
      <c r="G22" s="421" t="s">
        <v>42</v>
      </c>
      <c r="H22" s="421" t="s">
        <v>41</v>
      </c>
      <c r="I22" s="266" t="str">
        <f t="shared" si="2"/>
        <v>@est.mep.go.cr</v>
      </c>
      <c r="J22" s="422"/>
      <c r="K22" s="423"/>
      <c r="L22" s="285"/>
      <c r="M22" s="285"/>
      <c r="N22" s="285"/>
      <c r="O22" s="285"/>
      <c r="P22" s="285"/>
      <c r="Q22" s="285"/>
      <c r="R22" s="285"/>
      <c r="S22" s="268"/>
      <c r="T22" s="2"/>
      <c r="U22" s="2"/>
    </row>
    <row r="23" spans="1:21" ht="18">
      <c r="A23" s="285"/>
      <c r="B23" s="428">
        <v>11</v>
      </c>
      <c r="C23" s="419" t="s">
        <v>341</v>
      </c>
      <c r="D23" s="419"/>
      <c r="E23" s="419" t="s">
        <v>339</v>
      </c>
      <c r="F23" s="419"/>
      <c r="G23" s="421" t="s">
        <v>42</v>
      </c>
      <c r="H23" s="421" t="s">
        <v>41</v>
      </c>
      <c r="I23" s="266" t="str">
        <f t="shared" si="2"/>
        <v>@est.mep.go.cr</v>
      </c>
      <c r="J23" s="422"/>
      <c r="K23" s="423"/>
      <c r="L23" s="285"/>
      <c r="M23" s="285"/>
      <c r="N23" s="285"/>
      <c r="O23" s="285"/>
      <c r="P23" s="285"/>
      <c r="Q23" s="285"/>
      <c r="R23" s="285"/>
      <c r="S23" s="268"/>
      <c r="T23" s="2"/>
      <c r="U23" s="2"/>
    </row>
    <row r="24" spans="1:21" ht="18">
      <c r="A24" s="285"/>
      <c r="B24" s="428">
        <v>12</v>
      </c>
      <c r="C24" s="419"/>
      <c r="D24" s="419"/>
      <c r="E24" s="419" t="s">
        <v>340</v>
      </c>
      <c r="F24" s="419"/>
      <c r="G24" s="421" t="s">
        <v>42</v>
      </c>
      <c r="H24" s="421" t="s">
        <v>41</v>
      </c>
      <c r="I24" s="266" t="str">
        <f t="shared" si="2"/>
        <v>@est.mep.go.cr</v>
      </c>
      <c r="J24" s="422"/>
      <c r="K24" s="423"/>
      <c r="L24" s="285"/>
      <c r="M24" s="285"/>
      <c r="N24" s="285"/>
      <c r="O24" s="285"/>
      <c r="P24" s="285"/>
      <c r="Q24" s="285"/>
      <c r="R24" s="285"/>
      <c r="S24" s="268"/>
      <c r="T24" s="2"/>
      <c r="U24" s="2"/>
    </row>
    <row r="25" spans="1:21" ht="18">
      <c r="A25" s="285"/>
      <c r="B25" s="428">
        <v>13</v>
      </c>
      <c r="C25" s="419"/>
      <c r="D25" s="419"/>
      <c r="E25" s="419" t="s">
        <v>342</v>
      </c>
      <c r="F25" s="419"/>
      <c r="G25" s="421" t="s">
        <v>42</v>
      </c>
      <c r="H25" s="421" t="s">
        <v>41</v>
      </c>
      <c r="I25" s="266" t="str">
        <f t="shared" si="2"/>
        <v>@est.mep.go.cr</v>
      </c>
      <c r="J25" s="422"/>
      <c r="K25" s="423"/>
      <c r="L25" s="285"/>
      <c r="M25" s="285"/>
      <c r="N25" s="285"/>
      <c r="O25" s="285"/>
      <c r="P25" s="285"/>
      <c r="Q25" s="285"/>
      <c r="R25" s="285"/>
      <c r="S25" s="268"/>
      <c r="T25" s="2"/>
      <c r="U25" s="2"/>
    </row>
    <row r="26" spans="1:21" ht="18">
      <c r="A26" s="285"/>
      <c r="B26" s="428">
        <v>14</v>
      </c>
      <c r="C26" s="419"/>
      <c r="D26" s="419"/>
      <c r="E26" s="419" t="s">
        <v>343</v>
      </c>
      <c r="F26" s="419"/>
      <c r="G26" s="421" t="s">
        <v>42</v>
      </c>
      <c r="H26" s="421" t="s">
        <v>41</v>
      </c>
      <c r="I26" s="266" t="str">
        <f t="shared" si="2"/>
        <v>@est.mep.go.cr</v>
      </c>
      <c r="J26" s="422"/>
      <c r="K26" s="423"/>
      <c r="L26" s="285"/>
      <c r="M26" s="285"/>
      <c r="N26" s="285"/>
      <c r="O26" s="285"/>
      <c r="P26" s="285"/>
      <c r="Q26" s="285"/>
      <c r="R26" s="285"/>
      <c r="S26" s="268"/>
      <c r="T26" s="2"/>
      <c r="U26" s="2"/>
    </row>
    <row r="27" spans="1:21" ht="18">
      <c r="A27" s="285"/>
      <c r="B27" s="428">
        <v>15</v>
      </c>
      <c r="C27" s="419" t="s">
        <v>346</v>
      </c>
      <c r="D27" s="419" t="s">
        <v>347</v>
      </c>
      <c r="E27" s="419" t="s">
        <v>336</v>
      </c>
      <c r="F27" s="419"/>
      <c r="G27" s="421" t="s">
        <v>42</v>
      </c>
      <c r="H27" s="421" t="s">
        <v>41</v>
      </c>
      <c r="I27" s="266" t="str">
        <f t="shared" si="2"/>
        <v>@est.mep.go.cr</v>
      </c>
      <c r="J27" s="422"/>
      <c r="K27" s="423"/>
      <c r="L27" s="285"/>
      <c r="M27" s="285"/>
      <c r="N27" s="285"/>
      <c r="O27" s="285"/>
      <c r="P27" s="285"/>
      <c r="Q27" s="285"/>
      <c r="R27" s="285"/>
      <c r="S27" s="268"/>
      <c r="T27" s="2"/>
      <c r="U27" s="2"/>
    </row>
    <row r="28" spans="1:21" ht="18">
      <c r="A28" s="285"/>
      <c r="B28" s="428">
        <v>16</v>
      </c>
      <c r="C28" s="419"/>
      <c r="D28" s="419"/>
      <c r="E28" s="419" t="s">
        <v>350</v>
      </c>
      <c r="F28" s="420"/>
      <c r="G28" s="421" t="s">
        <v>42</v>
      </c>
      <c r="H28" s="421" t="s">
        <v>41</v>
      </c>
      <c r="I28" s="266" t="str">
        <f t="shared" si="2"/>
        <v>@est.mep.go.cr</v>
      </c>
      <c r="J28" s="422"/>
      <c r="K28" s="423"/>
      <c r="L28" s="285"/>
      <c r="M28" s="285"/>
      <c r="N28" s="285"/>
      <c r="O28" s="285"/>
      <c r="P28" s="285"/>
      <c r="Q28" s="285"/>
      <c r="R28" s="285"/>
      <c r="S28" s="268"/>
      <c r="T28" s="2"/>
      <c r="U28" s="2"/>
    </row>
    <row r="29" spans="1:21" ht="18">
      <c r="A29" s="285"/>
      <c r="B29" s="428">
        <v>17</v>
      </c>
      <c r="C29" s="419" t="s">
        <v>351</v>
      </c>
      <c r="D29" s="419"/>
      <c r="E29" s="419" t="s">
        <v>352</v>
      </c>
      <c r="F29" s="420"/>
      <c r="G29" s="421" t="s">
        <v>42</v>
      </c>
      <c r="H29" s="421" t="s">
        <v>41</v>
      </c>
      <c r="I29" s="266" t="str">
        <f t="shared" si="2"/>
        <v>@est.mep.go.cr</v>
      </c>
      <c r="J29" s="424"/>
      <c r="K29" s="423"/>
      <c r="L29" s="285"/>
      <c r="M29" s="285"/>
      <c r="N29" s="285"/>
      <c r="O29" s="285"/>
      <c r="P29" s="285"/>
      <c r="Q29" s="285"/>
      <c r="R29" s="285"/>
      <c r="S29" s="268"/>
      <c r="T29" s="2"/>
      <c r="U29" s="2"/>
    </row>
    <row r="30" spans="1:21" ht="18">
      <c r="A30" s="285"/>
      <c r="B30" s="428">
        <v>18</v>
      </c>
      <c r="C30" s="419" t="s">
        <v>355</v>
      </c>
      <c r="D30" s="419"/>
      <c r="E30" s="419" t="s">
        <v>334</v>
      </c>
      <c r="F30" s="420"/>
      <c r="G30" s="421" t="s">
        <v>42</v>
      </c>
      <c r="H30" s="421" t="s">
        <v>41</v>
      </c>
      <c r="I30" s="266" t="str">
        <f t="shared" si="2"/>
        <v>@est.mep.go.cr</v>
      </c>
      <c r="J30" s="424"/>
      <c r="K30" s="423"/>
      <c r="L30" s="285"/>
      <c r="M30" s="285"/>
      <c r="N30" s="285"/>
      <c r="O30" s="285"/>
      <c r="P30" s="285"/>
      <c r="Q30" s="285"/>
      <c r="R30" s="285"/>
      <c r="S30" s="268"/>
      <c r="T30" s="2"/>
      <c r="U30" s="2"/>
    </row>
    <row r="31" spans="1:21" ht="18">
      <c r="A31" s="285"/>
      <c r="B31" s="428">
        <v>19</v>
      </c>
      <c r="C31" s="419"/>
      <c r="D31" s="419" t="s">
        <v>359</v>
      </c>
      <c r="E31" s="419"/>
      <c r="F31" s="420"/>
      <c r="G31" s="421" t="s">
        <v>42</v>
      </c>
      <c r="H31" s="421" t="s">
        <v>41</v>
      </c>
      <c r="I31" s="266" t="str">
        <f t="shared" si="2"/>
        <v>@est.mep.go.cr</v>
      </c>
      <c r="J31" s="424"/>
      <c r="K31" s="423"/>
      <c r="L31" s="285"/>
      <c r="M31" s="285"/>
      <c r="N31" s="285"/>
      <c r="O31" s="285"/>
      <c r="P31" s="285"/>
      <c r="Q31" s="285"/>
      <c r="R31" s="285"/>
      <c r="S31" s="268"/>
      <c r="T31" s="2"/>
      <c r="U31" s="2"/>
    </row>
    <row r="32" spans="1:21" ht="18">
      <c r="A32" s="285"/>
      <c r="B32" s="428">
        <v>20</v>
      </c>
      <c r="C32" s="419"/>
      <c r="D32" s="419" t="s">
        <v>360</v>
      </c>
      <c r="E32" s="419"/>
      <c r="F32" s="420"/>
      <c r="G32" s="421" t="s">
        <v>42</v>
      </c>
      <c r="H32" s="421" t="s">
        <v>41</v>
      </c>
      <c r="I32" s="266" t="str">
        <f t="shared" si="2"/>
        <v>@est.mep.go.cr</v>
      </c>
      <c r="J32" s="424"/>
      <c r="K32" s="423"/>
      <c r="L32" s="285"/>
      <c r="M32" s="285"/>
      <c r="N32" s="285"/>
      <c r="O32" s="285"/>
      <c r="P32" s="285"/>
      <c r="Q32" s="285"/>
      <c r="R32" s="285"/>
      <c r="S32" s="268"/>
      <c r="T32" s="2"/>
      <c r="U32" s="2"/>
    </row>
    <row r="33" spans="1:21" ht="18">
      <c r="A33" s="285"/>
      <c r="B33" s="428">
        <v>21</v>
      </c>
      <c r="C33" s="419"/>
      <c r="D33" s="419"/>
      <c r="E33" s="419"/>
      <c r="F33" s="420"/>
      <c r="G33" s="421" t="s">
        <v>42</v>
      </c>
      <c r="H33" s="421" t="s">
        <v>41</v>
      </c>
      <c r="I33" s="266" t="str">
        <f t="shared" si="2"/>
        <v>@est.mep.go.cr</v>
      </c>
      <c r="J33" s="424"/>
      <c r="K33" s="423"/>
      <c r="L33" s="285"/>
      <c r="M33" s="285"/>
      <c r="N33" s="285"/>
      <c r="O33" s="285"/>
      <c r="P33" s="285"/>
      <c r="Q33" s="285"/>
      <c r="R33" s="285"/>
      <c r="S33" s="268"/>
      <c r="T33" s="2"/>
      <c r="U33" s="2"/>
    </row>
    <row r="34" spans="1:21" ht="18">
      <c r="A34" s="285"/>
      <c r="B34" s="428">
        <v>22</v>
      </c>
      <c r="C34" s="419"/>
      <c r="D34" s="419"/>
      <c r="E34" s="419"/>
      <c r="F34" s="420"/>
      <c r="G34" s="421" t="s">
        <v>42</v>
      </c>
      <c r="H34" s="421" t="s">
        <v>41</v>
      </c>
      <c r="I34" s="266" t="str">
        <f t="shared" si="2"/>
        <v>@est.mep.go.cr</v>
      </c>
      <c r="J34" s="424"/>
      <c r="K34" s="423"/>
      <c r="L34" s="285"/>
      <c r="M34" s="285"/>
      <c r="N34" s="285"/>
      <c r="O34" s="285"/>
      <c r="P34" s="285"/>
      <c r="Q34" s="285"/>
      <c r="R34" s="285"/>
      <c r="S34" s="268"/>
      <c r="T34" s="2"/>
      <c r="U34" s="2"/>
    </row>
    <row r="35" spans="1:21" ht="18">
      <c r="A35" s="285"/>
      <c r="B35" s="428">
        <v>23</v>
      </c>
      <c r="C35" s="419"/>
      <c r="D35" s="419"/>
      <c r="E35" s="419"/>
      <c r="F35" s="420"/>
      <c r="G35" s="421" t="s">
        <v>42</v>
      </c>
      <c r="H35" s="421" t="s">
        <v>41</v>
      </c>
      <c r="I35" s="266" t="str">
        <f t="shared" si="2"/>
        <v>@est.mep.go.cr</v>
      </c>
      <c r="J35" s="424"/>
      <c r="K35" s="423"/>
      <c r="L35" s="285"/>
      <c r="M35" s="285"/>
      <c r="N35" s="285"/>
      <c r="O35" s="285"/>
      <c r="P35" s="285"/>
      <c r="Q35" s="285"/>
      <c r="R35" s="285"/>
      <c r="S35" s="268"/>
      <c r="T35" s="2"/>
      <c r="U35" s="2"/>
    </row>
    <row r="36" spans="1:21" ht="18">
      <c r="A36" s="285"/>
      <c r="B36" s="428">
        <v>24</v>
      </c>
      <c r="C36" s="419"/>
      <c r="D36" s="419"/>
      <c r="E36" s="419"/>
      <c r="F36" s="420"/>
      <c r="G36" s="421" t="s">
        <v>42</v>
      </c>
      <c r="H36" s="421" t="s">
        <v>41</v>
      </c>
      <c r="I36" s="266" t="str">
        <f t="shared" si="2"/>
        <v>@est.mep.go.cr</v>
      </c>
      <c r="J36" s="424"/>
      <c r="K36" s="423"/>
      <c r="L36" s="285"/>
      <c r="M36" s="285"/>
      <c r="N36" s="285"/>
      <c r="O36" s="285"/>
      <c r="P36" s="285"/>
      <c r="Q36" s="285"/>
      <c r="R36" s="285"/>
      <c r="S36" s="268"/>
      <c r="T36" s="2"/>
      <c r="U36" s="2"/>
    </row>
    <row r="37" spans="1:21" ht="18">
      <c r="A37" s="285"/>
      <c r="B37" s="428">
        <v>25</v>
      </c>
      <c r="C37" s="419"/>
      <c r="D37" s="419"/>
      <c r="E37" s="419"/>
      <c r="F37" s="420"/>
      <c r="G37" s="421" t="s">
        <v>42</v>
      </c>
      <c r="H37" s="421" t="s">
        <v>41</v>
      </c>
      <c r="I37" s="266" t="str">
        <f t="shared" si="2"/>
        <v>@est.mep.go.cr</v>
      </c>
      <c r="J37" s="424"/>
      <c r="K37" s="423"/>
      <c r="L37" s="285"/>
      <c r="M37" s="285"/>
      <c r="N37" s="285"/>
      <c r="O37" s="285"/>
      <c r="P37" s="285"/>
      <c r="Q37" s="285"/>
      <c r="R37" s="285"/>
      <c r="S37" s="268"/>
      <c r="T37" s="2"/>
      <c r="U37" s="2"/>
    </row>
    <row r="38" spans="1:21" ht="18">
      <c r="A38" s="285"/>
      <c r="B38" s="428">
        <v>26</v>
      </c>
      <c r="C38" s="419"/>
      <c r="D38" s="419"/>
      <c r="E38" s="419"/>
      <c r="F38" s="420"/>
      <c r="G38" s="421" t="s">
        <v>42</v>
      </c>
      <c r="H38" s="421" t="s">
        <v>41</v>
      </c>
      <c r="I38" s="266" t="str">
        <f t="shared" si="2"/>
        <v>@est.mep.go.cr</v>
      </c>
      <c r="J38" s="424"/>
      <c r="K38" s="423"/>
      <c r="L38" s="285"/>
      <c r="M38" s="285"/>
      <c r="N38" s="285"/>
      <c r="O38" s="285"/>
      <c r="P38" s="285"/>
      <c r="Q38" s="285"/>
      <c r="R38" s="285"/>
      <c r="S38" s="268"/>
      <c r="T38" s="2"/>
      <c r="U38" s="2"/>
    </row>
    <row r="39" spans="1:21" ht="18">
      <c r="A39" s="285"/>
      <c r="B39" s="428">
        <v>27</v>
      </c>
      <c r="C39" s="419"/>
      <c r="D39" s="419"/>
      <c r="E39" s="419"/>
      <c r="F39" s="420"/>
      <c r="G39" s="421" t="s">
        <v>42</v>
      </c>
      <c r="H39" s="421" t="s">
        <v>41</v>
      </c>
      <c r="I39" s="266" t="str">
        <f t="shared" si="2"/>
        <v>@est.mep.go.cr</v>
      </c>
      <c r="J39" s="424"/>
      <c r="K39" s="423"/>
      <c r="L39" s="285"/>
      <c r="M39" s="285"/>
      <c r="N39" s="285"/>
      <c r="O39" s="285"/>
      <c r="P39" s="285"/>
      <c r="Q39" s="285"/>
      <c r="R39" s="285"/>
      <c r="S39" s="268"/>
      <c r="T39" s="2"/>
      <c r="U39" s="2"/>
    </row>
    <row r="40" spans="1:21" ht="18">
      <c r="A40" s="285"/>
      <c r="B40" s="428">
        <v>28</v>
      </c>
      <c r="C40" s="419"/>
      <c r="D40" s="419"/>
      <c r="E40" s="419"/>
      <c r="F40" s="420"/>
      <c r="G40" s="421" t="s">
        <v>42</v>
      </c>
      <c r="H40" s="421" t="s">
        <v>41</v>
      </c>
      <c r="I40" s="266" t="str">
        <f t="shared" si="2"/>
        <v>@est.mep.go.cr</v>
      </c>
      <c r="J40" s="424"/>
      <c r="K40" s="423"/>
      <c r="L40" s="285"/>
      <c r="M40" s="285"/>
      <c r="N40" s="285"/>
      <c r="O40" s="285"/>
      <c r="P40" s="285"/>
      <c r="Q40" s="285"/>
      <c r="R40" s="285"/>
      <c r="S40" s="268"/>
      <c r="T40" s="2"/>
      <c r="U40" s="2"/>
    </row>
    <row r="41" spans="1:21" ht="18">
      <c r="A41" s="285"/>
      <c r="B41" s="428">
        <v>29</v>
      </c>
      <c r="C41" s="419"/>
      <c r="D41" s="419"/>
      <c r="E41" s="419"/>
      <c r="F41" s="420"/>
      <c r="G41" s="421" t="s">
        <v>42</v>
      </c>
      <c r="H41" s="421" t="s">
        <v>41</v>
      </c>
      <c r="I41" s="266" t="str">
        <f t="shared" si="2"/>
        <v>@est.mep.go.cr</v>
      </c>
      <c r="J41" s="424"/>
      <c r="K41" s="423"/>
      <c r="L41" s="285"/>
      <c r="M41" s="285"/>
      <c r="N41" s="285"/>
      <c r="O41" s="285"/>
      <c r="P41" s="285"/>
      <c r="Q41" s="285"/>
      <c r="R41" s="285"/>
      <c r="S41" s="268"/>
      <c r="T41" s="2"/>
      <c r="U41" s="2"/>
    </row>
    <row r="42" spans="1:21" ht="18">
      <c r="A42" s="285"/>
      <c r="B42" s="428">
        <v>30</v>
      </c>
      <c r="C42" s="419"/>
      <c r="D42" s="419"/>
      <c r="E42" s="419"/>
      <c r="F42" s="420"/>
      <c r="G42" s="421" t="s">
        <v>42</v>
      </c>
      <c r="H42" s="421" t="s">
        <v>41</v>
      </c>
      <c r="I42" s="266" t="str">
        <f t="shared" si="2"/>
        <v>@est.mep.go.cr</v>
      </c>
      <c r="J42" s="424"/>
      <c r="K42" s="423"/>
      <c r="L42" s="285"/>
      <c r="M42" s="285"/>
      <c r="N42" s="285"/>
      <c r="O42" s="285"/>
      <c r="P42" s="285"/>
      <c r="Q42" s="285"/>
      <c r="R42" s="285"/>
      <c r="S42" s="268"/>
      <c r="T42" s="2"/>
      <c r="U42" s="2"/>
    </row>
    <row r="43" spans="1:21" ht="18">
      <c r="A43" s="285"/>
      <c r="B43" s="428">
        <v>31</v>
      </c>
      <c r="C43" s="419"/>
      <c r="D43" s="419"/>
      <c r="E43" s="419"/>
      <c r="F43" s="420"/>
      <c r="G43" s="421" t="s">
        <v>42</v>
      </c>
      <c r="H43" s="421" t="s">
        <v>41</v>
      </c>
      <c r="I43" s="266" t="str">
        <f t="shared" si="2"/>
        <v>@est.mep.go.cr</v>
      </c>
      <c r="J43" s="424"/>
      <c r="K43" s="423"/>
      <c r="L43" s="285"/>
      <c r="M43" s="285"/>
      <c r="N43" s="285"/>
      <c r="O43" s="285"/>
      <c r="P43" s="285"/>
      <c r="Q43" s="285"/>
      <c r="R43" s="285"/>
      <c r="S43" s="268"/>
      <c r="T43" s="2"/>
      <c r="U43" s="2"/>
    </row>
    <row r="44" spans="1:21" ht="18">
      <c r="A44" s="285"/>
      <c r="B44" s="428">
        <v>32</v>
      </c>
      <c r="C44" s="419"/>
      <c r="D44" s="419"/>
      <c r="E44" s="419"/>
      <c r="F44" s="420"/>
      <c r="G44" s="421" t="s">
        <v>42</v>
      </c>
      <c r="H44" s="421" t="s">
        <v>41</v>
      </c>
      <c r="I44" s="266" t="str">
        <f t="shared" si="2"/>
        <v>@est.mep.go.cr</v>
      </c>
      <c r="J44" s="424"/>
      <c r="K44" s="423"/>
      <c r="L44" s="285"/>
      <c r="M44" s="285"/>
      <c r="N44" s="285"/>
      <c r="O44" s="285"/>
      <c r="P44" s="285"/>
      <c r="Q44" s="285"/>
      <c r="R44" s="285"/>
      <c r="S44" s="268"/>
      <c r="T44" s="2"/>
      <c r="U44" s="2"/>
    </row>
    <row r="45" spans="1:21" ht="18">
      <c r="A45" s="285"/>
      <c r="B45" s="428">
        <v>33</v>
      </c>
      <c r="C45" s="419"/>
      <c r="D45" s="419"/>
      <c r="E45" s="419"/>
      <c r="F45" s="420"/>
      <c r="G45" s="421" t="s">
        <v>42</v>
      </c>
      <c r="H45" s="421" t="s">
        <v>41</v>
      </c>
      <c r="I45" s="266" t="str">
        <f t="shared" si="2"/>
        <v>@est.mep.go.cr</v>
      </c>
      <c r="J45" s="424"/>
      <c r="K45" s="423"/>
      <c r="L45" s="285"/>
      <c r="M45" s="285"/>
      <c r="N45" s="285"/>
      <c r="O45" s="285"/>
      <c r="P45" s="285"/>
      <c r="Q45" s="285"/>
      <c r="R45" s="285"/>
      <c r="S45" s="268"/>
      <c r="T45" s="2"/>
      <c r="U45" s="2"/>
    </row>
    <row r="46" spans="1:21" ht="18">
      <c r="A46" s="285"/>
      <c r="B46" s="428">
        <v>34</v>
      </c>
      <c r="C46" s="419"/>
      <c r="D46" s="419"/>
      <c r="E46" s="419"/>
      <c r="F46" s="420"/>
      <c r="G46" s="421" t="s">
        <v>42</v>
      </c>
      <c r="H46" s="421" t="s">
        <v>41</v>
      </c>
      <c r="I46" s="266" t="str">
        <f t="shared" si="2"/>
        <v>@est.mep.go.cr</v>
      </c>
      <c r="J46" s="424"/>
      <c r="K46" s="423"/>
      <c r="L46" s="285"/>
      <c r="M46" s="285"/>
      <c r="N46" s="285"/>
      <c r="O46" s="285"/>
      <c r="P46" s="285"/>
      <c r="Q46" s="285"/>
      <c r="R46" s="285"/>
      <c r="S46" s="268"/>
      <c r="T46" s="2"/>
      <c r="U46" s="2"/>
    </row>
    <row r="47" spans="1:21" ht="18">
      <c r="A47" s="285"/>
      <c r="B47" s="428">
        <v>35</v>
      </c>
      <c r="C47" s="419"/>
      <c r="D47" s="419"/>
      <c r="E47" s="419"/>
      <c r="F47" s="420"/>
      <c r="G47" s="421" t="s">
        <v>42</v>
      </c>
      <c r="H47" s="421" t="s">
        <v>41</v>
      </c>
      <c r="I47" s="266" t="str">
        <f t="shared" si="2"/>
        <v>@est.mep.go.cr</v>
      </c>
      <c r="J47" s="424"/>
      <c r="K47" s="423"/>
      <c r="L47" s="285"/>
      <c r="M47" s="285"/>
      <c r="N47" s="285"/>
      <c r="O47" s="285"/>
      <c r="P47" s="285"/>
      <c r="Q47" s="285"/>
      <c r="R47" s="285"/>
      <c r="S47" s="268"/>
      <c r="T47" s="2"/>
      <c r="U47" s="2"/>
    </row>
    <row r="48" spans="1:21" ht="18">
      <c r="A48" s="285"/>
      <c r="B48" s="428">
        <v>36</v>
      </c>
      <c r="C48" s="419"/>
      <c r="D48" s="419"/>
      <c r="E48" s="419"/>
      <c r="F48" s="420"/>
      <c r="G48" s="421" t="s">
        <v>42</v>
      </c>
      <c r="H48" s="421" t="s">
        <v>41</v>
      </c>
      <c r="I48" s="266" t="str">
        <f t="shared" si="2"/>
        <v>@est.mep.go.cr</v>
      </c>
      <c r="J48" s="424"/>
      <c r="K48" s="423"/>
      <c r="L48" s="285"/>
      <c r="M48" s="285"/>
      <c r="N48" s="285"/>
      <c r="O48" s="285"/>
      <c r="P48" s="285"/>
      <c r="Q48" s="285"/>
      <c r="R48" s="285"/>
      <c r="S48" s="268"/>
      <c r="T48" s="2"/>
      <c r="U48" s="2"/>
    </row>
    <row r="49" spans="1:21" ht="18">
      <c r="A49" s="285"/>
      <c r="B49" s="428">
        <v>37</v>
      </c>
      <c r="C49" s="419"/>
      <c r="D49" s="419"/>
      <c r="E49" s="419"/>
      <c r="F49" s="420"/>
      <c r="G49" s="421" t="s">
        <v>42</v>
      </c>
      <c r="H49" s="421" t="s">
        <v>41</v>
      </c>
      <c r="I49" s="266" t="str">
        <f t="shared" si="2"/>
        <v>@est.mep.go.cr</v>
      </c>
      <c r="J49" s="424"/>
      <c r="K49" s="423"/>
      <c r="L49" s="285"/>
      <c r="M49" s="285"/>
      <c r="N49" s="285"/>
      <c r="O49" s="285"/>
      <c r="P49" s="285"/>
      <c r="Q49" s="285"/>
      <c r="R49" s="285"/>
      <c r="S49" s="268"/>
      <c r="T49" s="2"/>
      <c r="U49" s="2"/>
    </row>
    <row r="50" spans="1:21" ht="18">
      <c r="A50" s="285"/>
      <c r="B50" s="428">
        <v>38</v>
      </c>
      <c r="C50" s="419"/>
      <c r="D50" s="419"/>
      <c r="E50" s="419"/>
      <c r="F50" s="420"/>
      <c r="G50" s="421" t="s">
        <v>42</v>
      </c>
      <c r="H50" s="421" t="s">
        <v>41</v>
      </c>
      <c r="I50" s="266" t="str">
        <f t="shared" si="2"/>
        <v>@est.mep.go.cr</v>
      </c>
      <c r="J50" s="424"/>
      <c r="K50" s="423"/>
      <c r="L50" s="285"/>
      <c r="M50" s="285"/>
      <c r="N50" s="285"/>
      <c r="O50" s="285"/>
      <c r="P50" s="285"/>
      <c r="Q50" s="285"/>
      <c r="R50" s="285"/>
      <c r="S50" s="268"/>
      <c r="T50" s="2"/>
      <c r="U50" s="2"/>
    </row>
    <row r="51" spans="1:21" ht="18">
      <c r="A51" s="285"/>
      <c r="B51" s="428">
        <v>39</v>
      </c>
      <c r="C51" s="419"/>
      <c r="D51" s="419"/>
      <c r="E51" s="419"/>
      <c r="F51" s="420"/>
      <c r="G51" s="421" t="s">
        <v>42</v>
      </c>
      <c r="H51" s="421" t="s">
        <v>41</v>
      </c>
      <c r="I51" s="266" t="str">
        <f t="shared" si="2"/>
        <v>@est.mep.go.cr</v>
      </c>
      <c r="J51" s="424"/>
      <c r="K51" s="423"/>
      <c r="L51" s="285"/>
      <c r="M51" s="285"/>
      <c r="N51" s="285"/>
      <c r="O51" s="285"/>
      <c r="P51" s="285"/>
      <c r="Q51" s="285"/>
      <c r="R51" s="285"/>
      <c r="S51" s="268"/>
      <c r="T51" s="2"/>
      <c r="U51" s="2"/>
    </row>
    <row r="52" spans="1:21" ht="18">
      <c r="A52" s="285"/>
      <c r="B52" s="428">
        <v>40</v>
      </c>
      <c r="C52" s="419"/>
      <c r="D52" s="419"/>
      <c r="E52" s="419"/>
      <c r="F52" s="420"/>
      <c r="G52" s="421" t="s">
        <v>42</v>
      </c>
      <c r="H52" s="421" t="s">
        <v>41</v>
      </c>
      <c r="I52" s="266" t="str">
        <f t="shared" si="2"/>
        <v>@est.mep.go.cr</v>
      </c>
      <c r="J52" s="424"/>
      <c r="K52" s="423"/>
      <c r="L52" s="285"/>
      <c r="M52" s="285"/>
      <c r="N52" s="285"/>
      <c r="O52" s="285"/>
      <c r="P52" s="285"/>
      <c r="Q52" s="285"/>
      <c r="R52" s="285"/>
      <c r="S52" s="268"/>
      <c r="T52" s="2"/>
      <c r="U52" s="2"/>
    </row>
    <row r="53" spans="1:21">
      <c r="A53" s="285"/>
      <c r="B53" s="289"/>
      <c r="C53" s="285"/>
      <c r="D53" s="285"/>
      <c r="E53" s="285"/>
      <c r="F53" s="290"/>
      <c r="G53" s="289"/>
      <c r="H53" s="285"/>
      <c r="I53" s="285"/>
      <c r="J53" s="290"/>
      <c r="K53" s="285"/>
      <c r="L53" s="285"/>
      <c r="M53" s="285"/>
      <c r="N53" s="285"/>
      <c r="O53" s="285"/>
      <c r="P53" s="285"/>
      <c r="Q53" s="285"/>
      <c r="R53" s="285"/>
      <c r="S53" s="268"/>
      <c r="T53" s="2"/>
      <c r="U53" s="2"/>
    </row>
    <row r="54" spans="1:21" hidden="1">
      <c r="B54" s="3"/>
      <c r="C54" s="2"/>
      <c r="D54" s="2"/>
      <c r="E54" s="2"/>
      <c r="F54" s="37"/>
      <c r="G54" s="3"/>
      <c r="H54" s="2"/>
      <c r="I54" s="2"/>
      <c r="J54" s="37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</row>
  </sheetData>
  <mergeCells count="9">
    <mergeCell ref="K4:L4"/>
    <mergeCell ref="C8:F8"/>
    <mergeCell ref="C9:F9"/>
    <mergeCell ref="C10:F10"/>
    <mergeCell ref="C3:F3"/>
    <mergeCell ref="C4:F4"/>
    <mergeCell ref="C5:F5"/>
    <mergeCell ref="C6:F6"/>
    <mergeCell ref="C7:F7"/>
  </mergeCells>
  <phoneticPr fontId="24" type="noConversion"/>
  <pageMargins left="0.7" right="0.7" top="0.75" bottom="0.75" header="0.3" footer="0.3"/>
  <pageSetup paperSize="9"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4">
    <tabColor theme="4" tint="-0.249977111117893"/>
  </sheetPr>
  <dimension ref="A1:AD135"/>
  <sheetViews>
    <sheetView showGridLines="0" zoomScale="70" zoomScaleNormal="66" workbookViewId="0">
      <selection activeCell="T9" sqref="T9"/>
    </sheetView>
  </sheetViews>
  <sheetFormatPr baseColWidth="10" defaultRowHeight="15"/>
  <cols>
    <col min="1" max="1" width="4" style="44" bestFit="1" customWidth="1" collapsed="1"/>
    <col min="2" max="2" width="17.28515625" bestFit="1" customWidth="1" collapsed="1"/>
    <col min="3" max="3" width="18" bestFit="1" customWidth="1" collapsed="1"/>
    <col min="4" max="4" width="26.85546875" style="44" customWidth="1" collapsed="1"/>
    <col min="5" max="5" width="14.42578125" customWidth="1" collapsed="1"/>
    <col min="6" max="6" width="6.140625" customWidth="1" collapsed="1"/>
    <col min="7" max="7" width="12.5703125" customWidth="1" collapsed="1"/>
    <col min="8" max="8" width="6.140625" customWidth="1" collapsed="1"/>
    <col min="9" max="9" width="13.28515625" customWidth="1" collapsed="1"/>
    <col min="10" max="10" width="6.140625" customWidth="1" collapsed="1"/>
    <col min="11" max="11" width="10.7109375" bestFit="1" customWidth="1" collapsed="1"/>
    <col min="12" max="12" width="6.140625" bestFit="1" customWidth="1" collapsed="1"/>
    <col min="13" max="13" width="14.5703125" bestFit="1" customWidth="1" collapsed="1"/>
    <col min="14" max="14" width="6.140625" customWidth="1" collapsed="1"/>
    <col min="15" max="15" width="12" bestFit="1" customWidth="1" collapsed="1"/>
    <col min="16" max="17" width="4.28515625" bestFit="1" customWidth="1" collapsed="1"/>
    <col min="18" max="18" width="7.5703125" bestFit="1" customWidth="1" collapsed="1"/>
    <col min="19" max="19" width="12.7109375" customWidth="1" collapsed="1"/>
    <col min="20" max="20" width="29.7109375" customWidth="1"/>
    <col min="21" max="21" width="15.28515625" customWidth="1" collapsed="1"/>
    <col min="22" max="22" width="7.28515625" hidden="1" customWidth="1"/>
    <col min="26" max="28" width="0" hidden="1" customWidth="1"/>
    <col min="29" max="29" width="10.140625" hidden="1" customWidth="1"/>
    <col min="30" max="30" width="0" hidden="1" customWidth="1"/>
  </cols>
  <sheetData>
    <row r="1" spans="1:30" s="2" customFormat="1" ht="32.25" thickBot="1">
      <c r="A1" s="334"/>
      <c r="B1" s="334"/>
      <c r="C1" s="334"/>
      <c r="D1" s="334"/>
      <c r="E1" s="264"/>
      <c r="F1" s="264"/>
      <c r="G1" s="264"/>
      <c r="H1" s="264"/>
      <c r="I1" s="264"/>
      <c r="J1" s="264"/>
      <c r="K1" s="238"/>
      <c r="L1" s="238"/>
      <c r="M1" s="238"/>
      <c r="N1" s="238"/>
      <c r="O1" s="238"/>
      <c r="P1" s="238"/>
      <c r="Q1" s="238"/>
      <c r="R1" s="238"/>
      <c r="S1" s="239"/>
    </row>
    <row r="2" spans="1:30" ht="30" customHeight="1" thickBot="1">
      <c r="A2" s="305" t="s">
        <v>37</v>
      </c>
      <c r="B2" s="306" t="s">
        <v>38</v>
      </c>
      <c r="C2" s="306" t="s">
        <v>39</v>
      </c>
      <c r="D2" s="306" t="s">
        <v>36</v>
      </c>
      <c r="E2" s="306" t="s">
        <v>69</v>
      </c>
      <c r="F2" s="307">
        <f>'COTIDIANO - IS'!$AA$15</f>
        <v>0.6</v>
      </c>
      <c r="G2" s="306" t="s">
        <v>152</v>
      </c>
      <c r="H2" s="307">
        <f>'EXAMENES - IS'!$F$14</f>
        <v>0.15</v>
      </c>
      <c r="I2" s="306" t="s">
        <v>319</v>
      </c>
      <c r="J2" s="307">
        <f>'EXAMENES - IS'!$I$14</f>
        <v>0.25</v>
      </c>
      <c r="K2" s="306" t="s">
        <v>206</v>
      </c>
      <c r="L2" s="307">
        <f>'Registro General'!$AH$15</f>
        <v>0.1</v>
      </c>
      <c r="M2" s="306" t="s">
        <v>70</v>
      </c>
      <c r="N2" s="308">
        <f>ASISTENCIA!$BX$7</f>
        <v>0.1</v>
      </c>
      <c r="O2" s="309" t="s">
        <v>16</v>
      </c>
      <c r="P2" s="238"/>
      <c r="Q2" s="238"/>
      <c r="R2" s="238"/>
      <c r="S2" s="239"/>
      <c r="T2" s="854" t="s">
        <v>263</v>
      </c>
      <c r="U2" s="855"/>
      <c r="V2" s="855"/>
      <c r="W2" s="856"/>
    </row>
    <row r="3" spans="1:30" ht="34.5" customHeight="1" thickTop="1" thickBot="1">
      <c r="A3" s="249">
        <v>1</v>
      </c>
      <c r="B3" s="674" t="str">
        <f>IFERROR(IF(VLOOKUP(A3,'REGISTRO DATOS'!B:H,2,0)=0,"",VLOOKUP(A3,'REGISTRO DATOS'!B:H,2,0)),"")</f>
        <v/>
      </c>
      <c r="C3" s="674" t="str">
        <f>IFERROR(IF(VLOOKUP(A3,'REGISTRO DATOS'!B:H,3,0)=0,"",VLOOKUP(A3,'REGISTRO DATOS'!B:H,3,0)),"")</f>
        <v/>
      </c>
      <c r="D3" s="674" t="str">
        <f>IFERROR(IF(VLOOKUP(A3,'REGISTRO DATOS'!B:H,4,0)=0,"",VLOOKUP(A3,'REGISTRO DATOS'!B:H,4,0)),"")</f>
        <v>MARIANELA</v>
      </c>
      <c r="E3" s="844">
        <f>'COTIDIANO - IS'!AA16</f>
        <v>60</v>
      </c>
      <c r="F3" s="845"/>
      <c r="G3" s="844">
        <f>'EXAMENES - IS'!F15</f>
        <v>15</v>
      </c>
      <c r="H3" s="845"/>
      <c r="I3" s="844">
        <f>'EXAMENES - IS'!I15</f>
        <v>22.222222222222221</v>
      </c>
      <c r="J3" s="845"/>
      <c r="K3" s="857">
        <f>'Registro General'!AH16</f>
        <v>10</v>
      </c>
      <c r="L3" s="858"/>
      <c r="M3" s="859">
        <f>ASISTENCIA!I8</f>
        <v>10</v>
      </c>
      <c r="N3" s="860"/>
      <c r="O3" s="252">
        <f>SUM(E3:M3)</f>
        <v>117.22222222222223</v>
      </c>
      <c r="P3" s="251"/>
      <c r="Q3" s="251"/>
      <c r="R3" s="232"/>
      <c r="S3" s="237"/>
      <c r="T3" s="851" t="s">
        <v>129</v>
      </c>
      <c r="U3" s="852"/>
      <c r="V3" s="852"/>
      <c r="W3" s="853"/>
      <c r="Z3" s="786" t="s">
        <v>157</v>
      </c>
      <c r="AA3" s="787"/>
      <c r="AB3" s="787"/>
      <c r="AC3" s="788"/>
    </row>
    <row r="4" spans="1:30" ht="30" customHeight="1" thickTop="1" thickBot="1">
      <c r="A4" s="316" t="s">
        <v>37</v>
      </c>
      <c r="B4" s="317" t="s">
        <v>38</v>
      </c>
      <c r="C4" s="317" t="s">
        <v>39</v>
      </c>
      <c r="D4" s="317" t="s">
        <v>36</v>
      </c>
      <c r="E4" s="317" t="s">
        <v>69</v>
      </c>
      <c r="F4" s="318">
        <f>'COTIDIANO - IS'!$AA$15</f>
        <v>0.6</v>
      </c>
      <c r="G4" s="317" t="s">
        <v>152</v>
      </c>
      <c r="H4" s="318">
        <f>'EXAMENES - IS'!$F$14</f>
        <v>0.15</v>
      </c>
      <c r="I4" s="306" t="s">
        <v>319</v>
      </c>
      <c r="J4" s="318">
        <f>'EXAMENES - IS'!$I$14</f>
        <v>0.25</v>
      </c>
      <c r="K4" s="317" t="s">
        <v>206</v>
      </c>
      <c r="L4" s="318">
        <f>'Registro General'!$AH$15</f>
        <v>0.1</v>
      </c>
      <c r="M4" s="317" t="s">
        <v>70</v>
      </c>
      <c r="N4" s="319">
        <f>ASISTENCIA!$BX$7</f>
        <v>0.1</v>
      </c>
      <c r="O4" s="309" t="s">
        <v>16</v>
      </c>
      <c r="P4" s="232"/>
      <c r="Q4" s="232"/>
      <c r="R4" s="232"/>
      <c r="S4" s="237"/>
      <c r="T4" s="233"/>
      <c r="U4" s="234"/>
      <c r="V4" s="43"/>
      <c r="Z4" s="198"/>
      <c r="AA4" s="246"/>
      <c r="AB4" s="224"/>
      <c r="AC4" s="225"/>
    </row>
    <row r="5" spans="1:30" ht="35.25" customHeight="1" thickTop="1" thickBot="1">
      <c r="A5" s="250">
        <v>2</v>
      </c>
      <c r="B5" s="675" t="str">
        <f>IFERROR(IF(VLOOKUP(A5,'REGISTRO DATOS'!B:H,2,0)=0,"",VLOOKUP(A5,'REGISTRO DATOS'!B:H,2,0)),"")</f>
        <v/>
      </c>
      <c r="C5" s="675" t="str">
        <f>IFERROR(IF(VLOOKUP(A5,'REGISTRO DATOS'!B:H,3,0)=0,"",VLOOKUP(A5,'REGISTRO DATOS'!B:H,3,0)),"")</f>
        <v/>
      </c>
      <c r="D5" s="675" t="str">
        <f>IFERROR(IF(VLOOKUP(A5,'REGISTRO DATOS'!B:H,4,0)=0,"",VLOOKUP(A5,'REGISTRO DATOS'!B:H,4,0)),"")</f>
        <v>GENESIS</v>
      </c>
      <c r="E5" s="846">
        <f>'COTIDIANO - IS'!AA17</f>
        <v>0</v>
      </c>
      <c r="F5" s="847"/>
      <c r="G5" s="846">
        <f>'EXAMENES - IS'!F16</f>
        <v>0</v>
      </c>
      <c r="H5" s="847"/>
      <c r="I5" s="846">
        <f>'EXAMENES - IS'!I16</f>
        <v>22.222222222222221</v>
      </c>
      <c r="J5" s="847"/>
      <c r="K5" s="848">
        <f>'Registro General'!AH17</f>
        <v>0</v>
      </c>
      <c r="L5" s="849"/>
      <c r="M5" s="848">
        <f>ASISTENCIA!I9</f>
        <v>10</v>
      </c>
      <c r="N5" s="850"/>
      <c r="O5" s="252">
        <f>SUM(E5 +G5+I5+K5+M5)</f>
        <v>32.222222222222221</v>
      </c>
      <c r="P5" s="232"/>
      <c r="Q5" s="232"/>
      <c r="R5" s="232"/>
      <c r="S5" s="237"/>
      <c r="T5" s="233"/>
      <c r="U5" s="234"/>
      <c r="V5" s="43">
        <f>'REGISTRO DATOS'!J14</f>
        <v>0</v>
      </c>
      <c r="Z5" s="793" t="s">
        <v>130</v>
      </c>
      <c r="AA5" s="794"/>
      <c r="AB5" s="786" t="s">
        <v>131</v>
      </c>
      <c r="AC5" s="788"/>
    </row>
    <row r="6" spans="1:30" ht="30" customHeight="1" thickTop="1" thickBot="1">
      <c r="A6" s="316" t="s">
        <v>37</v>
      </c>
      <c r="B6" s="317" t="s">
        <v>38</v>
      </c>
      <c r="C6" s="317" t="s">
        <v>39</v>
      </c>
      <c r="D6" s="317" t="s">
        <v>36</v>
      </c>
      <c r="E6" s="317" t="s">
        <v>69</v>
      </c>
      <c r="F6" s="318">
        <f>'COTIDIANO - IS'!$AA$15</f>
        <v>0.6</v>
      </c>
      <c r="G6" s="317" t="s">
        <v>152</v>
      </c>
      <c r="H6" s="318">
        <f>'EXAMENES - IS'!$F$14</f>
        <v>0.15</v>
      </c>
      <c r="I6" s="306" t="s">
        <v>319</v>
      </c>
      <c r="J6" s="318">
        <f>'EXAMENES - IS'!$I$14</f>
        <v>0.25</v>
      </c>
      <c r="K6" s="317" t="s">
        <v>206</v>
      </c>
      <c r="L6" s="318">
        <f>'Registro General'!$AH$15</f>
        <v>0.1</v>
      </c>
      <c r="M6" s="317" t="s">
        <v>70</v>
      </c>
      <c r="N6" s="319">
        <f>ASISTENCIA!$BX$7</f>
        <v>0.1</v>
      </c>
      <c r="O6" s="309" t="s">
        <v>16</v>
      </c>
      <c r="P6" s="232"/>
      <c r="Q6" s="232"/>
      <c r="R6" s="232"/>
      <c r="S6" s="237"/>
      <c r="T6" s="233"/>
      <c r="U6" s="234"/>
      <c r="V6" s="43"/>
      <c r="Z6" s="198"/>
      <c r="AA6" s="199"/>
      <c r="AB6" s="198"/>
      <c r="AC6" s="199"/>
    </row>
    <row r="7" spans="1:30" ht="39.75" customHeight="1" thickTop="1" thickBot="1">
      <c r="A7" s="250">
        <v>3</v>
      </c>
      <c r="B7" s="675" t="str">
        <f>IFERROR(IF(VLOOKUP(A7,'REGISTRO DATOS'!B:H,2,0)=0,"",VLOOKUP(A7,'REGISTRO DATOS'!B:H,2,0)),"")</f>
        <v/>
      </c>
      <c r="C7" s="675" t="str">
        <f>IFERROR(IF(VLOOKUP(A7,'REGISTRO DATOS'!B:H,3,0)=0,"",VLOOKUP(A7,'REGISTRO DATOS'!B:H,3,0)),"")</f>
        <v/>
      </c>
      <c r="D7" s="675" t="str">
        <f>IFERROR(IF(VLOOKUP(A7,'REGISTRO DATOS'!B:H,4,0)=0,"",VLOOKUP(A7,'REGISTRO DATOS'!B:H,4,0)),"")</f>
        <v>EILEEN</v>
      </c>
      <c r="E7" s="846">
        <f>'COTIDIANO - IS'!AA18</f>
        <v>0</v>
      </c>
      <c r="F7" s="847"/>
      <c r="G7" s="846">
        <f>'EXAMENES - IS'!F17</f>
        <v>0</v>
      </c>
      <c r="H7" s="847"/>
      <c r="I7" s="846">
        <f>'EXAMENES - IS'!I17</f>
        <v>25</v>
      </c>
      <c r="J7" s="847"/>
      <c r="K7" s="848">
        <f>'Registro General'!AH18</f>
        <v>0</v>
      </c>
      <c r="L7" s="849"/>
      <c r="M7" s="861">
        <f>ASISTENCIA!I10</f>
        <v>10</v>
      </c>
      <c r="N7" s="862"/>
      <c r="O7" s="252">
        <f>SUM(E7 +G7+I7+K7+M7)</f>
        <v>35</v>
      </c>
      <c r="P7" s="232"/>
      <c r="Q7" s="232"/>
      <c r="R7" s="232"/>
      <c r="S7" s="237"/>
      <c r="T7" s="233"/>
      <c r="U7" s="234"/>
      <c r="V7" s="43">
        <f>'REGISTRO DATOS'!J15</f>
        <v>0</v>
      </c>
      <c r="Z7" s="198" t="s">
        <v>156</v>
      </c>
      <c r="AA7" s="199" t="s">
        <v>155</v>
      </c>
      <c r="AB7" s="198" t="s">
        <v>156</v>
      </c>
      <c r="AC7" s="199" t="s">
        <v>155</v>
      </c>
    </row>
    <row r="8" spans="1:30" ht="30" customHeight="1" thickTop="1" thickBot="1">
      <c r="A8" s="312" t="s">
        <v>37</v>
      </c>
      <c r="B8" s="313" t="s">
        <v>38</v>
      </c>
      <c r="C8" s="313" t="s">
        <v>39</v>
      </c>
      <c r="D8" s="313" t="s">
        <v>36</v>
      </c>
      <c r="E8" s="313" t="s">
        <v>69</v>
      </c>
      <c r="F8" s="314">
        <f>'COTIDIANO - IS'!$AA$15</f>
        <v>0.6</v>
      </c>
      <c r="G8" s="313" t="s">
        <v>152</v>
      </c>
      <c r="H8" s="314">
        <f>'EXAMENES - IS'!$F$14</f>
        <v>0.15</v>
      </c>
      <c r="I8" s="306" t="s">
        <v>319</v>
      </c>
      <c r="J8" s="310">
        <f>'EXAMENES - IS'!$I$14</f>
        <v>0.25</v>
      </c>
      <c r="K8" s="313" t="s">
        <v>206</v>
      </c>
      <c r="L8" s="314">
        <f>'Registro General'!$AH$15</f>
        <v>0.1</v>
      </c>
      <c r="M8" s="313" t="s">
        <v>70</v>
      </c>
      <c r="N8" s="315">
        <f>ASISTENCIA!$BX$7</f>
        <v>0.1</v>
      </c>
      <c r="O8" s="311" t="s">
        <v>16</v>
      </c>
      <c r="P8" s="232"/>
      <c r="Q8" s="232"/>
      <c r="R8" s="232"/>
      <c r="S8" s="237"/>
      <c r="T8" s="233"/>
      <c r="U8" s="234"/>
      <c r="V8" s="43"/>
      <c r="Z8" s="247"/>
      <c r="AA8" s="248"/>
      <c r="AB8" s="247"/>
      <c r="AC8" s="248"/>
    </row>
    <row r="9" spans="1:30" ht="36.75" customHeight="1" thickTop="1" thickBot="1">
      <c r="A9" s="250">
        <v>4</v>
      </c>
      <c r="B9" s="675" t="str">
        <f>IFERROR(IF(VLOOKUP(A9,'REGISTRO DATOS'!B:H,2,0)=0,"",VLOOKUP(A9,'REGISTRO DATOS'!B:H,2,0)),"")</f>
        <v/>
      </c>
      <c r="C9" s="675" t="str">
        <f>IFERROR(IF(VLOOKUP(A9,'REGISTRO DATOS'!B:H,3,0)=0,"",VLOOKUP(A9,'REGISTRO DATOS'!B:H,3,0)),"")</f>
        <v/>
      </c>
      <c r="D9" s="675" t="str">
        <f>IFERROR(IF(VLOOKUP(A9,'REGISTRO DATOS'!B:H,4,0)=0,"",VLOOKUP(A9,'REGISTRO DATOS'!B:H,4,0)),"")</f>
        <v>CINDEL</v>
      </c>
      <c r="E9" s="846">
        <f>'COTIDIANO - IS'!AA19</f>
        <v>0</v>
      </c>
      <c r="F9" s="847"/>
      <c r="G9" s="846">
        <f>'EXAMENES - IS'!F18</f>
        <v>0</v>
      </c>
      <c r="H9" s="847"/>
      <c r="I9" s="844">
        <f>'EXAMENES - IS'!I18</f>
        <v>2.7777777777777777</v>
      </c>
      <c r="J9" s="845"/>
      <c r="K9" s="848">
        <f>'Registro General'!AH19</f>
        <v>0</v>
      </c>
      <c r="L9" s="849"/>
      <c r="M9" s="861">
        <f>ASISTENCIA!I11</f>
        <v>6.25</v>
      </c>
      <c r="N9" s="862"/>
      <c r="O9" s="252">
        <f>SUM(E9 +G9+I9+K9+M9)</f>
        <v>9.0277777777777786</v>
      </c>
      <c r="P9" s="232"/>
      <c r="Q9" s="232"/>
      <c r="R9" s="232"/>
      <c r="S9" s="237"/>
      <c r="T9" s="233"/>
      <c r="U9" s="234"/>
      <c r="V9" s="43">
        <f>'REGISTRO DATOS'!J16</f>
        <v>0</v>
      </c>
      <c r="Z9" s="200" t="e">
        <f>COUNTIFS(V3:V81,"H",#REF!,"&lt;70")</f>
        <v>#REF!</v>
      </c>
      <c r="AA9" s="201" t="e">
        <f>COUNTIFS(V3:V81,"H",#REF!,"&gt;70")</f>
        <v>#REF!</v>
      </c>
      <c r="AB9" s="200" t="e">
        <f>COUNTIFS(V3:V81,"M",#REF!,"&lt;70")</f>
        <v>#REF!</v>
      </c>
      <c r="AC9" s="201" t="e">
        <f>COUNTIFS(V3:V81,"M",#REF!,"&gt;70")</f>
        <v>#REF!</v>
      </c>
      <c r="AD9" s="43" t="e">
        <f>SUM(Z9:AC9)</f>
        <v>#REF!</v>
      </c>
    </row>
    <row r="10" spans="1:30" ht="30" customHeight="1" thickTop="1" thickBot="1">
      <c r="A10" s="305" t="s">
        <v>37</v>
      </c>
      <c r="B10" s="306" t="s">
        <v>38</v>
      </c>
      <c r="C10" s="306" t="s">
        <v>39</v>
      </c>
      <c r="D10" s="306" t="s">
        <v>36</v>
      </c>
      <c r="E10" s="306" t="s">
        <v>69</v>
      </c>
      <c r="F10" s="307">
        <f>'COTIDIANO - IS'!$AA$15</f>
        <v>0.6</v>
      </c>
      <c r="G10" s="306" t="s">
        <v>152</v>
      </c>
      <c r="H10" s="307">
        <f>'EXAMENES - IS'!$F$14</f>
        <v>0.15</v>
      </c>
      <c r="I10" s="306" t="s">
        <v>319</v>
      </c>
      <c r="J10" s="307">
        <f>'EXAMENES - IS'!$I$14</f>
        <v>0.25</v>
      </c>
      <c r="K10" s="306" t="s">
        <v>206</v>
      </c>
      <c r="L10" s="307">
        <f>'Registro General'!$AH$15</f>
        <v>0.1</v>
      </c>
      <c r="M10" s="306" t="s">
        <v>70</v>
      </c>
      <c r="N10" s="308">
        <f>ASISTENCIA!$BX$7</f>
        <v>0.1</v>
      </c>
      <c r="O10" s="309" t="s">
        <v>16</v>
      </c>
      <c r="P10" s="232"/>
      <c r="Q10" s="232"/>
      <c r="R10" s="232"/>
      <c r="S10" s="237"/>
      <c r="T10" s="233"/>
      <c r="U10" s="234"/>
      <c r="V10" s="43"/>
      <c r="Z10" s="44"/>
      <c r="AA10" s="44"/>
      <c r="AB10" s="44"/>
      <c r="AC10" s="44"/>
      <c r="AD10" s="43"/>
    </row>
    <row r="11" spans="1:30" ht="37.5" customHeight="1" thickTop="1" thickBot="1">
      <c r="A11" s="249">
        <v>5</v>
      </c>
      <c r="B11" s="675" t="str">
        <f>IFERROR(IF(VLOOKUP(A11,'REGISTRO DATOS'!B:H,2,0)=0,"",VLOOKUP(A11,'REGISTRO DATOS'!B:H,2,0)),"")</f>
        <v/>
      </c>
      <c r="C11" s="675" t="str">
        <f>IFERROR(IF(VLOOKUP(A11,'REGISTRO DATOS'!B:H,3,0)=0,"",VLOOKUP(A11,'REGISTRO DATOS'!B:H,3,0)),"")</f>
        <v/>
      </c>
      <c r="D11" s="675" t="str">
        <f>IFERROR(IF(VLOOKUP(A11,'REGISTRO DATOS'!B:H,4,0)=0,"",VLOOKUP(A11,'REGISTRO DATOS'!B:H,4,0)),"")</f>
        <v>NANCY</v>
      </c>
      <c r="E11" s="844">
        <f>'COTIDIANO - IS'!AA20</f>
        <v>0</v>
      </c>
      <c r="F11" s="845"/>
      <c r="G11" s="844">
        <f>'EXAMENES - IS'!F19</f>
        <v>0</v>
      </c>
      <c r="H11" s="845"/>
      <c r="I11" s="844">
        <f>'EXAMENES - IS'!I19</f>
        <v>22.222222222222221</v>
      </c>
      <c r="J11" s="845"/>
      <c r="K11" s="857">
        <f>'Registro General'!AH20</f>
        <v>0</v>
      </c>
      <c r="L11" s="858"/>
      <c r="M11" s="859">
        <f>ASISTENCIA!I12</f>
        <v>8.75</v>
      </c>
      <c r="N11" s="860"/>
      <c r="O11" s="252">
        <f>SUM(E11 +G11+I11+K11+M11)</f>
        <v>30.972222222222221</v>
      </c>
      <c r="P11" s="232"/>
      <c r="Q11" s="232"/>
      <c r="R11" s="232"/>
      <c r="S11" s="237"/>
      <c r="T11" s="233"/>
      <c r="U11" s="234"/>
      <c r="V11" s="43">
        <f>'REGISTRO DATOS'!J17</f>
        <v>0</v>
      </c>
    </row>
    <row r="12" spans="1:30" ht="30" customHeight="1" thickTop="1" thickBot="1">
      <c r="A12" s="312" t="s">
        <v>37</v>
      </c>
      <c r="B12" s="313" t="s">
        <v>38</v>
      </c>
      <c r="C12" s="313" t="s">
        <v>39</v>
      </c>
      <c r="D12" s="313" t="s">
        <v>36</v>
      </c>
      <c r="E12" s="313" t="s">
        <v>69</v>
      </c>
      <c r="F12" s="314">
        <f>'COTIDIANO - IS'!$AA$15</f>
        <v>0.6</v>
      </c>
      <c r="G12" s="313" t="s">
        <v>152</v>
      </c>
      <c r="H12" s="314">
        <f>'EXAMENES - IS'!$F$14</f>
        <v>0.15</v>
      </c>
      <c r="I12" s="306" t="s">
        <v>319</v>
      </c>
      <c r="J12" s="314">
        <f>'EXAMENES - IS'!$I$14</f>
        <v>0.25</v>
      </c>
      <c r="K12" s="313" t="s">
        <v>206</v>
      </c>
      <c r="L12" s="314">
        <f>'Registro General'!$AH$15</f>
        <v>0.1</v>
      </c>
      <c r="M12" s="313" t="s">
        <v>70</v>
      </c>
      <c r="N12" s="315">
        <f>ASISTENCIA!$BX$7</f>
        <v>0.1</v>
      </c>
      <c r="O12" s="311" t="s">
        <v>16</v>
      </c>
      <c r="P12" s="232"/>
      <c r="Q12" s="232"/>
      <c r="R12" s="232"/>
      <c r="S12" s="237"/>
      <c r="T12" s="233"/>
      <c r="U12" s="234"/>
      <c r="V12" s="43"/>
    </row>
    <row r="13" spans="1:30" ht="30" customHeight="1" thickTop="1" thickBot="1">
      <c r="A13" s="250">
        <v>6</v>
      </c>
      <c r="B13" s="675" t="str">
        <f>IFERROR(IF(VLOOKUP(A13,'REGISTRO DATOS'!B:H,2,0)=0,"",VLOOKUP(A13,'REGISTRO DATOS'!B:H,2,0)),"")</f>
        <v/>
      </c>
      <c r="C13" s="675" t="str">
        <f>IFERROR(IF(VLOOKUP(A13,'REGISTRO DATOS'!B:H,3,0)=0,"",VLOOKUP(A13,'REGISTRO DATOS'!B:H,3,0)),"")</f>
        <v/>
      </c>
      <c r="D13" s="675" t="str">
        <f>IFERROR(IF(VLOOKUP(A13,'REGISTRO DATOS'!B:H,4,0)=0,"",VLOOKUP(A13,'REGISTRO DATOS'!B:H,4,0)),"")</f>
        <v>MARIANA</v>
      </c>
      <c r="E13" s="846">
        <f>'COTIDIANO - IS'!AA21</f>
        <v>0</v>
      </c>
      <c r="F13" s="847"/>
      <c r="G13" s="846">
        <f>'EXAMENES - IS'!F20</f>
        <v>0</v>
      </c>
      <c r="H13" s="847"/>
      <c r="I13" s="846">
        <f>'EXAMENES - IS'!I20</f>
        <v>25</v>
      </c>
      <c r="J13" s="847"/>
      <c r="K13" s="848">
        <f>'Registro General'!AH21</f>
        <v>0</v>
      </c>
      <c r="L13" s="849"/>
      <c r="M13" s="848">
        <f>ASISTENCIA!I13</f>
        <v>8.75</v>
      </c>
      <c r="N13" s="850"/>
      <c r="O13" s="252">
        <f>SUM(E13 +G13+I13+K13+M13)</f>
        <v>33.75</v>
      </c>
      <c r="P13" s="232"/>
      <c r="Q13" s="232"/>
      <c r="R13" s="232"/>
      <c r="S13" s="237"/>
      <c r="T13" s="233"/>
      <c r="U13" s="234"/>
      <c r="V13" s="43">
        <f>'REGISTRO DATOS'!J18</f>
        <v>0</v>
      </c>
      <c r="Z13" s="786" t="s">
        <v>152</v>
      </c>
      <c r="AA13" s="787"/>
      <c r="AB13" s="787"/>
      <c r="AC13" s="788"/>
    </row>
    <row r="14" spans="1:30" ht="30" customHeight="1" thickTop="1" thickBot="1">
      <c r="A14" s="316" t="s">
        <v>37</v>
      </c>
      <c r="B14" s="317" t="s">
        <v>38</v>
      </c>
      <c r="C14" s="317" t="s">
        <v>39</v>
      </c>
      <c r="D14" s="317" t="s">
        <v>36</v>
      </c>
      <c r="E14" s="317" t="s">
        <v>69</v>
      </c>
      <c r="F14" s="318">
        <f>'COTIDIANO - IS'!$AA$15</f>
        <v>0.6</v>
      </c>
      <c r="G14" s="317" t="s">
        <v>152</v>
      </c>
      <c r="H14" s="318">
        <f>'EXAMENES - IS'!$F$14</f>
        <v>0.15</v>
      </c>
      <c r="I14" s="306" t="s">
        <v>319</v>
      </c>
      <c r="J14" s="318">
        <f>'EXAMENES - IS'!$I$14</f>
        <v>0.25</v>
      </c>
      <c r="K14" s="317" t="s">
        <v>206</v>
      </c>
      <c r="L14" s="318">
        <f>'Registro General'!$AH$15</f>
        <v>0.1</v>
      </c>
      <c r="M14" s="317" t="s">
        <v>70</v>
      </c>
      <c r="N14" s="319">
        <f>ASISTENCIA!$BX$7</f>
        <v>0.1</v>
      </c>
      <c r="O14" s="309" t="s">
        <v>16</v>
      </c>
      <c r="P14" s="232"/>
      <c r="Q14" s="232"/>
      <c r="R14" s="232"/>
      <c r="S14" s="237"/>
      <c r="T14" s="233"/>
      <c r="U14" s="234"/>
      <c r="V14" s="43"/>
      <c r="Z14" s="198"/>
      <c r="AA14" s="246"/>
      <c r="AB14" s="224"/>
      <c r="AC14" s="225"/>
    </row>
    <row r="15" spans="1:30" ht="37.5" customHeight="1" thickTop="1" thickBot="1">
      <c r="A15" s="250">
        <v>7</v>
      </c>
      <c r="B15" s="675" t="str">
        <f>IFERROR(IF(VLOOKUP(A15,'REGISTRO DATOS'!B:H,2,0)=0,"",VLOOKUP(A15,'REGISTRO DATOS'!B:H,2,0)),"")</f>
        <v xml:space="preserve">GONZALEZ </v>
      </c>
      <c r="C15" s="675" t="str">
        <f>IFERROR(IF(VLOOKUP(A15,'REGISTRO DATOS'!B:H,3,0)=0,"",VLOOKUP(A15,'REGISTRO DATOS'!B:H,3,0)),"")</f>
        <v>CHAVARRIA</v>
      </c>
      <c r="D15" s="675" t="str">
        <f>IFERROR(IF(VLOOKUP(A15,'REGISTRO DATOS'!B:H,4,0)=0,"",VLOOKUP(A15,'REGISTRO DATOS'!B:H,4,0)),"")</f>
        <v>STEPHANIE</v>
      </c>
      <c r="E15" s="846">
        <f>'COTIDIANO - IS'!AA22</f>
        <v>0</v>
      </c>
      <c r="F15" s="847"/>
      <c r="G15" s="846">
        <f>'EXAMENES - IS'!F21</f>
        <v>0</v>
      </c>
      <c r="H15" s="847"/>
      <c r="I15" s="846">
        <f>'EXAMENES - IS'!I21</f>
        <v>22.222222222222221</v>
      </c>
      <c r="J15" s="847">
        <f>'EXAMENES - IS'!J21</f>
        <v>8</v>
      </c>
      <c r="K15" s="848">
        <f>'Registro General'!AH22</f>
        <v>0</v>
      </c>
      <c r="L15" s="849">
        <f>'Registro General'!AH22</f>
        <v>0</v>
      </c>
      <c r="M15" s="861">
        <f>ASISTENCIA!I14</f>
        <v>8.75</v>
      </c>
      <c r="N15" s="862">
        <f>ASISTENCIA!I14</f>
        <v>8.75</v>
      </c>
      <c r="O15" s="252">
        <f>SUM(E15 +G15+I15+K15+M15)</f>
        <v>30.972222222222221</v>
      </c>
      <c r="P15" s="232"/>
      <c r="Q15" s="232"/>
      <c r="R15" s="232"/>
      <c r="S15" s="237"/>
      <c r="T15" s="233"/>
      <c r="U15" s="234"/>
      <c r="V15" s="43">
        <f>'REGISTRO DATOS'!J19</f>
        <v>0</v>
      </c>
      <c r="Z15" s="793" t="s">
        <v>130</v>
      </c>
      <c r="AA15" s="794"/>
      <c r="AB15" s="786" t="s">
        <v>131</v>
      </c>
      <c r="AC15" s="788"/>
    </row>
    <row r="16" spans="1:30" ht="30" customHeight="1" thickTop="1" thickBot="1">
      <c r="A16" s="312" t="s">
        <v>37</v>
      </c>
      <c r="B16" s="313" t="s">
        <v>38</v>
      </c>
      <c r="C16" s="313" t="s">
        <v>39</v>
      </c>
      <c r="D16" s="313" t="s">
        <v>36</v>
      </c>
      <c r="E16" s="313" t="s">
        <v>69</v>
      </c>
      <c r="F16" s="314">
        <f>'COTIDIANO - IS'!$AA$15</f>
        <v>0.6</v>
      </c>
      <c r="G16" s="313" t="s">
        <v>152</v>
      </c>
      <c r="H16" s="314">
        <f>'EXAMENES - IS'!$F$14</f>
        <v>0.15</v>
      </c>
      <c r="I16" s="306" t="s">
        <v>319</v>
      </c>
      <c r="J16" s="310">
        <f>'EXAMENES - IS'!$I$14</f>
        <v>0.25</v>
      </c>
      <c r="K16" s="313" t="s">
        <v>206</v>
      </c>
      <c r="L16" s="314">
        <f>'Registro General'!$AH$15</f>
        <v>0.1</v>
      </c>
      <c r="M16" s="313" t="s">
        <v>70</v>
      </c>
      <c r="N16" s="315">
        <f>ASISTENCIA!$BX$7</f>
        <v>0.1</v>
      </c>
      <c r="O16" s="311" t="s">
        <v>16</v>
      </c>
      <c r="P16" s="232"/>
      <c r="Q16" s="232"/>
      <c r="R16" s="232"/>
      <c r="S16" s="237"/>
      <c r="T16" s="233"/>
      <c r="U16" s="234"/>
      <c r="V16" s="43"/>
      <c r="Z16" s="198"/>
      <c r="AA16" s="199"/>
      <c r="AB16" s="198"/>
      <c r="AC16" s="199"/>
    </row>
    <row r="17" spans="1:30" ht="36.75" customHeight="1" thickTop="1" thickBot="1">
      <c r="A17" s="250">
        <v>8</v>
      </c>
      <c r="B17" s="675" t="str">
        <f>IFERROR(IF(VLOOKUP(A17,'REGISTRO DATOS'!B:H,2,0)=0,"",VLOOKUP(A17,'REGISTRO DATOS'!B:H,2,0)),"")</f>
        <v/>
      </c>
      <c r="C17" s="675" t="str">
        <f>IFERROR(IF(VLOOKUP(A17,'REGISTRO DATOS'!B:H,3,0)=0,"",VLOOKUP(A17,'REGISTRO DATOS'!B:H,3,0)),"")</f>
        <v/>
      </c>
      <c r="D17" s="675" t="str">
        <f>IFERROR(IF(VLOOKUP(A17,'REGISTRO DATOS'!B:H,4,0)=0,"",VLOOKUP(A17,'REGISTRO DATOS'!B:H,4,0)),"")</f>
        <v>YASCINI</v>
      </c>
      <c r="E17" s="846">
        <f>'COTIDIANO - IS'!AA23</f>
        <v>0</v>
      </c>
      <c r="F17" s="847"/>
      <c r="G17" s="846">
        <f>'EXAMENES - IS'!F22</f>
        <v>0</v>
      </c>
      <c r="H17" s="847"/>
      <c r="I17" s="844">
        <f>'EXAMENES - IS'!I22</f>
        <v>22.222222222222221</v>
      </c>
      <c r="J17" s="845">
        <f>'EXAMENES - IS'!J22</f>
        <v>8</v>
      </c>
      <c r="K17" s="848">
        <f>'Registro General'!AH23</f>
        <v>0</v>
      </c>
      <c r="L17" s="849">
        <f>'Registro General'!AH23</f>
        <v>0</v>
      </c>
      <c r="M17" s="861">
        <f>ASISTENCIA!I15</f>
        <v>8.75</v>
      </c>
      <c r="N17" s="862">
        <f>ASISTENCIA!I15</f>
        <v>8.75</v>
      </c>
      <c r="O17" s="252">
        <f>SUM(E17 +G17+I17+K17+M17)</f>
        <v>30.972222222222221</v>
      </c>
      <c r="P17" s="232"/>
      <c r="Q17" s="232"/>
      <c r="R17" s="232"/>
      <c r="S17" s="237"/>
      <c r="T17" s="233"/>
      <c r="U17" s="234"/>
      <c r="V17" s="43">
        <f>'REGISTRO DATOS'!J20</f>
        <v>0</v>
      </c>
      <c r="Z17" s="198" t="s">
        <v>156</v>
      </c>
      <c r="AA17" s="199" t="s">
        <v>155</v>
      </c>
      <c r="AB17" s="198" t="s">
        <v>156</v>
      </c>
      <c r="AC17" s="199" t="s">
        <v>155</v>
      </c>
    </row>
    <row r="18" spans="1:30" ht="30" customHeight="1" thickTop="1" thickBot="1">
      <c r="A18" s="305" t="s">
        <v>37</v>
      </c>
      <c r="B18" s="306" t="s">
        <v>38</v>
      </c>
      <c r="C18" s="306" t="s">
        <v>39</v>
      </c>
      <c r="D18" s="306" t="s">
        <v>36</v>
      </c>
      <c r="E18" s="306" t="s">
        <v>69</v>
      </c>
      <c r="F18" s="307">
        <f>'COTIDIANO - IS'!$AA$15</f>
        <v>0.6</v>
      </c>
      <c r="G18" s="306" t="s">
        <v>152</v>
      </c>
      <c r="H18" s="307">
        <f>'EXAMENES - IS'!$F$14</f>
        <v>0.15</v>
      </c>
      <c r="I18" s="306" t="s">
        <v>319</v>
      </c>
      <c r="J18" s="307">
        <f>'EXAMENES - IS'!$I$14</f>
        <v>0.25</v>
      </c>
      <c r="K18" s="306" t="s">
        <v>206</v>
      </c>
      <c r="L18" s="307">
        <f>'Registro General'!$AH$15</f>
        <v>0.1</v>
      </c>
      <c r="M18" s="306" t="s">
        <v>70</v>
      </c>
      <c r="N18" s="308">
        <f>ASISTENCIA!$BX$7</f>
        <v>0.1</v>
      </c>
      <c r="O18" s="309" t="s">
        <v>16</v>
      </c>
      <c r="P18" s="232"/>
      <c r="Q18" s="232"/>
      <c r="R18" s="232"/>
      <c r="S18" s="237"/>
      <c r="T18" s="233"/>
      <c r="U18" s="234"/>
      <c r="V18" s="43"/>
      <c r="Z18" s="247"/>
      <c r="AA18" s="248"/>
      <c r="AB18" s="247"/>
      <c r="AC18" s="248"/>
    </row>
    <row r="19" spans="1:30" ht="35.25" customHeight="1" thickTop="1" thickBot="1">
      <c r="A19" s="249">
        <v>9</v>
      </c>
      <c r="B19" s="675" t="str">
        <f>IFERROR(IF(VLOOKUP(A19,'REGISTRO DATOS'!B:H,2,0)=0,"",VLOOKUP(A19,'REGISTRO DATOS'!B:H,2,0)),"")</f>
        <v>CUBILLO</v>
      </c>
      <c r="C19" s="675" t="str">
        <f>IFERROR(IF(VLOOKUP(A19,'REGISTRO DATOS'!B:H,3,0)=0,"",VLOOKUP(A19,'REGISTRO DATOS'!B:H,3,0)),"")</f>
        <v/>
      </c>
      <c r="D19" s="675" t="str">
        <f>IFERROR(IF(VLOOKUP(A19,'REGISTRO DATOS'!B:H,4,0)=0,"",VLOOKUP(A19,'REGISTRO DATOS'!B:H,4,0)),"")</f>
        <v xml:space="preserve">DYLAN </v>
      </c>
      <c r="E19" s="844">
        <f>'COTIDIANO - IS'!AA24</f>
        <v>0</v>
      </c>
      <c r="F19" s="845"/>
      <c r="G19" s="844">
        <f>'EXAMENES - IS'!F23</f>
        <v>0</v>
      </c>
      <c r="H19" s="845"/>
      <c r="I19" s="844">
        <f>'EXAMENES - IS'!I23</f>
        <v>25</v>
      </c>
      <c r="J19" s="845">
        <f>'EXAMENES - IS'!J23</f>
        <v>9</v>
      </c>
      <c r="K19" s="857">
        <f>'Registro General'!AH24</f>
        <v>0</v>
      </c>
      <c r="L19" s="858">
        <f>'Registro General'!AH24</f>
        <v>0</v>
      </c>
      <c r="M19" s="859">
        <f>ASISTENCIA!I16</f>
        <v>10</v>
      </c>
      <c r="N19" s="860">
        <f>ASISTENCIA!I16</f>
        <v>10</v>
      </c>
      <c r="O19" s="252">
        <f>SUM(E19 +G19+I19+K19+M19)</f>
        <v>35</v>
      </c>
      <c r="P19" s="232"/>
      <c r="Q19" s="232"/>
      <c r="R19" s="232"/>
      <c r="S19" s="237"/>
      <c r="T19" s="233"/>
      <c r="U19" s="234"/>
      <c r="V19" s="43">
        <f>'REGISTRO DATOS'!J21</f>
        <v>0</v>
      </c>
      <c r="Z19" s="200" t="e">
        <f>COUNTIFS(V3:V81,"H",#REF!,"&lt;70")</f>
        <v>#REF!</v>
      </c>
      <c r="AA19" s="201" t="e">
        <f>COUNTIFS(V3:V81,"H",#REF!,"&gt;70")</f>
        <v>#REF!</v>
      </c>
      <c r="AB19" s="200" t="e">
        <f>COUNTIFS(V3:V81,"M",#REF!,"&lt;70")</f>
        <v>#REF!</v>
      </c>
      <c r="AC19" s="201" t="e">
        <f>COUNTIFS(V3:V81,"M",#REF!,"&gt;70")</f>
        <v>#REF!</v>
      </c>
      <c r="AD19" s="43" t="e">
        <f>SUM(Z19:AC19)</f>
        <v>#REF!</v>
      </c>
    </row>
    <row r="20" spans="1:30" ht="30" customHeight="1" thickTop="1" thickBot="1">
      <c r="A20" s="312" t="s">
        <v>37</v>
      </c>
      <c r="B20" s="313" t="s">
        <v>38</v>
      </c>
      <c r="C20" s="313" t="s">
        <v>39</v>
      </c>
      <c r="D20" s="313" t="s">
        <v>36</v>
      </c>
      <c r="E20" s="313" t="s">
        <v>69</v>
      </c>
      <c r="F20" s="314">
        <f>'COTIDIANO - IS'!$AA$15</f>
        <v>0.6</v>
      </c>
      <c r="G20" s="313" t="s">
        <v>152</v>
      </c>
      <c r="H20" s="314">
        <f>'EXAMENES - IS'!$F$14</f>
        <v>0.15</v>
      </c>
      <c r="I20" s="306" t="s">
        <v>319</v>
      </c>
      <c r="J20" s="314">
        <f>'EXAMENES - IS'!$I$14</f>
        <v>0.25</v>
      </c>
      <c r="K20" s="313" t="s">
        <v>206</v>
      </c>
      <c r="L20" s="314">
        <f>'Registro General'!$AH$15</f>
        <v>0.1</v>
      </c>
      <c r="M20" s="313" t="s">
        <v>70</v>
      </c>
      <c r="N20" s="315">
        <f>ASISTENCIA!$BX$7</f>
        <v>0.1</v>
      </c>
      <c r="O20" s="311" t="s">
        <v>16</v>
      </c>
      <c r="P20" s="232"/>
      <c r="Q20" s="232"/>
      <c r="R20" s="232"/>
      <c r="S20" s="237"/>
      <c r="T20" s="233"/>
      <c r="U20" s="234"/>
      <c r="V20" s="43"/>
      <c r="Z20" s="44"/>
      <c r="AA20" s="44"/>
      <c r="AB20" s="44"/>
      <c r="AC20" s="44"/>
      <c r="AD20" s="43"/>
    </row>
    <row r="21" spans="1:30" ht="36.75" customHeight="1" thickTop="1" thickBot="1">
      <c r="A21" s="250">
        <v>10</v>
      </c>
      <c r="B21" s="675" t="str">
        <f>IFERROR(IF(VLOOKUP(A21,'REGISTRO DATOS'!B:H,2,0)=0,"",VLOOKUP(A21,'REGISTRO DATOS'!B:H,2,0)),"")</f>
        <v/>
      </c>
      <c r="C21" s="675" t="str">
        <f>IFERROR(IF(VLOOKUP(A21,'REGISTRO DATOS'!B:H,3,0)=0,"",VLOOKUP(A21,'REGISTRO DATOS'!B:H,3,0)),"")</f>
        <v/>
      </c>
      <c r="D21" s="675" t="str">
        <f>IFERROR(IF(VLOOKUP(A21,'REGISTRO DATOS'!B:H,4,0)=0,"",VLOOKUP(A21,'REGISTRO DATOS'!B:H,4,0)),"")</f>
        <v>KATTYA</v>
      </c>
      <c r="E21" s="846">
        <f>'COTIDIANO - IS'!AA25</f>
        <v>0</v>
      </c>
      <c r="F21" s="847"/>
      <c r="G21" s="846">
        <f>'EXAMENES - IS'!F24</f>
        <v>0</v>
      </c>
      <c r="H21" s="847"/>
      <c r="I21" s="846">
        <f>'EXAMENES - IS'!I24</f>
        <v>25</v>
      </c>
      <c r="J21" s="847">
        <f>'EXAMENES - IS'!J24</f>
        <v>9</v>
      </c>
      <c r="K21" s="848">
        <f>'Registro General'!AH25</f>
        <v>0</v>
      </c>
      <c r="L21" s="849">
        <f>'Registro General'!AH25</f>
        <v>0</v>
      </c>
      <c r="M21" s="848">
        <f>ASISTENCIA!I17</f>
        <v>10</v>
      </c>
      <c r="N21" s="850">
        <f>ASISTENCIA!I17</f>
        <v>10</v>
      </c>
      <c r="O21" s="252">
        <f>SUM(E21 +G21+I21+K21+M21)</f>
        <v>35</v>
      </c>
      <c r="P21" s="232"/>
      <c r="Q21" s="232"/>
      <c r="R21" s="232"/>
      <c r="S21" s="237"/>
      <c r="T21" s="233"/>
      <c r="U21" s="234"/>
      <c r="V21" s="43">
        <f>'REGISTRO DATOS'!J22</f>
        <v>0</v>
      </c>
    </row>
    <row r="22" spans="1:30" ht="30" customHeight="1" thickTop="1" thickBot="1">
      <c r="A22" s="305" t="s">
        <v>37</v>
      </c>
      <c r="B22" s="306" t="s">
        <v>38</v>
      </c>
      <c r="C22" s="306" t="s">
        <v>39</v>
      </c>
      <c r="D22" s="306" t="s">
        <v>36</v>
      </c>
      <c r="E22" s="306" t="s">
        <v>69</v>
      </c>
      <c r="F22" s="307">
        <f>'COTIDIANO - IS'!$AA$15</f>
        <v>0.6</v>
      </c>
      <c r="G22" s="306" t="s">
        <v>152</v>
      </c>
      <c r="H22" s="307">
        <f>'EXAMENES - IS'!$F$14</f>
        <v>0.15</v>
      </c>
      <c r="I22" s="306" t="s">
        <v>319</v>
      </c>
      <c r="J22" s="307">
        <f>'EXAMENES - IS'!$I$14</f>
        <v>0.25</v>
      </c>
      <c r="K22" s="306" t="s">
        <v>206</v>
      </c>
      <c r="L22" s="307">
        <f>'Registro General'!$AH$15</f>
        <v>0.1</v>
      </c>
      <c r="M22" s="306" t="s">
        <v>70</v>
      </c>
      <c r="N22" s="308">
        <f>ASISTENCIA!$BX$7</f>
        <v>0.1</v>
      </c>
      <c r="O22" s="309" t="s">
        <v>16</v>
      </c>
      <c r="P22" s="232"/>
      <c r="Q22" s="232"/>
      <c r="R22" s="232"/>
      <c r="S22" s="237"/>
      <c r="T22" s="233"/>
      <c r="U22" s="234"/>
      <c r="V22" s="43"/>
    </row>
    <row r="23" spans="1:30" ht="37.5" customHeight="1" thickTop="1" thickBot="1">
      <c r="A23" s="249">
        <v>11</v>
      </c>
      <c r="B23" s="675" t="str">
        <f>IFERROR(IF(VLOOKUP(A23,'REGISTRO DATOS'!B:H,2,0)=0,"",VLOOKUP(A23,'REGISTRO DATOS'!B:H,2,0)),"")</f>
        <v>BRIZUELA</v>
      </c>
      <c r="C23" s="675" t="str">
        <f>IFERROR(IF(VLOOKUP(A23,'REGISTRO DATOS'!B:H,3,0)=0,"",VLOOKUP(A23,'REGISTRO DATOS'!B:H,3,0)),"")</f>
        <v/>
      </c>
      <c r="D23" s="675" t="str">
        <f>IFERROR(IF(VLOOKUP(A23,'REGISTRO DATOS'!B:H,4,0)=0,"",VLOOKUP(A23,'REGISTRO DATOS'!B:H,4,0)),"")</f>
        <v>FABIOLA</v>
      </c>
      <c r="E23" s="844">
        <f>'COTIDIANO - IS'!AA26</f>
        <v>0</v>
      </c>
      <c r="F23" s="845"/>
      <c r="G23" s="844">
        <f>'EXAMENES - IS'!F25</f>
        <v>0</v>
      </c>
      <c r="H23" s="845"/>
      <c r="I23" s="844">
        <f>'EXAMENES - IS'!I25</f>
        <v>19.444444444444446</v>
      </c>
      <c r="J23" s="845">
        <f>'EXAMENES - IS'!J25</f>
        <v>7</v>
      </c>
      <c r="K23" s="857">
        <f>'Registro General'!AH26</f>
        <v>0</v>
      </c>
      <c r="L23" s="858">
        <f>'Registro General'!AH26</f>
        <v>0</v>
      </c>
      <c r="M23" s="859">
        <f>ASISTENCIA!I18</f>
        <v>10</v>
      </c>
      <c r="N23" s="860">
        <f>ASISTENCIA!I18</f>
        <v>10</v>
      </c>
      <c r="O23" s="252">
        <f>SUM(E23 +G23+I23+K23+M23)</f>
        <v>29.444444444444446</v>
      </c>
      <c r="P23" s="232"/>
      <c r="Q23" s="232"/>
      <c r="R23" s="232"/>
      <c r="S23" s="237"/>
      <c r="T23" s="233"/>
      <c r="U23" s="234"/>
      <c r="V23" s="43">
        <f>'REGISTRO DATOS'!J23</f>
        <v>0</v>
      </c>
      <c r="Z23" s="786" t="s">
        <v>158</v>
      </c>
      <c r="AA23" s="787"/>
      <c r="AB23" s="787"/>
      <c r="AC23" s="788"/>
    </row>
    <row r="24" spans="1:30" ht="30" customHeight="1" thickTop="1" thickBot="1">
      <c r="A24" s="312" t="s">
        <v>37</v>
      </c>
      <c r="B24" s="313" t="s">
        <v>38</v>
      </c>
      <c r="C24" s="313" t="s">
        <v>39</v>
      </c>
      <c r="D24" s="313" t="s">
        <v>36</v>
      </c>
      <c r="E24" s="313" t="s">
        <v>69</v>
      </c>
      <c r="F24" s="314">
        <f>'COTIDIANO - IS'!$AA$15</f>
        <v>0.6</v>
      </c>
      <c r="G24" s="313" t="s">
        <v>152</v>
      </c>
      <c r="H24" s="314">
        <f>'EXAMENES - IS'!$F$14</f>
        <v>0.15</v>
      </c>
      <c r="I24" s="306" t="s">
        <v>319</v>
      </c>
      <c r="J24" s="314">
        <f>'EXAMENES - IS'!$I$14</f>
        <v>0.25</v>
      </c>
      <c r="K24" s="313" t="s">
        <v>206</v>
      </c>
      <c r="L24" s="314">
        <f>'Registro General'!$AH$15</f>
        <v>0.1</v>
      </c>
      <c r="M24" s="313" t="s">
        <v>70</v>
      </c>
      <c r="N24" s="315">
        <f>ASISTENCIA!$BX$7</f>
        <v>0.1</v>
      </c>
      <c r="O24" s="311" t="s">
        <v>16</v>
      </c>
      <c r="P24" s="232"/>
      <c r="Q24" s="232"/>
      <c r="R24" s="232"/>
      <c r="S24" s="237"/>
      <c r="T24" s="233"/>
      <c r="U24" s="234"/>
      <c r="V24" s="43"/>
      <c r="Z24" s="198"/>
      <c r="AA24" s="246"/>
      <c r="AB24" s="224"/>
      <c r="AC24" s="225"/>
    </row>
    <row r="25" spans="1:30" ht="36.75" customHeight="1" thickTop="1" thickBot="1">
      <c r="A25" s="250">
        <v>12</v>
      </c>
      <c r="B25" s="675" t="str">
        <f>IFERROR(IF(VLOOKUP(A25,'REGISTRO DATOS'!B:H,2,0)=0,"",VLOOKUP(A25,'REGISTRO DATOS'!B:H,2,0)),"")</f>
        <v/>
      </c>
      <c r="C25" s="675" t="str">
        <f>IFERROR(IF(VLOOKUP(A25,'REGISTRO DATOS'!B:H,3,0)=0,"",VLOOKUP(A25,'REGISTRO DATOS'!B:H,3,0)),"")</f>
        <v/>
      </c>
      <c r="D25" s="675" t="str">
        <f>IFERROR(IF(VLOOKUP(A25,'REGISTRO DATOS'!B:H,4,0)=0,"",VLOOKUP(A25,'REGISTRO DATOS'!B:H,4,0)),"")</f>
        <v>DARIANA</v>
      </c>
      <c r="E25" s="846">
        <f>'COTIDIANO - IS'!AA27</f>
        <v>0</v>
      </c>
      <c r="F25" s="847"/>
      <c r="G25" s="846">
        <f>'EXAMENES - IS'!F26</f>
        <v>0</v>
      </c>
      <c r="H25" s="847"/>
      <c r="I25" s="846">
        <f>'EXAMENES - IS'!I26</f>
        <v>25</v>
      </c>
      <c r="J25" s="847">
        <f>'EXAMENES - IS'!J26</f>
        <v>9</v>
      </c>
      <c r="K25" s="848">
        <f>'Registro General'!AH27</f>
        <v>0</v>
      </c>
      <c r="L25" s="849">
        <f>'Registro General'!AH27</f>
        <v>0</v>
      </c>
      <c r="M25" s="848">
        <f>ASISTENCIA!I19</f>
        <v>10</v>
      </c>
      <c r="N25" s="850">
        <f>ASISTENCIA!I19</f>
        <v>10</v>
      </c>
      <c r="O25" s="252">
        <f>SUM(E25 +G25+I25+K25+M25)</f>
        <v>35</v>
      </c>
      <c r="P25" s="232"/>
      <c r="Q25" s="232"/>
      <c r="R25" s="232"/>
      <c r="S25" s="237"/>
      <c r="T25" s="233"/>
      <c r="U25" s="234"/>
      <c r="V25" s="43">
        <f>'REGISTRO DATOS'!J24</f>
        <v>0</v>
      </c>
      <c r="Z25" s="793" t="s">
        <v>130</v>
      </c>
      <c r="AA25" s="794"/>
      <c r="AB25" s="786" t="s">
        <v>131</v>
      </c>
      <c r="AC25" s="788"/>
    </row>
    <row r="26" spans="1:30" ht="30" customHeight="1" thickTop="1" thickBot="1">
      <c r="A26" s="316" t="s">
        <v>37</v>
      </c>
      <c r="B26" s="317" t="s">
        <v>38</v>
      </c>
      <c r="C26" s="317" t="s">
        <v>39</v>
      </c>
      <c r="D26" s="317" t="s">
        <v>36</v>
      </c>
      <c r="E26" s="317" t="s">
        <v>69</v>
      </c>
      <c r="F26" s="318">
        <f>'COTIDIANO - IS'!$AA$15</f>
        <v>0.6</v>
      </c>
      <c r="G26" s="317" t="s">
        <v>152</v>
      </c>
      <c r="H26" s="318">
        <f>'EXAMENES - IS'!$F$14</f>
        <v>0.15</v>
      </c>
      <c r="I26" s="306" t="s">
        <v>319</v>
      </c>
      <c r="J26" s="318">
        <f>'EXAMENES - IS'!$I$14</f>
        <v>0.25</v>
      </c>
      <c r="K26" s="317" t="s">
        <v>206</v>
      </c>
      <c r="L26" s="318">
        <f>'Registro General'!$AH$15</f>
        <v>0.1</v>
      </c>
      <c r="M26" s="317" t="s">
        <v>70</v>
      </c>
      <c r="N26" s="319">
        <f>ASISTENCIA!$BX$7</f>
        <v>0.1</v>
      </c>
      <c r="O26" s="309" t="s">
        <v>16</v>
      </c>
      <c r="P26" s="232"/>
      <c r="Q26" s="232"/>
      <c r="R26" s="232"/>
      <c r="S26" s="237"/>
      <c r="T26" s="233"/>
      <c r="U26" s="234"/>
      <c r="V26" s="43"/>
      <c r="Z26" s="198"/>
      <c r="AA26" s="199"/>
      <c r="AB26" s="198"/>
      <c r="AC26" s="199"/>
    </row>
    <row r="27" spans="1:30" ht="37.5" customHeight="1" thickTop="1" thickBot="1">
      <c r="A27" s="250">
        <v>13</v>
      </c>
      <c r="B27" s="675" t="str">
        <f>IFERROR(IF(VLOOKUP(A27,'REGISTRO DATOS'!B:H,2,0)=0,"",VLOOKUP(A27,'REGISTRO DATOS'!B:H,2,0)),"")</f>
        <v/>
      </c>
      <c r="C27" s="675" t="str">
        <f>IFERROR(IF(VLOOKUP(A27,'REGISTRO DATOS'!B:H,3,0)=0,"",VLOOKUP(A27,'REGISTRO DATOS'!B:H,3,0)),"")</f>
        <v/>
      </c>
      <c r="D27" s="675" t="str">
        <f>IFERROR(IF(VLOOKUP(A27,'REGISTRO DATOS'!B:H,4,0)=0,"",VLOOKUP(A27,'REGISTRO DATOS'!B:H,4,0)),"")</f>
        <v>JENIFER</v>
      </c>
      <c r="E27" s="846">
        <f>'COTIDIANO - IS'!AA28</f>
        <v>0</v>
      </c>
      <c r="F27" s="847"/>
      <c r="G27" s="846">
        <f>'EXAMENES - IS'!F27</f>
        <v>0</v>
      </c>
      <c r="H27" s="847"/>
      <c r="I27" s="846">
        <f>'EXAMENES - IS'!I27</f>
        <v>25</v>
      </c>
      <c r="J27" s="847">
        <f>'EXAMENES - IS'!J27</f>
        <v>9</v>
      </c>
      <c r="K27" s="848">
        <f>'Registro General'!AH28</f>
        <v>0</v>
      </c>
      <c r="L27" s="849">
        <f>'Registro General'!AH28</f>
        <v>0</v>
      </c>
      <c r="M27" s="861">
        <f>ASISTENCIA!I20</f>
        <v>10</v>
      </c>
      <c r="N27" s="862">
        <f>ASISTENCIA!I20</f>
        <v>10</v>
      </c>
      <c r="O27" s="252">
        <f>SUM(E27 +G27+I27+K27+M27)</f>
        <v>35</v>
      </c>
      <c r="P27" s="232"/>
      <c r="Q27" s="232"/>
      <c r="R27" s="232"/>
      <c r="S27" s="237"/>
      <c r="T27" s="233"/>
      <c r="U27" s="234"/>
      <c r="V27" s="43">
        <f>'REGISTRO DATOS'!J25</f>
        <v>0</v>
      </c>
      <c r="Z27" s="198" t="s">
        <v>156</v>
      </c>
      <c r="AA27" s="199" t="s">
        <v>155</v>
      </c>
      <c r="AB27" s="198" t="s">
        <v>156</v>
      </c>
      <c r="AC27" s="199" t="s">
        <v>155</v>
      </c>
    </row>
    <row r="28" spans="1:30" ht="30" customHeight="1" thickTop="1" thickBot="1">
      <c r="A28" s="312" t="s">
        <v>37</v>
      </c>
      <c r="B28" s="313" t="s">
        <v>38</v>
      </c>
      <c r="C28" s="313" t="s">
        <v>39</v>
      </c>
      <c r="D28" s="313" t="s">
        <v>36</v>
      </c>
      <c r="E28" s="313" t="s">
        <v>69</v>
      </c>
      <c r="F28" s="314">
        <f>'COTIDIANO - IS'!$AA$15</f>
        <v>0.6</v>
      </c>
      <c r="G28" s="313" t="s">
        <v>152</v>
      </c>
      <c r="H28" s="314">
        <f>'EXAMENES - IS'!$F$14</f>
        <v>0.15</v>
      </c>
      <c r="I28" s="306" t="s">
        <v>319</v>
      </c>
      <c r="J28" s="310">
        <f>'EXAMENES - IS'!$I$14</f>
        <v>0.25</v>
      </c>
      <c r="K28" s="313" t="s">
        <v>206</v>
      </c>
      <c r="L28" s="314">
        <f>'Registro General'!$AH$15</f>
        <v>0.1</v>
      </c>
      <c r="M28" s="313" t="s">
        <v>70</v>
      </c>
      <c r="N28" s="315">
        <f>ASISTENCIA!$BX$7</f>
        <v>0.1</v>
      </c>
      <c r="O28" s="311" t="s">
        <v>16</v>
      </c>
      <c r="P28" s="232"/>
      <c r="Q28" s="232"/>
      <c r="R28" s="232"/>
      <c r="S28" s="237"/>
      <c r="T28" s="233"/>
      <c r="U28" s="234"/>
      <c r="V28" s="43"/>
      <c r="Z28" s="247"/>
      <c r="AA28" s="248"/>
      <c r="AB28" s="247"/>
      <c r="AC28" s="248"/>
    </row>
    <row r="29" spans="1:30" ht="36.75" customHeight="1" thickTop="1" thickBot="1">
      <c r="A29" s="250">
        <v>14</v>
      </c>
      <c r="B29" s="675" t="str">
        <f>IFERROR(IF(VLOOKUP(A29,'REGISTRO DATOS'!B:H,2,0)=0,"",VLOOKUP(A29,'REGISTRO DATOS'!B:H,2,0)),"")</f>
        <v/>
      </c>
      <c r="C29" s="675" t="str">
        <f>IFERROR(IF(VLOOKUP(A29,'REGISTRO DATOS'!B:H,3,0)=0,"",VLOOKUP(A29,'REGISTRO DATOS'!B:H,3,0)),"")</f>
        <v/>
      </c>
      <c r="D29" s="675" t="str">
        <f>IFERROR(IF(VLOOKUP(A29,'REGISTRO DATOS'!B:H,4,0)=0,"",VLOOKUP(A29,'REGISTRO DATOS'!B:H,4,0)),"")</f>
        <v>GABRIELA</v>
      </c>
      <c r="E29" s="846">
        <f>'COTIDIANO - IS'!AA29</f>
        <v>0</v>
      </c>
      <c r="F29" s="847"/>
      <c r="G29" s="846">
        <f>'EXAMENES - IS'!F28</f>
        <v>0</v>
      </c>
      <c r="H29" s="847"/>
      <c r="I29" s="844">
        <f>'EXAMENES - IS'!I28</f>
        <v>25</v>
      </c>
      <c r="J29" s="845">
        <f>'EXAMENES - IS'!J28</f>
        <v>9</v>
      </c>
      <c r="K29" s="848">
        <f>'Registro General'!AH29</f>
        <v>0</v>
      </c>
      <c r="L29" s="849">
        <f>'Registro General'!AH29</f>
        <v>0</v>
      </c>
      <c r="M29" s="861">
        <f>ASISTENCIA!I21</f>
        <v>10</v>
      </c>
      <c r="N29" s="862">
        <f>ASISTENCIA!I21</f>
        <v>10</v>
      </c>
      <c r="O29" s="252">
        <f>SUM(E29 +G29+I29+K29+M29)</f>
        <v>35</v>
      </c>
      <c r="P29" s="232"/>
      <c r="Q29" s="232"/>
      <c r="R29" s="232"/>
      <c r="S29" s="237"/>
      <c r="T29" s="233"/>
      <c r="U29" s="234"/>
      <c r="V29" s="43">
        <f>'REGISTRO DATOS'!J26</f>
        <v>0</v>
      </c>
      <c r="Z29" s="200" t="e">
        <f>COUNTIFS(V3:V81,"H",#REF!,"&lt;70")</f>
        <v>#REF!</v>
      </c>
      <c r="AA29" s="201" t="e">
        <f>COUNTIFS(V3:V81,"H",#REF!,"&gt;70")</f>
        <v>#REF!</v>
      </c>
      <c r="AB29" s="200" t="e">
        <f>COUNTIFS(V3:V81,"M",#REF!,"&lt;70")</f>
        <v>#REF!</v>
      </c>
      <c r="AC29" s="201" t="e">
        <f>COUNTIFS(V3:V81,"M",#REF!,"&gt;70")</f>
        <v>#REF!</v>
      </c>
      <c r="AD29" s="43" t="e">
        <f>SUM(Z29:AC29)</f>
        <v>#REF!</v>
      </c>
    </row>
    <row r="30" spans="1:30" ht="30" customHeight="1" thickTop="1" thickBot="1">
      <c r="A30" s="305" t="s">
        <v>37</v>
      </c>
      <c r="B30" s="306" t="s">
        <v>38</v>
      </c>
      <c r="C30" s="306" t="s">
        <v>39</v>
      </c>
      <c r="D30" s="306" t="s">
        <v>36</v>
      </c>
      <c r="E30" s="306" t="s">
        <v>69</v>
      </c>
      <c r="F30" s="307">
        <f>'COTIDIANO - IS'!$AA$15</f>
        <v>0.6</v>
      </c>
      <c r="G30" s="306" t="s">
        <v>152</v>
      </c>
      <c r="H30" s="307">
        <f>'EXAMENES - IS'!$F$14</f>
        <v>0.15</v>
      </c>
      <c r="I30" s="306" t="s">
        <v>319</v>
      </c>
      <c r="J30" s="307">
        <f>'EXAMENES - IS'!$I$14</f>
        <v>0.25</v>
      </c>
      <c r="K30" s="306" t="s">
        <v>206</v>
      </c>
      <c r="L30" s="307">
        <f>'Registro General'!$AH$15</f>
        <v>0.1</v>
      </c>
      <c r="M30" s="306" t="s">
        <v>70</v>
      </c>
      <c r="N30" s="308">
        <f>ASISTENCIA!$BX$7</f>
        <v>0.1</v>
      </c>
      <c r="O30" s="309" t="s">
        <v>16</v>
      </c>
      <c r="P30" s="232"/>
      <c r="Q30" s="232"/>
      <c r="R30" s="232"/>
      <c r="S30" s="237"/>
      <c r="T30" s="233"/>
      <c r="U30" s="234"/>
      <c r="V30" s="43"/>
      <c r="Z30" s="44"/>
      <c r="AA30" s="44"/>
      <c r="AB30" s="44"/>
      <c r="AC30" s="44"/>
      <c r="AD30" s="43"/>
    </row>
    <row r="31" spans="1:30" ht="40.5" customHeight="1" thickTop="1" thickBot="1">
      <c r="A31" s="249">
        <v>15</v>
      </c>
      <c r="B31" s="675" t="str">
        <f>IFERROR(IF(VLOOKUP(A31,'REGISTRO DATOS'!B:H,2,0)=0,"",VLOOKUP(A31,'REGISTRO DATOS'!B:H,2,0)),"")</f>
        <v xml:space="preserve">SERRANO </v>
      </c>
      <c r="C31" s="675" t="str">
        <f>IFERROR(IF(VLOOKUP(A31,'REGISTRO DATOS'!B:H,3,0)=0,"",VLOOKUP(A31,'REGISTRO DATOS'!B:H,3,0)),"")</f>
        <v>VILLEGAS</v>
      </c>
      <c r="D31" s="675" t="str">
        <f>IFERROR(IF(VLOOKUP(A31,'REGISTRO DATOS'!B:H,4,0)=0,"",VLOOKUP(A31,'REGISTRO DATOS'!B:H,4,0)),"")</f>
        <v xml:space="preserve">DYLAN </v>
      </c>
      <c r="E31" s="844">
        <f>'COTIDIANO - IS'!AA30</f>
        <v>0</v>
      </c>
      <c r="F31" s="845"/>
      <c r="G31" s="844">
        <f>'EXAMENES - IS'!F29</f>
        <v>0</v>
      </c>
      <c r="H31" s="845"/>
      <c r="I31" s="844">
        <f>'EXAMENES - IS'!I29</f>
        <v>19.444444444444446</v>
      </c>
      <c r="J31" s="845">
        <f>'EXAMENES - IS'!J29</f>
        <v>7</v>
      </c>
      <c r="K31" s="857">
        <f>'Registro General'!AH30</f>
        <v>0</v>
      </c>
      <c r="L31" s="858">
        <f>'Registro General'!AH30</f>
        <v>0</v>
      </c>
      <c r="M31" s="859">
        <f>ASISTENCIA!I22</f>
        <v>6.25</v>
      </c>
      <c r="N31" s="860">
        <f>ASISTENCIA!I22</f>
        <v>6.25</v>
      </c>
      <c r="O31" s="252">
        <f>SUM(E31 +G31+I31+K31+M31)</f>
        <v>25.694444444444446</v>
      </c>
      <c r="P31" s="232"/>
      <c r="Q31" s="232"/>
      <c r="R31" s="232"/>
      <c r="S31" s="237"/>
      <c r="T31" s="233"/>
      <c r="U31" s="234"/>
      <c r="V31" s="43">
        <f>'REGISTRO DATOS'!J27</f>
        <v>0</v>
      </c>
    </row>
    <row r="32" spans="1:30" ht="30" customHeight="1" thickTop="1" thickBot="1">
      <c r="A32" s="312" t="s">
        <v>37</v>
      </c>
      <c r="B32" s="313" t="s">
        <v>38</v>
      </c>
      <c r="C32" s="313" t="s">
        <v>39</v>
      </c>
      <c r="D32" s="313" t="s">
        <v>36</v>
      </c>
      <c r="E32" s="313" t="s">
        <v>69</v>
      </c>
      <c r="F32" s="314">
        <f>'COTIDIANO - IS'!$AA$15</f>
        <v>0.6</v>
      </c>
      <c r="G32" s="313" t="s">
        <v>152</v>
      </c>
      <c r="H32" s="314">
        <f>'EXAMENES - IS'!$F$14</f>
        <v>0.15</v>
      </c>
      <c r="I32" s="306" t="s">
        <v>319</v>
      </c>
      <c r="J32" s="314">
        <f>'EXAMENES - IS'!$I$14</f>
        <v>0.25</v>
      </c>
      <c r="K32" s="313" t="s">
        <v>206</v>
      </c>
      <c r="L32" s="314">
        <f>'Registro General'!$AH$15</f>
        <v>0.1</v>
      </c>
      <c r="M32" s="313" t="s">
        <v>70</v>
      </c>
      <c r="N32" s="315">
        <f>ASISTENCIA!$BX$7</f>
        <v>0.1</v>
      </c>
      <c r="O32" s="311" t="s">
        <v>16</v>
      </c>
      <c r="P32" s="232"/>
      <c r="Q32" s="232"/>
      <c r="R32" s="232"/>
      <c r="S32" s="237"/>
      <c r="T32" s="233"/>
      <c r="U32" s="234"/>
      <c r="V32" s="43"/>
    </row>
    <row r="33" spans="1:22" ht="38.25" customHeight="1" thickTop="1" thickBot="1">
      <c r="A33" s="250">
        <v>16</v>
      </c>
      <c r="B33" s="675" t="str">
        <f>IFERROR(IF(VLOOKUP(A33,'REGISTRO DATOS'!B:H,2,0)=0,"",VLOOKUP(A33,'REGISTRO DATOS'!B:H,2,0)),"")</f>
        <v/>
      </c>
      <c r="C33" s="675" t="str">
        <f>IFERROR(IF(VLOOKUP(A33,'REGISTRO DATOS'!B:H,3,0)=0,"",VLOOKUP(A33,'REGISTRO DATOS'!B:H,3,0)),"")</f>
        <v/>
      </c>
      <c r="D33" s="675" t="str">
        <f>IFERROR(IF(VLOOKUP(A33,'REGISTRO DATOS'!B:H,4,0)=0,"",VLOOKUP(A33,'REGISTRO DATOS'!B:H,4,0)),"")</f>
        <v>ANA</v>
      </c>
      <c r="E33" s="846">
        <f>'COTIDIANO - IS'!AA31</f>
        <v>0</v>
      </c>
      <c r="F33" s="847"/>
      <c r="G33" s="846">
        <f>'EXAMENES - IS'!F30</f>
        <v>0</v>
      </c>
      <c r="H33" s="847"/>
      <c r="I33" s="846">
        <f>'EXAMENES - IS'!I30</f>
        <v>2.7777777777777777</v>
      </c>
      <c r="J33" s="847">
        <f>'EXAMENES - IS'!J30</f>
        <v>1</v>
      </c>
      <c r="K33" s="848">
        <f>'Registro General'!AH31</f>
        <v>0</v>
      </c>
      <c r="L33" s="849">
        <f>'Registro General'!AH31</f>
        <v>0</v>
      </c>
      <c r="M33" s="848">
        <f>ASISTENCIA!I23</f>
        <v>2.5</v>
      </c>
      <c r="N33" s="850">
        <f>ASISTENCIA!I23</f>
        <v>2.5</v>
      </c>
      <c r="O33" s="252">
        <f>SUM(E33 +G33+I33+K33+M33)</f>
        <v>5.2777777777777777</v>
      </c>
      <c r="P33" s="232"/>
      <c r="Q33" s="232"/>
      <c r="R33" s="232"/>
      <c r="S33" s="237"/>
      <c r="T33" s="233"/>
      <c r="U33" s="234"/>
      <c r="V33" s="43">
        <f>'REGISTRO DATOS'!J28</f>
        <v>0</v>
      </c>
    </row>
    <row r="34" spans="1:22" ht="30" customHeight="1" thickTop="1" thickBot="1">
      <c r="A34" s="316" t="s">
        <v>37</v>
      </c>
      <c r="B34" s="317" t="s">
        <v>38</v>
      </c>
      <c r="C34" s="317" t="s">
        <v>39</v>
      </c>
      <c r="D34" s="317" t="s">
        <v>36</v>
      </c>
      <c r="E34" s="317" t="s">
        <v>69</v>
      </c>
      <c r="F34" s="318">
        <f>'COTIDIANO - IS'!$AA$15</f>
        <v>0.6</v>
      </c>
      <c r="G34" s="317" t="s">
        <v>152</v>
      </c>
      <c r="H34" s="318">
        <f>'EXAMENES - IS'!$F$14</f>
        <v>0.15</v>
      </c>
      <c r="I34" s="306" t="s">
        <v>319</v>
      </c>
      <c r="J34" s="318">
        <f>'EXAMENES - IS'!$I$14</f>
        <v>0.25</v>
      </c>
      <c r="K34" s="317" t="s">
        <v>206</v>
      </c>
      <c r="L34" s="318">
        <f>'Registro General'!$AH$15</f>
        <v>0.1</v>
      </c>
      <c r="M34" s="317" t="s">
        <v>70</v>
      </c>
      <c r="N34" s="319">
        <f>ASISTENCIA!$BX$7</f>
        <v>0.1</v>
      </c>
      <c r="O34" s="309" t="s">
        <v>16</v>
      </c>
      <c r="P34" s="232"/>
      <c r="Q34" s="232"/>
      <c r="R34" s="232"/>
      <c r="S34" s="237"/>
      <c r="T34" s="233"/>
      <c r="U34" s="234"/>
      <c r="V34" s="43"/>
    </row>
    <row r="35" spans="1:22" ht="35.25" customHeight="1" thickTop="1" thickBot="1">
      <c r="A35" s="250">
        <v>17</v>
      </c>
      <c r="B35" s="675" t="str">
        <f>IFERROR(IF(VLOOKUP(A35,'REGISTRO DATOS'!B:H,2,0)=0,"",VLOOKUP(A35,'REGISTRO DATOS'!B:H,2,0)),"")</f>
        <v>QUIROS</v>
      </c>
      <c r="C35" s="675" t="str">
        <f>IFERROR(IF(VLOOKUP(A35,'REGISTRO DATOS'!B:H,3,0)=0,"",VLOOKUP(A35,'REGISTRO DATOS'!B:H,3,0)),"")</f>
        <v/>
      </c>
      <c r="D35" s="675" t="str">
        <f>IFERROR(IF(VLOOKUP(A35,'REGISTRO DATOS'!B:H,4,0)=0,"",VLOOKUP(A35,'REGISTRO DATOS'!B:H,4,0)),"")</f>
        <v>ANDY</v>
      </c>
      <c r="E35" s="846">
        <f>'COTIDIANO - IS'!AA32</f>
        <v>0</v>
      </c>
      <c r="F35" s="847"/>
      <c r="G35" s="846">
        <f>'EXAMENES - IS'!F31</f>
        <v>0</v>
      </c>
      <c r="H35" s="847"/>
      <c r="I35" s="846">
        <f>'EXAMENES - IS'!I31</f>
        <v>25</v>
      </c>
      <c r="J35" s="847">
        <f>'EXAMENES - IS'!J31</f>
        <v>9</v>
      </c>
      <c r="K35" s="848">
        <f>'Registro General'!AH32</f>
        <v>0</v>
      </c>
      <c r="L35" s="849">
        <f>'Registro General'!AH32</f>
        <v>0</v>
      </c>
      <c r="M35" s="861">
        <f>ASISTENCIA!I24</f>
        <v>8.75</v>
      </c>
      <c r="N35" s="862">
        <f>ASISTENCIA!I24</f>
        <v>8.75</v>
      </c>
      <c r="O35" s="252">
        <f>SUM(E35 +G35+I35+K35+M35)</f>
        <v>33.75</v>
      </c>
      <c r="P35" s="232"/>
      <c r="Q35" s="232"/>
      <c r="R35" s="232"/>
      <c r="S35" s="237"/>
      <c r="T35" s="233"/>
      <c r="U35" s="234"/>
      <c r="V35" s="43">
        <f>'REGISTRO DATOS'!J29</f>
        <v>0</v>
      </c>
    </row>
    <row r="36" spans="1:22" ht="30" customHeight="1" thickTop="1" thickBot="1">
      <c r="A36" s="312" t="s">
        <v>37</v>
      </c>
      <c r="B36" s="313" t="s">
        <v>38</v>
      </c>
      <c r="C36" s="313" t="s">
        <v>39</v>
      </c>
      <c r="D36" s="313" t="s">
        <v>36</v>
      </c>
      <c r="E36" s="313" t="s">
        <v>69</v>
      </c>
      <c r="F36" s="314">
        <f>'COTIDIANO - IS'!$AA$15</f>
        <v>0.6</v>
      </c>
      <c r="G36" s="313" t="s">
        <v>152</v>
      </c>
      <c r="H36" s="314">
        <f>'EXAMENES - IS'!$F$14</f>
        <v>0.15</v>
      </c>
      <c r="I36" s="306" t="s">
        <v>319</v>
      </c>
      <c r="J36" s="310">
        <f>'EXAMENES - IS'!$I$14</f>
        <v>0.25</v>
      </c>
      <c r="K36" s="313" t="s">
        <v>206</v>
      </c>
      <c r="L36" s="314">
        <f>'Registro General'!$AH$15</f>
        <v>0.1</v>
      </c>
      <c r="M36" s="313" t="s">
        <v>70</v>
      </c>
      <c r="N36" s="315">
        <f>ASISTENCIA!$BX$7</f>
        <v>0.1</v>
      </c>
      <c r="O36" s="311" t="s">
        <v>16</v>
      </c>
      <c r="P36" s="232"/>
      <c r="Q36" s="232"/>
      <c r="R36" s="232"/>
      <c r="S36" s="237"/>
      <c r="T36" s="233"/>
      <c r="U36" s="234"/>
      <c r="V36" s="43"/>
    </row>
    <row r="37" spans="1:22" ht="38.25" customHeight="1" thickTop="1" thickBot="1">
      <c r="A37" s="250">
        <v>18</v>
      </c>
      <c r="B37" s="675" t="str">
        <f>IFERROR(IF(VLOOKUP(A37,'REGISTRO DATOS'!B:H,2,0)=0,"",VLOOKUP(A37,'REGISTRO DATOS'!B:H,2,0)),"")</f>
        <v>RIVER</v>
      </c>
      <c r="C37" s="675" t="str">
        <f>IFERROR(IF(VLOOKUP(A37,'REGISTRO DATOS'!B:H,3,0)=0,"",VLOOKUP(A37,'REGISTRO DATOS'!B:H,3,0)),"")</f>
        <v/>
      </c>
      <c r="D37" s="675" t="str">
        <f>IFERROR(IF(VLOOKUP(A37,'REGISTRO DATOS'!B:H,4,0)=0,"",VLOOKUP(A37,'REGISTRO DATOS'!B:H,4,0)),"")</f>
        <v>STEPHANIE</v>
      </c>
      <c r="E37" s="846">
        <f>'COTIDIANO - IS'!AA33</f>
        <v>0</v>
      </c>
      <c r="F37" s="847"/>
      <c r="G37" s="846">
        <f>'EXAMENES - IS'!F32</f>
        <v>0</v>
      </c>
      <c r="H37" s="847"/>
      <c r="I37" s="844">
        <f>'EXAMENES - IS'!I32</f>
        <v>22.222222222222221</v>
      </c>
      <c r="J37" s="845">
        <f>'EXAMENES - IS'!J32</f>
        <v>8</v>
      </c>
      <c r="K37" s="848">
        <f>'Registro General'!AH33</f>
        <v>0</v>
      </c>
      <c r="L37" s="849">
        <f>'Registro General'!AH33</f>
        <v>0</v>
      </c>
      <c r="M37" s="861">
        <f>ASISTENCIA!I25</f>
        <v>5</v>
      </c>
      <c r="N37" s="862">
        <f>ASISTENCIA!I25</f>
        <v>5</v>
      </c>
      <c r="O37" s="252">
        <f>SUM(E37 +G37+I37+K37+M37)</f>
        <v>27.222222222222221</v>
      </c>
      <c r="P37" s="232"/>
      <c r="Q37" s="232"/>
      <c r="R37" s="232"/>
      <c r="S37" s="237"/>
      <c r="T37" s="233"/>
      <c r="U37" s="234"/>
      <c r="V37" s="43">
        <f>'REGISTRO DATOS'!J30</f>
        <v>0</v>
      </c>
    </row>
    <row r="38" spans="1:22" ht="30" customHeight="1" thickTop="1" thickBot="1">
      <c r="A38" s="305" t="s">
        <v>37</v>
      </c>
      <c r="B38" s="306" t="s">
        <v>38</v>
      </c>
      <c r="C38" s="306" t="s">
        <v>39</v>
      </c>
      <c r="D38" s="306" t="s">
        <v>36</v>
      </c>
      <c r="E38" s="306" t="s">
        <v>69</v>
      </c>
      <c r="F38" s="307">
        <f>'COTIDIANO - IS'!$AA$15</f>
        <v>0.6</v>
      </c>
      <c r="G38" s="306" t="s">
        <v>152</v>
      </c>
      <c r="H38" s="307">
        <f>'EXAMENES - IS'!$F$14</f>
        <v>0.15</v>
      </c>
      <c r="I38" s="306" t="s">
        <v>319</v>
      </c>
      <c r="J38" s="307">
        <f>'EXAMENES - IS'!$I$14</f>
        <v>0.25</v>
      </c>
      <c r="K38" s="306" t="s">
        <v>206</v>
      </c>
      <c r="L38" s="307">
        <f>'Registro General'!$AH$15</f>
        <v>0.1</v>
      </c>
      <c r="M38" s="306" t="s">
        <v>70</v>
      </c>
      <c r="N38" s="308">
        <f>ASISTENCIA!$BX$7</f>
        <v>0.1</v>
      </c>
      <c r="O38" s="309" t="s">
        <v>16</v>
      </c>
      <c r="P38" s="232"/>
      <c r="Q38" s="232"/>
      <c r="R38" s="232"/>
      <c r="S38" s="237"/>
      <c r="T38" s="233"/>
      <c r="U38" s="234"/>
      <c r="V38" s="43"/>
    </row>
    <row r="39" spans="1:22" ht="32.25" customHeight="1" thickTop="1" thickBot="1">
      <c r="A39" s="249">
        <v>19</v>
      </c>
      <c r="B39" s="675" t="str">
        <f>IFERROR(IF(VLOOKUP(A39,'REGISTRO DATOS'!B:H,2,0)=0,"",VLOOKUP(A39,'REGISTRO DATOS'!B:H,2,0)),"")</f>
        <v/>
      </c>
      <c r="C39" s="675" t="str">
        <f>IFERROR(IF(VLOOKUP(A39,'REGISTRO DATOS'!B:H,3,0)=0,"",VLOOKUP(A39,'REGISTRO DATOS'!B:H,3,0)),"")</f>
        <v>FABIAN</v>
      </c>
      <c r="D39" s="675" t="str">
        <f>IFERROR(IF(VLOOKUP(A39,'REGISTRO DATOS'!B:H,4,0)=0,"",VLOOKUP(A39,'REGISTRO DATOS'!B:H,4,0)),"")</f>
        <v/>
      </c>
      <c r="E39" s="844">
        <f>'COTIDIANO - IS'!AA34</f>
        <v>0</v>
      </c>
      <c r="F39" s="845"/>
      <c r="G39" s="844">
        <f>'EXAMENES - IS'!F33</f>
        <v>0</v>
      </c>
      <c r="H39" s="845"/>
      <c r="I39" s="844">
        <f>'EXAMENES - IS'!I33</f>
        <v>22.222222222222221</v>
      </c>
      <c r="J39" s="845">
        <f>'EXAMENES - IS'!J33</f>
        <v>8</v>
      </c>
      <c r="K39" s="857">
        <f>'Registro General'!AH34</f>
        <v>0</v>
      </c>
      <c r="L39" s="858">
        <f>'Registro General'!AH34</f>
        <v>0</v>
      </c>
      <c r="M39" s="859">
        <f>ASISTENCIA!I26</f>
        <v>10</v>
      </c>
      <c r="N39" s="860">
        <f>ASISTENCIA!I26</f>
        <v>10</v>
      </c>
      <c r="O39" s="252">
        <f>SUM(E39 +G39+I39+K39+M39)</f>
        <v>32.222222222222221</v>
      </c>
      <c r="P39" s="232"/>
      <c r="Q39" s="232"/>
      <c r="R39" s="232"/>
      <c r="S39" s="237"/>
      <c r="T39" s="233"/>
      <c r="U39" s="234"/>
      <c r="V39" s="43">
        <f>'REGISTRO DATOS'!J31</f>
        <v>0</v>
      </c>
    </row>
    <row r="40" spans="1:22" ht="30" customHeight="1" thickTop="1" thickBot="1">
      <c r="A40" s="312" t="s">
        <v>37</v>
      </c>
      <c r="B40" s="313" t="s">
        <v>38</v>
      </c>
      <c r="C40" s="313" t="s">
        <v>39</v>
      </c>
      <c r="D40" s="313" t="s">
        <v>36</v>
      </c>
      <c r="E40" s="313" t="s">
        <v>69</v>
      </c>
      <c r="F40" s="314">
        <f>'COTIDIANO - IS'!$AA$15</f>
        <v>0.6</v>
      </c>
      <c r="G40" s="313" t="s">
        <v>152</v>
      </c>
      <c r="H40" s="314">
        <f>'EXAMENES - IS'!$F$14</f>
        <v>0.15</v>
      </c>
      <c r="I40" s="306" t="s">
        <v>319</v>
      </c>
      <c r="J40" s="314">
        <f>'EXAMENES - IS'!$I$14</f>
        <v>0.25</v>
      </c>
      <c r="K40" s="313" t="s">
        <v>206</v>
      </c>
      <c r="L40" s="314">
        <f>'Registro General'!$AH$15</f>
        <v>0.1</v>
      </c>
      <c r="M40" s="313" t="s">
        <v>70</v>
      </c>
      <c r="N40" s="315">
        <f>ASISTENCIA!$BX$7</f>
        <v>0.1</v>
      </c>
      <c r="O40" s="311" t="s">
        <v>16</v>
      </c>
      <c r="P40" s="232"/>
      <c r="Q40" s="232"/>
      <c r="R40" s="232"/>
      <c r="S40" s="237"/>
      <c r="T40" s="233"/>
      <c r="U40" s="234"/>
      <c r="V40" s="43"/>
    </row>
    <row r="41" spans="1:22" ht="36.75" customHeight="1" thickTop="1" thickBot="1">
      <c r="A41" s="250">
        <v>20</v>
      </c>
      <c r="B41" s="675" t="str">
        <f>IFERROR(IF(VLOOKUP(A41,'REGISTRO DATOS'!B:H,2,0)=0,"",VLOOKUP(A41,'REGISTRO DATOS'!B:H,2,0)),"")</f>
        <v/>
      </c>
      <c r="C41" s="675" t="str">
        <f>IFERROR(IF(VLOOKUP(A41,'REGISTRO DATOS'!B:H,3,0)=0,"",VLOOKUP(A41,'REGISTRO DATOS'!B:H,3,0)),"")</f>
        <v>EMILIN</v>
      </c>
      <c r="D41" s="675" t="str">
        <f>IFERROR(IF(VLOOKUP(A41,'REGISTRO DATOS'!B:H,4,0)=0,"",VLOOKUP(A41,'REGISTRO DATOS'!B:H,4,0)),"")</f>
        <v/>
      </c>
      <c r="E41" s="846">
        <f>'COTIDIANO - IS'!AA35</f>
        <v>0</v>
      </c>
      <c r="F41" s="847"/>
      <c r="G41" s="846">
        <f>'EXAMENES - IS'!F34</f>
        <v>0</v>
      </c>
      <c r="H41" s="847"/>
      <c r="I41" s="846">
        <f>'EXAMENES - IS'!I34</f>
        <v>25</v>
      </c>
      <c r="J41" s="847">
        <f>'EXAMENES - IS'!J34</f>
        <v>9</v>
      </c>
      <c r="K41" s="848">
        <f>'Registro General'!AH35</f>
        <v>0</v>
      </c>
      <c r="L41" s="849">
        <f>'Registro General'!AH35</f>
        <v>0</v>
      </c>
      <c r="M41" s="848">
        <f>ASISTENCIA!I27</f>
        <v>10</v>
      </c>
      <c r="N41" s="850">
        <f>ASISTENCIA!I27</f>
        <v>10</v>
      </c>
      <c r="O41" s="252">
        <f>SUM(E41 +G41+I41+K41+M41)</f>
        <v>35</v>
      </c>
      <c r="P41" s="232"/>
      <c r="Q41" s="232"/>
      <c r="R41" s="232"/>
      <c r="S41" s="237"/>
      <c r="T41" s="233"/>
      <c r="U41" s="234"/>
      <c r="V41" s="43">
        <f>'REGISTRO DATOS'!J32</f>
        <v>0</v>
      </c>
    </row>
    <row r="42" spans="1:22" ht="30" customHeight="1" thickTop="1" thickBot="1">
      <c r="A42" s="305" t="s">
        <v>37</v>
      </c>
      <c r="B42" s="306" t="s">
        <v>38</v>
      </c>
      <c r="C42" s="306" t="s">
        <v>39</v>
      </c>
      <c r="D42" s="306" t="s">
        <v>36</v>
      </c>
      <c r="E42" s="306" t="s">
        <v>69</v>
      </c>
      <c r="F42" s="307">
        <f>'COTIDIANO - IS'!$AA$15</f>
        <v>0.6</v>
      </c>
      <c r="G42" s="306" t="s">
        <v>152</v>
      </c>
      <c r="H42" s="307">
        <f>'EXAMENES - IS'!$F$14</f>
        <v>0.15</v>
      </c>
      <c r="I42" s="306" t="s">
        <v>319</v>
      </c>
      <c r="J42" s="307">
        <f>'EXAMENES - IS'!$I$14</f>
        <v>0.25</v>
      </c>
      <c r="K42" s="306" t="s">
        <v>206</v>
      </c>
      <c r="L42" s="307">
        <f>'Registro General'!$AH$15</f>
        <v>0.1</v>
      </c>
      <c r="M42" s="306" t="s">
        <v>70</v>
      </c>
      <c r="N42" s="308">
        <f>ASISTENCIA!$BX$7</f>
        <v>0.1</v>
      </c>
      <c r="O42" s="309" t="s">
        <v>16</v>
      </c>
      <c r="P42" s="232"/>
      <c r="Q42" s="232"/>
      <c r="R42" s="232"/>
      <c r="S42" s="237"/>
      <c r="T42" s="233"/>
      <c r="U42" s="234"/>
      <c r="V42" s="43"/>
    </row>
    <row r="43" spans="1:22" ht="30" customHeight="1" thickTop="1" thickBot="1">
      <c r="A43" s="249">
        <v>21</v>
      </c>
      <c r="B43" s="675" t="str">
        <f>IFERROR(IF(VLOOKUP(A43,'REGISTRO DATOS'!B:H,2,0)=0,"",VLOOKUP(A43,'REGISTRO DATOS'!B:H,2,0)),"")</f>
        <v/>
      </c>
      <c r="C43" s="675" t="str">
        <f>IFERROR(IF(VLOOKUP(A43,'REGISTRO DATOS'!B:H,3,0)=0,"",VLOOKUP(A43,'REGISTRO DATOS'!B:H,3,0)),"")</f>
        <v/>
      </c>
      <c r="D43" s="675" t="str">
        <f>IFERROR(IF(VLOOKUP(A43,'REGISTRO DATOS'!B:H,4,0)=0,"",VLOOKUP(A43,'REGISTRO DATOS'!B:H,4,0)),"")</f>
        <v/>
      </c>
      <c r="E43" s="844">
        <f>'COTIDIANO - IS'!AA36</f>
        <v>0</v>
      </c>
      <c r="F43" s="845"/>
      <c r="G43" s="844">
        <f>'EXAMENES - IS'!F35</f>
        <v>0</v>
      </c>
      <c r="H43" s="845"/>
      <c r="I43" s="844">
        <f>'EXAMENES - IS'!I35</f>
        <v>0</v>
      </c>
      <c r="J43" s="845">
        <f>'EXAMENES - IS'!J35</f>
        <v>0</v>
      </c>
      <c r="K43" s="857">
        <f>'Registro General'!AH36</f>
        <v>0</v>
      </c>
      <c r="L43" s="858">
        <f>'Registro General'!AH36</f>
        <v>0</v>
      </c>
      <c r="M43" s="859">
        <f>ASISTENCIA!I28</f>
        <v>10</v>
      </c>
      <c r="N43" s="860">
        <f>ASISTENCIA!I28</f>
        <v>10</v>
      </c>
      <c r="O43" s="252">
        <f>SUM(E43 +G43+I43+K43+M43)</f>
        <v>10</v>
      </c>
      <c r="P43" s="232"/>
      <c r="Q43" s="232"/>
      <c r="R43" s="232"/>
      <c r="S43" s="237"/>
      <c r="T43" s="233"/>
      <c r="U43" s="234"/>
      <c r="V43" s="43">
        <f>'REGISTRO DATOS'!J33</f>
        <v>0</v>
      </c>
    </row>
    <row r="44" spans="1:22" ht="30" customHeight="1" thickTop="1" thickBot="1">
      <c r="A44" s="312" t="s">
        <v>37</v>
      </c>
      <c r="B44" s="313" t="s">
        <v>38</v>
      </c>
      <c r="C44" s="313" t="s">
        <v>39</v>
      </c>
      <c r="D44" s="313" t="s">
        <v>36</v>
      </c>
      <c r="E44" s="313" t="s">
        <v>69</v>
      </c>
      <c r="F44" s="314">
        <f>'COTIDIANO - IS'!$AA$15</f>
        <v>0.6</v>
      </c>
      <c r="G44" s="313" t="s">
        <v>152</v>
      </c>
      <c r="H44" s="314">
        <f>'EXAMENES - IS'!$F$14</f>
        <v>0.15</v>
      </c>
      <c r="I44" s="306" t="s">
        <v>319</v>
      </c>
      <c r="J44" s="314">
        <f>'EXAMENES - IS'!$I$14</f>
        <v>0.25</v>
      </c>
      <c r="K44" s="313" t="s">
        <v>206</v>
      </c>
      <c r="L44" s="314">
        <f>'Registro General'!$AH$15</f>
        <v>0.1</v>
      </c>
      <c r="M44" s="313" t="s">
        <v>70</v>
      </c>
      <c r="N44" s="315">
        <f>ASISTENCIA!$BX$7</f>
        <v>0.1</v>
      </c>
      <c r="O44" s="311" t="s">
        <v>16</v>
      </c>
      <c r="P44" s="232"/>
      <c r="Q44" s="232"/>
      <c r="R44" s="232"/>
      <c r="S44" s="237"/>
      <c r="T44" s="233"/>
      <c r="U44" s="234"/>
      <c r="V44" s="43"/>
    </row>
    <row r="45" spans="1:22" ht="30" customHeight="1" thickTop="1" thickBot="1">
      <c r="A45" s="250">
        <v>22</v>
      </c>
      <c r="B45" s="675" t="str">
        <f>IFERROR(IF(VLOOKUP(A45,'REGISTRO DATOS'!B:H,2,0)=0,"",VLOOKUP(A45,'REGISTRO DATOS'!B:H,2,0)),"")</f>
        <v/>
      </c>
      <c r="C45" s="675" t="str">
        <f>IFERROR(IF(VLOOKUP(A45,'REGISTRO DATOS'!B:H,3,0)=0,"",VLOOKUP(A45,'REGISTRO DATOS'!B:H,3,0)),"")</f>
        <v/>
      </c>
      <c r="D45" s="675" t="str">
        <f>IFERROR(IF(VLOOKUP(A45,'REGISTRO DATOS'!B:H,4,0)=0,"",VLOOKUP(A45,'REGISTRO DATOS'!B:H,4,0)),"")</f>
        <v/>
      </c>
      <c r="E45" s="846">
        <f>'COTIDIANO - IS'!AA37</f>
        <v>0</v>
      </c>
      <c r="F45" s="847"/>
      <c r="G45" s="846">
        <f>'EXAMENES - IS'!F36</f>
        <v>0</v>
      </c>
      <c r="H45" s="847"/>
      <c r="I45" s="846">
        <f>'EXAMENES - IS'!I36</f>
        <v>0</v>
      </c>
      <c r="J45" s="847">
        <f>'EXAMENES - IS'!J36</f>
        <v>0</v>
      </c>
      <c r="K45" s="848">
        <f>'Registro General'!AH37</f>
        <v>0</v>
      </c>
      <c r="L45" s="849">
        <f>'Registro General'!AH37</f>
        <v>0</v>
      </c>
      <c r="M45" s="848">
        <f>ASISTENCIA!I29</f>
        <v>10</v>
      </c>
      <c r="N45" s="850">
        <f>ASISTENCIA!I29</f>
        <v>10</v>
      </c>
      <c r="O45" s="252">
        <f>SUM(E45 +G45+I45+K45+M45)</f>
        <v>10</v>
      </c>
      <c r="P45" s="232"/>
      <c r="Q45" s="232"/>
      <c r="R45" s="232"/>
      <c r="S45" s="237"/>
      <c r="T45" s="233"/>
      <c r="U45" s="234"/>
      <c r="V45" s="43">
        <f>'REGISTRO DATOS'!J34</f>
        <v>0</v>
      </c>
    </row>
    <row r="46" spans="1:22" ht="30" customHeight="1" thickTop="1" thickBot="1">
      <c r="A46" s="316" t="s">
        <v>37</v>
      </c>
      <c r="B46" s="317" t="s">
        <v>38</v>
      </c>
      <c r="C46" s="317" t="s">
        <v>39</v>
      </c>
      <c r="D46" s="317" t="s">
        <v>36</v>
      </c>
      <c r="E46" s="317" t="s">
        <v>69</v>
      </c>
      <c r="F46" s="318">
        <f>'COTIDIANO - IS'!$AA$15</f>
        <v>0.6</v>
      </c>
      <c r="G46" s="317" t="s">
        <v>152</v>
      </c>
      <c r="H46" s="318">
        <f>'EXAMENES - IS'!$F$14</f>
        <v>0.15</v>
      </c>
      <c r="I46" s="306" t="s">
        <v>319</v>
      </c>
      <c r="J46" s="318">
        <f>'EXAMENES - IS'!$I$14</f>
        <v>0.25</v>
      </c>
      <c r="K46" s="317" t="s">
        <v>206</v>
      </c>
      <c r="L46" s="318">
        <f>'Registro General'!$AH$15</f>
        <v>0.1</v>
      </c>
      <c r="M46" s="317" t="s">
        <v>70</v>
      </c>
      <c r="N46" s="319">
        <f>ASISTENCIA!$BX$7</f>
        <v>0.1</v>
      </c>
      <c r="O46" s="309" t="s">
        <v>16</v>
      </c>
      <c r="P46" s="232"/>
      <c r="Q46" s="232"/>
      <c r="R46" s="232"/>
      <c r="S46" s="237"/>
      <c r="T46" s="233"/>
      <c r="U46" s="234"/>
      <c r="V46" s="43"/>
    </row>
    <row r="47" spans="1:22" ht="36.75" customHeight="1" thickTop="1" thickBot="1">
      <c r="A47" s="250">
        <v>23</v>
      </c>
      <c r="B47" s="675" t="str">
        <f>IFERROR(IF(VLOOKUP(A47,'REGISTRO DATOS'!B:H,2,0)=0,"",VLOOKUP(A47,'REGISTRO DATOS'!B:H,2,0)),"")</f>
        <v/>
      </c>
      <c r="C47" s="675" t="str">
        <f>IFERROR(IF(VLOOKUP(A47,'REGISTRO DATOS'!B:H,3,0)=0,"",VLOOKUP(A47,'REGISTRO DATOS'!B:H,3,0)),"")</f>
        <v/>
      </c>
      <c r="D47" s="675" t="str">
        <f>IFERROR(IF(VLOOKUP(A47,'REGISTRO DATOS'!B:H,4,0)=0,"",VLOOKUP(A47,'REGISTRO DATOS'!B:H,4,0)),"")</f>
        <v/>
      </c>
      <c r="E47" s="846">
        <f>'COTIDIANO - IS'!AA38</f>
        <v>0</v>
      </c>
      <c r="F47" s="847"/>
      <c r="G47" s="846">
        <f>'EXAMENES - IS'!F37</f>
        <v>0</v>
      </c>
      <c r="H47" s="847"/>
      <c r="I47" s="846">
        <f>'EXAMENES - IS'!I37</f>
        <v>0</v>
      </c>
      <c r="J47" s="847">
        <f>'EXAMENES - IS'!J37</f>
        <v>0</v>
      </c>
      <c r="K47" s="848">
        <f>'Registro General'!AH38</f>
        <v>0</v>
      </c>
      <c r="L47" s="849">
        <f>'Registro General'!AH38</f>
        <v>0</v>
      </c>
      <c r="M47" s="861">
        <f>ASISTENCIA!I30</f>
        <v>10</v>
      </c>
      <c r="N47" s="862">
        <f>ASISTENCIA!I30</f>
        <v>10</v>
      </c>
      <c r="O47" s="252">
        <f>SUM(E47 +G47+I47+K47+M47)</f>
        <v>10</v>
      </c>
      <c r="P47" s="232"/>
      <c r="Q47" s="232"/>
      <c r="R47" s="232"/>
      <c r="S47" s="237"/>
      <c r="T47" s="233"/>
      <c r="U47" s="234"/>
      <c r="V47" s="43">
        <f>'REGISTRO DATOS'!J35</f>
        <v>0</v>
      </c>
    </row>
    <row r="48" spans="1:22" ht="30" customHeight="1" thickTop="1" thickBot="1">
      <c r="A48" s="312" t="s">
        <v>37</v>
      </c>
      <c r="B48" s="313" t="s">
        <v>38</v>
      </c>
      <c r="C48" s="313" t="s">
        <v>39</v>
      </c>
      <c r="D48" s="313" t="s">
        <v>36</v>
      </c>
      <c r="E48" s="313" t="s">
        <v>69</v>
      </c>
      <c r="F48" s="314">
        <f>'COTIDIANO - IS'!$AA$15</f>
        <v>0.6</v>
      </c>
      <c r="G48" s="313" t="s">
        <v>152</v>
      </c>
      <c r="H48" s="314">
        <f>'EXAMENES - IS'!$F$14</f>
        <v>0.15</v>
      </c>
      <c r="I48" s="306" t="s">
        <v>319</v>
      </c>
      <c r="J48" s="310">
        <f>'EXAMENES - IS'!$I$14</f>
        <v>0.25</v>
      </c>
      <c r="K48" s="313" t="s">
        <v>206</v>
      </c>
      <c r="L48" s="314">
        <f>'Registro General'!$AH$15</f>
        <v>0.1</v>
      </c>
      <c r="M48" s="313" t="s">
        <v>70</v>
      </c>
      <c r="N48" s="315">
        <f>ASISTENCIA!$BX$7</f>
        <v>0.1</v>
      </c>
      <c r="O48" s="311" t="s">
        <v>16</v>
      </c>
      <c r="P48" s="232"/>
      <c r="Q48" s="232"/>
      <c r="R48" s="232"/>
      <c r="S48" s="237"/>
      <c r="T48" s="233"/>
      <c r="U48" s="234"/>
      <c r="V48" s="43"/>
    </row>
    <row r="49" spans="1:22" ht="30" customHeight="1" thickTop="1" thickBot="1">
      <c r="A49" s="250">
        <v>24</v>
      </c>
      <c r="B49" s="675" t="str">
        <f>IFERROR(IF(VLOOKUP(A49,'REGISTRO DATOS'!B:H,2,0)=0,"",VLOOKUP(A49,'REGISTRO DATOS'!B:H,2,0)),"")</f>
        <v/>
      </c>
      <c r="C49" s="675" t="str">
        <f>IFERROR(IF(VLOOKUP(A49,'REGISTRO DATOS'!B:H,3,0)=0,"",VLOOKUP(A49,'REGISTRO DATOS'!B:H,3,0)),"")</f>
        <v/>
      </c>
      <c r="D49" s="675" t="str">
        <f>IFERROR(IF(VLOOKUP(A49,'REGISTRO DATOS'!B:H,4,0)=0,"",VLOOKUP(A49,'REGISTRO DATOS'!B:H,4,0)),"")</f>
        <v/>
      </c>
      <c r="E49" s="846">
        <f>'COTIDIANO - IS'!AA39</f>
        <v>0</v>
      </c>
      <c r="F49" s="847"/>
      <c r="G49" s="846">
        <f>'EXAMENES - IS'!F38</f>
        <v>0</v>
      </c>
      <c r="H49" s="847"/>
      <c r="I49" s="844">
        <f>'EXAMENES - IS'!I38</f>
        <v>0</v>
      </c>
      <c r="J49" s="845">
        <f>'EXAMENES - IS'!J38</f>
        <v>0</v>
      </c>
      <c r="K49" s="848">
        <f>'Registro General'!AH39</f>
        <v>0</v>
      </c>
      <c r="L49" s="849">
        <f>'Registro General'!AH39</f>
        <v>0</v>
      </c>
      <c r="M49" s="861">
        <f>ASISTENCIA!I31</f>
        <v>10</v>
      </c>
      <c r="N49" s="862">
        <f>ASISTENCIA!I31</f>
        <v>10</v>
      </c>
      <c r="O49" s="252">
        <f>SUM(E49 +G49+I49+K49+M49)</f>
        <v>10</v>
      </c>
      <c r="P49" s="232"/>
      <c r="Q49" s="232"/>
      <c r="R49" s="232"/>
      <c r="S49" s="237"/>
      <c r="T49" s="233"/>
      <c r="U49" s="234"/>
      <c r="V49" s="43">
        <f>'REGISTRO DATOS'!J36</f>
        <v>0</v>
      </c>
    </row>
    <row r="50" spans="1:22" ht="30" customHeight="1" thickTop="1" thickBot="1">
      <c r="A50" s="305" t="s">
        <v>37</v>
      </c>
      <c r="B50" s="306" t="s">
        <v>38</v>
      </c>
      <c r="C50" s="306" t="s">
        <v>39</v>
      </c>
      <c r="D50" s="306" t="s">
        <v>36</v>
      </c>
      <c r="E50" s="306" t="s">
        <v>69</v>
      </c>
      <c r="F50" s="307">
        <f>'COTIDIANO - IS'!$AA$15</f>
        <v>0.6</v>
      </c>
      <c r="G50" s="306" t="s">
        <v>152</v>
      </c>
      <c r="H50" s="307">
        <f>'EXAMENES - IS'!$F$14</f>
        <v>0.15</v>
      </c>
      <c r="I50" s="306" t="s">
        <v>319</v>
      </c>
      <c r="J50" s="307">
        <f>'EXAMENES - IS'!$I$14</f>
        <v>0.25</v>
      </c>
      <c r="K50" s="306" t="s">
        <v>206</v>
      </c>
      <c r="L50" s="307">
        <f>'Registro General'!$AH$15</f>
        <v>0.1</v>
      </c>
      <c r="M50" s="306" t="s">
        <v>70</v>
      </c>
      <c r="N50" s="308">
        <f>ASISTENCIA!$BX$7</f>
        <v>0.1</v>
      </c>
      <c r="O50" s="309" t="s">
        <v>16</v>
      </c>
      <c r="P50" s="232"/>
      <c r="Q50" s="232"/>
      <c r="R50" s="232"/>
      <c r="S50" s="237"/>
      <c r="T50" s="233"/>
      <c r="U50" s="234"/>
      <c r="V50" s="43"/>
    </row>
    <row r="51" spans="1:22" ht="30" customHeight="1" thickTop="1" thickBot="1">
      <c r="A51" s="249">
        <v>25</v>
      </c>
      <c r="B51" s="675" t="str">
        <f>IFERROR(IF(VLOOKUP(A51,'REGISTRO DATOS'!B:H,2,0)=0,"",VLOOKUP(A51,'REGISTRO DATOS'!B:H,2,0)),"")</f>
        <v/>
      </c>
      <c r="C51" s="675" t="str">
        <f>IFERROR(IF(VLOOKUP(A51,'REGISTRO DATOS'!B:H,3,0)=0,"",VLOOKUP(A51,'REGISTRO DATOS'!B:H,3,0)),"")</f>
        <v/>
      </c>
      <c r="D51" s="675" t="str">
        <f>IFERROR(IF(VLOOKUP(A51,'REGISTRO DATOS'!B:H,4,0)=0,"",VLOOKUP(A51,'REGISTRO DATOS'!B:H,4,0)),"")</f>
        <v/>
      </c>
      <c r="E51" s="844">
        <f>'COTIDIANO - IS'!AA40</f>
        <v>0</v>
      </c>
      <c r="F51" s="845"/>
      <c r="G51" s="844">
        <f>'EXAMENES - IS'!F39</f>
        <v>0</v>
      </c>
      <c r="H51" s="845"/>
      <c r="I51" s="844">
        <f>'EXAMENES - IS'!I39</f>
        <v>0</v>
      </c>
      <c r="J51" s="845">
        <f>'EXAMENES - IS'!J39</f>
        <v>0</v>
      </c>
      <c r="K51" s="857">
        <f>'Registro General'!AH40</f>
        <v>0</v>
      </c>
      <c r="L51" s="858">
        <f>'Registro General'!AH40</f>
        <v>0</v>
      </c>
      <c r="M51" s="859">
        <f>ASISTENCIA!I32</f>
        <v>10</v>
      </c>
      <c r="N51" s="860">
        <f>ASISTENCIA!I32</f>
        <v>10</v>
      </c>
      <c r="O51" s="252">
        <f>SUM(E51 +G51+I51+K51+M51)</f>
        <v>10</v>
      </c>
      <c r="P51" s="232"/>
      <c r="Q51" s="232"/>
      <c r="R51" s="232"/>
      <c r="S51" s="237"/>
      <c r="T51" s="233"/>
      <c r="U51" s="234"/>
      <c r="V51" s="43">
        <f>'REGISTRO DATOS'!J37</f>
        <v>0</v>
      </c>
    </row>
    <row r="52" spans="1:22" ht="30" customHeight="1" thickTop="1" thickBot="1">
      <c r="A52" s="316" t="s">
        <v>37</v>
      </c>
      <c r="B52" s="317" t="s">
        <v>38</v>
      </c>
      <c r="C52" s="317" t="s">
        <v>39</v>
      </c>
      <c r="D52" s="317" t="s">
        <v>36</v>
      </c>
      <c r="E52" s="317" t="s">
        <v>69</v>
      </c>
      <c r="F52" s="318">
        <f>'COTIDIANO - IS'!$AA$15</f>
        <v>0.6</v>
      </c>
      <c r="G52" s="317" t="s">
        <v>152</v>
      </c>
      <c r="H52" s="318">
        <f>'EXAMENES - IS'!$F$14</f>
        <v>0.15</v>
      </c>
      <c r="I52" s="306" t="s">
        <v>319</v>
      </c>
      <c r="J52" s="318">
        <f>'EXAMENES - IS'!$I$14</f>
        <v>0.25</v>
      </c>
      <c r="K52" s="317" t="s">
        <v>206</v>
      </c>
      <c r="L52" s="318">
        <f>'Registro General'!$AH$15</f>
        <v>0.1</v>
      </c>
      <c r="M52" s="317" t="s">
        <v>70</v>
      </c>
      <c r="N52" s="319">
        <f>ASISTENCIA!$BX$7</f>
        <v>0.1</v>
      </c>
      <c r="O52" s="309" t="s">
        <v>16</v>
      </c>
      <c r="P52" s="232"/>
      <c r="Q52" s="232"/>
      <c r="R52" s="232"/>
      <c r="S52" s="237"/>
      <c r="T52" s="233"/>
      <c r="U52" s="234"/>
      <c r="V52" s="43"/>
    </row>
    <row r="53" spans="1:22" ht="30" customHeight="1" thickTop="1" thickBot="1">
      <c r="A53" s="250">
        <v>26</v>
      </c>
      <c r="B53" s="675" t="str">
        <f>IFERROR(IF(VLOOKUP(A53,'REGISTRO DATOS'!B:H,2,0)=0,"",VLOOKUP(A53,'REGISTRO DATOS'!B:H,2,0)),"")</f>
        <v/>
      </c>
      <c r="C53" s="675" t="str">
        <f>IFERROR(IF(VLOOKUP(A53,'REGISTRO DATOS'!B:H,3,0)=0,"",VLOOKUP(A53,'REGISTRO DATOS'!B:H,3,0)),"")</f>
        <v/>
      </c>
      <c r="D53" s="675" t="str">
        <f>IFERROR(IF(VLOOKUP(A53,'REGISTRO DATOS'!B:H,4,0)=0,"",VLOOKUP(A53,'REGISTRO DATOS'!B:H,4,0)),"")</f>
        <v/>
      </c>
      <c r="E53" s="846">
        <f>'COTIDIANO - IS'!AA41</f>
        <v>0</v>
      </c>
      <c r="F53" s="847"/>
      <c r="G53" s="846">
        <f>'EXAMENES - IS'!F40</f>
        <v>0</v>
      </c>
      <c r="H53" s="847"/>
      <c r="I53" s="846">
        <f>'EXAMENES - IS'!I40</f>
        <v>0</v>
      </c>
      <c r="J53" s="847">
        <f>'EXAMENES - IS'!J40</f>
        <v>0</v>
      </c>
      <c r="K53" s="848">
        <f>'Registro General'!AH41</f>
        <v>0</v>
      </c>
      <c r="L53" s="849">
        <f>'Registro General'!AH41</f>
        <v>0</v>
      </c>
      <c r="M53" s="848">
        <f>ASISTENCIA!I33</f>
        <v>10</v>
      </c>
      <c r="N53" s="850">
        <f>ASISTENCIA!I33</f>
        <v>10</v>
      </c>
      <c r="O53" s="252">
        <f>SUM(E53 +G53+I53+K53+M53)</f>
        <v>10</v>
      </c>
      <c r="P53" s="232"/>
      <c r="Q53" s="232"/>
      <c r="R53" s="232"/>
      <c r="S53" s="237"/>
      <c r="T53" s="233"/>
      <c r="U53" s="234"/>
      <c r="V53" s="43">
        <f>'REGISTRO DATOS'!J38</f>
        <v>0</v>
      </c>
    </row>
    <row r="54" spans="1:22" ht="30" customHeight="1" thickTop="1" thickBot="1">
      <c r="A54" s="316" t="s">
        <v>37</v>
      </c>
      <c r="B54" s="317" t="s">
        <v>38</v>
      </c>
      <c r="C54" s="317" t="s">
        <v>39</v>
      </c>
      <c r="D54" s="317" t="s">
        <v>36</v>
      </c>
      <c r="E54" s="317" t="s">
        <v>69</v>
      </c>
      <c r="F54" s="318">
        <f>'COTIDIANO - IS'!$AA$15</f>
        <v>0.6</v>
      </c>
      <c r="G54" s="317" t="s">
        <v>152</v>
      </c>
      <c r="H54" s="318">
        <f>'EXAMENES - IS'!$F$14</f>
        <v>0.15</v>
      </c>
      <c r="I54" s="306" t="s">
        <v>319</v>
      </c>
      <c r="J54" s="318">
        <f>'EXAMENES - IS'!$I$14</f>
        <v>0.25</v>
      </c>
      <c r="K54" s="317" t="s">
        <v>206</v>
      </c>
      <c r="L54" s="318">
        <f>'Registro General'!$AH$15</f>
        <v>0.1</v>
      </c>
      <c r="M54" s="317" t="s">
        <v>70</v>
      </c>
      <c r="N54" s="319">
        <f>ASISTENCIA!$BX$7</f>
        <v>0.1</v>
      </c>
      <c r="O54" s="309" t="s">
        <v>16</v>
      </c>
      <c r="P54" s="232"/>
      <c r="Q54" s="232"/>
      <c r="R54" s="232"/>
      <c r="S54" s="237"/>
      <c r="T54" s="233"/>
      <c r="U54" s="234"/>
      <c r="V54" s="43"/>
    </row>
    <row r="55" spans="1:22" ht="30" customHeight="1" thickTop="1" thickBot="1">
      <c r="A55" s="250">
        <v>27</v>
      </c>
      <c r="B55" s="675" t="str">
        <f>IFERROR(IF(VLOOKUP(A55,'REGISTRO DATOS'!B:H,2,0)=0,"",VLOOKUP(A55,'REGISTRO DATOS'!B:H,2,0)),"")</f>
        <v/>
      </c>
      <c r="C55" s="675" t="str">
        <f>IFERROR(IF(VLOOKUP(A55,'REGISTRO DATOS'!B:H,3,0)=0,"",VLOOKUP(A55,'REGISTRO DATOS'!B:H,3,0)),"")</f>
        <v/>
      </c>
      <c r="D55" s="675" t="str">
        <f>IFERROR(IF(VLOOKUP(A55,'REGISTRO DATOS'!B:H,4,0)=0,"",VLOOKUP(A55,'REGISTRO DATOS'!B:H,4,0)),"")</f>
        <v/>
      </c>
      <c r="E55" s="846">
        <f>'COTIDIANO - IS'!AA42</f>
        <v>0</v>
      </c>
      <c r="F55" s="847"/>
      <c r="G55" s="846">
        <f>'EXAMENES - IS'!F41</f>
        <v>0</v>
      </c>
      <c r="H55" s="847"/>
      <c r="I55" s="846">
        <f>'EXAMENES - IS'!I41</f>
        <v>0</v>
      </c>
      <c r="J55" s="847">
        <f>'EXAMENES - IS'!J41</f>
        <v>0</v>
      </c>
      <c r="K55" s="848">
        <f>'Registro General'!AH42</f>
        <v>0</v>
      </c>
      <c r="L55" s="849">
        <f>'Registro General'!AH42</f>
        <v>0</v>
      </c>
      <c r="M55" s="861">
        <f>ASISTENCIA!I34</f>
        <v>10</v>
      </c>
      <c r="N55" s="862">
        <f>ASISTENCIA!I34</f>
        <v>10</v>
      </c>
      <c r="O55" s="252">
        <f>SUM(E55 +G55+I55+K55+M55)</f>
        <v>10</v>
      </c>
      <c r="P55" s="232"/>
      <c r="Q55" s="232"/>
      <c r="R55" s="232"/>
      <c r="S55" s="237"/>
      <c r="T55" s="233"/>
      <c r="U55" s="234"/>
      <c r="V55" s="43">
        <f>'REGISTRO DATOS'!J39</f>
        <v>0</v>
      </c>
    </row>
    <row r="56" spans="1:22" ht="30" customHeight="1" thickTop="1" thickBot="1">
      <c r="A56" s="316" t="s">
        <v>37</v>
      </c>
      <c r="B56" s="317" t="s">
        <v>38</v>
      </c>
      <c r="C56" s="317" t="s">
        <v>39</v>
      </c>
      <c r="D56" s="317" t="s">
        <v>36</v>
      </c>
      <c r="E56" s="317" t="s">
        <v>69</v>
      </c>
      <c r="F56" s="318">
        <f>'COTIDIANO - IS'!$AA$15</f>
        <v>0.6</v>
      </c>
      <c r="G56" s="317" t="s">
        <v>152</v>
      </c>
      <c r="H56" s="318">
        <f>'EXAMENES - IS'!$F$14</f>
        <v>0.15</v>
      </c>
      <c r="I56" s="306" t="s">
        <v>319</v>
      </c>
      <c r="J56" s="307">
        <f>'EXAMENES - IS'!$I$14</f>
        <v>0.25</v>
      </c>
      <c r="K56" s="317" t="s">
        <v>206</v>
      </c>
      <c r="L56" s="318">
        <f>'Registro General'!$AH$15</f>
        <v>0.1</v>
      </c>
      <c r="M56" s="317" t="s">
        <v>70</v>
      </c>
      <c r="N56" s="319">
        <f>ASISTENCIA!$BX$7</f>
        <v>0.1</v>
      </c>
      <c r="O56" s="309" t="s">
        <v>16</v>
      </c>
      <c r="P56" s="232"/>
      <c r="Q56" s="232"/>
      <c r="R56" s="232"/>
      <c r="S56" s="237"/>
      <c r="T56" s="233"/>
      <c r="U56" s="234"/>
      <c r="V56" s="43"/>
    </row>
    <row r="57" spans="1:22" ht="30" customHeight="1" thickTop="1" thickBot="1">
      <c r="A57" s="250">
        <v>28</v>
      </c>
      <c r="B57" s="675" t="str">
        <f>IFERROR(IF(VLOOKUP(A57,'REGISTRO DATOS'!B:H,2,0)=0,"",VLOOKUP(A57,'REGISTRO DATOS'!B:H,2,0)),"")</f>
        <v/>
      </c>
      <c r="C57" s="675" t="str">
        <f>IFERROR(IF(VLOOKUP(A57,'REGISTRO DATOS'!B:H,3,0)=0,"",VLOOKUP(A57,'REGISTRO DATOS'!B:H,3,0)),"")</f>
        <v/>
      </c>
      <c r="D57" s="675" t="str">
        <f>IFERROR(IF(VLOOKUP(A57,'REGISTRO DATOS'!B:H,4,0)=0,"",VLOOKUP(A57,'REGISTRO DATOS'!B:H,4,0)),"")</f>
        <v/>
      </c>
      <c r="E57" s="846">
        <f>'COTIDIANO - IS'!AA43</f>
        <v>0</v>
      </c>
      <c r="F57" s="847"/>
      <c r="G57" s="846">
        <f>'EXAMENES - IS'!F42</f>
        <v>0</v>
      </c>
      <c r="H57" s="847"/>
      <c r="I57" s="844">
        <f>'EXAMENES - IS'!I42</f>
        <v>0</v>
      </c>
      <c r="J57" s="845">
        <f>'EXAMENES - IS'!J42</f>
        <v>0</v>
      </c>
      <c r="K57" s="848">
        <f>'Registro General'!AH43</f>
        <v>0</v>
      </c>
      <c r="L57" s="849">
        <f>'Registro General'!AH43</f>
        <v>0</v>
      </c>
      <c r="M57" s="861">
        <f>ASISTENCIA!I35</f>
        <v>10</v>
      </c>
      <c r="N57" s="862">
        <f>ASISTENCIA!I35</f>
        <v>10</v>
      </c>
      <c r="O57" s="252">
        <f>SUM(E57 +G57+I57+K57+M57)</f>
        <v>10</v>
      </c>
      <c r="P57" s="232"/>
      <c r="Q57" s="232"/>
      <c r="R57" s="232"/>
      <c r="S57" s="237"/>
      <c r="T57" s="233"/>
      <c r="U57" s="234"/>
      <c r="V57" s="43">
        <f>'REGISTRO DATOS'!J40</f>
        <v>0</v>
      </c>
    </row>
    <row r="58" spans="1:22" ht="30" customHeight="1" thickTop="1" thickBot="1">
      <c r="A58" s="305" t="s">
        <v>37</v>
      </c>
      <c r="B58" s="306" t="s">
        <v>38</v>
      </c>
      <c r="C58" s="306" t="s">
        <v>39</v>
      </c>
      <c r="D58" s="306" t="s">
        <v>36</v>
      </c>
      <c r="E58" s="306" t="s">
        <v>69</v>
      </c>
      <c r="F58" s="307">
        <f>'COTIDIANO - IS'!$AA$15</f>
        <v>0.6</v>
      </c>
      <c r="G58" s="306" t="s">
        <v>152</v>
      </c>
      <c r="H58" s="307">
        <f>'EXAMENES - IS'!$F$14</f>
        <v>0.15</v>
      </c>
      <c r="I58" s="306" t="s">
        <v>319</v>
      </c>
      <c r="J58" s="307">
        <f>'EXAMENES - IS'!$I$14</f>
        <v>0.25</v>
      </c>
      <c r="K58" s="306" t="s">
        <v>206</v>
      </c>
      <c r="L58" s="307">
        <f>'Registro General'!$AH$15</f>
        <v>0.1</v>
      </c>
      <c r="M58" s="306" t="s">
        <v>70</v>
      </c>
      <c r="N58" s="308">
        <f>ASISTENCIA!$BX$7</f>
        <v>0.1</v>
      </c>
      <c r="O58" s="309" t="s">
        <v>16</v>
      </c>
      <c r="P58" s="232"/>
      <c r="Q58" s="232"/>
      <c r="R58" s="232"/>
      <c r="S58" s="237"/>
      <c r="T58" s="233"/>
      <c r="U58" s="234"/>
      <c r="V58" s="43"/>
    </row>
    <row r="59" spans="1:22" ht="30" customHeight="1" thickTop="1" thickBot="1">
      <c r="A59" s="249">
        <v>29</v>
      </c>
      <c r="B59" s="675" t="str">
        <f>IFERROR(IF(VLOOKUP(A59,'REGISTRO DATOS'!B:H,2,0)=0,"",VLOOKUP(A59,'REGISTRO DATOS'!B:H,2,0)),"")</f>
        <v/>
      </c>
      <c r="C59" s="675" t="str">
        <f>IFERROR(IF(VLOOKUP(A59,'REGISTRO DATOS'!B:H,3,0)=0,"",VLOOKUP(A59,'REGISTRO DATOS'!B:H,3,0)),"")</f>
        <v/>
      </c>
      <c r="D59" s="675" t="str">
        <f>IFERROR(IF(VLOOKUP(A59,'REGISTRO DATOS'!B:H,4,0)=0,"",VLOOKUP(A59,'REGISTRO DATOS'!B:H,4,0)),"")</f>
        <v/>
      </c>
      <c r="E59" s="844">
        <f>'COTIDIANO - IS'!AA44</f>
        <v>0</v>
      </c>
      <c r="F59" s="845"/>
      <c r="G59" s="844">
        <f>'EXAMENES - IS'!F43</f>
        <v>0</v>
      </c>
      <c r="H59" s="845"/>
      <c r="I59" s="844">
        <f>'EXAMENES - IS'!I43</f>
        <v>0</v>
      </c>
      <c r="J59" s="845">
        <f>'EXAMENES - IS'!J43</f>
        <v>0</v>
      </c>
      <c r="K59" s="857">
        <f>'Registro General'!AH44</f>
        <v>0</v>
      </c>
      <c r="L59" s="858">
        <f>'Registro General'!AH44</f>
        <v>0</v>
      </c>
      <c r="M59" s="859">
        <f>ASISTENCIA!I36</f>
        <v>10</v>
      </c>
      <c r="N59" s="860">
        <f>ASISTENCIA!I36</f>
        <v>10</v>
      </c>
      <c r="O59" s="252">
        <f>SUM(E59 +G59+I59+K59+M59)</f>
        <v>10</v>
      </c>
      <c r="P59" s="232"/>
      <c r="Q59" s="232"/>
      <c r="R59" s="232"/>
      <c r="S59" s="237"/>
      <c r="T59" s="233"/>
      <c r="U59" s="234"/>
      <c r="V59" s="43">
        <f>'REGISTRO DATOS'!J41</f>
        <v>0</v>
      </c>
    </row>
    <row r="60" spans="1:22" ht="30" customHeight="1" thickTop="1" thickBot="1">
      <c r="A60" s="316" t="s">
        <v>37</v>
      </c>
      <c r="B60" s="317" t="s">
        <v>38</v>
      </c>
      <c r="C60" s="317" t="s">
        <v>39</v>
      </c>
      <c r="D60" s="317" t="s">
        <v>36</v>
      </c>
      <c r="E60" s="317" t="s">
        <v>69</v>
      </c>
      <c r="F60" s="318">
        <f>'COTIDIANO - IS'!$AA$15</f>
        <v>0.6</v>
      </c>
      <c r="G60" s="317" t="s">
        <v>152</v>
      </c>
      <c r="H60" s="318">
        <f>'EXAMENES - IS'!$F$14</f>
        <v>0.15</v>
      </c>
      <c r="I60" s="306" t="s">
        <v>319</v>
      </c>
      <c r="J60" s="318">
        <f>'EXAMENES - IS'!$I$14</f>
        <v>0.25</v>
      </c>
      <c r="K60" s="317" t="s">
        <v>206</v>
      </c>
      <c r="L60" s="318">
        <f>'Registro General'!$AH$15</f>
        <v>0.1</v>
      </c>
      <c r="M60" s="317" t="s">
        <v>70</v>
      </c>
      <c r="N60" s="319">
        <f>ASISTENCIA!$BX$7</f>
        <v>0.1</v>
      </c>
      <c r="O60" s="309" t="s">
        <v>16</v>
      </c>
      <c r="P60" s="232"/>
      <c r="Q60" s="232"/>
      <c r="R60" s="232"/>
      <c r="S60" s="237"/>
      <c r="T60" s="233"/>
      <c r="U60" s="234"/>
      <c r="V60" s="43"/>
    </row>
    <row r="61" spans="1:22" ht="30" customHeight="1" thickTop="1" thickBot="1">
      <c r="A61" s="250">
        <v>30</v>
      </c>
      <c r="B61" s="675" t="str">
        <f>IFERROR(IF(VLOOKUP(A61,'REGISTRO DATOS'!B:H,2,0)=0,"",VLOOKUP(A61,'REGISTRO DATOS'!B:H,2,0)),"")</f>
        <v/>
      </c>
      <c r="C61" s="675" t="str">
        <f>IFERROR(IF(VLOOKUP(A61,'REGISTRO DATOS'!B:H,3,0)=0,"",VLOOKUP(A61,'REGISTRO DATOS'!B:H,3,0)),"")</f>
        <v/>
      </c>
      <c r="D61" s="675" t="str">
        <f>IFERROR(IF(VLOOKUP(A61,'REGISTRO DATOS'!B:H,4,0)=0,"",VLOOKUP(A61,'REGISTRO DATOS'!B:H,4,0)),"")</f>
        <v/>
      </c>
      <c r="E61" s="846">
        <f>'COTIDIANO - IS'!AA45</f>
        <v>0</v>
      </c>
      <c r="F61" s="847"/>
      <c r="G61" s="846">
        <f>'EXAMENES - IS'!F44</f>
        <v>0</v>
      </c>
      <c r="H61" s="847"/>
      <c r="I61" s="846">
        <f>'EXAMENES - IS'!I44</f>
        <v>0</v>
      </c>
      <c r="J61" s="847">
        <f>'EXAMENES - IS'!J44</f>
        <v>0</v>
      </c>
      <c r="K61" s="848">
        <f>'Registro General'!AH45</f>
        <v>0</v>
      </c>
      <c r="L61" s="849">
        <f>'Registro General'!AH45</f>
        <v>0</v>
      </c>
      <c r="M61" s="848">
        <f>ASISTENCIA!I37</f>
        <v>10</v>
      </c>
      <c r="N61" s="850">
        <f>ASISTENCIA!I37</f>
        <v>10</v>
      </c>
      <c r="O61" s="252">
        <f>SUM(E61 +G61+I61+K61+M61)</f>
        <v>10</v>
      </c>
      <c r="P61" s="232"/>
      <c r="Q61" s="232"/>
      <c r="R61" s="232"/>
      <c r="S61" s="237"/>
      <c r="T61" s="233"/>
      <c r="U61" s="234"/>
      <c r="V61" s="43">
        <f>'REGISTRO DATOS'!J42</f>
        <v>0</v>
      </c>
    </row>
    <row r="62" spans="1:22" ht="30" customHeight="1" thickTop="1" thickBot="1">
      <c r="A62" s="305" t="s">
        <v>37</v>
      </c>
      <c r="B62" s="306" t="s">
        <v>38</v>
      </c>
      <c r="C62" s="306" t="s">
        <v>39</v>
      </c>
      <c r="D62" s="306" t="s">
        <v>36</v>
      </c>
      <c r="E62" s="306" t="s">
        <v>69</v>
      </c>
      <c r="F62" s="307">
        <f>'COTIDIANO - IS'!$AA$15</f>
        <v>0.6</v>
      </c>
      <c r="G62" s="306" t="s">
        <v>152</v>
      </c>
      <c r="H62" s="307">
        <f>'EXAMENES - IS'!$F$14</f>
        <v>0.15</v>
      </c>
      <c r="I62" s="306" t="s">
        <v>319</v>
      </c>
      <c r="J62" s="307">
        <f>'EXAMENES - IS'!$I$14</f>
        <v>0.25</v>
      </c>
      <c r="K62" s="306" t="s">
        <v>206</v>
      </c>
      <c r="L62" s="307">
        <f>'Registro General'!$AH$15</f>
        <v>0.1</v>
      </c>
      <c r="M62" s="306" t="s">
        <v>70</v>
      </c>
      <c r="N62" s="308">
        <f>ASISTENCIA!$BX$7</f>
        <v>0.1</v>
      </c>
      <c r="O62" s="309" t="s">
        <v>16</v>
      </c>
      <c r="P62" s="232"/>
      <c r="Q62" s="232"/>
      <c r="R62" s="232"/>
      <c r="S62" s="237"/>
      <c r="T62" s="233"/>
      <c r="U62" s="234"/>
      <c r="V62" s="43"/>
    </row>
    <row r="63" spans="1:22" ht="30" customHeight="1" thickTop="1" thickBot="1">
      <c r="A63" s="249">
        <v>31</v>
      </c>
      <c r="B63" s="675" t="str">
        <f>IFERROR(IF(VLOOKUP(A63,'REGISTRO DATOS'!B:H,2,0)=0,"",VLOOKUP(A63,'REGISTRO DATOS'!B:H,2,0)),"")</f>
        <v/>
      </c>
      <c r="C63" s="675" t="str">
        <f>IFERROR(IF(VLOOKUP(A63,'REGISTRO DATOS'!B:H,3,0)=0,"",VLOOKUP(A63,'REGISTRO DATOS'!B:H,3,0)),"")</f>
        <v/>
      </c>
      <c r="D63" s="675" t="str">
        <f>IFERROR(IF(VLOOKUP(A63,'REGISTRO DATOS'!B:H,4,0)=0,"",VLOOKUP(A63,'REGISTRO DATOS'!B:H,4,0)),"")</f>
        <v/>
      </c>
      <c r="E63" s="844">
        <f>'COTIDIANO - IS'!AA46</f>
        <v>0</v>
      </c>
      <c r="F63" s="845"/>
      <c r="G63" s="844">
        <f>'EXAMENES - IS'!F45</f>
        <v>0</v>
      </c>
      <c r="H63" s="845"/>
      <c r="I63" s="844">
        <f>'EXAMENES - IS'!I45</f>
        <v>0</v>
      </c>
      <c r="J63" s="845">
        <f>'EXAMENES - IS'!J45</f>
        <v>0</v>
      </c>
      <c r="K63" s="857">
        <f>'Registro General'!AH46</f>
        <v>0</v>
      </c>
      <c r="L63" s="858">
        <f>'Registro General'!AH46</f>
        <v>0</v>
      </c>
      <c r="M63" s="859">
        <f>ASISTENCIA!I38</f>
        <v>10</v>
      </c>
      <c r="N63" s="860">
        <f>ASISTENCIA!I38</f>
        <v>10</v>
      </c>
      <c r="O63" s="252">
        <f>SUM(E63 +G63+I63+K63+M63)</f>
        <v>10</v>
      </c>
      <c r="P63" s="232"/>
      <c r="Q63" s="232"/>
      <c r="R63" s="232"/>
      <c r="S63" s="237"/>
      <c r="T63" s="233"/>
      <c r="U63" s="234"/>
      <c r="V63" s="43">
        <f>'REGISTRO DATOS'!J43</f>
        <v>0</v>
      </c>
    </row>
    <row r="64" spans="1:22" ht="30" customHeight="1" thickTop="1" thickBot="1">
      <c r="A64" s="316" t="s">
        <v>37</v>
      </c>
      <c r="B64" s="317" t="s">
        <v>38</v>
      </c>
      <c r="C64" s="317" t="s">
        <v>39</v>
      </c>
      <c r="D64" s="317" t="s">
        <v>36</v>
      </c>
      <c r="E64" s="317" t="s">
        <v>69</v>
      </c>
      <c r="F64" s="318">
        <f>'COTIDIANO - IS'!$AA$15</f>
        <v>0.6</v>
      </c>
      <c r="G64" s="317" t="s">
        <v>152</v>
      </c>
      <c r="H64" s="318">
        <f>'EXAMENES - IS'!$F$14</f>
        <v>0.15</v>
      </c>
      <c r="I64" s="306" t="s">
        <v>319</v>
      </c>
      <c r="J64" s="318">
        <f>'EXAMENES - IS'!$I$14</f>
        <v>0.25</v>
      </c>
      <c r="K64" s="317" t="s">
        <v>206</v>
      </c>
      <c r="L64" s="318">
        <f>'Registro General'!$AH$15</f>
        <v>0.1</v>
      </c>
      <c r="M64" s="317" t="s">
        <v>70</v>
      </c>
      <c r="N64" s="319">
        <f>ASISTENCIA!$BX$7</f>
        <v>0.1</v>
      </c>
      <c r="O64" s="309" t="s">
        <v>16</v>
      </c>
      <c r="P64" s="232"/>
      <c r="Q64" s="232"/>
      <c r="R64" s="232"/>
      <c r="S64" s="237"/>
      <c r="T64" s="233"/>
      <c r="U64" s="234"/>
      <c r="V64" s="43"/>
    </row>
    <row r="65" spans="1:22" ht="30" customHeight="1" thickTop="1" thickBot="1">
      <c r="A65" s="250">
        <v>32</v>
      </c>
      <c r="B65" s="675" t="str">
        <f>IFERROR(IF(VLOOKUP(A65,'REGISTRO DATOS'!B:H,2,0)=0,"",VLOOKUP(A65,'REGISTRO DATOS'!B:H,2,0)),"")</f>
        <v/>
      </c>
      <c r="C65" s="675" t="str">
        <f>IFERROR(IF(VLOOKUP(A65,'REGISTRO DATOS'!B:H,3,0)=0,"",VLOOKUP(A65,'REGISTRO DATOS'!B:H,3,0)),"")</f>
        <v/>
      </c>
      <c r="D65" s="675" t="str">
        <f>IFERROR(IF(VLOOKUP(A65,'REGISTRO DATOS'!B:H,4,0)=0,"",VLOOKUP(A65,'REGISTRO DATOS'!B:H,4,0)),"")</f>
        <v/>
      </c>
      <c r="E65" s="846">
        <f>'COTIDIANO - IS'!AA47</f>
        <v>0</v>
      </c>
      <c r="F65" s="847"/>
      <c r="G65" s="846">
        <f>'EXAMENES - IS'!F46</f>
        <v>0</v>
      </c>
      <c r="H65" s="847"/>
      <c r="I65" s="846">
        <f>'EXAMENES - IS'!I46</f>
        <v>0</v>
      </c>
      <c r="J65" s="847">
        <f>'EXAMENES - IS'!J46</f>
        <v>0</v>
      </c>
      <c r="K65" s="848">
        <f>'Registro General'!AH47</f>
        <v>0</v>
      </c>
      <c r="L65" s="849">
        <f>'Registro General'!AH47</f>
        <v>0</v>
      </c>
      <c r="M65" s="848">
        <f>ASISTENCIA!I39</f>
        <v>10</v>
      </c>
      <c r="N65" s="850">
        <f>ASISTENCIA!I39</f>
        <v>10</v>
      </c>
      <c r="O65" s="252">
        <f>SUM(E65 +G65+I65+K65+M65)</f>
        <v>10</v>
      </c>
      <c r="P65" s="232"/>
      <c r="Q65" s="232"/>
      <c r="R65" s="232"/>
      <c r="S65" s="237"/>
      <c r="T65" s="233"/>
      <c r="U65" s="234"/>
      <c r="V65" s="43">
        <f>'REGISTRO DATOS'!J44</f>
        <v>0</v>
      </c>
    </row>
    <row r="66" spans="1:22" ht="30" customHeight="1" thickTop="1" thickBot="1">
      <c r="A66" s="316" t="s">
        <v>37</v>
      </c>
      <c r="B66" s="317" t="s">
        <v>38</v>
      </c>
      <c r="C66" s="317" t="s">
        <v>39</v>
      </c>
      <c r="D66" s="317" t="s">
        <v>36</v>
      </c>
      <c r="E66" s="317" t="s">
        <v>69</v>
      </c>
      <c r="F66" s="318">
        <f>'COTIDIANO - IS'!$AA$15</f>
        <v>0.6</v>
      </c>
      <c r="G66" s="317" t="s">
        <v>152</v>
      </c>
      <c r="H66" s="318">
        <f>'EXAMENES - IS'!$F$14</f>
        <v>0.15</v>
      </c>
      <c r="I66" s="306" t="s">
        <v>319</v>
      </c>
      <c r="J66" s="318">
        <f>'EXAMENES - IS'!$I$14</f>
        <v>0.25</v>
      </c>
      <c r="K66" s="317" t="s">
        <v>206</v>
      </c>
      <c r="L66" s="318">
        <f>'Registro General'!$AH$15</f>
        <v>0.1</v>
      </c>
      <c r="M66" s="317" t="s">
        <v>70</v>
      </c>
      <c r="N66" s="319">
        <f>ASISTENCIA!$BX$7</f>
        <v>0.1</v>
      </c>
      <c r="O66" s="309" t="s">
        <v>16</v>
      </c>
      <c r="P66" s="232"/>
      <c r="Q66" s="232"/>
      <c r="R66" s="232"/>
      <c r="S66" s="237"/>
      <c r="T66" s="233"/>
      <c r="U66" s="234"/>
      <c r="V66" s="43"/>
    </row>
    <row r="67" spans="1:22" ht="30" customHeight="1" thickTop="1" thickBot="1">
      <c r="A67" s="250">
        <v>33</v>
      </c>
      <c r="B67" s="675" t="str">
        <f>IFERROR(IF(VLOOKUP(A67,'REGISTRO DATOS'!B:H,2,0)=0,"",VLOOKUP(A67,'REGISTRO DATOS'!B:H,2,0)),"")</f>
        <v/>
      </c>
      <c r="C67" s="675" t="str">
        <f>IFERROR(IF(VLOOKUP(A67,'REGISTRO DATOS'!B:H,3,0)=0,"",VLOOKUP(A67,'REGISTRO DATOS'!B:H,3,0)),"")</f>
        <v/>
      </c>
      <c r="D67" s="675" t="str">
        <f>IFERROR(IF(VLOOKUP(A67,'REGISTRO DATOS'!B:H,4,0)=0,"",VLOOKUP(A67,'REGISTRO DATOS'!B:H,4,0)),"")</f>
        <v/>
      </c>
      <c r="E67" s="846">
        <f>'COTIDIANO - IS'!AA48</f>
        <v>0</v>
      </c>
      <c r="F67" s="847"/>
      <c r="G67" s="846">
        <f>'EXAMENES - IS'!F47</f>
        <v>0</v>
      </c>
      <c r="H67" s="847"/>
      <c r="I67" s="846">
        <f>'EXAMENES - IS'!I47</f>
        <v>0</v>
      </c>
      <c r="J67" s="847">
        <f>'EXAMENES - IS'!J47</f>
        <v>0</v>
      </c>
      <c r="K67" s="848">
        <f>'Registro General'!AH48</f>
        <v>0</v>
      </c>
      <c r="L67" s="849">
        <f>'Registro General'!AH48</f>
        <v>0</v>
      </c>
      <c r="M67" s="861">
        <f>ASISTENCIA!I40</f>
        <v>10</v>
      </c>
      <c r="N67" s="862">
        <f>ASISTENCIA!I40</f>
        <v>10</v>
      </c>
      <c r="O67" s="252">
        <f>SUM(E67 +G67+I67+K67+M67)</f>
        <v>10</v>
      </c>
      <c r="P67" s="232"/>
      <c r="Q67" s="232"/>
      <c r="R67" s="232"/>
      <c r="S67" s="237"/>
      <c r="T67" s="233"/>
      <c r="U67" s="234"/>
      <c r="V67" s="43">
        <f>'REGISTRO DATOS'!J45</f>
        <v>0</v>
      </c>
    </row>
    <row r="68" spans="1:22" ht="30" customHeight="1" thickTop="1" thickBot="1">
      <c r="A68" s="316" t="s">
        <v>37</v>
      </c>
      <c r="B68" s="317" t="s">
        <v>38</v>
      </c>
      <c r="C68" s="317" t="s">
        <v>39</v>
      </c>
      <c r="D68" s="317" t="s">
        <v>36</v>
      </c>
      <c r="E68" s="317" t="s">
        <v>69</v>
      </c>
      <c r="F68" s="318">
        <f>'COTIDIANO - IS'!$AA$15</f>
        <v>0.6</v>
      </c>
      <c r="G68" s="317" t="s">
        <v>152</v>
      </c>
      <c r="H68" s="318">
        <f>'EXAMENES - IS'!$F$14</f>
        <v>0.15</v>
      </c>
      <c r="I68" s="306" t="s">
        <v>319</v>
      </c>
      <c r="J68" s="307">
        <f>'EXAMENES - IS'!$I$14</f>
        <v>0.25</v>
      </c>
      <c r="K68" s="317" t="s">
        <v>206</v>
      </c>
      <c r="L68" s="318">
        <f>'Registro General'!$AH$15</f>
        <v>0.1</v>
      </c>
      <c r="M68" s="317" t="s">
        <v>70</v>
      </c>
      <c r="N68" s="319">
        <f>ASISTENCIA!$BX$7</f>
        <v>0.1</v>
      </c>
      <c r="O68" s="309" t="s">
        <v>16</v>
      </c>
      <c r="P68" s="232"/>
      <c r="Q68" s="232"/>
      <c r="R68" s="232"/>
      <c r="S68" s="237"/>
      <c r="T68" s="233"/>
      <c r="U68" s="234"/>
      <c r="V68" s="43"/>
    </row>
    <row r="69" spans="1:22" ht="30" customHeight="1" thickTop="1" thickBot="1">
      <c r="A69" s="250">
        <v>34</v>
      </c>
      <c r="B69" s="675" t="str">
        <f>IFERROR(IF(VLOOKUP(A69,'REGISTRO DATOS'!B:H,2,0)=0,"",VLOOKUP(A69,'REGISTRO DATOS'!B:H,2,0)),"")</f>
        <v/>
      </c>
      <c r="C69" s="675" t="str">
        <f>IFERROR(IF(VLOOKUP(A69,'REGISTRO DATOS'!B:H,3,0)=0,"",VLOOKUP(A69,'REGISTRO DATOS'!B:H,3,0)),"")</f>
        <v/>
      </c>
      <c r="D69" s="675" t="str">
        <f>IFERROR(IF(VLOOKUP(A69,'REGISTRO DATOS'!B:H,4,0)=0,"",VLOOKUP(A69,'REGISTRO DATOS'!B:H,4,0)),"")</f>
        <v/>
      </c>
      <c r="E69" s="846">
        <f>'COTIDIANO - IS'!AA49</f>
        <v>0</v>
      </c>
      <c r="F69" s="847"/>
      <c r="G69" s="846">
        <f>'EXAMENES - IS'!F48</f>
        <v>0</v>
      </c>
      <c r="H69" s="847"/>
      <c r="I69" s="844">
        <f>'EXAMENES - IS'!I48</f>
        <v>0</v>
      </c>
      <c r="J69" s="845">
        <f>'EXAMENES - IS'!J48</f>
        <v>0</v>
      </c>
      <c r="K69" s="848">
        <f>'Registro General'!AH49</f>
        <v>0</v>
      </c>
      <c r="L69" s="849">
        <f>'Registro General'!AH49</f>
        <v>0</v>
      </c>
      <c r="M69" s="861">
        <f>ASISTENCIA!I41</f>
        <v>10</v>
      </c>
      <c r="N69" s="862">
        <f>ASISTENCIA!I41</f>
        <v>10</v>
      </c>
      <c r="O69" s="252">
        <f>SUM(E69 +G69+I69+K69+M69)</f>
        <v>10</v>
      </c>
      <c r="P69" s="232"/>
      <c r="Q69" s="232"/>
      <c r="R69" s="232"/>
      <c r="S69" s="237"/>
      <c r="T69" s="233"/>
      <c r="U69" s="234"/>
      <c r="V69" s="43">
        <f>'REGISTRO DATOS'!J46</f>
        <v>0</v>
      </c>
    </row>
    <row r="70" spans="1:22" ht="30" customHeight="1" thickTop="1" thickBot="1">
      <c r="A70" s="305" t="s">
        <v>37</v>
      </c>
      <c r="B70" s="306" t="s">
        <v>38</v>
      </c>
      <c r="C70" s="306" t="s">
        <v>39</v>
      </c>
      <c r="D70" s="306" t="s">
        <v>36</v>
      </c>
      <c r="E70" s="306" t="s">
        <v>69</v>
      </c>
      <c r="F70" s="307">
        <f>'COTIDIANO - IS'!$AA$15</f>
        <v>0.6</v>
      </c>
      <c r="G70" s="306" t="s">
        <v>152</v>
      </c>
      <c r="H70" s="307">
        <f>'EXAMENES - IS'!$F$14</f>
        <v>0.15</v>
      </c>
      <c r="I70" s="306" t="s">
        <v>319</v>
      </c>
      <c r="J70" s="307">
        <f>'EXAMENES - IS'!$I$14</f>
        <v>0.25</v>
      </c>
      <c r="K70" s="306" t="s">
        <v>206</v>
      </c>
      <c r="L70" s="307">
        <f>'Registro General'!$AH$15</f>
        <v>0.1</v>
      </c>
      <c r="M70" s="306" t="s">
        <v>70</v>
      </c>
      <c r="N70" s="308">
        <f>ASISTENCIA!$BX$7</f>
        <v>0.1</v>
      </c>
      <c r="O70" s="309" t="s">
        <v>16</v>
      </c>
      <c r="P70" s="232"/>
      <c r="Q70" s="232"/>
      <c r="R70" s="232"/>
      <c r="S70" s="237"/>
      <c r="T70" s="233"/>
      <c r="U70" s="234"/>
      <c r="V70" s="43"/>
    </row>
    <row r="71" spans="1:22" ht="30" customHeight="1" thickTop="1" thickBot="1">
      <c r="A71" s="249">
        <v>35</v>
      </c>
      <c r="B71" s="675" t="str">
        <f>IFERROR(IF(VLOOKUP(A71,'REGISTRO DATOS'!B:H,2,0)=0,"",VLOOKUP(A71,'REGISTRO DATOS'!B:H,2,0)),"")</f>
        <v/>
      </c>
      <c r="C71" s="675" t="str">
        <f>IFERROR(IF(VLOOKUP(A71,'REGISTRO DATOS'!B:H,3,0)=0,"",VLOOKUP(A71,'REGISTRO DATOS'!B:H,3,0)),"")</f>
        <v/>
      </c>
      <c r="D71" s="675" t="str">
        <f>IFERROR(IF(VLOOKUP(A71,'REGISTRO DATOS'!B:H,4,0)=0,"",VLOOKUP(A71,'REGISTRO DATOS'!B:H,4,0)),"")</f>
        <v/>
      </c>
      <c r="E71" s="844">
        <f>'COTIDIANO - IS'!AA50</f>
        <v>0</v>
      </c>
      <c r="F71" s="845"/>
      <c r="G71" s="844">
        <f>'EXAMENES - IS'!F49</f>
        <v>0</v>
      </c>
      <c r="H71" s="845"/>
      <c r="I71" s="844">
        <f>'EXAMENES - IS'!I49</f>
        <v>0</v>
      </c>
      <c r="J71" s="845">
        <f>'EXAMENES - IS'!J49</f>
        <v>0</v>
      </c>
      <c r="K71" s="857">
        <f>'Registro General'!AH50</f>
        <v>0</v>
      </c>
      <c r="L71" s="858">
        <f>'Registro General'!AH50</f>
        <v>0</v>
      </c>
      <c r="M71" s="859">
        <f>ASISTENCIA!I42</f>
        <v>10</v>
      </c>
      <c r="N71" s="860">
        <f>ASISTENCIA!I42</f>
        <v>10</v>
      </c>
      <c r="O71" s="252">
        <f>SUM(E71 +G71+I71+K71+M71)</f>
        <v>10</v>
      </c>
      <c r="P71" s="232"/>
      <c r="Q71" s="232"/>
      <c r="R71" s="232"/>
      <c r="S71" s="237"/>
      <c r="T71" s="233"/>
      <c r="U71" s="234"/>
      <c r="V71" s="43">
        <f>'REGISTRO DATOS'!J47</f>
        <v>0</v>
      </c>
    </row>
    <row r="72" spans="1:22" ht="30" customHeight="1" thickTop="1" thickBot="1">
      <c r="A72" s="316" t="s">
        <v>37</v>
      </c>
      <c r="B72" s="317" t="s">
        <v>38</v>
      </c>
      <c r="C72" s="317" t="s">
        <v>39</v>
      </c>
      <c r="D72" s="317" t="s">
        <v>36</v>
      </c>
      <c r="E72" s="317" t="s">
        <v>69</v>
      </c>
      <c r="F72" s="318">
        <f>'COTIDIANO - IS'!$AA$15</f>
        <v>0.6</v>
      </c>
      <c r="G72" s="317" t="s">
        <v>152</v>
      </c>
      <c r="H72" s="318">
        <f>'EXAMENES - IS'!$F$14</f>
        <v>0.15</v>
      </c>
      <c r="I72" s="306" t="s">
        <v>319</v>
      </c>
      <c r="J72" s="318">
        <f>'EXAMENES - IS'!$I$14</f>
        <v>0.25</v>
      </c>
      <c r="K72" s="317" t="s">
        <v>206</v>
      </c>
      <c r="L72" s="318">
        <f>'Registro General'!$AH$15</f>
        <v>0.1</v>
      </c>
      <c r="M72" s="317" t="s">
        <v>70</v>
      </c>
      <c r="N72" s="319">
        <f>ASISTENCIA!$BX$7</f>
        <v>0.1</v>
      </c>
      <c r="O72" s="309" t="s">
        <v>16</v>
      </c>
      <c r="P72" s="232"/>
      <c r="Q72" s="232"/>
      <c r="R72" s="232"/>
      <c r="S72" s="237"/>
      <c r="T72" s="233"/>
      <c r="U72" s="234"/>
      <c r="V72" s="43"/>
    </row>
    <row r="73" spans="1:22" ht="30" customHeight="1" thickTop="1" thickBot="1">
      <c r="A73" s="250">
        <v>36</v>
      </c>
      <c r="B73" s="675" t="str">
        <f>IFERROR(IF(VLOOKUP(A73,'REGISTRO DATOS'!B:H,2,0)=0,"",VLOOKUP(A73,'REGISTRO DATOS'!B:H,2,0)),"")</f>
        <v/>
      </c>
      <c r="C73" s="675" t="str">
        <f>IFERROR(IF(VLOOKUP(A73,'REGISTRO DATOS'!B:H,3,0)=0,"",VLOOKUP(A73,'REGISTRO DATOS'!B:H,3,0)),"")</f>
        <v/>
      </c>
      <c r="D73" s="675" t="str">
        <f>IFERROR(IF(VLOOKUP(A73,'REGISTRO DATOS'!B:H,4,0)=0,"",VLOOKUP(A73,'REGISTRO DATOS'!B:H,4,0)),"")</f>
        <v/>
      </c>
      <c r="E73" s="846">
        <f>'COTIDIANO - IS'!AA51</f>
        <v>0</v>
      </c>
      <c r="F73" s="847"/>
      <c r="G73" s="846">
        <f>'EXAMENES - IS'!F50</f>
        <v>0</v>
      </c>
      <c r="H73" s="847"/>
      <c r="I73" s="846">
        <f>'EXAMENES - IS'!I50</f>
        <v>0</v>
      </c>
      <c r="J73" s="847">
        <f>'EXAMENES - IS'!J50</f>
        <v>0</v>
      </c>
      <c r="K73" s="848">
        <f>'Registro General'!AH51</f>
        <v>0</v>
      </c>
      <c r="L73" s="849">
        <f>'Registro General'!AH51</f>
        <v>0</v>
      </c>
      <c r="M73" s="848">
        <f>ASISTENCIA!I43</f>
        <v>10</v>
      </c>
      <c r="N73" s="850">
        <f>ASISTENCIA!I43</f>
        <v>10</v>
      </c>
      <c r="O73" s="252">
        <f>SUM(E73 +G73+I73+K73+M73)</f>
        <v>10</v>
      </c>
      <c r="P73" s="232"/>
      <c r="Q73" s="232"/>
      <c r="R73" s="232"/>
      <c r="S73" s="237"/>
      <c r="T73" s="233"/>
      <c r="U73" s="234"/>
      <c r="V73" s="43">
        <f>'REGISTRO DATOS'!J48</f>
        <v>0</v>
      </c>
    </row>
    <row r="74" spans="1:22" ht="30" customHeight="1" thickTop="1" thickBot="1">
      <c r="A74" s="316" t="s">
        <v>37</v>
      </c>
      <c r="B74" s="317" t="s">
        <v>38</v>
      </c>
      <c r="C74" s="317" t="s">
        <v>39</v>
      </c>
      <c r="D74" s="317" t="s">
        <v>36</v>
      </c>
      <c r="E74" s="317" t="s">
        <v>69</v>
      </c>
      <c r="F74" s="318">
        <f>'COTIDIANO - IS'!$AA$15</f>
        <v>0.6</v>
      </c>
      <c r="G74" s="317" t="s">
        <v>152</v>
      </c>
      <c r="H74" s="318">
        <f>'EXAMENES - IS'!$F$14</f>
        <v>0.15</v>
      </c>
      <c r="I74" s="306" t="s">
        <v>319</v>
      </c>
      <c r="J74" s="307">
        <f>'EXAMENES - IS'!$I$14</f>
        <v>0.25</v>
      </c>
      <c r="K74" s="317" t="s">
        <v>206</v>
      </c>
      <c r="L74" s="318">
        <f>'Registro General'!$AH$15</f>
        <v>0.1</v>
      </c>
      <c r="M74" s="317" t="s">
        <v>70</v>
      </c>
      <c r="N74" s="319">
        <f>ASISTENCIA!$BX$7</f>
        <v>0.1</v>
      </c>
      <c r="O74" s="309" t="s">
        <v>16</v>
      </c>
      <c r="P74" s="232"/>
      <c r="Q74" s="232"/>
      <c r="R74" s="232"/>
      <c r="S74" s="237"/>
      <c r="T74" s="233"/>
      <c r="U74" s="234"/>
      <c r="V74" s="43"/>
    </row>
    <row r="75" spans="1:22" ht="30" customHeight="1" thickTop="1" thickBot="1">
      <c r="A75" s="250">
        <v>37</v>
      </c>
      <c r="B75" s="675" t="str">
        <f>IFERROR(IF(VLOOKUP(A75,'REGISTRO DATOS'!B:H,2,0)=0,"",VLOOKUP(A75,'REGISTRO DATOS'!B:H,2,0)),"")</f>
        <v/>
      </c>
      <c r="C75" s="675" t="str">
        <f>IFERROR(IF(VLOOKUP(A75,'REGISTRO DATOS'!B:H,3,0)=0,"",VLOOKUP(A75,'REGISTRO DATOS'!B:H,3,0)),"")</f>
        <v/>
      </c>
      <c r="D75" s="675" t="str">
        <f>IFERROR(IF(VLOOKUP(A75,'REGISTRO DATOS'!B:H,4,0)=0,"",VLOOKUP(A75,'REGISTRO DATOS'!B:H,4,0)),"")</f>
        <v/>
      </c>
      <c r="E75" s="846">
        <f>'COTIDIANO - IS'!AA52</f>
        <v>0</v>
      </c>
      <c r="F75" s="847"/>
      <c r="G75" s="846">
        <f>'EXAMENES - IS'!F51</f>
        <v>0</v>
      </c>
      <c r="H75" s="847"/>
      <c r="I75" s="844">
        <f>'EXAMENES - IS'!I51</f>
        <v>0</v>
      </c>
      <c r="J75" s="845">
        <f>'EXAMENES - IS'!J51</f>
        <v>0</v>
      </c>
      <c r="K75" s="848">
        <f>'Registro General'!AH52</f>
        <v>0</v>
      </c>
      <c r="L75" s="849">
        <f>'Registro General'!AH52</f>
        <v>0</v>
      </c>
      <c r="M75" s="861">
        <f>ASISTENCIA!I44</f>
        <v>10</v>
      </c>
      <c r="N75" s="862"/>
      <c r="O75" s="252">
        <f>SUM(E75 +G75+I75+K75+M75)</f>
        <v>10</v>
      </c>
      <c r="P75" s="232"/>
      <c r="Q75" s="232"/>
      <c r="R75" s="232"/>
      <c r="S75" s="237"/>
      <c r="T75" s="233"/>
      <c r="U75" s="234"/>
      <c r="V75" s="43">
        <f>'REGISTRO DATOS'!J49</f>
        <v>0</v>
      </c>
    </row>
    <row r="76" spans="1:22" ht="30" customHeight="1" thickTop="1" thickBot="1">
      <c r="A76" s="305" t="s">
        <v>37</v>
      </c>
      <c r="B76" s="306" t="s">
        <v>38</v>
      </c>
      <c r="C76" s="306" t="s">
        <v>39</v>
      </c>
      <c r="D76" s="306" t="s">
        <v>36</v>
      </c>
      <c r="E76" s="306" t="s">
        <v>69</v>
      </c>
      <c r="F76" s="307">
        <f>'COTIDIANO - IS'!$AA$15</f>
        <v>0.6</v>
      </c>
      <c r="G76" s="306" t="s">
        <v>152</v>
      </c>
      <c r="H76" s="307">
        <f>'EXAMENES - IS'!$F$14</f>
        <v>0.15</v>
      </c>
      <c r="I76" s="306" t="s">
        <v>319</v>
      </c>
      <c r="J76" s="307">
        <f>'EXAMENES - IS'!$I$14</f>
        <v>0.25</v>
      </c>
      <c r="K76" s="306" t="s">
        <v>206</v>
      </c>
      <c r="L76" s="307">
        <f>'Registro General'!$AH$15</f>
        <v>0.1</v>
      </c>
      <c r="M76" s="306" t="s">
        <v>70</v>
      </c>
      <c r="N76" s="308">
        <f>ASISTENCIA!$BX$7</f>
        <v>0.1</v>
      </c>
      <c r="O76" s="309" t="s">
        <v>16</v>
      </c>
      <c r="P76" s="232"/>
      <c r="Q76" s="232"/>
      <c r="R76" s="232"/>
      <c r="S76" s="237"/>
      <c r="T76" s="233"/>
      <c r="U76" s="234"/>
      <c r="V76" s="43"/>
    </row>
    <row r="77" spans="1:22" ht="30" customHeight="1" thickTop="1" thickBot="1">
      <c r="A77" s="249">
        <v>38</v>
      </c>
      <c r="B77" s="675" t="str">
        <f>IFERROR(IF(VLOOKUP(A77,'REGISTRO DATOS'!B:H,2,0)=0,"",VLOOKUP(A77,'REGISTRO DATOS'!B:H,2,0)),"")</f>
        <v/>
      </c>
      <c r="C77" s="675" t="str">
        <f>IFERROR(IF(VLOOKUP(A77,'REGISTRO DATOS'!B:H,3,0)=0,"",VLOOKUP(A77,'REGISTRO DATOS'!B:H,3,0)),"")</f>
        <v/>
      </c>
      <c r="D77" s="675" t="str">
        <f>IFERROR(IF(VLOOKUP(A77,'REGISTRO DATOS'!B:H,4,0)=0,"",VLOOKUP(A77,'REGISTRO DATOS'!B:H,4,0)),"")</f>
        <v/>
      </c>
      <c r="E77" s="844">
        <f>'COTIDIANO - IS'!AA53</f>
        <v>0</v>
      </c>
      <c r="F77" s="845"/>
      <c r="G77" s="844">
        <f>'EXAMENES - IS'!F52</f>
        <v>0</v>
      </c>
      <c r="H77" s="845"/>
      <c r="I77" s="844">
        <f>'EXAMENES - IS'!I52</f>
        <v>0</v>
      </c>
      <c r="J77" s="845">
        <f>'EXAMENES - IS'!J52</f>
        <v>0</v>
      </c>
      <c r="K77" s="857">
        <f>'Registro General'!AH53</f>
        <v>0</v>
      </c>
      <c r="L77" s="858">
        <f>'Registro General'!AH53</f>
        <v>0</v>
      </c>
      <c r="M77" s="859">
        <f>ASISTENCIA!I45</f>
        <v>10</v>
      </c>
      <c r="N77" s="860">
        <f>ASISTENCIA!I45</f>
        <v>10</v>
      </c>
      <c r="O77" s="252">
        <f>SUM(E77 +G77+I77+K77+M77)</f>
        <v>10</v>
      </c>
      <c r="P77" s="232"/>
      <c r="Q77" s="232"/>
      <c r="R77" s="232"/>
      <c r="S77" s="237"/>
      <c r="T77" s="233"/>
      <c r="U77" s="234"/>
      <c r="V77" s="43">
        <f>'REGISTRO DATOS'!J50</f>
        <v>0</v>
      </c>
    </row>
    <row r="78" spans="1:22" ht="30" customHeight="1" thickTop="1" thickBot="1">
      <c r="A78" s="316" t="s">
        <v>37</v>
      </c>
      <c r="B78" s="317" t="s">
        <v>38</v>
      </c>
      <c r="C78" s="317" t="s">
        <v>39</v>
      </c>
      <c r="D78" s="317" t="s">
        <v>36</v>
      </c>
      <c r="E78" s="317" t="s">
        <v>69</v>
      </c>
      <c r="F78" s="318">
        <f>'COTIDIANO - IS'!$AA$15</f>
        <v>0.6</v>
      </c>
      <c r="G78" s="317" t="s">
        <v>152</v>
      </c>
      <c r="H78" s="318">
        <f>'EXAMENES - IS'!$F$14</f>
        <v>0.15</v>
      </c>
      <c r="I78" s="306" t="s">
        <v>319</v>
      </c>
      <c r="J78" s="318">
        <f>'EXAMENES - IS'!$I$14</f>
        <v>0.25</v>
      </c>
      <c r="K78" s="317" t="s">
        <v>206</v>
      </c>
      <c r="L78" s="318">
        <f>'Registro General'!$AH$15</f>
        <v>0.1</v>
      </c>
      <c r="M78" s="317" t="s">
        <v>70</v>
      </c>
      <c r="N78" s="319">
        <f>ASISTENCIA!$BX$7</f>
        <v>0.1</v>
      </c>
      <c r="O78" s="309" t="s">
        <v>16</v>
      </c>
      <c r="P78" s="232"/>
      <c r="Q78" s="232"/>
      <c r="R78" s="232"/>
      <c r="S78" s="237"/>
      <c r="T78" s="233"/>
      <c r="U78" s="234"/>
      <c r="V78" s="43"/>
    </row>
    <row r="79" spans="1:22" ht="30" customHeight="1" thickTop="1" thickBot="1">
      <c r="A79" s="250">
        <v>39</v>
      </c>
      <c r="B79" s="675" t="str">
        <f>IFERROR(IF(VLOOKUP(A79,'REGISTRO DATOS'!B:H,2,0)=0,"",VLOOKUP(A79,'REGISTRO DATOS'!B:H,2,0)),"")</f>
        <v/>
      </c>
      <c r="C79" s="675" t="str">
        <f>IFERROR(IF(VLOOKUP(A79,'REGISTRO DATOS'!B:H,3,0)=0,"",VLOOKUP(A79,'REGISTRO DATOS'!B:H,3,0)),"")</f>
        <v/>
      </c>
      <c r="D79" s="675" t="str">
        <f>IFERROR(IF(VLOOKUP(A79,'REGISTRO DATOS'!B:H,4,0)=0,"",VLOOKUP(A79,'REGISTRO DATOS'!B:H,4,0)),"")</f>
        <v/>
      </c>
      <c r="E79" s="846">
        <f>'COTIDIANO - IS'!AA54</f>
        <v>0</v>
      </c>
      <c r="F79" s="847"/>
      <c r="G79" s="846">
        <f>'EXAMENES - IS'!F53</f>
        <v>0</v>
      </c>
      <c r="H79" s="847"/>
      <c r="I79" s="846">
        <f>'EXAMENES - IS'!I53</f>
        <v>0</v>
      </c>
      <c r="J79" s="847">
        <f>'EXAMENES - IS'!J53</f>
        <v>0</v>
      </c>
      <c r="K79" s="848">
        <f>'Registro General'!AH54</f>
        <v>0</v>
      </c>
      <c r="L79" s="849">
        <f>'Registro General'!AH54</f>
        <v>0</v>
      </c>
      <c r="M79" s="848">
        <f>ASISTENCIA!I46</f>
        <v>10</v>
      </c>
      <c r="N79" s="850">
        <f>ASISTENCIA!I46</f>
        <v>10</v>
      </c>
      <c r="O79" s="252">
        <f>SUM(E79 +G79+I79+K79+M79)</f>
        <v>10</v>
      </c>
      <c r="P79" s="232"/>
      <c r="Q79" s="232"/>
      <c r="R79" s="232"/>
      <c r="S79" s="237"/>
      <c r="T79" s="233"/>
      <c r="U79" s="234"/>
      <c r="V79" s="43">
        <f>'REGISTRO DATOS'!J51</f>
        <v>0</v>
      </c>
    </row>
    <row r="80" spans="1:22" ht="30" customHeight="1" thickTop="1" thickBot="1">
      <c r="A80" s="316" t="s">
        <v>37</v>
      </c>
      <c r="B80" s="317" t="s">
        <v>38</v>
      </c>
      <c r="C80" s="317" t="s">
        <v>39</v>
      </c>
      <c r="D80" s="317" t="s">
        <v>36</v>
      </c>
      <c r="E80" s="317" t="s">
        <v>69</v>
      </c>
      <c r="F80" s="318">
        <f>'COTIDIANO - IS'!$AA$15</f>
        <v>0.6</v>
      </c>
      <c r="G80" s="317" t="s">
        <v>152</v>
      </c>
      <c r="H80" s="318">
        <f>'EXAMENES - IS'!$F$14</f>
        <v>0.15</v>
      </c>
      <c r="I80" s="306" t="s">
        <v>319</v>
      </c>
      <c r="J80" s="318">
        <f>'EXAMENES - IS'!$I$14</f>
        <v>0.25</v>
      </c>
      <c r="K80" s="317" t="s">
        <v>206</v>
      </c>
      <c r="L80" s="318">
        <f>'Registro General'!$AH$15</f>
        <v>0.1</v>
      </c>
      <c r="M80" s="317" t="s">
        <v>70</v>
      </c>
      <c r="N80" s="319">
        <f>ASISTENCIA!$BX$7</f>
        <v>0.1</v>
      </c>
      <c r="O80" s="309" t="s">
        <v>16</v>
      </c>
      <c r="P80" s="232"/>
      <c r="Q80" s="232"/>
      <c r="R80" s="232"/>
      <c r="S80" s="237"/>
      <c r="T80" s="233"/>
      <c r="U80" s="234"/>
      <c r="V80" s="43"/>
    </row>
    <row r="81" spans="1:22" ht="30" customHeight="1" thickTop="1" thickBot="1">
      <c r="A81" s="250">
        <v>40</v>
      </c>
      <c r="B81" s="675" t="str">
        <f>IFERROR(IF(VLOOKUP(A81,'REGISTRO DATOS'!B:H,2,0)=0,"",VLOOKUP(A81,'REGISTRO DATOS'!B:H,2,0)),"")</f>
        <v/>
      </c>
      <c r="C81" s="675" t="str">
        <f>IFERROR(IF(VLOOKUP(A81,'REGISTRO DATOS'!B:H,3,0)=0,"",VLOOKUP(A81,'REGISTRO DATOS'!B:H,3,0)),"")</f>
        <v/>
      </c>
      <c r="D81" s="675" t="str">
        <f>IFERROR(IF(VLOOKUP(A81,'REGISTRO DATOS'!B:H,4,0)=0,"",VLOOKUP(A81,'REGISTRO DATOS'!B:H,4,0)),"")</f>
        <v/>
      </c>
      <c r="E81" s="846">
        <f>'COTIDIANO - IS'!AA55</f>
        <v>0</v>
      </c>
      <c r="F81" s="847"/>
      <c r="G81" s="846">
        <f>'EXAMENES - IS'!F54</f>
        <v>0</v>
      </c>
      <c r="H81" s="847"/>
      <c r="I81" s="846">
        <f>'EXAMENES - IS'!I54</f>
        <v>0</v>
      </c>
      <c r="J81" s="847">
        <f>'EXAMENES - IS'!J54</f>
        <v>0</v>
      </c>
      <c r="K81" s="848">
        <f>'Registro General'!AH55</f>
        <v>0</v>
      </c>
      <c r="L81" s="849">
        <f>'Registro General'!AH55</f>
        <v>0</v>
      </c>
      <c r="M81" s="848">
        <f>ASISTENCIA!I47</f>
        <v>10</v>
      </c>
      <c r="N81" s="850">
        <f>ASISTENCIA!I47</f>
        <v>10</v>
      </c>
      <c r="O81" s="252">
        <f>SUM(E81 +G81+I81+K81+M81)</f>
        <v>10</v>
      </c>
      <c r="P81" s="232"/>
      <c r="Q81" s="232"/>
      <c r="R81" s="232"/>
      <c r="S81" s="237"/>
      <c r="T81" s="233"/>
      <c r="U81" s="234"/>
      <c r="V81" s="43">
        <f>'REGISTRO DATOS'!J52</f>
        <v>0</v>
      </c>
    </row>
    <row r="82" spans="1:22" ht="18" customHeight="1" thickTop="1">
      <c r="A82" s="37"/>
      <c r="B82" s="2"/>
      <c r="C82" s="2"/>
      <c r="D82" s="37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</row>
    <row r="83" spans="1:22" ht="18" customHeight="1">
      <c r="A83" s="37"/>
      <c r="B83" s="2"/>
      <c r="C83" s="2"/>
      <c r="D83" s="37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</row>
    <row r="84" spans="1:22" ht="18" customHeight="1">
      <c r="A84" s="37"/>
      <c r="B84" s="2"/>
      <c r="C84" s="2"/>
      <c r="D84" s="37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</row>
    <row r="85" spans="1:22" ht="18" customHeight="1">
      <c r="A85" s="37"/>
      <c r="B85" s="2"/>
      <c r="C85" s="2"/>
      <c r="D85" s="37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</row>
    <row r="86" spans="1:22" ht="18" customHeight="1">
      <c r="A86" s="37"/>
      <c r="B86" s="2"/>
      <c r="C86" s="2"/>
      <c r="D86" s="37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</row>
    <row r="87" spans="1:22" ht="18" customHeight="1">
      <c r="A87" s="37"/>
      <c r="B87" s="2"/>
      <c r="C87" s="2"/>
      <c r="D87" s="37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</row>
    <row r="88" spans="1:22" ht="17.25" customHeight="1">
      <c r="A88" s="37"/>
      <c r="B88" s="2"/>
      <c r="C88" s="2"/>
      <c r="D88" s="37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</row>
    <row r="89" spans="1:22" ht="17.25" customHeight="1">
      <c r="A89" s="37"/>
      <c r="B89" s="2"/>
      <c r="C89" s="2"/>
      <c r="D89" s="37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</row>
    <row r="90" spans="1:22" ht="17.25" customHeight="1">
      <c r="A90" s="37"/>
      <c r="B90" s="2"/>
      <c r="C90" s="2"/>
      <c r="D90" s="37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</row>
    <row r="91" spans="1:22" ht="15" customHeight="1">
      <c r="A91" s="37"/>
      <c r="B91" s="2"/>
      <c r="C91" s="2"/>
      <c r="D91" s="37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</row>
    <row r="92" spans="1:22" ht="15.75" customHeight="1">
      <c r="A92" s="37"/>
      <c r="B92" s="2"/>
      <c r="C92" s="2"/>
      <c r="D92" s="37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</row>
    <row r="93" spans="1:22" ht="15" customHeight="1">
      <c r="A93" s="37"/>
      <c r="B93" s="2"/>
      <c r="C93" s="2"/>
      <c r="D93" s="37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</row>
    <row r="94" spans="1:22" ht="15.75" customHeight="1">
      <c r="A94" s="37"/>
      <c r="B94" s="2"/>
      <c r="C94" s="2"/>
      <c r="D94" s="37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</row>
    <row r="95" spans="1:22" ht="15" customHeight="1">
      <c r="A95" s="37"/>
      <c r="B95" s="2"/>
      <c r="C95" s="2"/>
      <c r="D95" s="37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</row>
    <row r="96" spans="1:22" ht="15.75" customHeight="1">
      <c r="A96" s="37"/>
      <c r="B96" s="2"/>
      <c r="C96" s="2"/>
      <c r="D96" s="37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</row>
    <row r="97" spans="1:21" ht="15" customHeight="1">
      <c r="A97" s="37"/>
      <c r="B97" s="2"/>
      <c r="C97" s="2"/>
      <c r="D97" s="37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</row>
    <row r="98" spans="1:21" ht="15.75" customHeight="1">
      <c r="A98" s="37"/>
      <c r="B98" s="2"/>
      <c r="C98" s="2"/>
      <c r="D98" s="37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</row>
    <row r="99" spans="1:21" ht="15" customHeight="1">
      <c r="A99" s="37"/>
      <c r="B99" s="2"/>
      <c r="C99" s="2"/>
      <c r="D99" s="37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</row>
    <row r="100" spans="1:21" ht="15.75" customHeight="1">
      <c r="A100" s="37"/>
      <c r="B100" s="2"/>
      <c r="C100" s="2"/>
      <c r="D100" s="37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</row>
    <row r="101" spans="1:21" ht="15" customHeight="1">
      <c r="A101" s="37"/>
      <c r="B101" s="2"/>
      <c r="C101" s="2"/>
      <c r="D101" s="37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</row>
    <row r="102" spans="1:21" ht="15.75" customHeight="1">
      <c r="A102" s="37"/>
      <c r="B102" s="2"/>
      <c r="C102" s="2"/>
      <c r="D102" s="37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</row>
    <row r="103" spans="1:21" ht="15" customHeight="1">
      <c r="A103" s="37"/>
      <c r="B103" s="2"/>
      <c r="C103" s="2"/>
      <c r="D103" s="37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</row>
    <row r="104" spans="1:21" ht="15.75" customHeight="1">
      <c r="A104" s="37"/>
      <c r="B104" s="2"/>
      <c r="C104" s="2"/>
      <c r="D104" s="37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</row>
    <row r="105" spans="1:21" ht="15" customHeight="1">
      <c r="A105" s="37"/>
      <c r="B105" s="2"/>
      <c r="C105" s="2"/>
      <c r="D105" s="37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</row>
    <row r="106" spans="1:21" ht="15.75" customHeight="1">
      <c r="A106" s="37"/>
      <c r="B106" s="2"/>
      <c r="C106" s="2"/>
      <c r="D106" s="37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</row>
    <row r="107" spans="1:21">
      <c r="A107" s="37"/>
      <c r="B107" s="2"/>
      <c r="C107" s="2"/>
      <c r="D107" s="37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</row>
    <row r="108" spans="1:21">
      <c r="A108" s="37"/>
      <c r="B108" s="2"/>
      <c r="C108" s="2"/>
      <c r="D108" s="37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</row>
    <row r="109" spans="1:21">
      <c r="A109" s="37"/>
      <c r="B109" s="2"/>
      <c r="C109" s="2"/>
      <c r="D109" s="37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</row>
    <row r="110" spans="1:21">
      <c r="A110" s="37"/>
      <c r="B110" s="2"/>
      <c r="C110" s="2"/>
      <c r="D110" s="37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</row>
    <row r="111" spans="1:21">
      <c r="A111" s="37"/>
      <c r="B111" s="2"/>
      <c r="C111" s="2"/>
      <c r="D111" s="37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</row>
    <row r="112" spans="1:21">
      <c r="A112" s="37"/>
      <c r="B112" s="2"/>
      <c r="C112" s="2"/>
      <c r="D112" s="37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</row>
    <row r="113" spans="1:21">
      <c r="A113" s="37"/>
      <c r="B113" s="2"/>
      <c r="C113" s="2"/>
      <c r="D113" s="37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</row>
    <row r="114" spans="1:21">
      <c r="A114" s="37"/>
      <c r="B114" s="2"/>
      <c r="C114" s="2"/>
      <c r="D114" s="37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</row>
    <row r="115" spans="1:21">
      <c r="A115" s="37"/>
      <c r="B115" s="2"/>
      <c r="C115" s="2"/>
      <c r="D115" s="37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</row>
    <row r="116" spans="1:21">
      <c r="A116" s="37"/>
      <c r="B116" s="2"/>
      <c r="C116" s="2"/>
      <c r="D116" s="37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</row>
    <row r="117" spans="1:21">
      <c r="A117" s="37"/>
      <c r="B117" s="2"/>
      <c r="C117" s="2"/>
      <c r="D117" s="37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</row>
    <row r="118" spans="1:21">
      <c r="A118" s="37"/>
      <c r="B118" s="2"/>
      <c r="C118" s="2"/>
      <c r="D118" s="37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</row>
    <row r="119" spans="1:21">
      <c r="A119" s="37"/>
      <c r="B119" s="2"/>
      <c r="C119" s="2"/>
      <c r="D119" s="37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</row>
    <row r="120" spans="1:21">
      <c r="A120" s="37"/>
      <c r="B120" s="2"/>
      <c r="C120" s="2"/>
      <c r="D120" s="37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</row>
    <row r="121" spans="1:21">
      <c r="A121" s="37"/>
      <c r="B121" s="2"/>
      <c r="C121" s="2"/>
      <c r="D121" s="37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</row>
    <row r="122" spans="1:21">
      <c r="A122" s="37"/>
      <c r="B122" s="2"/>
      <c r="C122" s="2"/>
      <c r="D122" s="37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</row>
    <row r="123" spans="1:21">
      <c r="A123" s="37"/>
      <c r="B123" s="2"/>
      <c r="C123" s="2"/>
      <c r="D123" s="37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</row>
    <row r="124" spans="1:21">
      <c r="A124" s="37"/>
      <c r="B124" s="2"/>
      <c r="C124" s="2"/>
      <c r="D124" s="37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</row>
    <row r="125" spans="1:21">
      <c r="A125" s="37"/>
      <c r="B125" s="2"/>
      <c r="C125" s="2"/>
      <c r="D125" s="37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</row>
    <row r="126" spans="1:21">
      <c r="A126" s="37"/>
      <c r="B126" s="2"/>
      <c r="C126" s="2"/>
      <c r="D126" s="37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</row>
    <row r="127" spans="1:21">
      <c r="A127" s="37"/>
      <c r="B127" s="2"/>
      <c r="C127" s="2"/>
      <c r="D127" s="37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</row>
    <row r="128" spans="1:21">
      <c r="A128" s="37"/>
      <c r="B128" s="2"/>
      <c r="C128" s="2"/>
      <c r="D128" s="37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</row>
    <row r="129" spans="1:21">
      <c r="A129" s="37"/>
      <c r="B129" s="2"/>
      <c r="C129" s="2"/>
      <c r="D129" s="37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</row>
    <row r="130" spans="1:21">
      <c r="A130" s="37"/>
      <c r="B130" s="2"/>
      <c r="C130" s="2"/>
      <c r="D130" s="37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</row>
    <row r="131" spans="1:21">
      <c r="A131" s="37"/>
      <c r="B131" s="2"/>
      <c r="C131" s="2"/>
      <c r="D131" s="37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</row>
    <row r="132" spans="1:21">
      <c r="A132" s="37"/>
      <c r="B132" s="2"/>
      <c r="C132" s="2"/>
      <c r="D132" s="37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</row>
    <row r="133" spans="1:21">
      <c r="A133" s="37"/>
      <c r="B133" s="2"/>
      <c r="C133" s="2"/>
      <c r="D133" s="37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</row>
    <row r="134" spans="1:21">
      <c r="A134" s="37"/>
      <c r="B134" s="2"/>
      <c r="C134" s="2"/>
      <c r="D134" s="37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</row>
    <row r="135" spans="1:21">
      <c r="A135" s="37"/>
      <c r="B135" s="2"/>
      <c r="C135" s="2"/>
      <c r="D135" s="37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</row>
  </sheetData>
  <dataConsolidate/>
  <mergeCells count="211">
    <mergeCell ref="E33:F33"/>
    <mergeCell ref="E35:F35"/>
    <mergeCell ref="E37:F37"/>
    <mergeCell ref="E39:F39"/>
    <mergeCell ref="E41:F41"/>
    <mergeCell ref="E43:F43"/>
    <mergeCell ref="E81:F81"/>
    <mergeCell ref="E69:F69"/>
    <mergeCell ref="E71:F71"/>
    <mergeCell ref="E73:F73"/>
    <mergeCell ref="E75:F75"/>
    <mergeCell ref="E77:F77"/>
    <mergeCell ref="E79:F79"/>
    <mergeCell ref="E57:F57"/>
    <mergeCell ref="E59:F59"/>
    <mergeCell ref="E61:F61"/>
    <mergeCell ref="E63:F63"/>
    <mergeCell ref="E65:F65"/>
    <mergeCell ref="E67:F67"/>
    <mergeCell ref="M67:N67"/>
    <mergeCell ref="M81:N81"/>
    <mergeCell ref="E17:F17"/>
    <mergeCell ref="E19:F19"/>
    <mergeCell ref="E21:F21"/>
    <mergeCell ref="E23:F23"/>
    <mergeCell ref="E25:F25"/>
    <mergeCell ref="E27:F27"/>
    <mergeCell ref="E29:F29"/>
    <mergeCell ref="E31:F31"/>
    <mergeCell ref="M69:N69"/>
    <mergeCell ref="M71:N71"/>
    <mergeCell ref="M73:N73"/>
    <mergeCell ref="M75:N75"/>
    <mergeCell ref="M77:N77"/>
    <mergeCell ref="M79:N79"/>
    <mergeCell ref="M59:N59"/>
    <mergeCell ref="M61:N61"/>
    <mergeCell ref="M63:N63"/>
    <mergeCell ref="M65:N65"/>
    <mergeCell ref="M47:N47"/>
    <mergeCell ref="M49:N49"/>
    <mergeCell ref="M51:N51"/>
    <mergeCell ref="M53:N53"/>
    <mergeCell ref="M55:N55"/>
    <mergeCell ref="M57:N57"/>
    <mergeCell ref="M45:N45"/>
    <mergeCell ref="M25:N25"/>
    <mergeCell ref="M27:N27"/>
    <mergeCell ref="M29:N29"/>
    <mergeCell ref="M31:N31"/>
    <mergeCell ref="M33:N33"/>
    <mergeCell ref="M35:N35"/>
    <mergeCell ref="M37:N37"/>
    <mergeCell ref="M39:N39"/>
    <mergeCell ref="M41:N41"/>
    <mergeCell ref="M43:N43"/>
    <mergeCell ref="K43:L43"/>
    <mergeCell ref="K45:L45"/>
    <mergeCell ref="K47:L47"/>
    <mergeCell ref="K49:L49"/>
    <mergeCell ref="K75:L75"/>
    <mergeCell ref="K77:L77"/>
    <mergeCell ref="K79:L79"/>
    <mergeCell ref="K81:L81"/>
    <mergeCell ref="K63:L63"/>
    <mergeCell ref="K65:L65"/>
    <mergeCell ref="K67:L67"/>
    <mergeCell ref="K69:L69"/>
    <mergeCell ref="K71:L71"/>
    <mergeCell ref="K73:L73"/>
    <mergeCell ref="K27:L27"/>
    <mergeCell ref="K29:L29"/>
    <mergeCell ref="K31:L31"/>
    <mergeCell ref="K33:L33"/>
    <mergeCell ref="K35:L35"/>
    <mergeCell ref="K37:L37"/>
    <mergeCell ref="I75:J75"/>
    <mergeCell ref="I77:J77"/>
    <mergeCell ref="I79:J79"/>
    <mergeCell ref="I49:J49"/>
    <mergeCell ref="I27:J27"/>
    <mergeCell ref="I29:J29"/>
    <mergeCell ref="I31:J31"/>
    <mergeCell ref="I33:J33"/>
    <mergeCell ref="I35:J35"/>
    <mergeCell ref="I37:J37"/>
    <mergeCell ref="K51:L51"/>
    <mergeCell ref="K53:L53"/>
    <mergeCell ref="K55:L55"/>
    <mergeCell ref="K57:L57"/>
    <mergeCell ref="K59:L59"/>
    <mergeCell ref="K61:L61"/>
    <mergeCell ref="K39:L39"/>
    <mergeCell ref="K41:L41"/>
    <mergeCell ref="I81:J81"/>
    <mergeCell ref="K15:L15"/>
    <mergeCell ref="K17:L17"/>
    <mergeCell ref="K19:L19"/>
    <mergeCell ref="K21:L21"/>
    <mergeCell ref="K23:L23"/>
    <mergeCell ref="K25:L25"/>
    <mergeCell ref="I63:J63"/>
    <mergeCell ref="I65:J65"/>
    <mergeCell ref="I67:J67"/>
    <mergeCell ref="I69:J69"/>
    <mergeCell ref="I71:J71"/>
    <mergeCell ref="I73:J73"/>
    <mergeCell ref="I51:J51"/>
    <mergeCell ref="I53:J53"/>
    <mergeCell ref="I55:J55"/>
    <mergeCell ref="I57:J57"/>
    <mergeCell ref="I59:J59"/>
    <mergeCell ref="I61:J61"/>
    <mergeCell ref="I39:J39"/>
    <mergeCell ref="I41:J41"/>
    <mergeCell ref="I43:J43"/>
    <mergeCell ref="I45:J45"/>
    <mergeCell ref="I47:J47"/>
    <mergeCell ref="I25:J25"/>
    <mergeCell ref="I15:J15"/>
    <mergeCell ref="I17:J17"/>
    <mergeCell ref="I19:J19"/>
    <mergeCell ref="I21:J21"/>
    <mergeCell ref="E15:F15"/>
    <mergeCell ref="G15:H15"/>
    <mergeCell ref="E11:F11"/>
    <mergeCell ref="G11:H11"/>
    <mergeCell ref="I11:J11"/>
    <mergeCell ref="I13:J13"/>
    <mergeCell ref="K13:L13"/>
    <mergeCell ref="M13:N13"/>
    <mergeCell ref="M7:N7"/>
    <mergeCell ref="E9:F9"/>
    <mergeCell ref="G9:H9"/>
    <mergeCell ref="I9:J9"/>
    <mergeCell ref="K9:L9"/>
    <mergeCell ref="M9:N9"/>
    <mergeCell ref="Z23:AC23"/>
    <mergeCell ref="I23:J23"/>
    <mergeCell ref="M15:N15"/>
    <mergeCell ref="M17:N17"/>
    <mergeCell ref="M19:N19"/>
    <mergeCell ref="M21:N21"/>
    <mergeCell ref="M23:N23"/>
    <mergeCell ref="T2:W2"/>
    <mergeCell ref="Z25:AA25"/>
    <mergeCell ref="AB25:AC25"/>
    <mergeCell ref="E3:F3"/>
    <mergeCell ref="G3:H3"/>
    <mergeCell ref="I3:J3"/>
    <mergeCell ref="K3:L3"/>
    <mergeCell ref="M3:N3"/>
    <mergeCell ref="E5:F5"/>
    <mergeCell ref="Z3:AC3"/>
    <mergeCell ref="Z5:AA5"/>
    <mergeCell ref="AB5:AC5"/>
    <mergeCell ref="Z13:AC13"/>
    <mergeCell ref="Z15:AA15"/>
    <mergeCell ref="AB15:AC15"/>
    <mergeCell ref="G17:H17"/>
    <mergeCell ref="G19:H19"/>
    <mergeCell ref="G21:H21"/>
    <mergeCell ref="G23:H23"/>
    <mergeCell ref="G25:H25"/>
    <mergeCell ref="K11:L11"/>
    <mergeCell ref="M11:N11"/>
    <mergeCell ref="E13:F13"/>
    <mergeCell ref="G13:H13"/>
    <mergeCell ref="G5:H5"/>
    <mergeCell ref="I5:J5"/>
    <mergeCell ref="K5:L5"/>
    <mergeCell ref="M5:N5"/>
    <mergeCell ref="E7:F7"/>
    <mergeCell ref="G7:H7"/>
    <mergeCell ref="I7:J7"/>
    <mergeCell ref="K7:L7"/>
    <mergeCell ref="T3:W3"/>
    <mergeCell ref="G27:H27"/>
    <mergeCell ref="G29:H29"/>
    <mergeCell ref="G31:H31"/>
    <mergeCell ref="G33:H33"/>
    <mergeCell ref="G35:H35"/>
    <mergeCell ref="G37:H37"/>
    <mergeCell ref="G39:H39"/>
    <mergeCell ref="G41:H41"/>
    <mergeCell ref="G43:H43"/>
    <mergeCell ref="G45:H45"/>
    <mergeCell ref="E47:F47"/>
    <mergeCell ref="G47:H47"/>
    <mergeCell ref="E49:F49"/>
    <mergeCell ref="G49:H49"/>
    <mergeCell ref="E51:F51"/>
    <mergeCell ref="G51:H51"/>
    <mergeCell ref="E53:F53"/>
    <mergeCell ref="G53:H53"/>
    <mergeCell ref="E45:F45"/>
    <mergeCell ref="G71:H71"/>
    <mergeCell ref="G73:H73"/>
    <mergeCell ref="G75:H75"/>
    <mergeCell ref="G77:H77"/>
    <mergeCell ref="G79:H79"/>
    <mergeCell ref="G81:H81"/>
    <mergeCell ref="E55:F55"/>
    <mergeCell ref="G55:H55"/>
    <mergeCell ref="G57:H57"/>
    <mergeCell ref="G59:H59"/>
    <mergeCell ref="G61:H61"/>
    <mergeCell ref="G63:H63"/>
    <mergeCell ref="G65:H65"/>
    <mergeCell ref="G67:H67"/>
    <mergeCell ref="G69:H69"/>
  </mergeCells>
  <dataValidations disablePrompts="1" count="1">
    <dataValidation type="list" allowBlank="1" showInputMessage="1" showErrorMessage="1" sqref="U82:U90" xr:uid="{00000000-0002-0000-0600-000000000000}">
      <formula1>#REF!</formula1>
    </dataValidation>
  </dataValidations>
  <pageMargins left="0.7" right="0.7" top="0.75" bottom="0.75" header="0.3" footer="0.3"/>
  <pageSetup scale="52" orientation="landscape" r:id="rId1"/>
  <rowBreaks count="3" manualBreakCount="3">
    <brk id="31" max="16383" man="1"/>
    <brk id="47" max="16383" man="1"/>
    <brk id="81" max="16383" man="1"/>
  </rowBreaks>
  <colBreaks count="1" manualBreakCount="1">
    <brk id="16" max="1048575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25">
    <tabColor rgb="FF9F480D"/>
  </sheetPr>
  <dimension ref="A1:AD135"/>
  <sheetViews>
    <sheetView showGridLines="0" showRowColHeaders="0" zoomScale="70" zoomScaleNormal="66" workbookViewId="0"/>
  </sheetViews>
  <sheetFormatPr baseColWidth="10" defaultRowHeight="15"/>
  <cols>
    <col min="1" max="1" width="4" style="44" bestFit="1" customWidth="1" collapsed="1"/>
    <col min="2" max="2" width="17.28515625" style="44" bestFit="1" customWidth="1" collapsed="1"/>
    <col min="3" max="3" width="18" style="44" bestFit="1" customWidth="1" collapsed="1"/>
    <col min="4" max="4" width="17.28515625" style="44" bestFit="1" customWidth="1" collapsed="1"/>
    <col min="5" max="5" width="14.42578125" bestFit="1" customWidth="1" collapsed="1"/>
    <col min="6" max="6" width="6.140625" customWidth="1" collapsed="1"/>
    <col min="7" max="7" width="12.5703125" customWidth="1" collapsed="1"/>
    <col min="8" max="8" width="6.140625" customWidth="1" collapsed="1"/>
    <col min="9" max="9" width="13.28515625" customWidth="1" collapsed="1"/>
    <col min="10" max="10" width="6.140625" customWidth="1" collapsed="1"/>
    <col min="11" max="11" width="10.7109375" bestFit="1" customWidth="1" collapsed="1"/>
    <col min="12" max="12" width="6.140625" bestFit="1" customWidth="1" collapsed="1"/>
    <col min="13" max="13" width="14.5703125" bestFit="1" customWidth="1" collapsed="1"/>
    <col min="14" max="14" width="6.140625" customWidth="1" collapsed="1"/>
    <col min="15" max="15" width="10.5703125" customWidth="1" collapsed="1"/>
    <col min="16" max="17" width="4.28515625" bestFit="1" customWidth="1" collapsed="1"/>
    <col min="18" max="18" width="7.5703125" bestFit="1" customWidth="1" collapsed="1"/>
    <col min="19" max="19" width="12.42578125" customWidth="1" collapsed="1"/>
    <col min="20" max="20" width="29.7109375" customWidth="1"/>
    <col min="21" max="21" width="15.28515625" customWidth="1" collapsed="1"/>
    <col min="22" max="22" width="7.28515625" hidden="1" customWidth="1"/>
    <col min="26" max="28" width="0" hidden="1" customWidth="1"/>
    <col min="29" max="29" width="10.140625" hidden="1" customWidth="1"/>
    <col min="30" max="30" width="0" hidden="1" customWidth="1"/>
  </cols>
  <sheetData>
    <row r="1" spans="1:30" s="2" customFormat="1" ht="15.75" customHeight="1" thickBot="1">
      <c r="A1" s="334"/>
      <c r="B1" s="334"/>
      <c r="C1" s="334"/>
      <c r="D1" s="334"/>
      <c r="E1" s="264"/>
      <c r="F1" s="264"/>
      <c r="G1" s="264"/>
      <c r="H1" s="264"/>
      <c r="I1" s="264"/>
      <c r="J1" s="264"/>
      <c r="K1" s="238"/>
      <c r="L1" s="238"/>
      <c r="M1" s="238"/>
      <c r="N1" s="238"/>
      <c r="O1" s="238"/>
      <c r="P1" s="238"/>
      <c r="Q1" s="238"/>
      <c r="R1" s="238"/>
      <c r="S1" s="239"/>
      <c r="T1" s="240"/>
      <c r="U1" s="235"/>
    </row>
    <row r="2" spans="1:30" ht="30" customHeight="1" thickBot="1">
      <c r="A2" s="558" t="s">
        <v>37</v>
      </c>
      <c r="B2" s="559" t="s">
        <v>38</v>
      </c>
      <c r="C2" s="559" t="s">
        <v>39</v>
      </c>
      <c r="D2" s="559" t="s">
        <v>36</v>
      </c>
      <c r="E2" s="559" t="s">
        <v>69</v>
      </c>
      <c r="F2" s="560">
        <f>'COTIDIANO - IIS'!$AA$15</f>
        <v>0.6</v>
      </c>
      <c r="G2" s="559" t="s">
        <v>152</v>
      </c>
      <c r="H2" s="560">
        <f>'EXAMENES - IIS'!$F$14</f>
        <v>0</v>
      </c>
      <c r="I2" s="559" t="s">
        <v>319</v>
      </c>
      <c r="J2" s="560">
        <f>'EXAMENES - IIS'!$I$14</f>
        <v>0.2</v>
      </c>
      <c r="K2" s="559" t="s">
        <v>206</v>
      </c>
      <c r="L2" s="560">
        <f>'TAREAS - IIS'!I14</f>
        <v>0.1</v>
      </c>
      <c r="M2" s="559" t="s">
        <v>70</v>
      </c>
      <c r="N2" s="561">
        <f>ASISTENCIA!$BX$7</f>
        <v>0.1</v>
      </c>
      <c r="O2" s="562" t="s">
        <v>16</v>
      </c>
      <c r="P2" s="238"/>
      <c r="Q2" s="238"/>
      <c r="R2" s="238"/>
      <c r="S2" s="239"/>
      <c r="T2" s="851" t="s">
        <v>263</v>
      </c>
      <c r="U2" s="852"/>
      <c r="V2" s="852"/>
      <c r="W2" s="853"/>
    </row>
    <row r="3" spans="1:30" ht="35.25" customHeight="1" thickTop="1" thickBot="1">
      <c r="A3" s="249">
        <v>1</v>
      </c>
      <c r="B3" s="674" t="str">
        <f>IFERROR(IF(VLOOKUP(A3,'REGISTRO DATOS'!B:H,2,0)=0,"",VLOOKUP(A3,'REGISTRO DATOS'!B:H,2,0)),"")</f>
        <v/>
      </c>
      <c r="C3" s="674" t="str">
        <f>IFERROR(IF(VLOOKUP(A3,'REGISTRO DATOS'!B:H,3,0)=0,"",VLOOKUP(A3,'REGISTRO DATOS'!B:H,3,0)),"")</f>
        <v/>
      </c>
      <c r="D3" s="674" t="str">
        <f>IFERROR(IF(VLOOKUP(A3,'REGISTRO DATOS'!B:H,4,0)=0,"",VLOOKUP(A3,'REGISTRO DATOS'!B:H,4,0)),"")</f>
        <v>MARIANELA</v>
      </c>
      <c r="E3" s="844" t="e">
        <f>'COTIDIANO - IIS'!AA16</f>
        <v>#DIV/0!</v>
      </c>
      <c r="F3" s="845"/>
      <c r="G3" s="844">
        <f>'EXAMENES - IIS'!F15</f>
        <v>0</v>
      </c>
      <c r="H3" s="845"/>
      <c r="I3" s="844">
        <f>'EXAMENES - IIS'!I15</f>
        <v>0</v>
      </c>
      <c r="J3" s="845"/>
      <c r="K3" s="857">
        <f>'REGISTRO IIS'!AH16</f>
        <v>0</v>
      </c>
      <c r="L3" s="858"/>
      <c r="M3" s="859">
        <f>ASISTENCIAIIS!I7</f>
        <v>10</v>
      </c>
      <c r="N3" s="860"/>
      <c r="O3" s="252" t="e">
        <f>E3+G3+I3+K3+M3</f>
        <v>#DIV/0!</v>
      </c>
      <c r="P3" s="251"/>
      <c r="Q3" s="251"/>
      <c r="R3" s="232"/>
      <c r="S3" s="237"/>
      <c r="T3" s="854" t="s">
        <v>128</v>
      </c>
      <c r="U3" s="855"/>
      <c r="V3" s="855"/>
      <c r="W3" s="856"/>
      <c r="Z3" s="786" t="s">
        <v>157</v>
      </c>
      <c r="AA3" s="787"/>
      <c r="AB3" s="787"/>
      <c r="AC3" s="788"/>
    </row>
    <row r="4" spans="1:30" ht="30" customHeight="1" thickTop="1" thickBot="1">
      <c r="A4" s="563" t="s">
        <v>37</v>
      </c>
      <c r="B4" s="564" t="s">
        <v>38</v>
      </c>
      <c r="C4" s="564" t="s">
        <v>39</v>
      </c>
      <c r="D4" s="564" t="s">
        <v>36</v>
      </c>
      <c r="E4" s="564" t="s">
        <v>69</v>
      </c>
      <c r="F4" s="565">
        <f>'COTIDIANO - IIS'!$AA$15</f>
        <v>0.6</v>
      </c>
      <c r="G4" s="564" t="s">
        <v>152</v>
      </c>
      <c r="H4" s="565">
        <f>'EXAMENES - IIS'!$F$14</f>
        <v>0</v>
      </c>
      <c r="I4" s="559" t="s">
        <v>319</v>
      </c>
      <c r="J4" s="560">
        <f>'EXAMENES - IIS'!$I$14</f>
        <v>0.2</v>
      </c>
      <c r="K4" s="564" t="s">
        <v>206</v>
      </c>
      <c r="L4" s="565">
        <f>'Registro General'!$AH$15</f>
        <v>0.1</v>
      </c>
      <c r="M4" s="564" t="s">
        <v>70</v>
      </c>
      <c r="N4" s="566">
        <f>ASISTENCIA!$BX$7</f>
        <v>0.1</v>
      </c>
      <c r="O4" s="562" t="s">
        <v>16</v>
      </c>
      <c r="P4" s="232"/>
      <c r="Q4" s="232"/>
      <c r="R4" s="232"/>
      <c r="S4" s="237"/>
      <c r="Z4" s="198"/>
      <c r="AA4" s="246"/>
      <c r="AB4" s="224"/>
      <c r="AC4" s="225"/>
    </row>
    <row r="5" spans="1:30" ht="30" customHeight="1" thickTop="1" thickBot="1">
      <c r="A5" s="250">
        <v>2</v>
      </c>
      <c r="B5" s="674" t="str">
        <f>IFERROR(IF(VLOOKUP(A5,'REGISTRO DATOS'!B:H,2,0)=0,"",VLOOKUP(A5,'REGISTRO DATOS'!B:H,2,0)),"")</f>
        <v/>
      </c>
      <c r="C5" s="674" t="str">
        <f>IFERROR(IF(VLOOKUP(A5,'REGISTRO DATOS'!B:H,3,0)=0,"",VLOOKUP(A5,'REGISTRO DATOS'!B:H,3,0)),"")</f>
        <v/>
      </c>
      <c r="D5" s="674" t="str">
        <f>IFERROR(IF(VLOOKUP(A5,'REGISTRO DATOS'!B:H,4,0)=0,"",VLOOKUP(A5,'REGISTRO DATOS'!B:H,4,0)),"")</f>
        <v>GENESIS</v>
      </c>
      <c r="E5" s="846" t="e">
        <f>'COTIDIANO - IIS'!AA17</f>
        <v>#DIV/0!</v>
      </c>
      <c r="F5" s="847"/>
      <c r="G5" s="846">
        <f>'EXAMENES - IIS'!F16</f>
        <v>0</v>
      </c>
      <c r="H5" s="847"/>
      <c r="I5" s="846">
        <f>'EXAMENES - IIS'!I16</f>
        <v>0</v>
      </c>
      <c r="J5" s="847"/>
      <c r="K5" s="848">
        <f>'REGISTRO IIS'!AH17</f>
        <v>0</v>
      </c>
      <c r="L5" s="849"/>
      <c r="M5" s="848">
        <f>ASISTENCIAIIS!I8</f>
        <v>10</v>
      </c>
      <c r="N5" s="850"/>
      <c r="O5" s="252" t="e">
        <f>E5+G5+I5+K5+M5</f>
        <v>#DIV/0!</v>
      </c>
      <c r="P5" s="232"/>
      <c r="Q5" s="232"/>
      <c r="R5" s="232"/>
      <c r="S5" s="237"/>
      <c r="T5" s="335"/>
      <c r="U5" s="335"/>
      <c r="V5" s="335"/>
      <c r="W5" s="335"/>
      <c r="Z5" s="793" t="s">
        <v>130</v>
      </c>
      <c r="AA5" s="794"/>
      <c r="AB5" s="786" t="s">
        <v>131</v>
      </c>
      <c r="AC5" s="788"/>
    </row>
    <row r="6" spans="1:30" ht="30" customHeight="1" thickTop="1" thickBot="1">
      <c r="A6" s="563" t="s">
        <v>37</v>
      </c>
      <c r="B6" s="564" t="s">
        <v>38</v>
      </c>
      <c r="C6" s="564" t="s">
        <v>39</v>
      </c>
      <c r="D6" s="564" t="s">
        <v>36</v>
      </c>
      <c r="E6" s="564" t="s">
        <v>69</v>
      </c>
      <c r="F6" s="565">
        <f>'COTIDIANO - IIS'!$AA$15</f>
        <v>0.6</v>
      </c>
      <c r="G6" s="564" t="s">
        <v>152</v>
      </c>
      <c r="H6" s="565">
        <f>'EXAMENES - IIS'!$F$14</f>
        <v>0</v>
      </c>
      <c r="I6" s="559" t="s">
        <v>319</v>
      </c>
      <c r="J6" s="560">
        <f>'EXAMENES - IIS'!$I$14</f>
        <v>0.2</v>
      </c>
      <c r="K6" s="564" t="s">
        <v>206</v>
      </c>
      <c r="L6" s="565">
        <f>'REGISTRO IIS'!$AH$15</f>
        <v>0.1</v>
      </c>
      <c r="M6" s="564" t="s">
        <v>70</v>
      </c>
      <c r="N6" s="566">
        <f>ASISTENCIA!$BX$7</f>
        <v>0.1</v>
      </c>
      <c r="O6" s="562" t="s">
        <v>16</v>
      </c>
      <c r="P6" s="232"/>
      <c r="Q6" s="232"/>
      <c r="R6" s="232"/>
      <c r="S6" s="237"/>
      <c r="T6" s="863"/>
      <c r="U6" s="863"/>
      <c r="V6" s="863"/>
      <c r="W6" s="863"/>
      <c r="Z6" s="198"/>
      <c r="AA6" s="199"/>
      <c r="AB6" s="198"/>
      <c r="AC6" s="199"/>
    </row>
    <row r="7" spans="1:30" ht="30" customHeight="1" thickTop="1" thickBot="1">
      <c r="A7" s="250">
        <v>3</v>
      </c>
      <c r="B7" s="674" t="str">
        <f>IFERROR(IF(VLOOKUP(A7,'REGISTRO DATOS'!B:H,2,0)=0,"",VLOOKUP(A7,'REGISTRO DATOS'!B:H,2,0)),"")</f>
        <v/>
      </c>
      <c r="C7" s="674" t="str">
        <f>IFERROR(IF(VLOOKUP(A7,'REGISTRO DATOS'!B:H,3,0)=0,"",VLOOKUP(A7,'REGISTRO DATOS'!B:H,3,0)),"")</f>
        <v/>
      </c>
      <c r="D7" s="674" t="str">
        <f>IFERROR(IF(VLOOKUP(A7,'REGISTRO DATOS'!B:H,4,0)=0,"",VLOOKUP(A7,'REGISTRO DATOS'!B:H,4,0)),"")</f>
        <v>EILEEN</v>
      </c>
      <c r="E7" s="846" t="e">
        <f>'COTIDIANO - IIS'!AA18</f>
        <v>#DIV/0!</v>
      </c>
      <c r="F7" s="847"/>
      <c r="G7" s="846">
        <f>'EXAMENES - IIS'!F17</f>
        <v>0</v>
      </c>
      <c r="H7" s="847"/>
      <c r="I7" s="846">
        <f>'EXAMENES - IIS'!I17</f>
        <v>0</v>
      </c>
      <c r="J7" s="847"/>
      <c r="K7" s="848">
        <f>'REGISTRO IIS'!AH18</f>
        <v>0</v>
      </c>
      <c r="L7" s="849"/>
      <c r="M7" s="861">
        <f>ASISTENCIAIIS!I9</f>
        <v>10</v>
      </c>
      <c r="N7" s="862"/>
      <c r="O7" s="252" t="e">
        <f>E7+G7+I7+K7+M7</f>
        <v>#DIV/0!</v>
      </c>
      <c r="P7" s="232"/>
      <c r="Q7" s="232"/>
      <c r="R7" s="232"/>
      <c r="S7" s="237"/>
      <c r="T7" s="233"/>
      <c r="U7" s="234"/>
      <c r="V7" s="43"/>
      <c r="Z7" s="198" t="s">
        <v>156</v>
      </c>
      <c r="AA7" s="199" t="s">
        <v>155</v>
      </c>
      <c r="AB7" s="198" t="s">
        <v>156</v>
      </c>
      <c r="AC7" s="199" t="s">
        <v>155</v>
      </c>
    </row>
    <row r="8" spans="1:30" ht="30" customHeight="1" thickTop="1" thickBot="1">
      <c r="A8" s="563" t="s">
        <v>37</v>
      </c>
      <c r="B8" s="564" t="s">
        <v>38</v>
      </c>
      <c r="C8" s="564" t="s">
        <v>39</v>
      </c>
      <c r="D8" s="564" t="s">
        <v>36</v>
      </c>
      <c r="E8" s="564" t="s">
        <v>69</v>
      </c>
      <c r="F8" s="565">
        <f>'COTIDIANO - IIS'!$AA$15</f>
        <v>0.6</v>
      </c>
      <c r="G8" s="564" t="s">
        <v>152</v>
      </c>
      <c r="H8" s="565">
        <f>'EXAMENES - IIS'!$F$14</f>
        <v>0</v>
      </c>
      <c r="I8" s="559" t="s">
        <v>319</v>
      </c>
      <c r="J8" s="560">
        <f>'EXAMENES - IIS'!$I$14</f>
        <v>0.2</v>
      </c>
      <c r="K8" s="564" t="s">
        <v>206</v>
      </c>
      <c r="L8" s="565">
        <f>'Registro General'!$AH$15</f>
        <v>0.1</v>
      </c>
      <c r="M8" s="564" t="s">
        <v>70</v>
      </c>
      <c r="N8" s="566">
        <f>ASISTENCIA!$BX$7</f>
        <v>0.1</v>
      </c>
      <c r="O8" s="562" t="s">
        <v>16</v>
      </c>
      <c r="P8" s="232"/>
      <c r="Q8" s="232"/>
      <c r="R8" s="232"/>
      <c r="S8" s="237"/>
      <c r="T8" s="233"/>
      <c r="U8" s="234"/>
      <c r="V8" s="43">
        <f>'REGISTRO DATOS'!J17</f>
        <v>0</v>
      </c>
      <c r="Z8" s="247"/>
      <c r="AA8" s="248"/>
      <c r="AB8" s="247"/>
      <c r="AC8" s="248"/>
    </row>
    <row r="9" spans="1:30" ht="30" customHeight="1" thickTop="1" thickBot="1">
      <c r="A9" s="250">
        <v>4</v>
      </c>
      <c r="B9" s="674" t="str">
        <f>IFERROR(IF(VLOOKUP(A9,'REGISTRO DATOS'!B:H,2,0)=0,"",VLOOKUP(A9,'REGISTRO DATOS'!B:H,2,0)),"")</f>
        <v/>
      </c>
      <c r="C9" s="674" t="str">
        <f>IFERROR(IF(VLOOKUP(A9,'REGISTRO DATOS'!B:H,3,0)=0,"",VLOOKUP(A9,'REGISTRO DATOS'!B:H,3,0)),"")</f>
        <v/>
      </c>
      <c r="D9" s="674" t="str">
        <f>IFERROR(IF(VLOOKUP(A9,'REGISTRO DATOS'!B:H,4,0)=0,"",VLOOKUP(A9,'REGISTRO DATOS'!B:H,4,0)),"")</f>
        <v>CINDEL</v>
      </c>
      <c r="E9" s="846" t="e">
        <f>'COTIDIANO - IIS'!AA19</f>
        <v>#DIV/0!</v>
      </c>
      <c r="F9" s="847"/>
      <c r="G9" s="846">
        <f>'EXAMENES - IIS'!F18</f>
        <v>0</v>
      </c>
      <c r="H9" s="847"/>
      <c r="I9" s="844">
        <f>'EXAMENES - IIS'!I18</f>
        <v>0</v>
      </c>
      <c r="J9" s="845"/>
      <c r="K9" s="848">
        <f>'REGISTRO IIS'!AH19</f>
        <v>0</v>
      </c>
      <c r="L9" s="849"/>
      <c r="M9" s="861">
        <f>ASISTENCIAIIS!I10</f>
        <v>10</v>
      </c>
      <c r="N9" s="862"/>
      <c r="O9" s="252" t="e">
        <f>E9+G9+I9+K9+M9</f>
        <v>#DIV/0!</v>
      </c>
      <c r="P9" s="232"/>
      <c r="Q9" s="232"/>
      <c r="R9" s="232"/>
      <c r="S9" s="237"/>
      <c r="T9" s="233"/>
      <c r="U9" s="234"/>
      <c r="V9" s="43"/>
      <c r="Z9" s="200" t="e">
        <f>COUNTIFS(V3:V81,"H",#REF!,"&lt;70")</f>
        <v>#REF!</v>
      </c>
      <c r="AA9" s="201" t="e">
        <f>COUNTIFS(V3:V81,"H",#REF!,"&gt;70")</f>
        <v>#REF!</v>
      </c>
      <c r="AB9" s="200" t="e">
        <f>COUNTIFS(V3:V81,"M",#REF!,"&lt;70")</f>
        <v>#REF!</v>
      </c>
      <c r="AC9" s="201" t="e">
        <f>COUNTIFS(V3:V81,"M",#REF!,"&gt;70")</f>
        <v>#REF!</v>
      </c>
      <c r="AD9" s="43" t="e">
        <f>SUM(Z9:AC9)</f>
        <v>#REF!</v>
      </c>
    </row>
    <row r="10" spans="1:30" ht="30" customHeight="1" thickTop="1" thickBot="1">
      <c r="A10" s="558" t="s">
        <v>37</v>
      </c>
      <c r="B10" s="559" t="s">
        <v>38</v>
      </c>
      <c r="C10" s="559" t="s">
        <v>39</v>
      </c>
      <c r="D10" s="559" t="s">
        <v>36</v>
      </c>
      <c r="E10" s="559" t="s">
        <v>69</v>
      </c>
      <c r="F10" s="560">
        <f>'COTIDIANO - IIS'!$AA$15</f>
        <v>0.6</v>
      </c>
      <c r="G10" s="559" t="s">
        <v>152</v>
      </c>
      <c r="H10" s="560">
        <f>'EXAMENES - IIS'!$F$14</f>
        <v>0</v>
      </c>
      <c r="I10" s="559" t="s">
        <v>319</v>
      </c>
      <c r="J10" s="560">
        <f>'EXAMENES - IIS'!$I$14</f>
        <v>0.2</v>
      </c>
      <c r="K10" s="559" t="s">
        <v>206</v>
      </c>
      <c r="L10" s="560">
        <f>'Registro General'!$AH$15</f>
        <v>0.1</v>
      </c>
      <c r="M10" s="559" t="s">
        <v>70</v>
      </c>
      <c r="N10" s="561">
        <f>ASISTENCIA!$BX$7</f>
        <v>0.1</v>
      </c>
      <c r="O10" s="562" t="s">
        <v>16</v>
      </c>
      <c r="P10" s="232"/>
      <c r="Q10" s="232"/>
      <c r="R10" s="232"/>
      <c r="S10" s="237"/>
      <c r="T10" s="233"/>
      <c r="U10" s="234"/>
      <c r="V10" s="43">
        <f>'REGISTRO DATOS'!J18</f>
        <v>0</v>
      </c>
      <c r="Z10" s="44"/>
      <c r="AA10" s="44"/>
      <c r="AB10" s="44"/>
      <c r="AC10" s="44"/>
      <c r="AD10" s="43"/>
    </row>
    <row r="11" spans="1:30" ht="30" customHeight="1" thickTop="1" thickBot="1">
      <c r="A11" s="249">
        <v>5</v>
      </c>
      <c r="B11" s="674" t="str">
        <f>IFERROR(IF(VLOOKUP(A11,'REGISTRO DATOS'!B:H,2,0)=0,"",VLOOKUP(A11,'REGISTRO DATOS'!B:H,2,0)),"")</f>
        <v/>
      </c>
      <c r="C11" s="674" t="str">
        <f>IFERROR(IF(VLOOKUP(A11,'REGISTRO DATOS'!B:H,3,0)=0,"",VLOOKUP(A11,'REGISTRO DATOS'!B:H,3,0)),"")</f>
        <v/>
      </c>
      <c r="D11" s="674" t="str">
        <f>IFERROR(IF(VLOOKUP(A11,'REGISTRO DATOS'!B:H,4,0)=0,"",VLOOKUP(A11,'REGISTRO DATOS'!B:H,4,0)),"")</f>
        <v>NANCY</v>
      </c>
      <c r="E11" s="844" t="e">
        <f>'COTIDIANO - IIS'!AA20</f>
        <v>#DIV/0!</v>
      </c>
      <c r="F11" s="845"/>
      <c r="G11" s="844">
        <f>'EXAMENES - IIS'!F19</f>
        <v>0</v>
      </c>
      <c r="H11" s="845"/>
      <c r="I11" s="844">
        <f>'EXAMENES - IIS'!I19</f>
        <v>0</v>
      </c>
      <c r="J11" s="845"/>
      <c r="K11" s="857">
        <f>'REGISTRO IIS'!AH20</f>
        <v>0</v>
      </c>
      <c r="L11" s="858"/>
      <c r="M11" s="859">
        <f>ASISTENCIAIIS!I11</f>
        <v>10</v>
      </c>
      <c r="N11" s="860"/>
      <c r="O11" s="252" t="e">
        <f>E11+G11+I11+K11+M11</f>
        <v>#DIV/0!</v>
      </c>
      <c r="P11" s="232"/>
      <c r="Q11" s="232"/>
      <c r="R11" s="232"/>
      <c r="S11" s="237"/>
      <c r="T11" s="233"/>
      <c r="U11" s="234"/>
      <c r="V11" s="43"/>
    </row>
    <row r="12" spans="1:30" ht="30" customHeight="1" thickTop="1" thickBot="1">
      <c r="A12" s="563" t="s">
        <v>37</v>
      </c>
      <c r="B12" s="564" t="s">
        <v>38</v>
      </c>
      <c r="C12" s="564" t="s">
        <v>39</v>
      </c>
      <c r="D12" s="564" t="s">
        <v>36</v>
      </c>
      <c r="E12" s="564" t="s">
        <v>69</v>
      </c>
      <c r="F12" s="565">
        <f>'COTIDIANO - IIS'!$AA$15</f>
        <v>0.6</v>
      </c>
      <c r="G12" s="564" t="s">
        <v>152</v>
      </c>
      <c r="H12" s="565">
        <f>'EXAMENES - IIS'!$F$14</f>
        <v>0</v>
      </c>
      <c r="I12" s="559" t="s">
        <v>319</v>
      </c>
      <c r="J12" s="560">
        <f>'EXAMENES - IIS'!$I$14</f>
        <v>0.2</v>
      </c>
      <c r="K12" s="564" t="s">
        <v>206</v>
      </c>
      <c r="L12" s="565">
        <f>'Registro General'!$AH$15</f>
        <v>0.1</v>
      </c>
      <c r="M12" s="564" t="s">
        <v>70</v>
      </c>
      <c r="N12" s="566">
        <f>ASISTENCIA!$BX$7</f>
        <v>0.1</v>
      </c>
      <c r="O12" s="562" t="s">
        <v>16</v>
      </c>
      <c r="P12" s="232"/>
      <c r="Q12" s="232"/>
      <c r="R12" s="232"/>
      <c r="S12" s="237"/>
      <c r="T12" s="233"/>
      <c r="U12" s="234"/>
      <c r="V12" s="43">
        <f>'REGISTRO DATOS'!J19</f>
        <v>0</v>
      </c>
    </row>
    <row r="13" spans="1:30" ht="30" customHeight="1" thickTop="1" thickBot="1">
      <c r="A13" s="250">
        <v>6</v>
      </c>
      <c r="B13" s="674" t="str">
        <f>IFERROR(IF(VLOOKUP(A13,'REGISTRO DATOS'!B:H,2,0)=0,"",VLOOKUP(A13,'REGISTRO DATOS'!B:H,2,0)),"")</f>
        <v/>
      </c>
      <c r="C13" s="674" t="str">
        <f>IFERROR(IF(VLOOKUP(A13,'REGISTRO DATOS'!B:H,3,0)=0,"",VLOOKUP(A13,'REGISTRO DATOS'!B:H,3,0)),"")</f>
        <v/>
      </c>
      <c r="D13" s="674" t="str">
        <f>IFERROR(IF(VLOOKUP(A13,'REGISTRO DATOS'!B:H,4,0)=0,"",VLOOKUP(A13,'REGISTRO DATOS'!B:H,4,0)),"")</f>
        <v>MARIANA</v>
      </c>
      <c r="E13" s="846" t="e">
        <f>'COTIDIANO - IIS'!AA21</f>
        <v>#DIV/0!</v>
      </c>
      <c r="F13" s="847"/>
      <c r="G13" s="846">
        <f>'EXAMENES - IIS'!F20</f>
        <v>0</v>
      </c>
      <c r="H13" s="847"/>
      <c r="I13" s="846">
        <f>'EXAMENES - IIS'!I20</f>
        <v>0</v>
      </c>
      <c r="J13" s="847"/>
      <c r="K13" s="848">
        <f>'REGISTRO IIS'!AH21</f>
        <v>0</v>
      </c>
      <c r="L13" s="849"/>
      <c r="M13" s="848">
        <f>ASISTENCIAIIS!I12</f>
        <v>10</v>
      </c>
      <c r="N13" s="850"/>
      <c r="O13" s="252" t="e">
        <f>E13+G13+I13+K13+M13</f>
        <v>#DIV/0!</v>
      </c>
      <c r="P13" s="232"/>
      <c r="Q13" s="232"/>
      <c r="R13" s="232"/>
      <c r="S13" s="237"/>
      <c r="T13" s="233"/>
      <c r="U13" s="234"/>
      <c r="V13" s="43"/>
      <c r="Z13" s="786" t="s">
        <v>152</v>
      </c>
      <c r="AA13" s="787"/>
      <c r="AB13" s="787"/>
      <c r="AC13" s="788"/>
    </row>
    <row r="14" spans="1:30" ht="30" customHeight="1" thickTop="1" thickBot="1">
      <c r="A14" s="563" t="s">
        <v>37</v>
      </c>
      <c r="B14" s="564" t="s">
        <v>38</v>
      </c>
      <c r="C14" s="564" t="s">
        <v>39</v>
      </c>
      <c r="D14" s="564" t="s">
        <v>36</v>
      </c>
      <c r="E14" s="564" t="s">
        <v>69</v>
      </c>
      <c r="F14" s="565">
        <f>'COTIDIANO - IIS'!$AA$15</f>
        <v>0.6</v>
      </c>
      <c r="G14" s="564" t="s">
        <v>152</v>
      </c>
      <c r="H14" s="565">
        <f>'EXAMENES - IIS'!$F$14</f>
        <v>0</v>
      </c>
      <c r="I14" s="559" t="s">
        <v>319</v>
      </c>
      <c r="J14" s="560">
        <f>'EXAMENES - IIS'!$I$14</f>
        <v>0.2</v>
      </c>
      <c r="K14" s="564" t="s">
        <v>206</v>
      </c>
      <c r="L14" s="565">
        <f>'Registro General'!$AH$15</f>
        <v>0.1</v>
      </c>
      <c r="M14" s="564" t="s">
        <v>70</v>
      </c>
      <c r="N14" s="566">
        <f>ASISTENCIA!$BX$7</f>
        <v>0.1</v>
      </c>
      <c r="O14" s="562" t="s">
        <v>16</v>
      </c>
      <c r="P14" s="232"/>
      <c r="Q14" s="232"/>
      <c r="R14" s="232"/>
      <c r="S14" s="237"/>
      <c r="T14" s="233"/>
      <c r="U14" s="234"/>
      <c r="V14" s="43">
        <f>'REGISTRO DATOS'!J20</f>
        <v>0</v>
      </c>
      <c r="Z14" s="198"/>
      <c r="AA14" s="246"/>
      <c r="AB14" s="224"/>
      <c r="AC14" s="225"/>
    </row>
    <row r="15" spans="1:30" ht="30" customHeight="1" thickTop="1" thickBot="1">
      <c r="A15" s="250">
        <v>7</v>
      </c>
      <c r="B15" s="674" t="str">
        <f>IFERROR(IF(VLOOKUP(A15,'REGISTRO DATOS'!B:H,2,0)=0,"",VLOOKUP(A15,'REGISTRO DATOS'!B:H,2,0)),"")</f>
        <v xml:space="preserve">GONZALEZ </v>
      </c>
      <c r="C15" s="674" t="str">
        <f>IFERROR(IF(VLOOKUP(A15,'REGISTRO DATOS'!B:H,3,0)=0,"",VLOOKUP(A15,'REGISTRO DATOS'!B:H,3,0)),"")</f>
        <v>CHAVARRIA</v>
      </c>
      <c r="D15" s="674" t="str">
        <f>IFERROR(IF(VLOOKUP(A15,'REGISTRO DATOS'!B:H,4,0)=0,"",VLOOKUP(A15,'REGISTRO DATOS'!B:H,4,0)),"")</f>
        <v>STEPHANIE</v>
      </c>
      <c r="E15" s="846" t="e">
        <f>'COTIDIANO - IIS'!AA22</f>
        <v>#DIV/0!</v>
      </c>
      <c r="F15" s="847"/>
      <c r="G15" s="846">
        <f>'EXAMENES - IIS'!F21</f>
        <v>0</v>
      </c>
      <c r="H15" s="847"/>
      <c r="I15" s="846">
        <f>'EXAMENES - IIS'!I21</f>
        <v>0</v>
      </c>
      <c r="J15" s="847">
        <f>'EXAMENES - IS'!J21</f>
        <v>8</v>
      </c>
      <c r="K15" s="848">
        <f>'REGISTRO IIS'!AH22</f>
        <v>0</v>
      </c>
      <c r="L15" s="849">
        <f>'Registro General'!AH22</f>
        <v>0</v>
      </c>
      <c r="M15" s="861">
        <f>ASISTENCIAIIS!I13</f>
        <v>10</v>
      </c>
      <c r="N15" s="862">
        <f>ASISTENCIA!I14</f>
        <v>8.75</v>
      </c>
      <c r="O15" s="252" t="e">
        <f>E15+G15+I15+K15+M15</f>
        <v>#DIV/0!</v>
      </c>
      <c r="P15" s="232"/>
      <c r="Q15" s="232"/>
      <c r="R15" s="232"/>
      <c r="S15" s="237"/>
      <c r="T15" s="233"/>
      <c r="U15" s="234"/>
      <c r="V15" s="43"/>
      <c r="Z15" s="793" t="s">
        <v>130</v>
      </c>
      <c r="AA15" s="794"/>
      <c r="AB15" s="786" t="s">
        <v>131</v>
      </c>
      <c r="AC15" s="788"/>
    </row>
    <row r="16" spans="1:30" ht="30" customHeight="1" thickTop="1" thickBot="1">
      <c r="A16" s="563" t="s">
        <v>37</v>
      </c>
      <c r="B16" s="564" t="s">
        <v>38</v>
      </c>
      <c r="C16" s="564" t="s">
        <v>39</v>
      </c>
      <c r="D16" s="564" t="s">
        <v>36</v>
      </c>
      <c r="E16" s="564" t="s">
        <v>69</v>
      </c>
      <c r="F16" s="565">
        <f>'COTIDIANO - IIS'!$AA$15</f>
        <v>0.6</v>
      </c>
      <c r="G16" s="564" t="s">
        <v>152</v>
      </c>
      <c r="H16" s="565">
        <f>'EXAMENES - IIS'!$F$14</f>
        <v>0</v>
      </c>
      <c r="I16" s="559" t="s">
        <v>319</v>
      </c>
      <c r="J16" s="560">
        <f>'EXAMENES - IIS'!$I$14</f>
        <v>0.2</v>
      </c>
      <c r="K16" s="564" t="s">
        <v>206</v>
      </c>
      <c r="L16" s="565">
        <f>'Registro General'!$AH$15</f>
        <v>0.1</v>
      </c>
      <c r="M16" s="564" t="s">
        <v>70</v>
      </c>
      <c r="N16" s="566">
        <f>ASISTENCIA!$BX$7</f>
        <v>0.1</v>
      </c>
      <c r="O16" s="562" t="s">
        <v>16</v>
      </c>
      <c r="P16" s="232"/>
      <c r="Q16" s="232"/>
      <c r="R16" s="232"/>
      <c r="S16" s="237"/>
      <c r="T16" s="233"/>
      <c r="U16" s="234"/>
      <c r="V16" s="43">
        <f>'REGISTRO DATOS'!J21</f>
        <v>0</v>
      </c>
      <c r="Z16" s="198"/>
      <c r="AA16" s="199"/>
      <c r="AB16" s="198"/>
      <c r="AC16" s="199"/>
    </row>
    <row r="17" spans="1:30" ht="30" customHeight="1" thickTop="1" thickBot="1">
      <c r="A17" s="250">
        <v>8</v>
      </c>
      <c r="B17" s="674" t="str">
        <f>IFERROR(IF(VLOOKUP(A17,'REGISTRO DATOS'!B:H,2,0)=0,"",VLOOKUP(A17,'REGISTRO DATOS'!B:H,2,0)),"")</f>
        <v/>
      </c>
      <c r="C17" s="674" t="str">
        <f>IFERROR(IF(VLOOKUP(A17,'REGISTRO DATOS'!B:H,3,0)=0,"",VLOOKUP(A17,'REGISTRO DATOS'!B:H,3,0)),"")</f>
        <v/>
      </c>
      <c r="D17" s="674" t="str">
        <f>IFERROR(IF(VLOOKUP(A17,'REGISTRO DATOS'!B:H,4,0)=0,"",VLOOKUP(A17,'REGISTRO DATOS'!B:H,4,0)),"")</f>
        <v>YASCINI</v>
      </c>
      <c r="E17" s="846" t="e">
        <f>'COTIDIANO - IIS'!AA23</f>
        <v>#DIV/0!</v>
      </c>
      <c r="F17" s="847"/>
      <c r="G17" s="846">
        <f>'EXAMENES - IIS'!F22</f>
        <v>0</v>
      </c>
      <c r="H17" s="847"/>
      <c r="I17" s="844">
        <f>'EXAMENES - IIS'!I22</f>
        <v>0</v>
      </c>
      <c r="J17" s="845">
        <f>'EXAMENES - IS'!J22</f>
        <v>8</v>
      </c>
      <c r="K17" s="848">
        <f>'REGISTRO IIS'!AH23</f>
        <v>0</v>
      </c>
      <c r="L17" s="849">
        <f>'Registro General'!AH23</f>
        <v>0</v>
      </c>
      <c r="M17" s="861">
        <f>ASISTENCIAIIS!I14</f>
        <v>10</v>
      </c>
      <c r="N17" s="862">
        <f>ASISTENCIA!I15</f>
        <v>8.75</v>
      </c>
      <c r="O17" s="252" t="e">
        <f>E17+G17+I17+K17+M17</f>
        <v>#DIV/0!</v>
      </c>
      <c r="P17" s="232"/>
      <c r="Q17" s="232"/>
      <c r="R17" s="232"/>
      <c r="S17" s="237"/>
      <c r="T17" s="233"/>
      <c r="U17" s="234"/>
      <c r="V17" s="43"/>
      <c r="Z17" s="198" t="s">
        <v>156</v>
      </c>
      <c r="AA17" s="199" t="s">
        <v>155</v>
      </c>
      <c r="AB17" s="198" t="s">
        <v>156</v>
      </c>
      <c r="AC17" s="199" t="s">
        <v>155</v>
      </c>
    </row>
    <row r="18" spans="1:30" ht="30" customHeight="1" thickTop="1" thickBot="1">
      <c r="A18" s="558" t="s">
        <v>37</v>
      </c>
      <c r="B18" s="559" t="s">
        <v>38</v>
      </c>
      <c r="C18" s="559" t="s">
        <v>39</v>
      </c>
      <c r="D18" s="559" t="s">
        <v>36</v>
      </c>
      <c r="E18" s="559" t="s">
        <v>69</v>
      </c>
      <c r="F18" s="560">
        <f>'COTIDIANO - IIS'!$AA$15</f>
        <v>0.6</v>
      </c>
      <c r="G18" s="559" t="s">
        <v>152</v>
      </c>
      <c r="H18" s="560">
        <f>'EXAMENES - IIS'!$F$14</f>
        <v>0</v>
      </c>
      <c r="I18" s="559" t="s">
        <v>319</v>
      </c>
      <c r="J18" s="560">
        <f>'EXAMENES - IIS'!$I$14</f>
        <v>0.2</v>
      </c>
      <c r="K18" s="559" t="s">
        <v>206</v>
      </c>
      <c r="L18" s="560">
        <f>'Registro General'!$AH$15</f>
        <v>0.1</v>
      </c>
      <c r="M18" s="559" t="s">
        <v>70</v>
      </c>
      <c r="N18" s="561">
        <f>ASISTENCIA!$BX$7</f>
        <v>0.1</v>
      </c>
      <c r="O18" s="562" t="s">
        <v>16</v>
      </c>
      <c r="P18" s="232"/>
      <c r="Q18" s="232"/>
      <c r="R18" s="232"/>
      <c r="S18" s="237"/>
      <c r="T18" s="233"/>
      <c r="U18" s="234"/>
      <c r="V18" s="43"/>
      <c r="Z18" s="247"/>
      <c r="AA18" s="248"/>
      <c r="AB18" s="247"/>
      <c r="AC18" s="248"/>
    </row>
    <row r="19" spans="1:30" ht="30" customHeight="1" thickTop="1" thickBot="1">
      <c r="A19" s="249">
        <v>9</v>
      </c>
      <c r="B19" s="674" t="str">
        <f>IFERROR(IF(VLOOKUP(A19,'REGISTRO DATOS'!B:H,2,0)=0,"",VLOOKUP(A19,'REGISTRO DATOS'!B:H,2,0)),"")</f>
        <v>CUBILLO</v>
      </c>
      <c r="C19" s="674" t="str">
        <f>IFERROR(IF(VLOOKUP(A19,'REGISTRO DATOS'!B:H,3,0)=0,"",VLOOKUP(A19,'REGISTRO DATOS'!B:H,3,0)),"")</f>
        <v/>
      </c>
      <c r="D19" s="674" t="str">
        <f>IFERROR(IF(VLOOKUP(A19,'REGISTRO DATOS'!B:H,4,0)=0,"",VLOOKUP(A19,'REGISTRO DATOS'!B:H,4,0)),"")</f>
        <v xml:space="preserve">DYLAN </v>
      </c>
      <c r="E19" s="844" t="e">
        <f>'COTIDIANO - IIS'!AA24</f>
        <v>#DIV/0!</v>
      </c>
      <c r="F19" s="845"/>
      <c r="G19" s="844">
        <f>'EXAMENES - IIS'!F23</f>
        <v>0</v>
      </c>
      <c r="H19" s="845"/>
      <c r="I19" s="844">
        <f>'EXAMENES - IIS'!I23</f>
        <v>0</v>
      </c>
      <c r="J19" s="845">
        <f>'EXAMENES - IS'!J23</f>
        <v>9</v>
      </c>
      <c r="K19" s="857">
        <f>'REGISTRO IIS'!AH24</f>
        <v>0</v>
      </c>
      <c r="L19" s="858">
        <f>'Registro General'!AH24</f>
        <v>0</v>
      </c>
      <c r="M19" s="859">
        <f>ASISTENCIAIIS!I15</f>
        <v>10</v>
      </c>
      <c r="N19" s="860">
        <f>ASISTENCIA!I16</f>
        <v>10</v>
      </c>
      <c r="O19" s="252" t="e">
        <f>E19+G19+I19+K19+M19</f>
        <v>#DIV/0!</v>
      </c>
      <c r="P19" s="232"/>
      <c r="Q19" s="232"/>
      <c r="R19" s="232"/>
      <c r="S19" s="237"/>
      <c r="T19" s="233"/>
      <c r="U19" s="234"/>
      <c r="V19" s="43">
        <f>'REGISTRO DATOS'!J21</f>
        <v>0</v>
      </c>
      <c r="Z19" s="200" t="e">
        <f>COUNTIFS(V3:V81,"H",#REF!,"&lt;70")</f>
        <v>#REF!</v>
      </c>
      <c r="AA19" s="201" t="e">
        <f>COUNTIFS(V3:V81,"H",#REF!,"&gt;70")</f>
        <v>#REF!</v>
      </c>
      <c r="AB19" s="200" t="e">
        <f>COUNTIFS(V3:V81,"M",#REF!,"&lt;70")</f>
        <v>#REF!</v>
      </c>
      <c r="AC19" s="201" t="e">
        <f>COUNTIFS(V3:V81,"M",#REF!,"&gt;70")</f>
        <v>#REF!</v>
      </c>
      <c r="AD19" s="43" t="e">
        <f>SUM(Z19:AC19)</f>
        <v>#REF!</v>
      </c>
    </row>
    <row r="20" spans="1:30" ht="30" customHeight="1" thickTop="1" thickBot="1">
      <c r="A20" s="563" t="s">
        <v>37</v>
      </c>
      <c r="B20" s="564" t="s">
        <v>38</v>
      </c>
      <c r="C20" s="564" t="s">
        <v>39</v>
      </c>
      <c r="D20" s="564" t="s">
        <v>36</v>
      </c>
      <c r="E20" s="564" t="s">
        <v>69</v>
      </c>
      <c r="F20" s="565">
        <f>'COTIDIANO - IIS'!$AA$15</f>
        <v>0.6</v>
      </c>
      <c r="G20" s="564" t="s">
        <v>152</v>
      </c>
      <c r="H20" s="565">
        <f>'EXAMENES - IIS'!$F$14</f>
        <v>0</v>
      </c>
      <c r="I20" s="559" t="s">
        <v>319</v>
      </c>
      <c r="J20" s="560">
        <f>'EXAMENES - IIS'!$I$14</f>
        <v>0.2</v>
      </c>
      <c r="K20" s="564" t="s">
        <v>206</v>
      </c>
      <c r="L20" s="565">
        <f>'Registro General'!$AH$15</f>
        <v>0.1</v>
      </c>
      <c r="M20" s="564" t="s">
        <v>70</v>
      </c>
      <c r="N20" s="566">
        <f>ASISTENCIA!$BX$7</f>
        <v>0.1</v>
      </c>
      <c r="O20" s="562" t="s">
        <v>16</v>
      </c>
      <c r="P20" s="232"/>
      <c r="Q20" s="232"/>
      <c r="R20" s="232"/>
      <c r="S20" s="237"/>
      <c r="T20" s="233"/>
      <c r="U20" s="234"/>
      <c r="V20" s="43"/>
      <c r="Z20" s="44"/>
      <c r="AA20" s="44"/>
      <c r="AB20" s="44"/>
      <c r="AC20" s="44"/>
      <c r="AD20" s="43"/>
    </row>
    <row r="21" spans="1:30" ht="30" customHeight="1" thickTop="1" thickBot="1">
      <c r="A21" s="250">
        <v>10</v>
      </c>
      <c r="B21" s="674" t="str">
        <f>IFERROR(IF(VLOOKUP(A21,'REGISTRO DATOS'!B:H,2,0)=0,"",VLOOKUP(A21,'REGISTRO DATOS'!B:H,2,0)),"")</f>
        <v/>
      </c>
      <c r="C21" s="674" t="str">
        <f>IFERROR(IF(VLOOKUP(A21,'REGISTRO DATOS'!B:H,3,0)=0,"",VLOOKUP(A21,'REGISTRO DATOS'!B:H,3,0)),"")</f>
        <v/>
      </c>
      <c r="D21" s="674" t="str">
        <f>IFERROR(IF(VLOOKUP(A21,'REGISTRO DATOS'!B:H,4,0)=0,"",VLOOKUP(A21,'REGISTRO DATOS'!B:H,4,0)),"")</f>
        <v>KATTYA</v>
      </c>
      <c r="E21" s="846" t="e">
        <f>'COTIDIANO - IIS'!AA25</f>
        <v>#DIV/0!</v>
      </c>
      <c r="F21" s="847"/>
      <c r="G21" s="846">
        <f>'EXAMENES - IIS'!F24</f>
        <v>0</v>
      </c>
      <c r="H21" s="847"/>
      <c r="I21" s="846">
        <f>'EXAMENES - IIS'!I24</f>
        <v>0</v>
      </c>
      <c r="J21" s="847">
        <f>'EXAMENES - IS'!J24</f>
        <v>9</v>
      </c>
      <c r="K21" s="848">
        <f>'REGISTRO IIS'!AH25</f>
        <v>0</v>
      </c>
      <c r="L21" s="849">
        <f>'Registro General'!AH25</f>
        <v>0</v>
      </c>
      <c r="M21" s="848">
        <f>ASISTENCIAIIS!I16</f>
        <v>10</v>
      </c>
      <c r="N21" s="850">
        <f>ASISTENCIA!I17</f>
        <v>10</v>
      </c>
      <c r="O21" s="252" t="e">
        <f>E21+G21+I21+K21+M21</f>
        <v>#DIV/0!</v>
      </c>
      <c r="P21" s="232"/>
      <c r="Q21" s="232"/>
      <c r="R21" s="232"/>
      <c r="S21" s="237"/>
      <c r="T21" s="233"/>
      <c r="U21" s="234"/>
      <c r="V21" s="43">
        <f>'REGISTRO DATOS'!J22</f>
        <v>0</v>
      </c>
    </row>
    <row r="22" spans="1:30" ht="30" customHeight="1" thickTop="1" thickBot="1">
      <c r="A22" s="558" t="s">
        <v>37</v>
      </c>
      <c r="B22" s="559" t="s">
        <v>38</v>
      </c>
      <c r="C22" s="559" t="s">
        <v>39</v>
      </c>
      <c r="D22" s="559" t="s">
        <v>36</v>
      </c>
      <c r="E22" s="559" t="s">
        <v>69</v>
      </c>
      <c r="F22" s="560">
        <f>'COTIDIANO - IIS'!$AA$15</f>
        <v>0.6</v>
      </c>
      <c r="G22" s="559" t="s">
        <v>152</v>
      </c>
      <c r="H22" s="560">
        <f>'EXAMENES - IIS'!$F$14</f>
        <v>0</v>
      </c>
      <c r="I22" s="559" t="s">
        <v>319</v>
      </c>
      <c r="J22" s="560">
        <f>'EXAMENES - IIS'!$I$14</f>
        <v>0.2</v>
      </c>
      <c r="K22" s="559" t="s">
        <v>206</v>
      </c>
      <c r="L22" s="560">
        <f>'Registro General'!$AH$15</f>
        <v>0.1</v>
      </c>
      <c r="M22" s="559" t="s">
        <v>70</v>
      </c>
      <c r="N22" s="561">
        <f>ASISTENCIA!$BX$7</f>
        <v>0.1</v>
      </c>
      <c r="O22" s="562" t="s">
        <v>16</v>
      </c>
      <c r="P22" s="232"/>
      <c r="Q22" s="232"/>
      <c r="R22" s="232"/>
      <c r="S22" s="237"/>
      <c r="T22" s="233"/>
      <c r="U22" s="234"/>
      <c r="V22" s="43"/>
    </row>
    <row r="23" spans="1:30" ht="30" customHeight="1" thickTop="1" thickBot="1">
      <c r="A23" s="249">
        <v>11</v>
      </c>
      <c r="B23" s="674" t="str">
        <f>IFERROR(IF(VLOOKUP(A23,'REGISTRO DATOS'!B:H,2,0)=0,"",VLOOKUP(A23,'REGISTRO DATOS'!B:H,2,0)),"")</f>
        <v>BRIZUELA</v>
      </c>
      <c r="C23" s="674" t="str">
        <f>IFERROR(IF(VLOOKUP(A23,'REGISTRO DATOS'!B:H,3,0)=0,"",VLOOKUP(A23,'REGISTRO DATOS'!B:H,3,0)),"")</f>
        <v/>
      </c>
      <c r="D23" s="674" t="str">
        <f>IFERROR(IF(VLOOKUP(A23,'REGISTRO DATOS'!B:H,4,0)=0,"",VLOOKUP(A23,'REGISTRO DATOS'!B:H,4,0)),"")</f>
        <v>FABIOLA</v>
      </c>
      <c r="E23" s="844" t="e">
        <f>'COTIDIANO - IIS'!AA26</f>
        <v>#DIV/0!</v>
      </c>
      <c r="F23" s="845"/>
      <c r="G23" s="844">
        <f>'EXAMENES - IIS'!F25</f>
        <v>0</v>
      </c>
      <c r="H23" s="845"/>
      <c r="I23" s="844">
        <f>'EXAMENES - IIS'!I25</f>
        <v>0</v>
      </c>
      <c r="J23" s="845">
        <f>'EXAMENES - IS'!J25</f>
        <v>7</v>
      </c>
      <c r="K23" s="857">
        <f>'REGISTRO IIS'!AH26</f>
        <v>0</v>
      </c>
      <c r="L23" s="858">
        <f>'Registro General'!AH26</f>
        <v>0</v>
      </c>
      <c r="M23" s="859">
        <f>ASISTENCIAIIS!I17</f>
        <v>10</v>
      </c>
      <c r="N23" s="860">
        <f>ASISTENCIA!I18</f>
        <v>10</v>
      </c>
      <c r="O23" s="252" t="e">
        <f>E23+G23+I23+K23+M23</f>
        <v>#DIV/0!</v>
      </c>
      <c r="P23" s="232"/>
      <c r="Q23" s="232"/>
      <c r="R23" s="232"/>
      <c r="S23" s="237"/>
      <c r="T23" s="233"/>
      <c r="U23" s="234"/>
      <c r="V23" s="43">
        <f>'REGISTRO DATOS'!J23</f>
        <v>0</v>
      </c>
      <c r="Z23" s="786" t="s">
        <v>158</v>
      </c>
      <c r="AA23" s="787"/>
      <c r="AB23" s="787"/>
      <c r="AC23" s="788"/>
    </row>
    <row r="24" spans="1:30" ht="30" customHeight="1" thickTop="1" thickBot="1">
      <c r="A24" s="563" t="s">
        <v>37</v>
      </c>
      <c r="B24" s="564" t="s">
        <v>38</v>
      </c>
      <c r="C24" s="564" t="s">
        <v>39</v>
      </c>
      <c r="D24" s="564" t="s">
        <v>36</v>
      </c>
      <c r="E24" s="564" t="s">
        <v>69</v>
      </c>
      <c r="F24" s="565">
        <f>'COTIDIANO - IIS'!$AA$15</f>
        <v>0.6</v>
      </c>
      <c r="G24" s="564" t="s">
        <v>152</v>
      </c>
      <c r="H24" s="565">
        <f>'EXAMENES - IIS'!$F$14</f>
        <v>0</v>
      </c>
      <c r="I24" s="559" t="s">
        <v>319</v>
      </c>
      <c r="J24" s="560">
        <f>'EXAMENES - IIS'!$I$14</f>
        <v>0.2</v>
      </c>
      <c r="K24" s="564" t="s">
        <v>206</v>
      </c>
      <c r="L24" s="565">
        <f>'Registro General'!$AH$15</f>
        <v>0.1</v>
      </c>
      <c r="M24" s="564" t="s">
        <v>70</v>
      </c>
      <c r="N24" s="566">
        <f>ASISTENCIA!$BX$7</f>
        <v>0.1</v>
      </c>
      <c r="O24" s="562" t="s">
        <v>16</v>
      </c>
      <c r="P24" s="232"/>
      <c r="Q24" s="232"/>
      <c r="R24" s="232"/>
      <c r="S24" s="237"/>
      <c r="T24" s="233"/>
      <c r="U24" s="234"/>
      <c r="V24" s="43"/>
      <c r="Z24" s="198"/>
      <c r="AA24" s="246"/>
      <c r="AB24" s="224"/>
      <c r="AC24" s="225"/>
    </row>
    <row r="25" spans="1:30" ht="30" customHeight="1" thickTop="1" thickBot="1">
      <c r="A25" s="250">
        <v>12</v>
      </c>
      <c r="B25" s="674" t="str">
        <f>IFERROR(IF(VLOOKUP(A25,'REGISTRO DATOS'!B:H,2,0)=0,"",VLOOKUP(A25,'REGISTRO DATOS'!B:H,2,0)),"")</f>
        <v/>
      </c>
      <c r="C25" s="674" t="str">
        <f>IFERROR(IF(VLOOKUP(A25,'REGISTRO DATOS'!B:H,3,0)=0,"",VLOOKUP(A25,'REGISTRO DATOS'!B:H,3,0)),"")</f>
        <v/>
      </c>
      <c r="D25" s="674" t="str">
        <f>IFERROR(IF(VLOOKUP(A25,'REGISTRO DATOS'!B:H,4,0)=0,"",VLOOKUP(A25,'REGISTRO DATOS'!B:H,4,0)),"")</f>
        <v>DARIANA</v>
      </c>
      <c r="E25" s="846" t="e">
        <f>'COTIDIANO - IIS'!AA27</f>
        <v>#DIV/0!</v>
      </c>
      <c r="F25" s="847"/>
      <c r="G25" s="846">
        <f>'EXAMENES - IIS'!F26</f>
        <v>0</v>
      </c>
      <c r="H25" s="847"/>
      <c r="I25" s="846">
        <f>'EXAMENES - IIS'!I26</f>
        <v>0</v>
      </c>
      <c r="J25" s="847">
        <f>'EXAMENES - IS'!J26</f>
        <v>9</v>
      </c>
      <c r="K25" s="848">
        <f>'REGISTRO IIS'!AH27</f>
        <v>0</v>
      </c>
      <c r="L25" s="849">
        <f>'Registro General'!AH27</f>
        <v>0</v>
      </c>
      <c r="M25" s="848">
        <f>ASISTENCIAIIS!I18</f>
        <v>10</v>
      </c>
      <c r="N25" s="850">
        <f>ASISTENCIA!I19</f>
        <v>10</v>
      </c>
      <c r="O25" s="252" t="e">
        <f>E25+G25+I25+K25+M25</f>
        <v>#DIV/0!</v>
      </c>
      <c r="P25" s="232"/>
      <c r="Q25" s="232"/>
      <c r="R25" s="232"/>
      <c r="S25" s="237"/>
      <c r="T25" s="233"/>
      <c r="U25" s="234"/>
      <c r="V25" s="43">
        <f>'REGISTRO DATOS'!J24</f>
        <v>0</v>
      </c>
      <c r="Z25" s="793" t="s">
        <v>130</v>
      </c>
      <c r="AA25" s="794"/>
      <c r="AB25" s="786" t="s">
        <v>131</v>
      </c>
      <c r="AC25" s="788"/>
    </row>
    <row r="26" spans="1:30" ht="30" customHeight="1" thickTop="1" thickBot="1">
      <c r="A26" s="563" t="s">
        <v>37</v>
      </c>
      <c r="B26" s="564" t="s">
        <v>38</v>
      </c>
      <c r="C26" s="564" t="s">
        <v>39</v>
      </c>
      <c r="D26" s="564" t="s">
        <v>36</v>
      </c>
      <c r="E26" s="564" t="s">
        <v>69</v>
      </c>
      <c r="F26" s="565">
        <f>'COTIDIANO - IIS'!$AA$15</f>
        <v>0.6</v>
      </c>
      <c r="G26" s="564" t="s">
        <v>152</v>
      </c>
      <c r="H26" s="565">
        <f>'EXAMENES - IIS'!$F$14</f>
        <v>0</v>
      </c>
      <c r="I26" s="559" t="s">
        <v>319</v>
      </c>
      <c r="J26" s="560">
        <f>'EXAMENES - IIS'!$I$14</f>
        <v>0.2</v>
      </c>
      <c r="K26" s="564" t="s">
        <v>206</v>
      </c>
      <c r="L26" s="565">
        <f>'Registro General'!$AH$15</f>
        <v>0.1</v>
      </c>
      <c r="M26" s="564" t="s">
        <v>70</v>
      </c>
      <c r="N26" s="566">
        <f>ASISTENCIA!$BX$7</f>
        <v>0.1</v>
      </c>
      <c r="O26" s="562" t="s">
        <v>16</v>
      </c>
      <c r="P26" s="232"/>
      <c r="Q26" s="232"/>
      <c r="R26" s="232"/>
      <c r="S26" s="237"/>
      <c r="T26" s="233"/>
      <c r="U26" s="234"/>
      <c r="V26" s="43"/>
      <c r="Z26" s="198"/>
      <c r="AA26" s="199"/>
      <c r="AB26" s="198"/>
      <c r="AC26" s="199"/>
    </row>
    <row r="27" spans="1:30" ht="30" customHeight="1" thickTop="1" thickBot="1">
      <c r="A27" s="250">
        <v>13</v>
      </c>
      <c r="B27" s="674" t="str">
        <f>IFERROR(IF(VLOOKUP(A27,'REGISTRO DATOS'!B:H,2,0)=0,"",VLOOKUP(A27,'REGISTRO DATOS'!B:H,2,0)),"")</f>
        <v/>
      </c>
      <c r="C27" s="674" t="str">
        <f>IFERROR(IF(VLOOKUP(A27,'REGISTRO DATOS'!B:H,3,0)=0,"",VLOOKUP(A27,'REGISTRO DATOS'!B:H,3,0)),"")</f>
        <v/>
      </c>
      <c r="D27" s="674" t="str">
        <f>IFERROR(IF(VLOOKUP(A27,'REGISTRO DATOS'!B:H,4,0)=0,"",VLOOKUP(A27,'REGISTRO DATOS'!B:H,4,0)),"")</f>
        <v>JENIFER</v>
      </c>
      <c r="E27" s="846" t="e">
        <f>'COTIDIANO - IIS'!AA28</f>
        <v>#DIV/0!</v>
      </c>
      <c r="F27" s="847"/>
      <c r="G27" s="846">
        <f>'EXAMENES - IIS'!F27</f>
        <v>0</v>
      </c>
      <c r="H27" s="847"/>
      <c r="I27" s="846">
        <f>'EXAMENES - IIS'!I27</f>
        <v>0</v>
      </c>
      <c r="J27" s="847">
        <f>'EXAMENES - IS'!J27</f>
        <v>9</v>
      </c>
      <c r="K27" s="848">
        <f>'REGISTRO IIS'!AH28</f>
        <v>0</v>
      </c>
      <c r="L27" s="849">
        <f>'Registro General'!AH28</f>
        <v>0</v>
      </c>
      <c r="M27" s="861">
        <f>ASISTENCIAIIS!I19</f>
        <v>10</v>
      </c>
      <c r="N27" s="862">
        <f>ASISTENCIA!I20</f>
        <v>10</v>
      </c>
      <c r="O27" s="252" t="e">
        <f>E27+G27+I27+K27+M27</f>
        <v>#DIV/0!</v>
      </c>
      <c r="P27" s="232"/>
      <c r="Q27" s="232"/>
      <c r="R27" s="232"/>
      <c r="S27" s="237"/>
      <c r="T27" s="233"/>
      <c r="U27" s="234"/>
      <c r="V27" s="43">
        <f>'REGISTRO DATOS'!J25</f>
        <v>0</v>
      </c>
      <c r="Z27" s="198" t="s">
        <v>156</v>
      </c>
      <c r="AA27" s="199" t="s">
        <v>155</v>
      </c>
      <c r="AB27" s="198" t="s">
        <v>156</v>
      </c>
      <c r="AC27" s="199" t="s">
        <v>155</v>
      </c>
    </row>
    <row r="28" spans="1:30" ht="30" customHeight="1" thickTop="1" thickBot="1">
      <c r="A28" s="563" t="s">
        <v>37</v>
      </c>
      <c r="B28" s="564" t="s">
        <v>38</v>
      </c>
      <c r="C28" s="564" t="s">
        <v>39</v>
      </c>
      <c r="D28" s="564" t="s">
        <v>36</v>
      </c>
      <c r="E28" s="564" t="s">
        <v>69</v>
      </c>
      <c r="F28" s="565">
        <f>'COTIDIANO - IIS'!$AA$15</f>
        <v>0.6</v>
      </c>
      <c r="G28" s="564" t="s">
        <v>152</v>
      </c>
      <c r="H28" s="565">
        <f>'EXAMENES - IIS'!$F$14</f>
        <v>0</v>
      </c>
      <c r="I28" s="559" t="s">
        <v>319</v>
      </c>
      <c r="J28" s="560">
        <f>'EXAMENES - IIS'!$I$14</f>
        <v>0.2</v>
      </c>
      <c r="K28" s="564" t="s">
        <v>206</v>
      </c>
      <c r="L28" s="565">
        <f>'Registro General'!$AH$15</f>
        <v>0.1</v>
      </c>
      <c r="M28" s="564" t="s">
        <v>70</v>
      </c>
      <c r="N28" s="566">
        <f>ASISTENCIA!$BX$7</f>
        <v>0.1</v>
      </c>
      <c r="O28" s="562" t="s">
        <v>16</v>
      </c>
      <c r="P28" s="232"/>
      <c r="Q28" s="232"/>
      <c r="R28" s="232"/>
      <c r="S28" s="237"/>
      <c r="T28" s="233"/>
      <c r="U28" s="234"/>
      <c r="V28" s="43"/>
      <c r="Z28" s="247"/>
      <c r="AA28" s="248"/>
      <c r="AB28" s="247"/>
      <c r="AC28" s="248"/>
    </row>
    <row r="29" spans="1:30" ht="30" customHeight="1" thickTop="1" thickBot="1">
      <c r="A29" s="250">
        <v>14</v>
      </c>
      <c r="B29" s="674" t="str">
        <f>IFERROR(IF(VLOOKUP(A29,'REGISTRO DATOS'!B:H,2,0)=0,"",VLOOKUP(A29,'REGISTRO DATOS'!B:H,2,0)),"")</f>
        <v/>
      </c>
      <c r="C29" s="674" t="str">
        <f>IFERROR(IF(VLOOKUP(A29,'REGISTRO DATOS'!B:H,3,0)=0,"",VLOOKUP(A29,'REGISTRO DATOS'!B:H,3,0)),"")</f>
        <v/>
      </c>
      <c r="D29" s="674" t="str">
        <f>IFERROR(IF(VLOOKUP(A29,'REGISTRO DATOS'!B:H,4,0)=0,"",VLOOKUP(A29,'REGISTRO DATOS'!B:H,4,0)),"")</f>
        <v>GABRIELA</v>
      </c>
      <c r="E29" s="846" t="e">
        <f>'COTIDIANO - IIS'!AA29</f>
        <v>#DIV/0!</v>
      </c>
      <c r="F29" s="847"/>
      <c r="G29" s="846">
        <f>'EXAMENES - IIS'!F28</f>
        <v>0</v>
      </c>
      <c r="H29" s="847"/>
      <c r="I29" s="844">
        <f>'EXAMENES - IIS'!I28</f>
        <v>0</v>
      </c>
      <c r="J29" s="845">
        <f>'EXAMENES - IS'!J28</f>
        <v>9</v>
      </c>
      <c r="K29" s="848">
        <f>'REGISTRO IIS'!AH29</f>
        <v>0</v>
      </c>
      <c r="L29" s="849">
        <f>'Registro General'!AH29</f>
        <v>0</v>
      </c>
      <c r="M29" s="861">
        <f>ASISTENCIAIIS!I20</f>
        <v>10</v>
      </c>
      <c r="N29" s="862">
        <f>ASISTENCIA!I21</f>
        <v>10</v>
      </c>
      <c r="O29" s="252" t="e">
        <f>E29+G29+I29+K29+M29</f>
        <v>#DIV/0!</v>
      </c>
      <c r="P29" s="232"/>
      <c r="Q29" s="232"/>
      <c r="R29" s="232"/>
      <c r="S29" s="237"/>
      <c r="T29" s="233"/>
      <c r="U29" s="234"/>
      <c r="V29" s="43">
        <f>'REGISTRO DATOS'!J26</f>
        <v>0</v>
      </c>
      <c r="Z29" s="200" t="e">
        <f>COUNTIFS(V3:V81,"H",#REF!,"&lt;70")</f>
        <v>#REF!</v>
      </c>
      <c r="AA29" s="201" t="e">
        <f>COUNTIFS(V3:V81,"H",#REF!,"&gt;70")</f>
        <v>#REF!</v>
      </c>
      <c r="AB29" s="200" t="e">
        <f>COUNTIFS(V3:V81,"M",#REF!,"&lt;70")</f>
        <v>#REF!</v>
      </c>
      <c r="AC29" s="201" t="e">
        <f>COUNTIFS(V3:V81,"M",#REF!,"&gt;70")</f>
        <v>#REF!</v>
      </c>
      <c r="AD29" s="43" t="e">
        <f>SUM(Z29:AC29)</f>
        <v>#REF!</v>
      </c>
    </row>
    <row r="30" spans="1:30" ht="30" customHeight="1" thickTop="1" thickBot="1">
      <c r="A30" s="558" t="s">
        <v>37</v>
      </c>
      <c r="B30" s="559" t="s">
        <v>38</v>
      </c>
      <c r="C30" s="559" t="s">
        <v>39</v>
      </c>
      <c r="D30" s="559" t="s">
        <v>36</v>
      </c>
      <c r="E30" s="559" t="s">
        <v>69</v>
      </c>
      <c r="F30" s="560">
        <f>'COTIDIANO - IIS'!$AA$15</f>
        <v>0.6</v>
      </c>
      <c r="G30" s="559" t="s">
        <v>152</v>
      </c>
      <c r="H30" s="560">
        <f>'EXAMENES - IIS'!$F$14</f>
        <v>0</v>
      </c>
      <c r="I30" s="559" t="s">
        <v>319</v>
      </c>
      <c r="J30" s="560">
        <f>'EXAMENES - IIS'!$I$14</f>
        <v>0.2</v>
      </c>
      <c r="K30" s="559" t="s">
        <v>206</v>
      </c>
      <c r="L30" s="560">
        <f>'Registro General'!$AH$15</f>
        <v>0.1</v>
      </c>
      <c r="M30" s="559" t="s">
        <v>70</v>
      </c>
      <c r="N30" s="561">
        <f>ASISTENCIA!$BX$7</f>
        <v>0.1</v>
      </c>
      <c r="O30" s="562" t="s">
        <v>16</v>
      </c>
      <c r="P30" s="232"/>
      <c r="Q30" s="232"/>
      <c r="R30" s="232"/>
      <c r="S30" s="237"/>
      <c r="T30" s="233"/>
      <c r="U30" s="234"/>
      <c r="V30" s="43"/>
      <c r="Z30" s="44"/>
      <c r="AA30" s="44"/>
      <c r="AB30" s="44"/>
      <c r="AC30" s="44"/>
      <c r="AD30" s="43"/>
    </row>
    <row r="31" spans="1:30" ht="30" customHeight="1" thickTop="1" thickBot="1">
      <c r="A31" s="249">
        <v>15</v>
      </c>
      <c r="B31" s="674" t="str">
        <f>IFERROR(IF(VLOOKUP(A31,'REGISTRO DATOS'!B:H,2,0)=0,"",VLOOKUP(A31,'REGISTRO DATOS'!B:H,2,0)),"")</f>
        <v xml:space="preserve">SERRANO </v>
      </c>
      <c r="C31" s="674" t="str">
        <f>IFERROR(IF(VLOOKUP(A31,'REGISTRO DATOS'!B:H,3,0)=0,"",VLOOKUP(A31,'REGISTRO DATOS'!B:H,3,0)),"")</f>
        <v>VILLEGAS</v>
      </c>
      <c r="D31" s="674" t="str">
        <f>IFERROR(IF(VLOOKUP(A31,'REGISTRO DATOS'!B:H,4,0)=0,"",VLOOKUP(A31,'REGISTRO DATOS'!B:H,4,0)),"")</f>
        <v xml:space="preserve">DYLAN </v>
      </c>
      <c r="E31" s="844" t="e">
        <f>'COTIDIANO - IIS'!AA30</f>
        <v>#DIV/0!</v>
      </c>
      <c r="F31" s="845"/>
      <c r="G31" s="844">
        <f>'EXAMENES - IIS'!F29</f>
        <v>0</v>
      </c>
      <c r="H31" s="845"/>
      <c r="I31" s="844">
        <f>'EXAMENES - IIS'!I29</f>
        <v>0</v>
      </c>
      <c r="J31" s="845">
        <f>'EXAMENES - IS'!J29</f>
        <v>7</v>
      </c>
      <c r="K31" s="857">
        <f>'REGISTRO IIS'!AH30</f>
        <v>0</v>
      </c>
      <c r="L31" s="858">
        <f>'Registro General'!AH30</f>
        <v>0</v>
      </c>
      <c r="M31" s="859">
        <f>ASISTENCIAIIS!I21</f>
        <v>10</v>
      </c>
      <c r="N31" s="860">
        <f>ASISTENCIA!I22</f>
        <v>6.25</v>
      </c>
      <c r="O31" s="252" t="e">
        <f>E31+G31+I31+K31+M31</f>
        <v>#DIV/0!</v>
      </c>
      <c r="P31" s="232"/>
      <c r="Q31" s="232"/>
      <c r="R31" s="232"/>
      <c r="S31" s="237"/>
      <c r="T31" s="233"/>
      <c r="U31" s="234"/>
      <c r="V31" s="43">
        <f>'REGISTRO DATOS'!J27</f>
        <v>0</v>
      </c>
    </row>
    <row r="32" spans="1:30" ht="30" customHeight="1" thickTop="1" thickBot="1">
      <c r="A32" s="563" t="s">
        <v>37</v>
      </c>
      <c r="B32" s="564" t="s">
        <v>38</v>
      </c>
      <c r="C32" s="564" t="s">
        <v>39</v>
      </c>
      <c r="D32" s="564" t="s">
        <v>36</v>
      </c>
      <c r="E32" s="564" t="s">
        <v>69</v>
      </c>
      <c r="F32" s="565">
        <f>'COTIDIANO - IIS'!$AA$15</f>
        <v>0.6</v>
      </c>
      <c r="G32" s="564" t="s">
        <v>152</v>
      </c>
      <c r="H32" s="565">
        <f>'EXAMENES - IIS'!$F$14</f>
        <v>0</v>
      </c>
      <c r="I32" s="559" t="s">
        <v>319</v>
      </c>
      <c r="J32" s="560">
        <f>'EXAMENES - IIS'!$I$14</f>
        <v>0.2</v>
      </c>
      <c r="K32" s="564" t="s">
        <v>206</v>
      </c>
      <c r="L32" s="565">
        <f>'Registro General'!$AH$15</f>
        <v>0.1</v>
      </c>
      <c r="M32" s="564" t="s">
        <v>70</v>
      </c>
      <c r="N32" s="566">
        <f>ASISTENCIA!$BX$7</f>
        <v>0.1</v>
      </c>
      <c r="O32" s="562" t="s">
        <v>16</v>
      </c>
      <c r="P32" s="232"/>
      <c r="Q32" s="232"/>
      <c r="R32" s="232"/>
      <c r="S32" s="237"/>
      <c r="T32" s="233"/>
      <c r="U32" s="234"/>
      <c r="V32" s="43"/>
    </row>
    <row r="33" spans="1:22" ht="30" customHeight="1" thickTop="1" thickBot="1">
      <c r="A33" s="250">
        <v>16</v>
      </c>
      <c r="B33" s="674" t="str">
        <f>IFERROR(IF(VLOOKUP(A33,'REGISTRO DATOS'!B:H,2,0)=0,"",VLOOKUP(A33,'REGISTRO DATOS'!B:H,2,0)),"")</f>
        <v/>
      </c>
      <c r="C33" s="674" t="str">
        <f>IFERROR(IF(VLOOKUP(A33,'REGISTRO DATOS'!B:H,3,0)=0,"",VLOOKUP(A33,'REGISTRO DATOS'!B:H,3,0)),"")</f>
        <v/>
      </c>
      <c r="D33" s="674" t="str">
        <f>IFERROR(IF(VLOOKUP(A33,'REGISTRO DATOS'!B:H,4,0)=0,"",VLOOKUP(A33,'REGISTRO DATOS'!B:H,4,0)),"")</f>
        <v>ANA</v>
      </c>
      <c r="E33" s="846" t="e">
        <f>'COTIDIANO - IIS'!AA31</f>
        <v>#DIV/0!</v>
      </c>
      <c r="F33" s="847"/>
      <c r="G33" s="846">
        <f>'EXAMENES - IIS'!F30</f>
        <v>0</v>
      </c>
      <c r="H33" s="847"/>
      <c r="I33" s="846">
        <f>'EXAMENES - IIS'!I30</f>
        <v>0</v>
      </c>
      <c r="J33" s="847">
        <f>'EXAMENES - IS'!J30</f>
        <v>1</v>
      </c>
      <c r="K33" s="848">
        <f>'REGISTRO IIS'!AH31</f>
        <v>0</v>
      </c>
      <c r="L33" s="849">
        <f>'Registro General'!AH31</f>
        <v>0</v>
      </c>
      <c r="M33" s="848">
        <f>ASISTENCIAIIS!I22</f>
        <v>10</v>
      </c>
      <c r="N33" s="850">
        <f>ASISTENCIA!I23</f>
        <v>2.5</v>
      </c>
      <c r="O33" s="252" t="e">
        <f>E33+G33+I33+K33+M33</f>
        <v>#DIV/0!</v>
      </c>
      <c r="P33" s="232"/>
      <c r="Q33" s="232"/>
      <c r="R33" s="232"/>
      <c r="S33" s="237"/>
      <c r="T33" s="233"/>
      <c r="U33" s="234"/>
      <c r="V33" s="43">
        <f>'REGISTRO DATOS'!J28</f>
        <v>0</v>
      </c>
    </row>
    <row r="34" spans="1:22" ht="30" customHeight="1" thickTop="1" thickBot="1">
      <c r="A34" s="563" t="s">
        <v>37</v>
      </c>
      <c r="B34" s="564" t="s">
        <v>38</v>
      </c>
      <c r="C34" s="564" t="s">
        <v>39</v>
      </c>
      <c r="D34" s="564" t="s">
        <v>36</v>
      </c>
      <c r="E34" s="564" t="s">
        <v>69</v>
      </c>
      <c r="F34" s="565">
        <f>'COTIDIANO - IIS'!$AA$15</f>
        <v>0.6</v>
      </c>
      <c r="G34" s="564" t="s">
        <v>152</v>
      </c>
      <c r="H34" s="565">
        <f>'EXAMENES - IIS'!$F$14</f>
        <v>0</v>
      </c>
      <c r="I34" s="559" t="s">
        <v>319</v>
      </c>
      <c r="J34" s="560">
        <f>'EXAMENES - IIS'!$I$14</f>
        <v>0.2</v>
      </c>
      <c r="K34" s="564" t="s">
        <v>206</v>
      </c>
      <c r="L34" s="565">
        <f>'Registro General'!$AH$15</f>
        <v>0.1</v>
      </c>
      <c r="M34" s="564" t="s">
        <v>70</v>
      </c>
      <c r="N34" s="566">
        <f>ASISTENCIA!$BX$7</f>
        <v>0.1</v>
      </c>
      <c r="O34" s="562" t="s">
        <v>16</v>
      </c>
      <c r="P34" s="232"/>
      <c r="Q34" s="232"/>
      <c r="R34" s="232"/>
      <c r="S34" s="237"/>
      <c r="T34" s="233"/>
      <c r="U34" s="234"/>
      <c r="V34" s="43"/>
    </row>
    <row r="35" spans="1:22" ht="30" customHeight="1" thickTop="1" thickBot="1">
      <c r="A35" s="250">
        <v>17</v>
      </c>
      <c r="B35" s="674" t="str">
        <f>IFERROR(IF(VLOOKUP(A35,'REGISTRO DATOS'!B:H,2,0)=0,"",VLOOKUP(A35,'REGISTRO DATOS'!B:H,2,0)),"")</f>
        <v>QUIROS</v>
      </c>
      <c r="C35" s="674" t="str">
        <f>IFERROR(IF(VLOOKUP(A35,'REGISTRO DATOS'!B:H,3,0)=0,"",VLOOKUP(A35,'REGISTRO DATOS'!B:H,3,0)),"")</f>
        <v/>
      </c>
      <c r="D35" s="674" t="str">
        <f>IFERROR(IF(VLOOKUP(A35,'REGISTRO DATOS'!B:H,4,0)=0,"",VLOOKUP(A35,'REGISTRO DATOS'!B:H,4,0)),"")</f>
        <v>ANDY</v>
      </c>
      <c r="E35" s="846" t="e">
        <f>'COTIDIANO - IIS'!AA32</f>
        <v>#DIV/0!</v>
      </c>
      <c r="F35" s="847"/>
      <c r="G35" s="846">
        <f>'EXAMENES - IIS'!F31</f>
        <v>0</v>
      </c>
      <c r="H35" s="847"/>
      <c r="I35" s="846">
        <f>'EXAMENES - IIS'!I31</f>
        <v>0</v>
      </c>
      <c r="J35" s="847">
        <f>'EXAMENES - IS'!J31</f>
        <v>9</v>
      </c>
      <c r="K35" s="848">
        <f>'REGISTRO IIS'!AH32</f>
        <v>0</v>
      </c>
      <c r="L35" s="849">
        <f>'Registro General'!AH32</f>
        <v>0</v>
      </c>
      <c r="M35" s="861">
        <f>ASISTENCIAIIS!I23</f>
        <v>10</v>
      </c>
      <c r="N35" s="862">
        <f>ASISTENCIA!I24</f>
        <v>8.75</v>
      </c>
      <c r="O35" s="252" t="e">
        <f>E35+G35+I35+K35+M35</f>
        <v>#DIV/0!</v>
      </c>
      <c r="P35" s="232"/>
      <c r="Q35" s="232"/>
      <c r="R35" s="232"/>
      <c r="S35" s="237"/>
      <c r="T35" s="233"/>
      <c r="U35" s="234"/>
      <c r="V35" s="43">
        <f>'REGISTRO DATOS'!J29</f>
        <v>0</v>
      </c>
    </row>
    <row r="36" spans="1:22" ht="30" customHeight="1" thickTop="1" thickBot="1">
      <c r="A36" s="563" t="s">
        <v>37</v>
      </c>
      <c r="B36" s="564" t="s">
        <v>38</v>
      </c>
      <c r="C36" s="564" t="s">
        <v>39</v>
      </c>
      <c r="D36" s="564" t="s">
        <v>36</v>
      </c>
      <c r="E36" s="564" t="s">
        <v>69</v>
      </c>
      <c r="F36" s="565">
        <f>'COTIDIANO - IIS'!$AA$15</f>
        <v>0.6</v>
      </c>
      <c r="G36" s="564" t="s">
        <v>152</v>
      </c>
      <c r="H36" s="565">
        <f>'EXAMENES - IIS'!$F$14</f>
        <v>0</v>
      </c>
      <c r="I36" s="559" t="s">
        <v>319</v>
      </c>
      <c r="J36" s="560">
        <f>'EXAMENES - IIS'!$I$14</f>
        <v>0.2</v>
      </c>
      <c r="K36" s="564" t="s">
        <v>206</v>
      </c>
      <c r="L36" s="565">
        <f>'Registro General'!$AH$15</f>
        <v>0.1</v>
      </c>
      <c r="M36" s="564" t="s">
        <v>70</v>
      </c>
      <c r="N36" s="566">
        <f>ASISTENCIA!$BX$7</f>
        <v>0.1</v>
      </c>
      <c r="O36" s="562" t="s">
        <v>16</v>
      </c>
      <c r="P36" s="232"/>
      <c r="Q36" s="232"/>
      <c r="R36" s="232"/>
      <c r="S36" s="237"/>
      <c r="T36" s="233"/>
      <c r="U36" s="234"/>
      <c r="V36" s="43"/>
    </row>
    <row r="37" spans="1:22" ht="30" customHeight="1" thickTop="1" thickBot="1">
      <c r="A37" s="250">
        <v>18</v>
      </c>
      <c r="B37" s="674" t="str">
        <f>IFERROR(IF(VLOOKUP(A37,'REGISTRO DATOS'!B:H,2,0)=0,"",VLOOKUP(A37,'REGISTRO DATOS'!B:H,2,0)),"")</f>
        <v>RIVER</v>
      </c>
      <c r="C37" s="674" t="str">
        <f>IFERROR(IF(VLOOKUP(A37,'REGISTRO DATOS'!B:H,3,0)=0,"",VLOOKUP(A37,'REGISTRO DATOS'!B:H,3,0)),"")</f>
        <v/>
      </c>
      <c r="D37" s="674" t="str">
        <f>IFERROR(IF(VLOOKUP(A37,'REGISTRO DATOS'!B:H,4,0)=0,"",VLOOKUP(A37,'REGISTRO DATOS'!B:H,4,0)),"")</f>
        <v>STEPHANIE</v>
      </c>
      <c r="E37" s="846" t="e">
        <f>'COTIDIANO - IIS'!AA33</f>
        <v>#DIV/0!</v>
      </c>
      <c r="F37" s="847"/>
      <c r="G37" s="846">
        <f>'EXAMENES - IIS'!F32</f>
        <v>0</v>
      </c>
      <c r="H37" s="847"/>
      <c r="I37" s="844">
        <f>'EXAMENES - IIS'!I32</f>
        <v>0</v>
      </c>
      <c r="J37" s="845">
        <f>'EXAMENES - IS'!J32</f>
        <v>8</v>
      </c>
      <c r="K37" s="848">
        <f>'REGISTRO IIS'!AH33</f>
        <v>0</v>
      </c>
      <c r="L37" s="849">
        <f>'Registro General'!AH33</f>
        <v>0</v>
      </c>
      <c r="M37" s="861">
        <f>ASISTENCIAIIS!I24</f>
        <v>10</v>
      </c>
      <c r="N37" s="862">
        <f>ASISTENCIA!I25</f>
        <v>5</v>
      </c>
      <c r="O37" s="252" t="e">
        <f>E37+G37+I37+K37+M37</f>
        <v>#DIV/0!</v>
      </c>
      <c r="P37" s="232"/>
      <c r="Q37" s="232"/>
      <c r="R37" s="232"/>
      <c r="S37" s="237"/>
      <c r="T37" s="233"/>
      <c r="U37" s="234"/>
      <c r="V37" s="43">
        <f>'REGISTRO DATOS'!J30</f>
        <v>0</v>
      </c>
    </row>
    <row r="38" spans="1:22" ht="30" customHeight="1" thickTop="1" thickBot="1">
      <c r="A38" s="558" t="s">
        <v>37</v>
      </c>
      <c r="B38" s="559" t="s">
        <v>38</v>
      </c>
      <c r="C38" s="559" t="s">
        <v>39</v>
      </c>
      <c r="D38" s="559" t="s">
        <v>36</v>
      </c>
      <c r="E38" s="559" t="s">
        <v>69</v>
      </c>
      <c r="F38" s="560">
        <f>'COTIDIANO - IIS'!$AA$15</f>
        <v>0.6</v>
      </c>
      <c r="G38" s="559" t="s">
        <v>152</v>
      </c>
      <c r="H38" s="560">
        <f>'EXAMENES - IIS'!$F$14</f>
        <v>0</v>
      </c>
      <c r="I38" s="559" t="s">
        <v>319</v>
      </c>
      <c r="J38" s="560">
        <f>'EXAMENES - IIS'!$I$14</f>
        <v>0.2</v>
      </c>
      <c r="K38" s="559" t="s">
        <v>206</v>
      </c>
      <c r="L38" s="560">
        <f>'Registro General'!$AH$15</f>
        <v>0.1</v>
      </c>
      <c r="M38" s="559" t="s">
        <v>70</v>
      </c>
      <c r="N38" s="561">
        <f>ASISTENCIA!$BX$7</f>
        <v>0.1</v>
      </c>
      <c r="O38" s="562" t="s">
        <v>16</v>
      </c>
      <c r="P38" s="232"/>
      <c r="Q38" s="232"/>
      <c r="R38" s="232"/>
      <c r="S38" s="237"/>
      <c r="T38" s="233"/>
      <c r="U38" s="234"/>
      <c r="V38" s="43"/>
    </row>
    <row r="39" spans="1:22" ht="30" customHeight="1" thickTop="1" thickBot="1">
      <c r="A39" s="249">
        <v>19</v>
      </c>
      <c r="B39" s="674" t="str">
        <f>IFERROR(IF(VLOOKUP(A39,'REGISTRO DATOS'!B:H,2,0)=0,"",VLOOKUP(A39,'REGISTRO DATOS'!B:H,2,0)),"")</f>
        <v/>
      </c>
      <c r="C39" s="674" t="str">
        <f>IFERROR(IF(VLOOKUP(A39,'REGISTRO DATOS'!B:H,3,0)=0,"",VLOOKUP(A39,'REGISTRO DATOS'!B:H,3,0)),"")</f>
        <v>FABIAN</v>
      </c>
      <c r="D39" s="674" t="str">
        <f>IFERROR(IF(VLOOKUP(A39,'REGISTRO DATOS'!B:H,4,0)=0,"",VLOOKUP(A39,'REGISTRO DATOS'!B:H,4,0)),"")</f>
        <v/>
      </c>
      <c r="E39" s="844" t="e">
        <f>'COTIDIANO - IIS'!AA34</f>
        <v>#DIV/0!</v>
      </c>
      <c r="F39" s="845"/>
      <c r="G39" s="844">
        <f>'EXAMENES - IIS'!F33</f>
        <v>0</v>
      </c>
      <c r="H39" s="845"/>
      <c r="I39" s="844">
        <f>'EXAMENES - IIS'!I33</f>
        <v>0</v>
      </c>
      <c r="J39" s="845">
        <f>'EXAMENES - IS'!J33</f>
        <v>8</v>
      </c>
      <c r="K39" s="857">
        <f>'REGISTRO IIS'!AH34</f>
        <v>0</v>
      </c>
      <c r="L39" s="858">
        <f>'Registro General'!AH34</f>
        <v>0</v>
      </c>
      <c r="M39" s="859">
        <f>ASISTENCIAIIS!I25</f>
        <v>10</v>
      </c>
      <c r="N39" s="860">
        <f>ASISTENCIA!I26</f>
        <v>10</v>
      </c>
      <c r="O39" s="252" t="e">
        <f>E39+G39+I39+K39+M39</f>
        <v>#DIV/0!</v>
      </c>
      <c r="P39" s="232"/>
      <c r="Q39" s="232"/>
      <c r="R39" s="232"/>
      <c r="S39" s="237"/>
      <c r="T39" s="233"/>
      <c r="U39" s="234"/>
      <c r="V39" s="43">
        <f>'REGISTRO DATOS'!J31</f>
        <v>0</v>
      </c>
    </row>
    <row r="40" spans="1:22" ht="30" customHeight="1" thickTop="1" thickBot="1">
      <c r="A40" s="563" t="s">
        <v>37</v>
      </c>
      <c r="B40" s="564" t="s">
        <v>38</v>
      </c>
      <c r="C40" s="564" t="s">
        <v>39</v>
      </c>
      <c r="D40" s="564" t="s">
        <v>36</v>
      </c>
      <c r="E40" s="564" t="s">
        <v>69</v>
      </c>
      <c r="F40" s="565">
        <f>'COTIDIANO - IIS'!$AA$15</f>
        <v>0.6</v>
      </c>
      <c r="G40" s="564" t="s">
        <v>152</v>
      </c>
      <c r="H40" s="565">
        <f>'EXAMENES - IIS'!$F$14</f>
        <v>0</v>
      </c>
      <c r="I40" s="559" t="s">
        <v>319</v>
      </c>
      <c r="J40" s="560">
        <f>'EXAMENES - IIS'!$I$14</f>
        <v>0.2</v>
      </c>
      <c r="K40" s="564" t="s">
        <v>206</v>
      </c>
      <c r="L40" s="565">
        <f>'Registro General'!$AH$15</f>
        <v>0.1</v>
      </c>
      <c r="M40" s="564" t="s">
        <v>70</v>
      </c>
      <c r="N40" s="566">
        <f>ASISTENCIA!$BX$7</f>
        <v>0.1</v>
      </c>
      <c r="O40" s="562" t="s">
        <v>16</v>
      </c>
      <c r="P40" s="232"/>
      <c r="Q40" s="232"/>
      <c r="R40" s="232"/>
      <c r="S40" s="237"/>
      <c r="T40" s="233"/>
      <c r="U40" s="234"/>
      <c r="V40" s="43"/>
    </row>
    <row r="41" spans="1:22" ht="30" customHeight="1" thickTop="1" thickBot="1">
      <c r="A41" s="250">
        <v>20</v>
      </c>
      <c r="B41" s="674" t="str">
        <f>IFERROR(IF(VLOOKUP(A41,'REGISTRO DATOS'!B:H,2,0)=0,"",VLOOKUP(A41,'REGISTRO DATOS'!B:H,2,0)),"")</f>
        <v/>
      </c>
      <c r="C41" s="674" t="str">
        <f>IFERROR(IF(VLOOKUP(A41,'REGISTRO DATOS'!B:H,3,0)=0,"",VLOOKUP(A41,'REGISTRO DATOS'!B:H,3,0)),"")</f>
        <v>EMILIN</v>
      </c>
      <c r="D41" s="674" t="str">
        <f>IFERROR(IF(VLOOKUP(A41,'REGISTRO DATOS'!B:H,4,0)=0,"",VLOOKUP(A41,'REGISTRO DATOS'!B:H,4,0)),"")</f>
        <v/>
      </c>
      <c r="E41" s="846" t="e">
        <f>'COTIDIANO - IIS'!AA35</f>
        <v>#DIV/0!</v>
      </c>
      <c r="F41" s="847"/>
      <c r="G41" s="846">
        <f>'EXAMENES - IIS'!F34</f>
        <v>0</v>
      </c>
      <c r="H41" s="847"/>
      <c r="I41" s="846">
        <f>'EXAMENES - IIS'!I34</f>
        <v>0</v>
      </c>
      <c r="J41" s="847">
        <f>'EXAMENES - IS'!J34</f>
        <v>9</v>
      </c>
      <c r="K41" s="848">
        <f>'REGISTRO IIS'!AH35</f>
        <v>0</v>
      </c>
      <c r="L41" s="849">
        <f>'Registro General'!AH35</f>
        <v>0</v>
      </c>
      <c r="M41" s="848">
        <f>ASISTENCIAIIS!I26</f>
        <v>10</v>
      </c>
      <c r="N41" s="850">
        <f>ASISTENCIA!I27</f>
        <v>10</v>
      </c>
      <c r="O41" s="252" t="e">
        <f>E41+G41+I41+K41+M41</f>
        <v>#DIV/0!</v>
      </c>
      <c r="P41" s="232"/>
      <c r="Q41" s="232"/>
      <c r="R41" s="232"/>
      <c r="S41" s="237"/>
      <c r="T41" s="233"/>
      <c r="U41" s="234"/>
      <c r="V41" s="43">
        <f>'REGISTRO DATOS'!J32</f>
        <v>0</v>
      </c>
    </row>
    <row r="42" spans="1:22" ht="30" customHeight="1" thickTop="1" thickBot="1">
      <c r="A42" s="558" t="s">
        <v>37</v>
      </c>
      <c r="B42" s="559" t="s">
        <v>38</v>
      </c>
      <c r="C42" s="559" t="s">
        <v>39</v>
      </c>
      <c r="D42" s="559" t="s">
        <v>36</v>
      </c>
      <c r="E42" s="559" t="s">
        <v>69</v>
      </c>
      <c r="F42" s="560">
        <f>'COTIDIANO - IIS'!$AA$15</f>
        <v>0.6</v>
      </c>
      <c r="G42" s="559" t="s">
        <v>152</v>
      </c>
      <c r="H42" s="560">
        <f>'EXAMENES - IIS'!$F$14</f>
        <v>0</v>
      </c>
      <c r="I42" s="559" t="s">
        <v>319</v>
      </c>
      <c r="J42" s="560">
        <f>'EXAMENES - IIS'!$I$14</f>
        <v>0.2</v>
      </c>
      <c r="K42" s="559" t="s">
        <v>206</v>
      </c>
      <c r="L42" s="560">
        <f>'Registro General'!$AH$15</f>
        <v>0.1</v>
      </c>
      <c r="M42" s="559" t="s">
        <v>70</v>
      </c>
      <c r="N42" s="561">
        <f>ASISTENCIA!$BX$7</f>
        <v>0.1</v>
      </c>
      <c r="O42" s="562" t="s">
        <v>16</v>
      </c>
      <c r="P42" s="232"/>
      <c r="Q42" s="232"/>
      <c r="R42" s="232"/>
      <c r="S42" s="237"/>
      <c r="T42" s="233"/>
      <c r="U42" s="234"/>
      <c r="V42" s="43"/>
    </row>
    <row r="43" spans="1:22" ht="30" customHeight="1" thickTop="1" thickBot="1">
      <c r="A43" s="249">
        <v>21</v>
      </c>
      <c r="B43" s="674" t="str">
        <f>IFERROR(IF(VLOOKUP(A43,'REGISTRO DATOS'!B:H,2,0)=0,"",VLOOKUP(A43,'REGISTRO DATOS'!B:H,2,0)),"")</f>
        <v/>
      </c>
      <c r="C43" s="674" t="str">
        <f>IFERROR(IF(VLOOKUP(A43,'REGISTRO DATOS'!B:H,3,0)=0,"",VLOOKUP(A43,'REGISTRO DATOS'!B:H,3,0)),"")</f>
        <v/>
      </c>
      <c r="D43" s="674" t="str">
        <f>IFERROR(IF(VLOOKUP(A43,'REGISTRO DATOS'!B:H,4,0)=0,"",VLOOKUP(A43,'REGISTRO DATOS'!B:H,4,0)),"")</f>
        <v/>
      </c>
      <c r="E43" s="844" t="e">
        <f>'COTIDIANO - IIS'!AA36</f>
        <v>#DIV/0!</v>
      </c>
      <c r="F43" s="845"/>
      <c r="G43" s="844">
        <f>'EXAMENES - IIS'!F35</f>
        <v>0</v>
      </c>
      <c r="H43" s="845"/>
      <c r="I43" s="844">
        <f>'EXAMENES - IIS'!I35</f>
        <v>0</v>
      </c>
      <c r="J43" s="845">
        <f>'EXAMENES - IS'!J35</f>
        <v>0</v>
      </c>
      <c r="K43" s="857">
        <f>'REGISTRO IIS'!AH36</f>
        <v>0</v>
      </c>
      <c r="L43" s="858">
        <f>'Registro General'!AH36</f>
        <v>0</v>
      </c>
      <c r="M43" s="859">
        <f>ASISTENCIAIIS!I27</f>
        <v>10</v>
      </c>
      <c r="N43" s="860">
        <f>ASISTENCIA!I28</f>
        <v>10</v>
      </c>
      <c r="O43" s="252" t="e">
        <f>E43+G43+I43+K43+M43</f>
        <v>#DIV/0!</v>
      </c>
      <c r="P43" s="232"/>
      <c r="Q43" s="232"/>
      <c r="R43" s="232"/>
      <c r="S43" s="237"/>
      <c r="T43" s="233"/>
      <c r="U43" s="234"/>
      <c r="V43" s="43">
        <f>'REGISTRO DATOS'!J33</f>
        <v>0</v>
      </c>
    </row>
    <row r="44" spans="1:22" ht="30" customHeight="1" thickTop="1" thickBot="1">
      <c r="A44" s="563" t="s">
        <v>37</v>
      </c>
      <c r="B44" s="564" t="s">
        <v>38</v>
      </c>
      <c r="C44" s="564" t="s">
        <v>39</v>
      </c>
      <c r="D44" s="564" t="s">
        <v>36</v>
      </c>
      <c r="E44" s="564" t="s">
        <v>69</v>
      </c>
      <c r="F44" s="565">
        <f>'COTIDIANO - IIS'!$AA$15</f>
        <v>0.6</v>
      </c>
      <c r="G44" s="564" t="s">
        <v>152</v>
      </c>
      <c r="H44" s="565">
        <f>'EXAMENES - IIS'!$F$14</f>
        <v>0</v>
      </c>
      <c r="I44" s="559" t="s">
        <v>319</v>
      </c>
      <c r="J44" s="560">
        <f>'EXAMENES - IIS'!$I$14</f>
        <v>0.2</v>
      </c>
      <c r="K44" s="564" t="s">
        <v>206</v>
      </c>
      <c r="L44" s="565">
        <f>'Registro General'!$AH$15</f>
        <v>0.1</v>
      </c>
      <c r="M44" s="564" t="s">
        <v>70</v>
      </c>
      <c r="N44" s="566">
        <f>ASISTENCIA!$BX$7</f>
        <v>0.1</v>
      </c>
      <c r="O44" s="562" t="s">
        <v>16</v>
      </c>
      <c r="P44" s="232"/>
      <c r="Q44" s="232"/>
      <c r="R44" s="232"/>
      <c r="S44" s="237"/>
      <c r="T44" s="233"/>
      <c r="U44" s="234"/>
      <c r="V44" s="43"/>
    </row>
    <row r="45" spans="1:22" ht="30" customHeight="1" thickTop="1" thickBot="1">
      <c r="A45" s="250">
        <v>22</v>
      </c>
      <c r="B45" s="674" t="str">
        <f>IFERROR(IF(VLOOKUP(A45,'REGISTRO DATOS'!B:H,2,0)=0,"",VLOOKUP(A45,'REGISTRO DATOS'!B:H,2,0)),"")</f>
        <v/>
      </c>
      <c r="C45" s="674" t="str">
        <f>IFERROR(IF(VLOOKUP(A45,'REGISTRO DATOS'!B:H,3,0)=0,"",VLOOKUP(A45,'REGISTRO DATOS'!B:H,3,0)),"")</f>
        <v/>
      </c>
      <c r="D45" s="674" t="str">
        <f>IFERROR(IF(VLOOKUP(A45,'REGISTRO DATOS'!B:H,4,0)=0,"",VLOOKUP(A45,'REGISTRO DATOS'!B:H,4,0)),"")</f>
        <v/>
      </c>
      <c r="E45" s="846" t="e">
        <f>'COTIDIANO - IIS'!AA37</f>
        <v>#DIV/0!</v>
      </c>
      <c r="F45" s="847"/>
      <c r="G45" s="846">
        <f>'EXAMENES - IIS'!F36</f>
        <v>0</v>
      </c>
      <c r="H45" s="847"/>
      <c r="I45" s="846">
        <f>'EXAMENES - IIS'!I36</f>
        <v>0</v>
      </c>
      <c r="J45" s="847">
        <f>'EXAMENES - IS'!J36</f>
        <v>0</v>
      </c>
      <c r="K45" s="848">
        <f>'REGISTRO IIS'!AH37</f>
        <v>0</v>
      </c>
      <c r="L45" s="849">
        <f>'Registro General'!AH37</f>
        <v>0</v>
      </c>
      <c r="M45" s="848">
        <f>ASISTENCIAIIS!I28</f>
        <v>10</v>
      </c>
      <c r="N45" s="850">
        <f>ASISTENCIA!I29</f>
        <v>10</v>
      </c>
      <c r="O45" s="252" t="e">
        <f>E45+G45+I45+K45+M45</f>
        <v>#DIV/0!</v>
      </c>
      <c r="P45" s="232"/>
      <c r="Q45" s="232"/>
      <c r="R45" s="232"/>
      <c r="S45" s="237"/>
      <c r="T45" s="233"/>
      <c r="U45" s="234"/>
      <c r="V45" s="43">
        <f>'REGISTRO DATOS'!J34</f>
        <v>0</v>
      </c>
    </row>
    <row r="46" spans="1:22" ht="30" customHeight="1" thickTop="1" thickBot="1">
      <c r="A46" s="563" t="s">
        <v>37</v>
      </c>
      <c r="B46" s="564" t="s">
        <v>38</v>
      </c>
      <c r="C46" s="564" t="s">
        <v>39</v>
      </c>
      <c r="D46" s="564" t="s">
        <v>36</v>
      </c>
      <c r="E46" s="564" t="s">
        <v>69</v>
      </c>
      <c r="F46" s="565">
        <f>'COTIDIANO - IIS'!$AA$15</f>
        <v>0.6</v>
      </c>
      <c r="G46" s="564" t="s">
        <v>152</v>
      </c>
      <c r="H46" s="565">
        <f>'EXAMENES - IIS'!$F$14</f>
        <v>0</v>
      </c>
      <c r="I46" s="559" t="s">
        <v>319</v>
      </c>
      <c r="J46" s="560">
        <f>'EXAMENES - IIS'!$I$14</f>
        <v>0.2</v>
      </c>
      <c r="K46" s="564" t="s">
        <v>206</v>
      </c>
      <c r="L46" s="565">
        <f>'Registro General'!$AH$15</f>
        <v>0.1</v>
      </c>
      <c r="M46" s="564" t="s">
        <v>70</v>
      </c>
      <c r="N46" s="566">
        <f>ASISTENCIA!$BX$7</f>
        <v>0.1</v>
      </c>
      <c r="O46" s="562" t="s">
        <v>16</v>
      </c>
      <c r="P46" s="232"/>
      <c r="Q46" s="232"/>
      <c r="R46" s="232"/>
      <c r="S46" s="237"/>
      <c r="T46" s="233"/>
      <c r="U46" s="234"/>
      <c r="V46" s="43"/>
    </row>
    <row r="47" spans="1:22" ht="30" customHeight="1" thickTop="1" thickBot="1">
      <c r="A47" s="250">
        <v>23</v>
      </c>
      <c r="B47" s="674" t="str">
        <f>IFERROR(IF(VLOOKUP(A47,'REGISTRO DATOS'!B:H,2,0)=0,"",VLOOKUP(A47,'REGISTRO DATOS'!B:H,2,0)),"")</f>
        <v/>
      </c>
      <c r="C47" s="674" t="str">
        <f>IFERROR(IF(VLOOKUP(A47,'REGISTRO DATOS'!B:H,3,0)=0,"",VLOOKUP(A47,'REGISTRO DATOS'!B:H,3,0)),"")</f>
        <v/>
      </c>
      <c r="D47" s="674" t="str">
        <f>IFERROR(IF(VLOOKUP(A47,'REGISTRO DATOS'!B:H,4,0)=0,"",VLOOKUP(A47,'REGISTRO DATOS'!B:H,4,0)),"")</f>
        <v/>
      </c>
      <c r="E47" s="846" t="e">
        <f>'COTIDIANO - IIS'!AA38</f>
        <v>#DIV/0!</v>
      </c>
      <c r="F47" s="847"/>
      <c r="G47" s="846">
        <f>'EXAMENES - IIS'!F37</f>
        <v>0</v>
      </c>
      <c r="H47" s="847"/>
      <c r="I47" s="846">
        <f>'EXAMENES - IIS'!I37</f>
        <v>0</v>
      </c>
      <c r="J47" s="847">
        <f>'EXAMENES - IS'!J37</f>
        <v>0</v>
      </c>
      <c r="K47" s="848">
        <f>'REGISTRO IIS'!AH38</f>
        <v>0</v>
      </c>
      <c r="L47" s="849">
        <f>'Registro General'!AH38</f>
        <v>0</v>
      </c>
      <c r="M47" s="861">
        <f>ASISTENCIAIIS!I29</f>
        <v>10</v>
      </c>
      <c r="N47" s="862">
        <f>ASISTENCIA!I30</f>
        <v>10</v>
      </c>
      <c r="O47" s="252" t="e">
        <f>E47+G47+I47+K47+M47</f>
        <v>#DIV/0!</v>
      </c>
      <c r="P47" s="232"/>
      <c r="Q47" s="232"/>
      <c r="R47" s="232"/>
      <c r="S47" s="237"/>
      <c r="T47" s="233"/>
      <c r="U47" s="234"/>
      <c r="V47" s="43">
        <f>'REGISTRO DATOS'!J35</f>
        <v>0</v>
      </c>
    </row>
    <row r="48" spans="1:22" ht="30" customHeight="1" thickTop="1" thickBot="1">
      <c r="A48" s="563" t="s">
        <v>37</v>
      </c>
      <c r="B48" s="564" t="s">
        <v>38</v>
      </c>
      <c r="C48" s="564" t="s">
        <v>39</v>
      </c>
      <c r="D48" s="564" t="s">
        <v>36</v>
      </c>
      <c r="E48" s="564" t="s">
        <v>69</v>
      </c>
      <c r="F48" s="565">
        <f>'COTIDIANO - IIS'!$AA$15</f>
        <v>0.6</v>
      </c>
      <c r="G48" s="564" t="s">
        <v>152</v>
      </c>
      <c r="H48" s="565">
        <f>'EXAMENES - IIS'!$F$14</f>
        <v>0</v>
      </c>
      <c r="I48" s="559" t="s">
        <v>319</v>
      </c>
      <c r="J48" s="560">
        <f>'EXAMENES - IIS'!$I$14</f>
        <v>0.2</v>
      </c>
      <c r="K48" s="564" t="s">
        <v>206</v>
      </c>
      <c r="L48" s="565">
        <f>'Registro General'!$AH$15</f>
        <v>0.1</v>
      </c>
      <c r="M48" s="564" t="s">
        <v>70</v>
      </c>
      <c r="N48" s="566">
        <f>ASISTENCIA!$BX$7</f>
        <v>0.1</v>
      </c>
      <c r="O48" s="562" t="s">
        <v>16</v>
      </c>
      <c r="P48" s="232"/>
      <c r="Q48" s="232"/>
      <c r="R48" s="232"/>
      <c r="S48" s="237"/>
      <c r="T48" s="233"/>
      <c r="U48" s="234"/>
      <c r="V48" s="43"/>
    </row>
    <row r="49" spans="1:22" ht="30" customHeight="1" thickTop="1" thickBot="1">
      <c r="A49" s="250">
        <v>24</v>
      </c>
      <c r="B49" s="674" t="str">
        <f>IFERROR(IF(VLOOKUP(A49,'REGISTRO DATOS'!B:H,2,0)=0,"",VLOOKUP(A49,'REGISTRO DATOS'!B:H,2,0)),"")</f>
        <v/>
      </c>
      <c r="C49" s="674" t="str">
        <f>IFERROR(IF(VLOOKUP(A49,'REGISTRO DATOS'!B:H,3,0)=0,"",VLOOKUP(A49,'REGISTRO DATOS'!B:H,3,0)),"")</f>
        <v/>
      </c>
      <c r="D49" s="674" t="str">
        <f>IFERROR(IF(VLOOKUP(A49,'REGISTRO DATOS'!B:H,4,0)=0,"",VLOOKUP(A49,'REGISTRO DATOS'!B:H,4,0)),"")</f>
        <v/>
      </c>
      <c r="E49" s="846" t="e">
        <f>'COTIDIANO - IIS'!AA39</f>
        <v>#DIV/0!</v>
      </c>
      <c r="F49" s="847"/>
      <c r="G49" s="846">
        <f>'EXAMENES - IIS'!F38</f>
        <v>0</v>
      </c>
      <c r="H49" s="847"/>
      <c r="I49" s="844">
        <f>'EXAMENES - IIS'!I38</f>
        <v>0</v>
      </c>
      <c r="J49" s="845">
        <f>'EXAMENES - IS'!J38</f>
        <v>0</v>
      </c>
      <c r="K49" s="848">
        <f>'REGISTRO IIS'!AH39</f>
        <v>0</v>
      </c>
      <c r="L49" s="849">
        <f>'Registro General'!AH39</f>
        <v>0</v>
      </c>
      <c r="M49" s="861">
        <f>ASISTENCIAIIS!I30</f>
        <v>10</v>
      </c>
      <c r="N49" s="862">
        <f>ASISTENCIA!I31</f>
        <v>10</v>
      </c>
      <c r="O49" s="252" t="e">
        <f>E49+G49+I49+K49+M49</f>
        <v>#DIV/0!</v>
      </c>
      <c r="P49" s="232"/>
      <c r="Q49" s="232"/>
      <c r="R49" s="232"/>
      <c r="S49" s="237"/>
      <c r="T49" s="233"/>
      <c r="U49" s="234"/>
      <c r="V49" s="43">
        <f>'REGISTRO DATOS'!J36</f>
        <v>0</v>
      </c>
    </row>
    <row r="50" spans="1:22" ht="30" customHeight="1" thickTop="1" thickBot="1">
      <c r="A50" s="558" t="s">
        <v>37</v>
      </c>
      <c r="B50" s="559" t="s">
        <v>38</v>
      </c>
      <c r="C50" s="559" t="s">
        <v>39</v>
      </c>
      <c r="D50" s="559" t="s">
        <v>36</v>
      </c>
      <c r="E50" s="559" t="s">
        <v>69</v>
      </c>
      <c r="F50" s="560">
        <f>'COTIDIANO - IIS'!$AA$15</f>
        <v>0.6</v>
      </c>
      <c r="G50" s="559" t="s">
        <v>152</v>
      </c>
      <c r="H50" s="560">
        <f>'EXAMENES - IIS'!$F$14</f>
        <v>0</v>
      </c>
      <c r="I50" s="559" t="s">
        <v>319</v>
      </c>
      <c r="J50" s="560">
        <f>'EXAMENES - IIS'!$I$14</f>
        <v>0.2</v>
      </c>
      <c r="K50" s="559" t="s">
        <v>206</v>
      </c>
      <c r="L50" s="560">
        <f>'Registro General'!$AH$15</f>
        <v>0.1</v>
      </c>
      <c r="M50" s="559" t="s">
        <v>70</v>
      </c>
      <c r="N50" s="561">
        <f>ASISTENCIA!$BX$7</f>
        <v>0.1</v>
      </c>
      <c r="O50" s="562" t="s">
        <v>16</v>
      </c>
      <c r="P50" s="232"/>
      <c r="Q50" s="232"/>
      <c r="R50" s="232"/>
      <c r="S50" s="237"/>
      <c r="T50" s="233"/>
      <c r="U50" s="234"/>
      <c r="V50" s="43"/>
    </row>
    <row r="51" spans="1:22" ht="30" customHeight="1" thickTop="1" thickBot="1">
      <c r="A51" s="249">
        <v>25</v>
      </c>
      <c r="B51" s="674" t="str">
        <f>IFERROR(IF(VLOOKUP(A51,'REGISTRO DATOS'!B:H,2,0)=0,"",VLOOKUP(A51,'REGISTRO DATOS'!B:H,2,0)),"")</f>
        <v/>
      </c>
      <c r="C51" s="674" t="str">
        <f>IFERROR(IF(VLOOKUP(A51,'REGISTRO DATOS'!B:H,3,0)=0,"",VLOOKUP(A51,'REGISTRO DATOS'!B:H,3,0)),"")</f>
        <v/>
      </c>
      <c r="D51" s="674" t="str">
        <f>IFERROR(IF(VLOOKUP(A51,'REGISTRO DATOS'!B:H,4,0)=0,"",VLOOKUP(A51,'REGISTRO DATOS'!B:H,4,0)),"")</f>
        <v/>
      </c>
      <c r="E51" s="844" t="e">
        <f>'COTIDIANO - IIS'!AA40</f>
        <v>#DIV/0!</v>
      </c>
      <c r="F51" s="845"/>
      <c r="G51" s="844">
        <f>'EXAMENES - IIS'!F39</f>
        <v>0</v>
      </c>
      <c r="H51" s="845"/>
      <c r="I51" s="844">
        <f>'EXAMENES - IIS'!I39</f>
        <v>0</v>
      </c>
      <c r="J51" s="845">
        <f>'EXAMENES - IS'!J39</f>
        <v>0</v>
      </c>
      <c r="K51" s="857">
        <f>'REGISTRO IIS'!AH40</f>
        <v>0</v>
      </c>
      <c r="L51" s="858">
        <f>'Registro General'!AH40</f>
        <v>0</v>
      </c>
      <c r="M51" s="859">
        <f>ASISTENCIAIIS!I31</f>
        <v>10</v>
      </c>
      <c r="N51" s="860">
        <f>ASISTENCIA!I32</f>
        <v>10</v>
      </c>
      <c r="O51" s="252" t="e">
        <f>E51+G51+I51+K51+M51</f>
        <v>#DIV/0!</v>
      </c>
      <c r="P51" s="232"/>
      <c r="Q51" s="232"/>
      <c r="R51" s="232"/>
      <c r="S51" s="237"/>
      <c r="T51" s="233"/>
      <c r="U51" s="234"/>
      <c r="V51" s="43">
        <f>'REGISTRO DATOS'!J37</f>
        <v>0</v>
      </c>
    </row>
    <row r="52" spans="1:22" ht="30" customHeight="1" thickTop="1" thickBot="1">
      <c r="A52" s="563" t="s">
        <v>37</v>
      </c>
      <c r="B52" s="564" t="s">
        <v>38</v>
      </c>
      <c r="C52" s="564" t="s">
        <v>39</v>
      </c>
      <c r="D52" s="564" t="s">
        <v>36</v>
      </c>
      <c r="E52" s="564" t="s">
        <v>69</v>
      </c>
      <c r="F52" s="565">
        <f>'COTIDIANO - IIS'!$AA$15</f>
        <v>0.6</v>
      </c>
      <c r="G52" s="564" t="s">
        <v>152</v>
      </c>
      <c r="H52" s="565">
        <f>'EXAMENES - IIS'!$F$14</f>
        <v>0</v>
      </c>
      <c r="I52" s="559" t="s">
        <v>319</v>
      </c>
      <c r="J52" s="560">
        <f>'EXAMENES - IIS'!$I$14</f>
        <v>0.2</v>
      </c>
      <c r="K52" s="564" t="s">
        <v>206</v>
      </c>
      <c r="L52" s="565">
        <f>'Registro General'!$AH$15</f>
        <v>0.1</v>
      </c>
      <c r="M52" s="564" t="s">
        <v>70</v>
      </c>
      <c r="N52" s="566">
        <f>ASISTENCIA!$BX$7</f>
        <v>0.1</v>
      </c>
      <c r="O52" s="562" t="s">
        <v>16</v>
      </c>
      <c r="P52" s="232"/>
      <c r="Q52" s="232"/>
      <c r="R52" s="232"/>
      <c r="S52" s="237"/>
      <c r="T52" s="233"/>
      <c r="U52" s="234"/>
      <c r="V52" s="43"/>
    </row>
    <row r="53" spans="1:22" ht="30" customHeight="1" thickTop="1" thickBot="1">
      <c r="A53" s="250">
        <v>26</v>
      </c>
      <c r="B53" s="674" t="str">
        <f>IFERROR(IF(VLOOKUP(A53,'REGISTRO DATOS'!B:H,2,0)=0,"",VLOOKUP(A53,'REGISTRO DATOS'!B:H,2,0)),"")</f>
        <v/>
      </c>
      <c r="C53" s="674" t="str">
        <f>IFERROR(IF(VLOOKUP(A53,'REGISTRO DATOS'!B:H,3,0)=0,"",VLOOKUP(A53,'REGISTRO DATOS'!B:H,3,0)),"")</f>
        <v/>
      </c>
      <c r="D53" s="674" t="str">
        <f>IFERROR(IF(VLOOKUP(A53,'REGISTRO DATOS'!B:H,4,0)=0,"",VLOOKUP(A53,'REGISTRO DATOS'!B:H,4,0)),"")</f>
        <v/>
      </c>
      <c r="E53" s="846" t="e">
        <f>'COTIDIANO - IIS'!AA41</f>
        <v>#DIV/0!</v>
      </c>
      <c r="F53" s="847"/>
      <c r="G53" s="846">
        <f>'EXAMENES - IIS'!F40</f>
        <v>0</v>
      </c>
      <c r="H53" s="847"/>
      <c r="I53" s="846">
        <f>'EXAMENES - IIS'!I40</f>
        <v>0</v>
      </c>
      <c r="J53" s="847">
        <f>'EXAMENES - IS'!J40</f>
        <v>0</v>
      </c>
      <c r="K53" s="848">
        <f>'REGISTRO IIS'!AH41</f>
        <v>0</v>
      </c>
      <c r="L53" s="849">
        <f>'Registro General'!AH41</f>
        <v>0</v>
      </c>
      <c r="M53" s="848">
        <f>ASISTENCIAIIS!I32</f>
        <v>10</v>
      </c>
      <c r="N53" s="850">
        <f>ASISTENCIA!I33</f>
        <v>10</v>
      </c>
      <c r="O53" s="252" t="e">
        <f>E53+G53+I53+K53+M53</f>
        <v>#DIV/0!</v>
      </c>
      <c r="P53" s="232"/>
      <c r="Q53" s="232"/>
      <c r="R53" s="232"/>
      <c r="S53" s="237"/>
      <c r="T53" s="233"/>
      <c r="U53" s="234"/>
      <c r="V53" s="43">
        <f>'REGISTRO DATOS'!J38</f>
        <v>0</v>
      </c>
    </row>
    <row r="54" spans="1:22" ht="30" customHeight="1" thickTop="1" thickBot="1">
      <c r="A54" s="563" t="s">
        <v>37</v>
      </c>
      <c r="B54" s="564" t="s">
        <v>38</v>
      </c>
      <c r="C54" s="564" t="s">
        <v>39</v>
      </c>
      <c r="D54" s="564" t="s">
        <v>36</v>
      </c>
      <c r="E54" s="564" t="s">
        <v>69</v>
      </c>
      <c r="F54" s="565">
        <f>'COTIDIANO - IIS'!$AA$15</f>
        <v>0.6</v>
      </c>
      <c r="G54" s="564" t="s">
        <v>152</v>
      </c>
      <c r="H54" s="565">
        <f>'EXAMENES - IIS'!$F$14</f>
        <v>0</v>
      </c>
      <c r="I54" s="559" t="s">
        <v>319</v>
      </c>
      <c r="J54" s="560">
        <f>'EXAMENES - IIS'!$I$14</f>
        <v>0.2</v>
      </c>
      <c r="K54" s="564" t="s">
        <v>206</v>
      </c>
      <c r="L54" s="565">
        <f>'Registro General'!$AH$15</f>
        <v>0.1</v>
      </c>
      <c r="M54" s="564" t="s">
        <v>70</v>
      </c>
      <c r="N54" s="566">
        <f>ASISTENCIA!$BX$7</f>
        <v>0.1</v>
      </c>
      <c r="O54" s="562" t="s">
        <v>16</v>
      </c>
      <c r="P54" s="232"/>
      <c r="Q54" s="232"/>
      <c r="R54" s="232"/>
      <c r="S54" s="237"/>
      <c r="T54" s="233"/>
      <c r="U54" s="234"/>
      <c r="V54" s="43"/>
    </row>
    <row r="55" spans="1:22" ht="30" customHeight="1" thickTop="1" thickBot="1">
      <c r="A55" s="250">
        <v>27</v>
      </c>
      <c r="B55" s="674" t="str">
        <f>IFERROR(IF(VLOOKUP(A55,'REGISTRO DATOS'!B:H,2,0)=0,"",VLOOKUP(A55,'REGISTRO DATOS'!B:H,2,0)),"")</f>
        <v/>
      </c>
      <c r="C55" s="674" t="str">
        <f>IFERROR(IF(VLOOKUP(A55,'REGISTRO DATOS'!B:H,3,0)=0,"",VLOOKUP(A55,'REGISTRO DATOS'!B:H,3,0)),"")</f>
        <v/>
      </c>
      <c r="D55" s="674" t="str">
        <f>IFERROR(IF(VLOOKUP(A55,'REGISTRO DATOS'!B:H,4,0)=0,"",VLOOKUP(A55,'REGISTRO DATOS'!B:H,4,0)),"")</f>
        <v/>
      </c>
      <c r="E55" s="846" t="e">
        <f>'COTIDIANO - IIS'!AA42</f>
        <v>#DIV/0!</v>
      </c>
      <c r="F55" s="847"/>
      <c r="G55" s="846">
        <f>'EXAMENES - IIS'!F41</f>
        <v>0</v>
      </c>
      <c r="H55" s="847"/>
      <c r="I55" s="846">
        <f>'EXAMENES - IIS'!I41</f>
        <v>0</v>
      </c>
      <c r="J55" s="847">
        <f>'EXAMENES - IS'!J41</f>
        <v>0</v>
      </c>
      <c r="K55" s="848">
        <f>'REGISTRO IIS'!AH42</f>
        <v>0</v>
      </c>
      <c r="L55" s="849">
        <f>'Registro General'!AH42</f>
        <v>0</v>
      </c>
      <c r="M55" s="861">
        <f>ASISTENCIAIIS!I33</f>
        <v>10</v>
      </c>
      <c r="N55" s="862">
        <f>ASISTENCIA!I34</f>
        <v>10</v>
      </c>
      <c r="O55" s="252" t="e">
        <f>E55+G55+I55+K55+M55</f>
        <v>#DIV/0!</v>
      </c>
      <c r="P55" s="232"/>
      <c r="Q55" s="232"/>
      <c r="R55" s="232"/>
      <c r="S55" s="237"/>
      <c r="T55" s="233"/>
      <c r="U55" s="234"/>
      <c r="V55" s="43">
        <f>'REGISTRO DATOS'!J39</f>
        <v>0</v>
      </c>
    </row>
    <row r="56" spans="1:22" ht="30" customHeight="1" thickTop="1" thickBot="1">
      <c r="A56" s="563" t="s">
        <v>37</v>
      </c>
      <c r="B56" s="564" t="s">
        <v>38</v>
      </c>
      <c r="C56" s="564" t="s">
        <v>39</v>
      </c>
      <c r="D56" s="564" t="s">
        <v>36</v>
      </c>
      <c r="E56" s="564" t="s">
        <v>69</v>
      </c>
      <c r="F56" s="565">
        <f>'COTIDIANO - IIS'!$AA$15</f>
        <v>0.6</v>
      </c>
      <c r="G56" s="564" t="s">
        <v>152</v>
      </c>
      <c r="H56" s="565">
        <f>'EXAMENES - IIS'!$F$14</f>
        <v>0</v>
      </c>
      <c r="I56" s="559" t="s">
        <v>319</v>
      </c>
      <c r="J56" s="560">
        <f>'EXAMENES - IIS'!$I$14</f>
        <v>0.2</v>
      </c>
      <c r="K56" s="564" t="s">
        <v>206</v>
      </c>
      <c r="L56" s="565">
        <f>'Registro General'!$AH$15</f>
        <v>0.1</v>
      </c>
      <c r="M56" s="564" t="s">
        <v>70</v>
      </c>
      <c r="N56" s="566">
        <f>ASISTENCIA!$BX$7</f>
        <v>0.1</v>
      </c>
      <c r="O56" s="562" t="s">
        <v>16</v>
      </c>
      <c r="P56" s="232"/>
      <c r="Q56" s="232"/>
      <c r="R56" s="232"/>
      <c r="S56" s="237"/>
      <c r="T56" s="233"/>
      <c r="U56" s="234"/>
      <c r="V56" s="43"/>
    </row>
    <row r="57" spans="1:22" ht="30" customHeight="1" thickTop="1" thickBot="1">
      <c r="A57" s="250">
        <v>28</v>
      </c>
      <c r="B57" s="674" t="str">
        <f>IFERROR(IF(VLOOKUP(A57,'REGISTRO DATOS'!B:H,2,0)=0,"",VLOOKUP(A57,'REGISTRO DATOS'!B:H,2,0)),"")</f>
        <v/>
      </c>
      <c r="C57" s="674" t="str">
        <f>IFERROR(IF(VLOOKUP(A57,'REGISTRO DATOS'!B:H,3,0)=0,"",VLOOKUP(A57,'REGISTRO DATOS'!B:H,3,0)),"")</f>
        <v/>
      </c>
      <c r="D57" s="674" t="str">
        <f>IFERROR(IF(VLOOKUP(A57,'REGISTRO DATOS'!B:H,4,0)=0,"",VLOOKUP(A57,'REGISTRO DATOS'!B:H,4,0)),"")</f>
        <v/>
      </c>
      <c r="E57" s="846" t="e">
        <f>'COTIDIANO - IIS'!AA43</f>
        <v>#DIV/0!</v>
      </c>
      <c r="F57" s="847"/>
      <c r="G57" s="846">
        <f>'EXAMENES - IIS'!F42</f>
        <v>0</v>
      </c>
      <c r="H57" s="847"/>
      <c r="I57" s="844">
        <f>'EXAMENES - IIS'!I42</f>
        <v>0</v>
      </c>
      <c r="J57" s="845">
        <f>'EXAMENES - IS'!J42</f>
        <v>0</v>
      </c>
      <c r="K57" s="848">
        <f>'REGISTRO IIS'!AH43</f>
        <v>0</v>
      </c>
      <c r="L57" s="849">
        <f>'Registro General'!AH43</f>
        <v>0</v>
      </c>
      <c r="M57" s="861">
        <f>ASISTENCIAIIS!I34</f>
        <v>10</v>
      </c>
      <c r="N57" s="862">
        <f>ASISTENCIA!I35</f>
        <v>10</v>
      </c>
      <c r="O57" s="252" t="e">
        <f>E57+G57+I57+K57+M57</f>
        <v>#DIV/0!</v>
      </c>
      <c r="P57" s="232"/>
      <c r="Q57" s="232"/>
      <c r="R57" s="232"/>
      <c r="S57" s="237"/>
      <c r="T57" s="233"/>
      <c r="U57" s="234"/>
      <c r="V57" s="43">
        <f>'REGISTRO DATOS'!J40</f>
        <v>0</v>
      </c>
    </row>
    <row r="58" spans="1:22" ht="30" customHeight="1" thickTop="1" thickBot="1">
      <c r="A58" s="558" t="s">
        <v>37</v>
      </c>
      <c r="B58" s="559" t="s">
        <v>38</v>
      </c>
      <c r="C58" s="559" t="s">
        <v>39</v>
      </c>
      <c r="D58" s="559" t="s">
        <v>36</v>
      </c>
      <c r="E58" s="559" t="s">
        <v>69</v>
      </c>
      <c r="F58" s="560">
        <f>'COTIDIANO - IIS'!$AA$15</f>
        <v>0.6</v>
      </c>
      <c r="G58" s="559" t="s">
        <v>152</v>
      </c>
      <c r="H58" s="560">
        <f>'EXAMENES - IIS'!$F$14</f>
        <v>0</v>
      </c>
      <c r="I58" s="559" t="s">
        <v>319</v>
      </c>
      <c r="J58" s="560">
        <f>'EXAMENES - IIS'!$I$14</f>
        <v>0.2</v>
      </c>
      <c r="K58" s="559" t="s">
        <v>206</v>
      </c>
      <c r="L58" s="560">
        <f>'Registro General'!$AH$15</f>
        <v>0.1</v>
      </c>
      <c r="M58" s="559" t="s">
        <v>70</v>
      </c>
      <c r="N58" s="561">
        <f>ASISTENCIA!$BX$7</f>
        <v>0.1</v>
      </c>
      <c r="O58" s="562" t="s">
        <v>16</v>
      </c>
      <c r="P58" s="232"/>
      <c r="Q58" s="232"/>
      <c r="R58" s="232"/>
      <c r="S58" s="237"/>
      <c r="T58" s="233"/>
      <c r="U58" s="234"/>
      <c r="V58" s="43"/>
    </row>
    <row r="59" spans="1:22" ht="30" customHeight="1" thickTop="1" thickBot="1">
      <c r="A59" s="249">
        <v>29</v>
      </c>
      <c r="B59" s="674" t="str">
        <f>IFERROR(IF(VLOOKUP(A59,'REGISTRO DATOS'!B:H,2,0)=0,"",VLOOKUP(A59,'REGISTRO DATOS'!B:H,2,0)),"")</f>
        <v/>
      </c>
      <c r="C59" s="674" t="str">
        <f>IFERROR(IF(VLOOKUP(A59,'REGISTRO DATOS'!B:H,3,0)=0,"",VLOOKUP(A59,'REGISTRO DATOS'!B:H,3,0)),"")</f>
        <v/>
      </c>
      <c r="D59" s="674" t="str">
        <f>IFERROR(IF(VLOOKUP(A59,'REGISTRO DATOS'!B:H,4,0)=0,"",VLOOKUP(A59,'REGISTRO DATOS'!B:H,4,0)),"")</f>
        <v/>
      </c>
      <c r="E59" s="844" t="e">
        <f>'COTIDIANO - IIS'!AA44</f>
        <v>#DIV/0!</v>
      </c>
      <c r="F59" s="845"/>
      <c r="G59" s="844">
        <f>'EXAMENES - IIS'!F43</f>
        <v>0</v>
      </c>
      <c r="H59" s="845"/>
      <c r="I59" s="844">
        <f>'EXAMENES - IIS'!I43</f>
        <v>0</v>
      </c>
      <c r="J59" s="845">
        <f>'EXAMENES - IS'!J43</f>
        <v>0</v>
      </c>
      <c r="K59" s="857">
        <f>'REGISTRO IIS'!AH44</f>
        <v>0</v>
      </c>
      <c r="L59" s="858">
        <f>'Registro General'!AH44</f>
        <v>0</v>
      </c>
      <c r="M59" s="859">
        <f>ASISTENCIAIIS!I35</f>
        <v>10</v>
      </c>
      <c r="N59" s="860">
        <f>ASISTENCIA!I36</f>
        <v>10</v>
      </c>
      <c r="O59" s="252" t="e">
        <f>E59+G59+I59+K59+M59</f>
        <v>#DIV/0!</v>
      </c>
      <c r="P59" s="232"/>
      <c r="Q59" s="232"/>
      <c r="R59" s="232"/>
      <c r="S59" s="237"/>
      <c r="T59" s="233"/>
      <c r="U59" s="234"/>
      <c r="V59" s="43">
        <f>'REGISTRO DATOS'!J41</f>
        <v>0</v>
      </c>
    </row>
    <row r="60" spans="1:22" ht="30" customHeight="1" thickTop="1" thickBot="1">
      <c r="A60" s="563" t="s">
        <v>37</v>
      </c>
      <c r="B60" s="564" t="s">
        <v>38</v>
      </c>
      <c r="C60" s="564" t="s">
        <v>39</v>
      </c>
      <c r="D60" s="564" t="s">
        <v>36</v>
      </c>
      <c r="E60" s="564" t="s">
        <v>69</v>
      </c>
      <c r="F60" s="565">
        <f>'COTIDIANO - IIS'!$AA$15</f>
        <v>0.6</v>
      </c>
      <c r="G60" s="564" t="s">
        <v>152</v>
      </c>
      <c r="H60" s="565">
        <f>'EXAMENES - IIS'!$F$14</f>
        <v>0</v>
      </c>
      <c r="I60" s="559" t="s">
        <v>319</v>
      </c>
      <c r="J60" s="560">
        <f>'EXAMENES - IIS'!$I$14</f>
        <v>0.2</v>
      </c>
      <c r="K60" s="564" t="s">
        <v>206</v>
      </c>
      <c r="L60" s="565">
        <f>'Registro General'!$AH$15</f>
        <v>0.1</v>
      </c>
      <c r="M60" s="564" t="s">
        <v>70</v>
      </c>
      <c r="N60" s="566">
        <f>ASISTENCIA!$BX$7</f>
        <v>0.1</v>
      </c>
      <c r="O60" s="562" t="s">
        <v>16</v>
      </c>
      <c r="P60" s="232"/>
      <c r="Q60" s="232"/>
      <c r="R60" s="232"/>
      <c r="S60" s="237"/>
      <c r="T60" s="233"/>
      <c r="U60" s="234"/>
      <c r="V60" s="43"/>
    </row>
    <row r="61" spans="1:22" ht="30" customHeight="1" thickTop="1" thickBot="1">
      <c r="A61" s="250">
        <v>30</v>
      </c>
      <c r="B61" s="674" t="str">
        <f>IFERROR(IF(VLOOKUP(A61,'REGISTRO DATOS'!B:H,2,0)=0,"",VLOOKUP(A61,'REGISTRO DATOS'!B:H,2,0)),"")</f>
        <v/>
      </c>
      <c r="C61" s="674" t="str">
        <f>IFERROR(IF(VLOOKUP(A61,'REGISTRO DATOS'!B:H,3,0)=0,"",VLOOKUP(A61,'REGISTRO DATOS'!B:H,3,0)),"")</f>
        <v/>
      </c>
      <c r="D61" s="674" t="str">
        <f>IFERROR(IF(VLOOKUP(A61,'REGISTRO DATOS'!B:H,4,0)=0,"",VLOOKUP(A61,'REGISTRO DATOS'!B:H,4,0)),"")</f>
        <v/>
      </c>
      <c r="E61" s="846" t="e">
        <f>'COTIDIANO - IIS'!AA45</f>
        <v>#DIV/0!</v>
      </c>
      <c r="F61" s="847"/>
      <c r="G61" s="846">
        <f>'EXAMENES - IIS'!F44</f>
        <v>0</v>
      </c>
      <c r="H61" s="847"/>
      <c r="I61" s="846">
        <f>'EXAMENES - IIS'!I44</f>
        <v>0</v>
      </c>
      <c r="J61" s="847">
        <f>'EXAMENES - IS'!J44</f>
        <v>0</v>
      </c>
      <c r="K61" s="848">
        <f>'REGISTRO IIS'!AH45</f>
        <v>0</v>
      </c>
      <c r="L61" s="849">
        <f>'Registro General'!AH45</f>
        <v>0</v>
      </c>
      <c r="M61" s="848">
        <f>ASISTENCIAIIS!I36</f>
        <v>10</v>
      </c>
      <c r="N61" s="850">
        <f>ASISTENCIA!I37</f>
        <v>10</v>
      </c>
      <c r="O61" s="252" t="e">
        <f>E61+G61+I61+K61+M61</f>
        <v>#DIV/0!</v>
      </c>
      <c r="P61" s="232"/>
      <c r="Q61" s="232"/>
      <c r="R61" s="232"/>
      <c r="S61" s="237"/>
      <c r="T61" s="233"/>
      <c r="U61" s="234"/>
      <c r="V61" s="43">
        <f>'REGISTRO DATOS'!J42</f>
        <v>0</v>
      </c>
    </row>
    <row r="62" spans="1:22" ht="30" customHeight="1" thickTop="1" thickBot="1">
      <c r="A62" s="558" t="s">
        <v>37</v>
      </c>
      <c r="B62" s="559" t="s">
        <v>38</v>
      </c>
      <c r="C62" s="559" t="s">
        <v>39</v>
      </c>
      <c r="D62" s="559" t="s">
        <v>36</v>
      </c>
      <c r="E62" s="559" t="s">
        <v>69</v>
      </c>
      <c r="F62" s="560">
        <f>'COTIDIANO - IIS'!$AA$15</f>
        <v>0.6</v>
      </c>
      <c r="G62" s="559" t="s">
        <v>152</v>
      </c>
      <c r="H62" s="560">
        <f>'EXAMENES - IIS'!$F$14</f>
        <v>0</v>
      </c>
      <c r="I62" s="559" t="s">
        <v>319</v>
      </c>
      <c r="J62" s="560">
        <f>'EXAMENES - IIS'!$I$14</f>
        <v>0.2</v>
      </c>
      <c r="K62" s="559" t="s">
        <v>206</v>
      </c>
      <c r="L62" s="560">
        <f>'Registro General'!$AH$15</f>
        <v>0.1</v>
      </c>
      <c r="M62" s="559" t="s">
        <v>70</v>
      </c>
      <c r="N62" s="561">
        <f>ASISTENCIA!$BX$7</f>
        <v>0.1</v>
      </c>
      <c r="O62" s="562" t="s">
        <v>16</v>
      </c>
      <c r="P62" s="232"/>
      <c r="Q62" s="232"/>
      <c r="R62" s="232"/>
      <c r="S62" s="237"/>
      <c r="T62" s="233"/>
      <c r="U62" s="234"/>
      <c r="V62" s="43"/>
    </row>
    <row r="63" spans="1:22" ht="30" customHeight="1" thickTop="1" thickBot="1">
      <c r="A63" s="249">
        <v>31</v>
      </c>
      <c r="B63" s="674" t="str">
        <f>IFERROR(IF(VLOOKUP(A63,'REGISTRO DATOS'!B:H,2,0)=0,"",VLOOKUP(A63,'REGISTRO DATOS'!B:H,2,0)),"")</f>
        <v/>
      </c>
      <c r="C63" s="674" t="str">
        <f>IFERROR(IF(VLOOKUP(A63,'REGISTRO DATOS'!B:H,3,0)=0,"",VLOOKUP(A63,'REGISTRO DATOS'!B:H,3,0)),"")</f>
        <v/>
      </c>
      <c r="D63" s="674" t="str">
        <f>IFERROR(IF(VLOOKUP(A63,'REGISTRO DATOS'!B:H,4,0)=0,"",VLOOKUP(A63,'REGISTRO DATOS'!B:H,4,0)),"")</f>
        <v/>
      </c>
      <c r="E63" s="844" t="e">
        <f>'COTIDIANO - IIS'!AA46</f>
        <v>#DIV/0!</v>
      </c>
      <c r="F63" s="845"/>
      <c r="G63" s="844">
        <f>'EXAMENES - IIS'!F45</f>
        <v>0</v>
      </c>
      <c r="H63" s="845"/>
      <c r="I63" s="844">
        <f>'EXAMENES - IIS'!I45</f>
        <v>0</v>
      </c>
      <c r="J63" s="845">
        <f>'EXAMENES - IS'!J45</f>
        <v>0</v>
      </c>
      <c r="K63" s="857">
        <f>'REGISTRO IIS'!AH46</f>
        <v>0</v>
      </c>
      <c r="L63" s="858">
        <f>'Registro General'!AH46</f>
        <v>0</v>
      </c>
      <c r="M63" s="859">
        <f>ASISTENCIAIIS!I37</f>
        <v>10</v>
      </c>
      <c r="N63" s="860">
        <f>ASISTENCIA!I38</f>
        <v>10</v>
      </c>
      <c r="O63" s="252" t="e">
        <f>E63+G63+I63+K63+M63</f>
        <v>#DIV/0!</v>
      </c>
      <c r="P63" s="232"/>
      <c r="Q63" s="232"/>
      <c r="R63" s="232"/>
      <c r="S63" s="237"/>
      <c r="T63" s="233"/>
      <c r="U63" s="234"/>
      <c r="V63" s="43">
        <f>'REGISTRO DATOS'!J43</f>
        <v>0</v>
      </c>
    </row>
    <row r="64" spans="1:22" ht="30" customHeight="1" thickTop="1" thickBot="1">
      <c r="A64" s="563" t="s">
        <v>37</v>
      </c>
      <c r="B64" s="564" t="s">
        <v>38</v>
      </c>
      <c r="C64" s="564" t="s">
        <v>39</v>
      </c>
      <c r="D64" s="564" t="s">
        <v>36</v>
      </c>
      <c r="E64" s="564" t="s">
        <v>69</v>
      </c>
      <c r="F64" s="565">
        <f>'COTIDIANO - IIS'!$AA$15</f>
        <v>0.6</v>
      </c>
      <c r="G64" s="564" t="s">
        <v>152</v>
      </c>
      <c r="H64" s="565">
        <f>'EXAMENES - IIS'!$F$14</f>
        <v>0</v>
      </c>
      <c r="I64" s="559" t="s">
        <v>319</v>
      </c>
      <c r="J64" s="560">
        <f>'EXAMENES - IIS'!$I$14</f>
        <v>0.2</v>
      </c>
      <c r="K64" s="564" t="s">
        <v>206</v>
      </c>
      <c r="L64" s="565">
        <f>'Registro General'!$AH$15</f>
        <v>0.1</v>
      </c>
      <c r="M64" s="564" t="s">
        <v>70</v>
      </c>
      <c r="N64" s="566">
        <f>ASISTENCIA!$BX$7</f>
        <v>0.1</v>
      </c>
      <c r="O64" s="562" t="s">
        <v>16</v>
      </c>
      <c r="P64" s="232"/>
      <c r="Q64" s="232"/>
      <c r="R64" s="232"/>
      <c r="S64" s="237"/>
      <c r="T64" s="233"/>
      <c r="U64" s="234"/>
      <c r="V64" s="43"/>
    </row>
    <row r="65" spans="1:22" ht="30" customHeight="1" thickTop="1" thickBot="1">
      <c r="A65" s="250">
        <v>32</v>
      </c>
      <c r="B65" s="674" t="str">
        <f>IFERROR(IF(VLOOKUP(A65,'REGISTRO DATOS'!B:H,2,0)=0,"",VLOOKUP(A65,'REGISTRO DATOS'!B:H,2,0)),"")</f>
        <v/>
      </c>
      <c r="C65" s="674" t="str">
        <f>IFERROR(IF(VLOOKUP(A65,'REGISTRO DATOS'!B:H,3,0)=0,"",VLOOKUP(A65,'REGISTRO DATOS'!B:H,3,0)),"")</f>
        <v/>
      </c>
      <c r="D65" s="674" t="str">
        <f>IFERROR(IF(VLOOKUP(A65,'REGISTRO DATOS'!B:H,4,0)=0,"",VLOOKUP(A65,'REGISTRO DATOS'!B:H,4,0)),"")</f>
        <v/>
      </c>
      <c r="E65" s="846" t="e">
        <f>'COTIDIANO - IIS'!AA47</f>
        <v>#DIV/0!</v>
      </c>
      <c r="F65" s="847"/>
      <c r="G65" s="846">
        <f>'EXAMENES - IIS'!F46</f>
        <v>0</v>
      </c>
      <c r="H65" s="847"/>
      <c r="I65" s="846">
        <f>'EXAMENES - IIS'!I46</f>
        <v>0</v>
      </c>
      <c r="J65" s="847">
        <f>'EXAMENES - IS'!J46</f>
        <v>0</v>
      </c>
      <c r="K65" s="848">
        <f>'REGISTRO IIS'!AH47</f>
        <v>0</v>
      </c>
      <c r="L65" s="849">
        <f>'Registro General'!AH47</f>
        <v>0</v>
      </c>
      <c r="M65" s="848">
        <f>ASISTENCIAIIS!I38</f>
        <v>10</v>
      </c>
      <c r="N65" s="850">
        <f>ASISTENCIA!I39</f>
        <v>10</v>
      </c>
      <c r="O65" s="252" t="e">
        <f>E65+G65+I65+K65+M65</f>
        <v>#DIV/0!</v>
      </c>
      <c r="P65" s="232"/>
      <c r="Q65" s="232"/>
      <c r="R65" s="232"/>
      <c r="S65" s="237"/>
      <c r="T65" s="233"/>
      <c r="U65" s="234"/>
      <c r="V65" s="43">
        <f>'REGISTRO DATOS'!J44</f>
        <v>0</v>
      </c>
    </row>
    <row r="66" spans="1:22" ht="30" customHeight="1" thickTop="1" thickBot="1">
      <c r="A66" s="563" t="s">
        <v>37</v>
      </c>
      <c r="B66" s="564" t="s">
        <v>38</v>
      </c>
      <c r="C66" s="564" t="s">
        <v>39</v>
      </c>
      <c r="D66" s="564" t="s">
        <v>36</v>
      </c>
      <c r="E66" s="564" t="s">
        <v>69</v>
      </c>
      <c r="F66" s="565">
        <f>'COTIDIANO - IIS'!$AA$15</f>
        <v>0.6</v>
      </c>
      <c r="G66" s="564" t="s">
        <v>152</v>
      </c>
      <c r="H66" s="565">
        <f>'EXAMENES - IIS'!$F$14</f>
        <v>0</v>
      </c>
      <c r="I66" s="559" t="s">
        <v>319</v>
      </c>
      <c r="J66" s="560">
        <f>'EXAMENES - IIS'!$I$14</f>
        <v>0.2</v>
      </c>
      <c r="K66" s="564" t="s">
        <v>206</v>
      </c>
      <c r="L66" s="565">
        <f>'Registro General'!$AH$15</f>
        <v>0.1</v>
      </c>
      <c r="M66" s="564" t="s">
        <v>70</v>
      </c>
      <c r="N66" s="566">
        <f>ASISTENCIA!$BX$7</f>
        <v>0.1</v>
      </c>
      <c r="O66" s="562" t="s">
        <v>16</v>
      </c>
      <c r="P66" s="232"/>
      <c r="Q66" s="232"/>
      <c r="R66" s="232"/>
      <c r="S66" s="237"/>
      <c r="T66" s="233"/>
      <c r="U66" s="234"/>
      <c r="V66" s="43"/>
    </row>
    <row r="67" spans="1:22" ht="30" customHeight="1" thickTop="1" thickBot="1">
      <c r="A67" s="250">
        <v>33</v>
      </c>
      <c r="B67" s="674" t="str">
        <f>IFERROR(IF(VLOOKUP(A67,'REGISTRO DATOS'!B:H,2,0)=0,"",VLOOKUP(A67,'REGISTRO DATOS'!B:H,2,0)),"")</f>
        <v/>
      </c>
      <c r="C67" s="674" t="str">
        <f>IFERROR(IF(VLOOKUP(A67,'REGISTRO DATOS'!B:H,3,0)=0,"",VLOOKUP(A67,'REGISTRO DATOS'!B:H,3,0)),"")</f>
        <v/>
      </c>
      <c r="D67" s="674" t="str">
        <f>IFERROR(IF(VLOOKUP(A67,'REGISTRO DATOS'!B:H,4,0)=0,"",VLOOKUP(A67,'REGISTRO DATOS'!B:H,4,0)),"")</f>
        <v/>
      </c>
      <c r="E67" s="846" t="e">
        <f>'COTIDIANO - IIS'!AA48</f>
        <v>#DIV/0!</v>
      </c>
      <c r="F67" s="847"/>
      <c r="G67" s="846">
        <f>'EXAMENES - IIS'!F47</f>
        <v>0</v>
      </c>
      <c r="H67" s="847"/>
      <c r="I67" s="846">
        <f>'EXAMENES - IIS'!I47</f>
        <v>0</v>
      </c>
      <c r="J67" s="847">
        <f>'EXAMENES - IS'!J47</f>
        <v>0</v>
      </c>
      <c r="K67" s="848">
        <f>'REGISTRO IIS'!AH48</f>
        <v>0</v>
      </c>
      <c r="L67" s="849">
        <f>'Registro General'!AH48</f>
        <v>0</v>
      </c>
      <c r="M67" s="861">
        <f>ASISTENCIAIIS!I39</f>
        <v>10</v>
      </c>
      <c r="N67" s="862">
        <f>ASISTENCIA!I40</f>
        <v>10</v>
      </c>
      <c r="O67" s="252" t="e">
        <f>E67+G67+I67+K67+M67</f>
        <v>#DIV/0!</v>
      </c>
      <c r="P67" s="232"/>
      <c r="Q67" s="232"/>
      <c r="R67" s="232"/>
      <c r="S67" s="237"/>
      <c r="T67" s="233"/>
      <c r="U67" s="234"/>
      <c r="V67" s="43">
        <f>'REGISTRO DATOS'!J45</f>
        <v>0</v>
      </c>
    </row>
    <row r="68" spans="1:22" ht="30" customHeight="1" thickTop="1" thickBot="1">
      <c r="A68" s="563" t="s">
        <v>37</v>
      </c>
      <c r="B68" s="564" t="s">
        <v>38</v>
      </c>
      <c r="C68" s="564" t="s">
        <v>39</v>
      </c>
      <c r="D68" s="564" t="s">
        <v>36</v>
      </c>
      <c r="E68" s="564" t="s">
        <v>69</v>
      </c>
      <c r="F68" s="565">
        <f>'COTIDIANO - IIS'!$AA$15</f>
        <v>0.6</v>
      </c>
      <c r="G68" s="564" t="s">
        <v>152</v>
      </c>
      <c r="H68" s="565">
        <f>'EXAMENES - IIS'!$F$14</f>
        <v>0</v>
      </c>
      <c r="I68" s="559" t="s">
        <v>319</v>
      </c>
      <c r="J68" s="560">
        <f>'EXAMENES - IIS'!$I$14</f>
        <v>0.2</v>
      </c>
      <c r="K68" s="564" t="s">
        <v>206</v>
      </c>
      <c r="L68" s="565">
        <f>'Registro General'!$AH$15</f>
        <v>0.1</v>
      </c>
      <c r="M68" s="564" t="s">
        <v>70</v>
      </c>
      <c r="N68" s="566">
        <f>ASISTENCIA!$BX$7</f>
        <v>0.1</v>
      </c>
      <c r="O68" s="562" t="s">
        <v>16</v>
      </c>
      <c r="P68" s="232"/>
      <c r="Q68" s="232"/>
      <c r="R68" s="232"/>
      <c r="S68" s="237"/>
      <c r="T68" s="233"/>
      <c r="U68" s="234"/>
      <c r="V68" s="43"/>
    </row>
    <row r="69" spans="1:22" ht="30" customHeight="1" thickTop="1" thickBot="1">
      <c r="A69" s="250">
        <v>34</v>
      </c>
      <c r="B69" s="674" t="str">
        <f>IFERROR(IF(VLOOKUP(A69,'REGISTRO DATOS'!B:H,2,0)=0,"",VLOOKUP(A69,'REGISTRO DATOS'!B:H,2,0)),"")</f>
        <v/>
      </c>
      <c r="C69" s="674" t="str">
        <f>IFERROR(IF(VLOOKUP(A69,'REGISTRO DATOS'!B:H,3,0)=0,"",VLOOKUP(A69,'REGISTRO DATOS'!B:H,3,0)),"")</f>
        <v/>
      </c>
      <c r="D69" s="674" t="str">
        <f>IFERROR(IF(VLOOKUP(A69,'REGISTRO DATOS'!B:H,4,0)=0,"",VLOOKUP(A69,'REGISTRO DATOS'!B:H,4,0)),"")</f>
        <v/>
      </c>
      <c r="E69" s="846" t="e">
        <f>'COTIDIANO - IIS'!AA49</f>
        <v>#DIV/0!</v>
      </c>
      <c r="F69" s="847"/>
      <c r="G69" s="846">
        <f>'EXAMENES - IIS'!F48</f>
        <v>0</v>
      </c>
      <c r="H69" s="847"/>
      <c r="I69" s="844">
        <f>'EXAMENES - IIS'!I48</f>
        <v>0</v>
      </c>
      <c r="J69" s="845">
        <f>'EXAMENES - IS'!J48</f>
        <v>0</v>
      </c>
      <c r="K69" s="848">
        <f>'REGISTRO IIS'!AH49</f>
        <v>0</v>
      </c>
      <c r="L69" s="849">
        <f>'Registro General'!AH49</f>
        <v>0</v>
      </c>
      <c r="M69" s="861">
        <f>ASISTENCIAIIS!I40</f>
        <v>10</v>
      </c>
      <c r="N69" s="862">
        <f>ASISTENCIA!I41</f>
        <v>10</v>
      </c>
      <c r="O69" s="252" t="e">
        <f>E69+G69+I69+K69+M69</f>
        <v>#DIV/0!</v>
      </c>
      <c r="P69" s="232"/>
      <c r="Q69" s="232"/>
      <c r="R69" s="232"/>
      <c r="S69" s="237"/>
      <c r="T69" s="233"/>
      <c r="U69" s="234"/>
      <c r="V69" s="43">
        <f>'REGISTRO DATOS'!J46</f>
        <v>0</v>
      </c>
    </row>
    <row r="70" spans="1:22" ht="30" customHeight="1" thickTop="1" thickBot="1">
      <c r="A70" s="558" t="s">
        <v>37</v>
      </c>
      <c r="B70" s="559" t="s">
        <v>38</v>
      </c>
      <c r="C70" s="559" t="s">
        <v>39</v>
      </c>
      <c r="D70" s="559" t="s">
        <v>36</v>
      </c>
      <c r="E70" s="559" t="s">
        <v>69</v>
      </c>
      <c r="F70" s="560">
        <f>'COTIDIANO - IIS'!$AA$15</f>
        <v>0.6</v>
      </c>
      <c r="G70" s="559" t="s">
        <v>152</v>
      </c>
      <c r="H70" s="560">
        <f>'EXAMENES - IIS'!$F$14</f>
        <v>0</v>
      </c>
      <c r="I70" s="559" t="s">
        <v>319</v>
      </c>
      <c r="J70" s="560">
        <f>'EXAMENES - IIS'!$I$14</f>
        <v>0.2</v>
      </c>
      <c r="K70" s="559" t="s">
        <v>206</v>
      </c>
      <c r="L70" s="560">
        <f>'Registro General'!$AH$15</f>
        <v>0.1</v>
      </c>
      <c r="M70" s="559" t="s">
        <v>70</v>
      </c>
      <c r="N70" s="561">
        <f>ASISTENCIA!$BX$7</f>
        <v>0.1</v>
      </c>
      <c r="O70" s="562" t="s">
        <v>16</v>
      </c>
      <c r="P70" s="232"/>
      <c r="Q70" s="232"/>
      <c r="R70" s="232"/>
      <c r="S70" s="237"/>
      <c r="T70" s="233"/>
      <c r="U70" s="234"/>
      <c r="V70" s="43"/>
    </row>
    <row r="71" spans="1:22" ht="30" customHeight="1" thickTop="1" thickBot="1">
      <c r="A71" s="249">
        <v>35</v>
      </c>
      <c r="B71" s="674" t="str">
        <f>IFERROR(IF(VLOOKUP(A71,'REGISTRO DATOS'!B:H,2,0)=0,"",VLOOKUP(A71,'REGISTRO DATOS'!B:H,2,0)),"")</f>
        <v/>
      </c>
      <c r="C71" s="674" t="str">
        <f>IFERROR(IF(VLOOKUP(A71,'REGISTRO DATOS'!B:H,3,0)=0,"",VLOOKUP(A71,'REGISTRO DATOS'!B:H,3,0)),"")</f>
        <v/>
      </c>
      <c r="D71" s="674" t="str">
        <f>IFERROR(IF(VLOOKUP(A71,'REGISTRO DATOS'!B:H,4,0)=0,"",VLOOKUP(A71,'REGISTRO DATOS'!B:H,4,0)),"")</f>
        <v/>
      </c>
      <c r="E71" s="844" t="e">
        <f>'COTIDIANO - IIS'!AA50</f>
        <v>#DIV/0!</v>
      </c>
      <c r="F71" s="845"/>
      <c r="G71" s="844">
        <f>'EXAMENES - IIS'!F49</f>
        <v>0</v>
      </c>
      <c r="H71" s="845"/>
      <c r="I71" s="844">
        <f>'EXAMENES - IIS'!I49</f>
        <v>0</v>
      </c>
      <c r="J71" s="845">
        <f>'EXAMENES - IS'!J49</f>
        <v>0</v>
      </c>
      <c r="K71" s="857">
        <f>'REGISTRO IIS'!AH50</f>
        <v>0</v>
      </c>
      <c r="L71" s="858">
        <f>'Registro General'!AH50</f>
        <v>0</v>
      </c>
      <c r="M71" s="859">
        <f>ASISTENCIAIIS!I41</f>
        <v>10</v>
      </c>
      <c r="N71" s="860">
        <f>ASISTENCIA!I42</f>
        <v>10</v>
      </c>
      <c r="O71" s="252" t="e">
        <f>E71+G71+I71+K71+M71</f>
        <v>#DIV/0!</v>
      </c>
      <c r="P71" s="232"/>
      <c r="Q71" s="232"/>
      <c r="R71" s="232"/>
      <c r="S71" s="237"/>
      <c r="T71" s="233"/>
      <c r="U71" s="234"/>
      <c r="V71" s="43">
        <f>'REGISTRO DATOS'!J47</f>
        <v>0</v>
      </c>
    </row>
    <row r="72" spans="1:22" ht="30" customHeight="1" thickTop="1" thickBot="1">
      <c r="A72" s="563" t="s">
        <v>37</v>
      </c>
      <c r="B72" s="564" t="s">
        <v>38</v>
      </c>
      <c r="C72" s="564" t="s">
        <v>39</v>
      </c>
      <c r="D72" s="564" t="s">
        <v>36</v>
      </c>
      <c r="E72" s="564" t="s">
        <v>69</v>
      </c>
      <c r="F72" s="565">
        <f>'COTIDIANO - IIS'!$AA$15</f>
        <v>0.6</v>
      </c>
      <c r="G72" s="564" t="s">
        <v>152</v>
      </c>
      <c r="H72" s="565">
        <f>'EXAMENES - IIS'!$F$14</f>
        <v>0</v>
      </c>
      <c r="I72" s="559" t="s">
        <v>319</v>
      </c>
      <c r="J72" s="560">
        <f>'EXAMENES - IIS'!$I$14</f>
        <v>0.2</v>
      </c>
      <c r="K72" s="564" t="s">
        <v>206</v>
      </c>
      <c r="L72" s="565">
        <f>'Registro General'!$AH$15</f>
        <v>0.1</v>
      </c>
      <c r="M72" s="564" t="s">
        <v>70</v>
      </c>
      <c r="N72" s="566">
        <f>ASISTENCIA!$BX$7</f>
        <v>0.1</v>
      </c>
      <c r="O72" s="562" t="s">
        <v>16</v>
      </c>
      <c r="P72" s="232"/>
      <c r="Q72" s="232"/>
      <c r="R72" s="232"/>
      <c r="S72" s="237"/>
      <c r="T72" s="233"/>
      <c r="U72" s="234"/>
      <c r="V72" s="43"/>
    </row>
    <row r="73" spans="1:22" ht="30" customHeight="1" thickTop="1" thickBot="1">
      <c r="A73" s="250">
        <v>36</v>
      </c>
      <c r="B73" s="674" t="str">
        <f>IFERROR(IF(VLOOKUP(A73,'REGISTRO DATOS'!B:H,2,0)=0,"",VLOOKUP(A73,'REGISTRO DATOS'!B:H,2,0)),"")</f>
        <v/>
      </c>
      <c r="C73" s="674" t="str">
        <f>IFERROR(IF(VLOOKUP(A73,'REGISTRO DATOS'!B:H,3,0)=0,"",VLOOKUP(A73,'REGISTRO DATOS'!B:H,3,0)),"")</f>
        <v/>
      </c>
      <c r="D73" s="674" t="str">
        <f>IFERROR(IF(VLOOKUP(A73,'REGISTRO DATOS'!B:H,4,0)=0,"",VLOOKUP(A73,'REGISTRO DATOS'!B:H,4,0)),"")</f>
        <v/>
      </c>
      <c r="E73" s="846" t="e">
        <f>'COTIDIANO - IIS'!AA51</f>
        <v>#DIV/0!</v>
      </c>
      <c r="F73" s="847"/>
      <c r="G73" s="846">
        <f>'EXAMENES - IIS'!F50</f>
        <v>0</v>
      </c>
      <c r="H73" s="847"/>
      <c r="I73" s="846">
        <f>'EXAMENES - IIS'!I50</f>
        <v>0</v>
      </c>
      <c r="J73" s="847">
        <f>'EXAMENES - IS'!J50</f>
        <v>0</v>
      </c>
      <c r="K73" s="848">
        <f>'REGISTRO IIS'!AH51</f>
        <v>0</v>
      </c>
      <c r="L73" s="849">
        <f>'Registro General'!AH51</f>
        <v>0</v>
      </c>
      <c r="M73" s="848">
        <f>ASISTENCIAIIS!I42</f>
        <v>10</v>
      </c>
      <c r="N73" s="850">
        <f>ASISTENCIA!I43</f>
        <v>10</v>
      </c>
      <c r="O73" s="252" t="e">
        <f>E73+G73+I73+K73+M73</f>
        <v>#DIV/0!</v>
      </c>
      <c r="P73" s="232"/>
      <c r="Q73" s="232"/>
      <c r="R73" s="232"/>
      <c r="S73" s="237"/>
      <c r="T73" s="233"/>
      <c r="U73" s="234"/>
      <c r="V73" s="43">
        <f>'REGISTRO DATOS'!J48</f>
        <v>0</v>
      </c>
    </row>
    <row r="74" spans="1:22" ht="30" customHeight="1" thickTop="1" thickBot="1">
      <c r="A74" s="563" t="s">
        <v>37</v>
      </c>
      <c r="B74" s="564" t="s">
        <v>38</v>
      </c>
      <c r="C74" s="564" t="s">
        <v>39</v>
      </c>
      <c r="D74" s="564" t="s">
        <v>36</v>
      </c>
      <c r="E74" s="564" t="s">
        <v>69</v>
      </c>
      <c r="F74" s="565">
        <f>'COTIDIANO - IIS'!$AA$15</f>
        <v>0.6</v>
      </c>
      <c r="G74" s="564" t="s">
        <v>152</v>
      </c>
      <c r="H74" s="565">
        <f>'EXAMENES - IIS'!$F$14</f>
        <v>0</v>
      </c>
      <c r="I74" s="559" t="s">
        <v>319</v>
      </c>
      <c r="J74" s="560">
        <f>'EXAMENES - IIS'!$I$14</f>
        <v>0.2</v>
      </c>
      <c r="K74" s="564" t="s">
        <v>206</v>
      </c>
      <c r="L74" s="565">
        <f>'Registro General'!$AH$15</f>
        <v>0.1</v>
      </c>
      <c r="M74" s="564" t="s">
        <v>70</v>
      </c>
      <c r="N74" s="566">
        <f>ASISTENCIA!$BX$7</f>
        <v>0.1</v>
      </c>
      <c r="O74" s="562" t="s">
        <v>16</v>
      </c>
      <c r="P74" s="232"/>
      <c r="Q74" s="232"/>
      <c r="R74" s="232"/>
      <c r="S74" s="237"/>
      <c r="T74" s="233"/>
      <c r="U74" s="234"/>
      <c r="V74" s="43"/>
    </row>
    <row r="75" spans="1:22" ht="30" customHeight="1" thickTop="1" thickBot="1">
      <c r="A75" s="250">
        <v>37</v>
      </c>
      <c r="B75" s="674" t="str">
        <f>IFERROR(IF(VLOOKUP(A75,'REGISTRO DATOS'!B:H,2,0)=0,"",VLOOKUP(A75,'REGISTRO DATOS'!B:H,2,0)),"")</f>
        <v/>
      </c>
      <c r="C75" s="674" t="str">
        <f>IFERROR(IF(VLOOKUP(A75,'REGISTRO DATOS'!B:H,3,0)=0,"",VLOOKUP(A75,'REGISTRO DATOS'!B:H,3,0)),"")</f>
        <v/>
      </c>
      <c r="D75" s="674" t="str">
        <f>IFERROR(IF(VLOOKUP(A75,'REGISTRO DATOS'!B:H,4,0)=0,"",VLOOKUP(A75,'REGISTRO DATOS'!B:H,4,0)),"")</f>
        <v/>
      </c>
      <c r="E75" s="846" t="e">
        <f>'COTIDIANO - IIS'!AA52</f>
        <v>#DIV/0!</v>
      </c>
      <c r="F75" s="847"/>
      <c r="G75" s="846">
        <f>'EXAMENES - IIS'!F51</f>
        <v>0</v>
      </c>
      <c r="H75" s="847"/>
      <c r="I75" s="844">
        <f>'EXAMENES - IIS'!I51</f>
        <v>0</v>
      </c>
      <c r="J75" s="845">
        <f>'EXAMENES - IS'!J51</f>
        <v>0</v>
      </c>
      <c r="K75" s="848">
        <f>'REGISTRO IIS'!AH52</f>
        <v>0</v>
      </c>
      <c r="L75" s="849">
        <f>'Registro General'!AH52</f>
        <v>0</v>
      </c>
      <c r="M75" s="861">
        <f>ASISTENCIAIIS!I43</f>
        <v>10</v>
      </c>
      <c r="N75" s="862"/>
      <c r="O75" s="252" t="e">
        <f>E75+G75+I75+K75+M75</f>
        <v>#DIV/0!</v>
      </c>
      <c r="P75" s="232"/>
      <c r="Q75" s="232"/>
      <c r="R75" s="232"/>
      <c r="S75" s="237"/>
      <c r="T75" s="233"/>
      <c r="U75" s="234"/>
      <c r="V75" s="43">
        <f>'REGISTRO DATOS'!J49</f>
        <v>0</v>
      </c>
    </row>
    <row r="76" spans="1:22" ht="30" customHeight="1" thickTop="1" thickBot="1">
      <c r="A76" s="558" t="s">
        <v>37</v>
      </c>
      <c r="B76" s="559" t="s">
        <v>38</v>
      </c>
      <c r="C76" s="559" t="s">
        <v>39</v>
      </c>
      <c r="D76" s="559" t="s">
        <v>36</v>
      </c>
      <c r="E76" s="559" t="s">
        <v>69</v>
      </c>
      <c r="F76" s="560">
        <f>'COTIDIANO - IIS'!$AA$15</f>
        <v>0.6</v>
      </c>
      <c r="G76" s="559" t="s">
        <v>152</v>
      </c>
      <c r="H76" s="560">
        <f>'EXAMENES - IIS'!$F$14</f>
        <v>0</v>
      </c>
      <c r="I76" s="559" t="s">
        <v>319</v>
      </c>
      <c r="J76" s="560">
        <f>'EXAMENES - IIS'!$I$14</f>
        <v>0.2</v>
      </c>
      <c r="K76" s="559" t="s">
        <v>206</v>
      </c>
      <c r="L76" s="560">
        <f>'Registro General'!$AH$15</f>
        <v>0.1</v>
      </c>
      <c r="M76" s="559" t="s">
        <v>70</v>
      </c>
      <c r="N76" s="561">
        <f>ASISTENCIA!$BX$7</f>
        <v>0.1</v>
      </c>
      <c r="O76" s="562" t="s">
        <v>16</v>
      </c>
      <c r="P76" s="232"/>
      <c r="Q76" s="232"/>
      <c r="R76" s="232"/>
      <c r="S76" s="237"/>
      <c r="T76" s="233"/>
      <c r="U76" s="234"/>
      <c r="V76" s="43"/>
    </row>
    <row r="77" spans="1:22" ht="30" customHeight="1" thickTop="1" thickBot="1">
      <c r="A77" s="249">
        <v>38</v>
      </c>
      <c r="B77" s="674" t="str">
        <f>IFERROR(IF(VLOOKUP(A77,'REGISTRO DATOS'!B:H,2,0)=0,"",VLOOKUP(A77,'REGISTRO DATOS'!B:H,2,0)),"")</f>
        <v/>
      </c>
      <c r="C77" s="674" t="str">
        <f>IFERROR(IF(VLOOKUP(A77,'REGISTRO DATOS'!B:H,3,0)=0,"",VLOOKUP(A77,'REGISTRO DATOS'!B:H,3,0)),"")</f>
        <v/>
      </c>
      <c r="D77" s="674" t="str">
        <f>IFERROR(IF(VLOOKUP(A77,'REGISTRO DATOS'!B:H,4,0)=0,"",VLOOKUP(A77,'REGISTRO DATOS'!B:H,4,0)),"")</f>
        <v/>
      </c>
      <c r="E77" s="844" t="e">
        <f>'COTIDIANO - IIS'!AA53</f>
        <v>#DIV/0!</v>
      </c>
      <c r="F77" s="845"/>
      <c r="G77" s="844">
        <f>'EXAMENES - IIS'!F52</f>
        <v>0</v>
      </c>
      <c r="H77" s="845"/>
      <c r="I77" s="844">
        <f>'EXAMENES - IIS'!I52</f>
        <v>0</v>
      </c>
      <c r="J77" s="845">
        <f>'EXAMENES - IS'!J52</f>
        <v>0</v>
      </c>
      <c r="K77" s="857">
        <f>'REGISTRO IIS'!AH53</f>
        <v>0</v>
      </c>
      <c r="L77" s="858">
        <f>'Registro General'!AH53</f>
        <v>0</v>
      </c>
      <c r="M77" s="859">
        <f>ASISTENCIAIIS!I44</f>
        <v>10</v>
      </c>
      <c r="N77" s="860">
        <f>ASISTENCIA!I45</f>
        <v>10</v>
      </c>
      <c r="O77" s="252" t="e">
        <f>E77+G77+I77+K77+M77</f>
        <v>#DIV/0!</v>
      </c>
      <c r="P77" s="232"/>
      <c r="Q77" s="232"/>
      <c r="R77" s="232"/>
      <c r="S77" s="237"/>
      <c r="T77" s="233"/>
      <c r="U77" s="234"/>
      <c r="V77" s="43">
        <f>'REGISTRO DATOS'!J50</f>
        <v>0</v>
      </c>
    </row>
    <row r="78" spans="1:22" ht="30" customHeight="1" thickTop="1" thickBot="1">
      <c r="A78" s="563" t="s">
        <v>37</v>
      </c>
      <c r="B78" s="564" t="s">
        <v>38</v>
      </c>
      <c r="C78" s="564" t="s">
        <v>39</v>
      </c>
      <c r="D78" s="564" t="s">
        <v>36</v>
      </c>
      <c r="E78" s="564" t="s">
        <v>69</v>
      </c>
      <c r="F78" s="565">
        <f>'COTIDIANO - IIS'!$AA$15</f>
        <v>0.6</v>
      </c>
      <c r="G78" s="564" t="s">
        <v>152</v>
      </c>
      <c r="H78" s="565">
        <f>'EXAMENES - IIS'!$F$14</f>
        <v>0</v>
      </c>
      <c r="I78" s="559" t="s">
        <v>319</v>
      </c>
      <c r="J78" s="560">
        <f>'EXAMENES - IIS'!$I$14</f>
        <v>0.2</v>
      </c>
      <c r="K78" s="564" t="s">
        <v>206</v>
      </c>
      <c r="L78" s="565">
        <f>'Registro General'!$AH$15</f>
        <v>0.1</v>
      </c>
      <c r="M78" s="564" t="s">
        <v>70</v>
      </c>
      <c r="N78" s="566">
        <f>ASISTENCIA!$BX$7</f>
        <v>0.1</v>
      </c>
      <c r="O78" s="562" t="s">
        <v>16</v>
      </c>
      <c r="P78" s="232"/>
      <c r="Q78" s="232"/>
      <c r="R78" s="232"/>
      <c r="S78" s="237"/>
      <c r="T78" s="233"/>
      <c r="U78" s="234"/>
      <c r="V78" s="43"/>
    </row>
    <row r="79" spans="1:22" ht="30" customHeight="1" thickTop="1" thickBot="1">
      <c r="A79" s="250">
        <v>39</v>
      </c>
      <c r="B79" s="674" t="str">
        <f>IFERROR(IF(VLOOKUP(A79,'REGISTRO DATOS'!B:H,2,0)=0,"",VLOOKUP(A79,'REGISTRO DATOS'!B:H,2,0)),"")</f>
        <v/>
      </c>
      <c r="C79" s="674" t="str">
        <f>IFERROR(IF(VLOOKUP(A79,'REGISTRO DATOS'!B:H,3,0)=0,"",VLOOKUP(A79,'REGISTRO DATOS'!B:H,3,0)),"")</f>
        <v/>
      </c>
      <c r="D79" s="674" t="str">
        <f>IFERROR(IF(VLOOKUP(A79,'REGISTRO DATOS'!B:H,4,0)=0,"",VLOOKUP(A79,'REGISTRO DATOS'!B:H,4,0)),"")</f>
        <v/>
      </c>
      <c r="E79" s="846" t="e">
        <f>'COTIDIANO - IIS'!AA54</f>
        <v>#DIV/0!</v>
      </c>
      <c r="F79" s="847"/>
      <c r="G79" s="846">
        <f>'EXAMENES - IIS'!F53</f>
        <v>0</v>
      </c>
      <c r="H79" s="847"/>
      <c r="I79" s="846">
        <f>'EXAMENES - IIS'!I53</f>
        <v>0</v>
      </c>
      <c r="J79" s="847">
        <f>'EXAMENES - IS'!J53</f>
        <v>0</v>
      </c>
      <c r="K79" s="848">
        <f>'REGISTRO IIS'!AH54</f>
        <v>0</v>
      </c>
      <c r="L79" s="849">
        <f>'Registro General'!AH54</f>
        <v>0</v>
      </c>
      <c r="M79" s="848">
        <f>ASISTENCIAIIS!I45</f>
        <v>10</v>
      </c>
      <c r="N79" s="850">
        <f>ASISTENCIA!I46</f>
        <v>10</v>
      </c>
      <c r="O79" s="252" t="e">
        <f>E79+G79+I79+K79+M79</f>
        <v>#DIV/0!</v>
      </c>
      <c r="P79" s="232"/>
      <c r="Q79" s="232"/>
      <c r="R79" s="232"/>
      <c r="S79" s="237"/>
      <c r="T79" s="233"/>
      <c r="U79" s="234"/>
      <c r="V79" s="43">
        <f>'REGISTRO DATOS'!J51</f>
        <v>0</v>
      </c>
    </row>
    <row r="80" spans="1:22" ht="30" customHeight="1" thickTop="1" thickBot="1">
      <c r="A80" s="563" t="s">
        <v>37</v>
      </c>
      <c r="B80" s="564" t="s">
        <v>38</v>
      </c>
      <c r="C80" s="564" t="s">
        <v>39</v>
      </c>
      <c r="D80" s="564" t="s">
        <v>36</v>
      </c>
      <c r="E80" s="564" t="s">
        <v>69</v>
      </c>
      <c r="F80" s="565">
        <f>'COTIDIANO - IIS'!$AA$15</f>
        <v>0.6</v>
      </c>
      <c r="G80" s="564" t="s">
        <v>152</v>
      </c>
      <c r="H80" s="565">
        <f>'EXAMENES - IIS'!$F$14</f>
        <v>0</v>
      </c>
      <c r="I80" s="559" t="s">
        <v>319</v>
      </c>
      <c r="J80" s="560">
        <f>'EXAMENES - IIS'!$I$14</f>
        <v>0.2</v>
      </c>
      <c r="K80" s="564" t="s">
        <v>206</v>
      </c>
      <c r="L80" s="565">
        <f>'Registro General'!$AH$15</f>
        <v>0.1</v>
      </c>
      <c r="M80" s="564" t="s">
        <v>70</v>
      </c>
      <c r="N80" s="566">
        <f>ASISTENCIA!$BX$7</f>
        <v>0.1</v>
      </c>
      <c r="O80" s="562" t="s">
        <v>16</v>
      </c>
      <c r="P80" s="232"/>
      <c r="Q80" s="232"/>
      <c r="R80" s="232"/>
      <c r="S80" s="237"/>
      <c r="T80" s="233"/>
      <c r="U80" s="234"/>
      <c r="V80" s="43"/>
    </row>
    <row r="81" spans="1:22" ht="30" customHeight="1" thickTop="1" thickBot="1">
      <c r="A81" s="250">
        <v>40</v>
      </c>
      <c r="B81" s="674" t="str">
        <f>IFERROR(IF(VLOOKUP(A81,'REGISTRO DATOS'!B:H,2,0)=0,"",VLOOKUP(A81,'REGISTRO DATOS'!B:H,2,0)),"")</f>
        <v/>
      </c>
      <c r="C81" s="674" t="str">
        <f>IFERROR(IF(VLOOKUP(A81,'REGISTRO DATOS'!B:H,3,0)=0,"",VLOOKUP(A81,'REGISTRO DATOS'!B:H,3,0)),"")</f>
        <v/>
      </c>
      <c r="D81" s="674" t="str">
        <f>IFERROR(IF(VLOOKUP(A81,'REGISTRO DATOS'!B:H,4,0)=0,"",VLOOKUP(A81,'REGISTRO DATOS'!B:H,4,0)),"")</f>
        <v/>
      </c>
      <c r="E81" s="846" t="e">
        <f>'COTIDIANO - IIS'!AA55</f>
        <v>#DIV/0!</v>
      </c>
      <c r="F81" s="847"/>
      <c r="G81" s="846">
        <f>'EXAMENES - IIS'!F54</f>
        <v>0</v>
      </c>
      <c r="H81" s="847"/>
      <c r="I81" s="846">
        <f>'EXAMENES - IIS'!I54</f>
        <v>0</v>
      </c>
      <c r="J81" s="847">
        <f>'EXAMENES - IS'!J54</f>
        <v>0</v>
      </c>
      <c r="K81" s="848">
        <f>'REGISTRO IIS'!AH55</f>
        <v>0</v>
      </c>
      <c r="L81" s="849">
        <f>'Registro General'!AH55</f>
        <v>0</v>
      </c>
      <c r="M81" s="848">
        <f>ASISTENCIAIIS!I46</f>
        <v>10</v>
      </c>
      <c r="N81" s="850">
        <f>ASISTENCIA!I47</f>
        <v>10</v>
      </c>
      <c r="O81" s="252" t="e">
        <f>E81+G81+I81+K81+M81</f>
        <v>#DIV/0!</v>
      </c>
      <c r="P81" s="232"/>
      <c r="Q81" s="232"/>
      <c r="R81" s="232"/>
      <c r="S81" s="237"/>
      <c r="T81" s="233"/>
      <c r="U81" s="234"/>
      <c r="V81" s="43">
        <f>'REGISTRO DATOS'!J52</f>
        <v>0</v>
      </c>
    </row>
    <row r="82" spans="1:22" ht="18" customHeight="1" thickTop="1">
      <c r="A82" s="37"/>
      <c r="B82" s="37"/>
      <c r="C82" s="37"/>
      <c r="D82" s="37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</row>
    <row r="83" spans="1:22" ht="18" customHeight="1">
      <c r="A83" s="37"/>
      <c r="B83" s="37"/>
      <c r="C83" s="37"/>
      <c r="D83" s="37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</row>
    <row r="84" spans="1:22" ht="18" customHeight="1">
      <c r="A84" s="37"/>
      <c r="B84" s="37"/>
      <c r="C84" s="37"/>
      <c r="D84" s="37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</row>
    <row r="85" spans="1:22" ht="18" customHeight="1">
      <c r="A85" s="37"/>
      <c r="B85" s="37"/>
      <c r="C85" s="37"/>
      <c r="D85" s="37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</row>
    <row r="86" spans="1:22" ht="18" customHeight="1">
      <c r="A86" s="37"/>
      <c r="B86" s="37"/>
      <c r="C86" s="37"/>
      <c r="D86" s="37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</row>
    <row r="87" spans="1:22" ht="18" customHeight="1">
      <c r="A87" s="37"/>
      <c r="B87" s="37"/>
      <c r="C87" s="37"/>
      <c r="D87" s="37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</row>
    <row r="88" spans="1:22" ht="17.25" customHeight="1">
      <c r="A88" s="37"/>
      <c r="B88" s="37"/>
      <c r="C88" s="37"/>
      <c r="D88" s="37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</row>
    <row r="89" spans="1:22" ht="17.25" customHeight="1">
      <c r="A89" s="37"/>
      <c r="B89" s="37"/>
      <c r="C89" s="37"/>
      <c r="D89" s="37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</row>
    <row r="90" spans="1:22" ht="17.25" customHeight="1">
      <c r="A90" s="37"/>
      <c r="B90" s="37"/>
      <c r="C90" s="37"/>
      <c r="D90" s="37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</row>
    <row r="91" spans="1:22" ht="15" customHeight="1">
      <c r="A91" s="37"/>
      <c r="B91" s="37"/>
      <c r="C91" s="37"/>
      <c r="D91" s="37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</row>
    <row r="92" spans="1:22" ht="15.75" customHeight="1">
      <c r="A92" s="37"/>
      <c r="B92" s="37"/>
      <c r="C92" s="37"/>
      <c r="D92" s="37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</row>
    <row r="93" spans="1:22" ht="15" customHeight="1">
      <c r="A93" s="37"/>
      <c r="B93" s="37"/>
      <c r="C93" s="37"/>
      <c r="D93" s="37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</row>
    <row r="94" spans="1:22" ht="15.75" customHeight="1">
      <c r="A94" s="37"/>
      <c r="B94" s="37"/>
      <c r="C94" s="37"/>
      <c r="D94" s="37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</row>
    <row r="95" spans="1:22" ht="15" customHeight="1">
      <c r="A95" s="37"/>
      <c r="B95" s="37"/>
      <c r="C95" s="37"/>
      <c r="D95" s="37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</row>
    <row r="96" spans="1:22" ht="15.75" customHeight="1">
      <c r="A96" s="37"/>
      <c r="B96" s="37"/>
      <c r="C96" s="37"/>
      <c r="D96" s="37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</row>
    <row r="97" spans="1:21" ht="15" customHeight="1">
      <c r="A97" s="37"/>
      <c r="B97" s="37"/>
      <c r="C97" s="37"/>
      <c r="D97" s="37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</row>
    <row r="98" spans="1:21" ht="15.75" customHeight="1">
      <c r="A98" s="37"/>
      <c r="B98" s="37"/>
      <c r="C98" s="37"/>
      <c r="D98" s="37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</row>
    <row r="99" spans="1:21" ht="15" customHeight="1">
      <c r="A99" s="37"/>
      <c r="B99" s="37"/>
      <c r="C99" s="37"/>
      <c r="D99" s="37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</row>
    <row r="100" spans="1:21" ht="15.75" customHeight="1">
      <c r="A100" s="37"/>
      <c r="B100" s="37"/>
      <c r="C100" s="37"/>
      <c r="D100" s="37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</row>
    <row r="101" spans="1:21" ht="15" customHeight="1">
      <c r="A101" s="37"/>
      <c r="B101" s="37"/>
      <c r="C101" s="37"/>
      <c r="D101" s="37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</row>
    <row r="102" spans="1:21" ht="15.75" customHeight="1">
      <c r="A102" s="37"/>
      <c r="B102" s="37"/>
      <c r="C102" s="37"/>
      <c r="D102" s="37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</row>
    <row r="103" spans="1:21" ht="15" customHeight="1">
      <c r="A103" s="37"/>
      <c r="B103" s="37"/>
      <c r="C103" s="37"/>
      <c r="D103" s="37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</row>
    <row r="104" spans="1:21" ht="15.75" customHeight="1">
      <c r="A104" s="37"/>
      <c r="B104" s="37"/>
      <c r="C104" s="37"/>
      <c r="D104" s="37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</row>
    <row r="105" spans="1:21" ht="15" customHeight="1">
      <c r="A105" s="37"/>
      <c r="B105" s="37"/>
      <c r="C105" s="37"/>
      <c r="D105" s="37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</row>
    <row r="106" spans="1:21" ht="15.75" customHeight="1">
      <c r="A106" s="37"/>
      <c r="B106" s="37"/>
      <c r="C106" s="37"/>
      <c r="D106" s="37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</row>
    <row r="107" spans="1:21">
      <c r="A107" s="37"/>
      <c r="B107" s="37"/>
      <c r="C107" s="37"/>
      <c r="D107" s="37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</row>
    <row r="108" spans="1:21">
      <c r="A108" s="37"/>
      <c r="B108" s="37"/>
      <c r="C108" s="37"/>
      <c r="D108" s="37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</row>
    <row r="109" spans="1:21">
      <c r="A109" s="37"/>
      <c r="B109" s="37"/>
      <c r="C109" s="37"/>
      <c r="D109" s="37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</row>
    <row r="110" spans="1:21">
      <c r="A110" s="37"/>
      <c r="B110" s="37"/>
      <c r="C110" s="37"/>
      <c r="D110" s="37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</row>
    <row r="111" spans="1:21">
      <c r="A111" s="37"/>
      <c r="B111" s="37"/>
      <c r="C111" s="37"/>
      <c r="D111" s="37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</row>
    <row r="112" spans="1:21">
      <c r="A112" s="37"/>
      <c r="B112" s="37"/>
      <c r="C112" s="37"/>
      <c r="D112" s="37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</row>
    <row r="113" spans="1:21">
      <c r="A113" s="37"/>
      <c r="B113" s="37"/>
      <c r="C113" s="37"/>
      <c r="D113" s="37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</row>
    <row r="114" spans="1:21">
      <c r="A114" s="37"/>
      <c r="B114" s="37"/>
      <c r="C114" s="37"/>
      <c r="D114" s="37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</row>
    <row r="115" spans="1:21">
      <c r="A115" s="37"/>
      <c r="B115" s="37"/>
      <c r="C115" s="37"/>
      <c r="D115" s="37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</row>
    <row r="116" spans="1:21">
      <c r="A116" s="37"/>
      <c r="B116" s="37"/>
      <c r="C116" s="37"/>
      <c r="D116" s="37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</row>
    <row r="117" spans="1:21">
      <c r="A117" s="37"/>
      <c r="B117" s="37"/>
      <c r="C117" s="37"/>
      <c r="D117" s="37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</row>
    <row r="118" spans="1:21">
      <c r="A118" s="37"/>
      <c r="B118" s="37"/>
      <c r="C118" s="37"/>
      <c r="D118" s="37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</row>
    <row r="119" spans="1:21">
      <c r="A119" s="37"/>
      <c r="B119" s="37"/>
      <c r="C119" s="37"/>
      <c r="D119" s="37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</row>
    <row r="120" spans="1:21">
      <c r="A120" s="37"/>
      <c r="B120" s="37"/>
      <c r="C120" s="37"/>
      <c r="D120" s="37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</row>
    <row r="121" spans="1:21">
      <c r="A121" s="37"/>
      <c r="B121" s="37"/>
      <c r="C121" s="37"/>
      <c r="D121" s="37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</row>
    <row r="122" spans="1:21">
      <c r="A122" s="37"/>
      <c r="B122" s="37"/>
      <c r="C122" s="37"/>
      <c r="D122" s="37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</row>
    <row r="123" spans="1:21">
      <c r="A123" s="37"/>
      <c r="B123" s="37"/>
      <c r="C123" s="37"/>
      <c r="D123" s="37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</row>
    <row r="124" spans="1:21">
      <c r="A124" s="37"/>
      <c r="B124" s="37"/>
      <c r="C124" s="37"/>
      <c r="D124" s="37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</row>
    <row r="125" spans="1:21">
      <c r="A125" s="37"/>
      <c r="B125" s="37"/>
      <c r="C125" s="37"/>
      <c r="D125" s="37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</row>
    <row r="126" spans="1:21">
      <c r="A126" s="37"/>
      <c r="B126" s="37"/>
      <c r="C126" s="37"/>
      <c r="D126" s="37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</row>
    <row r="127" spans="1:21">
      <c r="A127" s="37"/>
      <c r="B127" s="37"/>
      <c r="C127" s="37"/>
      <c r="D127" s="37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</row>
    <row r="128" spans="1:21">
      <c r="A128" s="37"/>
      <c r="B128" s="37"/>
      <c r="C128" s="37"/>
      <c r="D128" s="37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</row>
    <row r="129" spans="1:21">
      <c r="A129" s="37"/>
      <c r="B129" s="37"/>
      <c r="C129" s="37"/>
      <c r="D129" s="37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</row>
    <row r="130" spans="1:21">
      <c r="A130" s="37"/>
      <c r="B130" s="37"/>
      <c r="C130" s="37"/>
      <c r="D130" s="37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</row>
    <row r="131" spans="1:21">
      <c r="A131" s="37"/>
      <c r="B131" s="37"/>
      <c r="C131" s="37"/>
      <c r="D131" s="37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</row>
    <row r="132" spans="1:21">
      <c r="A132" s="37"/>
      <c r="B132" s="37"/>
      <c r="C132" s="37"/>
      <c r="D132" s="37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</row>
    <row r="133" spans="1:21">
      <c r="A133" s="37"/>
      <c r="B133" s="37"/>
      <c r="C133" s="37"/>
      <c r="D133" s="37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</row>
    <row r="134" spans="1:21">
      <c r="A134" s="37"/>
      <c r="B134" s="37"/>
      <c r="C134" s="37"/>
      <c r="D134" s="37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</row>
    <row r="135" spans="1:21">
      <c r="A135" s="37"/>
      <c r="B135" s="37"/>
      <c r="C135" s="37"/>
      <c r="D135" s="37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</row>
  </sheetData>
  <dataConsolidate/>
  <mergeCells count="212">
    <mergeCell ref="Z3:AC3"/>
    <mergeCell ref="T2:W2"/>
    <mergeCell ref="E5:F5"/>
    <mergeCell ref="G5:H5"/>
    <mergeCell ref="I5:J5"/>
    <mergeCell ref="K5:L5"/>
    <mergeCell ref="M5:N5"/>
    <mergeCell ref="Z5:AA5"/>
    <mergeCell ref="AB5:AC5"/>
    <mergeCell ref="E7:F7"/>
    <mergeCell ref="G7:H7"/>
    <mergeCell ref="I7:J7"/>
    <mergeCell ref="K7:L7"/>
    <mergeCell ref="M7:N7"/>
    <mergeCell ref="T6:W6"/>
    <mergeCell ref="T3:W3"/>
    <mergeCell ref="E9:F9"/>
    <mergeCell ref="G9:H9"/>
    <mergeCell ref="I9:J9"/>
    <mergeCell ref="K9:L9"/>
    <mergeCell ref="M9:N9"/>
    <mergeCell ref="E3:F3"/>
    <mergeCell ref="G3:H3"/>
    <mergeCell ref="I3:J3"/>
    <mergeCell ref="K3:L3"/>
    <mergeCell ref="M3:N3"/>
    <mergeCell ref="Z13:AC13"/>
    <mergeCell ref="E15:F15"/>
    <mergeCell ref="G15:H15"/>
    <mergeCell ref="I15:J15"/>
    <mergeCell ref="K15:L15"/>
    <mergeCell ref="M15:N15"/>
    <mergeCell ref="Z15:AA15"/>
    <mergeCell ref="AB15:AC15"/>
    <mergeCell ref="E11:F11"/>
    <mergeCell ref="G11:H11"/>
    <mergeCell ref="I11:J11"/>
    <mergeCell ref="K11:L11"/>
    <mergeCell ref="M11:N11"/>
    <mergeCell ref="E13:F13"/>
    <mergeCell ref="G13:H13"/>
    <mergeCell ref="I13:J13"/>
    <mergeCell ref="K13:L13"/>
    <mergeCell ref="M13:N13"/>
    <mergeCell ref="E17:F17"/>
    <mergeCell ref="G17:H17"/>
    <mergeCell ref="I17:J17"/>
    <mergeCell ref="K17:L17"/>
    <mergeCell ref="M17:N17"/>
    <mergeCell ref="E19:F19"/>
    <mergeCell ref="G19:H19"/>
    <mergeCell ref="I19:J19"/>
    <mergeCell ref="K19:L19"/>
    <mergeCell ref="M19:N19"/>
    <mergeCell ref="Z23:AC23"/>
    <mergeCell ref="E25:F25"/>
    <mergeCell ref="G25:H25"/>
    <mergeCell ref="I25:J25"/>
    <mergeCell ref="K25:L25"/>
    <mergeCell ref="M25:N25"/>
    <mergeCell ref="Z25:AA25"/>
    <mergeCell ref="AB25:AC25"/>
    <mergeCell ref="E21:F21"/>
    <mergeCell ref="G21:H21"/>
    <mergeCell ref="I21:J21"/>
    <mergeCell ref="K21:L21"/>
    <mergeCell ref="M21:N21"/>
    <mergeCell ref="E23:F23"/>
    <mergeCell ref="G23:H23"/>
    <mergeCell ref="I23:J23"/>
    <mergeCell ref="K23:L23"/>
    <mergeCell ref="M23:N23"/>
    <mergeCell ref="E27:F27"/>
    <mergeCell ref="G27:H27"/>
    <mergeCell ref="I27:J27"/>
    <mergeCell ref="K27:L27"/>
    <mergeCell ref="M27:N27"/>
    <mergeCell ref="E29:F29"/>
    <mergeCell ref="G29:H29"/>
    <mergeCell ref="I29:J29"/>
    <mergeCell ref="K29:L29"/>
    <mergeCell ref="M29:N29"/>
    <mergeCell ref="E31:F31"/>
    <mergeCell ref="G31:H31"/>
    <mergeCell ref="I31:J31"/>
    <mergeCell ref="K31:L31"/>
    <mergeCell ref="M31:N31"/>
    <mergeCell ref="E33:F33"/>
    <mergeCell ref="G33:H33"/>
    <mergeCell ref="I33:J33"/>
    <mergeCell ref="K33:L33"/>
    <mergeCell ref="M33:N33"/>
    <mergeCell ref="E35:F35"/>
    <mergeCell ref="G35:H35"/>
    <mergeCell ref="I35:J35"/>
    <mergeCell ref="K35:L35"/>
    <mergeCell ref="M35:N35"/>
    <mergeCell ref="E37:F37"/>
    <mergeCell ref="G37:H37"/>
    <mergeCell ref="I37:J37"/>
    <mergeCell ref="K37:L37"/>
    <mergeCell ref="M37:N37"/>
    <mergeCell ref="E39:F39"/>
    <mergeCell ref="G39:H39"/>
    <mergeCell ref="I39:J39"/>
    <mergeCell ref="K39:L39"/>
    <mergeCell ref="M39:N39"/>
    <mergeCell ref="E41:F41"/>
    <mergeCell ref="G41:H41"/>
    <mergeCell ref="I41:J41"/>
    <mergeCell ref="K41:L41"/>
    <mergeCell ref="M41:N41"/>
    <mergeCell ref="E43:F43"/>
    <mergeCell ref="G43:H43"/>
    <mergeCell ref="I43:J43"/>
    <mergeCell ref="K43:L43"/>
    <mergeCell ref="M43:N43"/>
    <mergeCell ref="E45:F45"/>
    <mergeCell ref="G45:H45"/>
    <mergeCell ref="I45:J45"/>
    <mergeCell ref="K45:L45"/>
    <mergeCell ref="M45:N45"/>
    <mergeCell ref="E47:F47"/>
    <mergeCell ref="G47:H47"/>
    <mergeCell ref="I47:J47"/>
    <mergeCell ref="K47:L47"/>
    <mergeCell ref="M47:N47"/>
    <mergeCell ref="E49:F49"/>
    <mergeCell ref="G49:H49"/>
    <mergeCell ref="I49:J49"/>
    <mergeCell ref="K49:L49"/>
    <mergeCell ref="M49:N49"/>
    <mergeCell ref="E51:F51"/>
    <mergeCell ref="G51:H51"/>
    <mergeCell ref="I51:J51"/>
    <mergeCell ref="K51:L51"/>
    <mergeCell ref="M51:N51"/>
    <mergeCell ref="E53:F53"/>
    <mergeCell ref="G53:H53"/>
    <mergeCell ref="I53:J53"/>
    <mergeCell ref="K53:L53"/>
    <mergeCell ref="M53:N53"/>
    <mergeCell ref="E55:F55"/>
    <mergeCell ref="G55:H55"/>
    <mergeCell ref="I55:J55"/>
    <mergeCell ref="K55:L55"/>
    <mergeCell ref="M55:N55"/>
    <mergeCell ref="E57:F57"/>
    <mergeCell ref="G57:H57"/>
    <mergeCell ref="I57:J57"/>
    <mergeCell ref="K57:L57"/>
    <mergeCell ref="M57:N57"/>
    <mergeCell ref="E59:F59"/>
    <mergeCell ref="G59:H59"/>
    <mergeCell ref="I59:J59"/>
    <mergeCell ref="K59:L59"/>
    <mergeCell ref="M59:N59"/>
    <mergeCell ref="E61:F61"/>
    <mergeCell ref="G61:H61"/>
    <mergeCell ref="I61:J61"/>
    <mergeCell ref="K61:L61"/>
    <mergeCell ref="M61:N61"/>
    <mergeCell ref="E63:F63"/>
    <mergeCell ref="G63:H63"/>
    <mergeCell ref="I63:J63"/>
    <mergeCell ref="K63:L63"/>
    <mergeCell ref="M63:N63"/>
    <mergeCell ref="E65:F65"/>
    <mergeCell ref="G65:H65"/>
    <mergeCell ref="I65:J65"/>
    <mergeCell ref="K65:L65"/>
    <mergeCell ref="M65:N65"/>
    <mergeCell ref="E67:F67"/>
    <mergeCell ref="G67:H67"/>
    <mergeCell ref="I67:J67"/>
    <mergeCell ref="K67:L67"/>
    <mergeCell ref="M67:N67"/>
    <mergeCell ref="E69:F69"/>
    <mergeCell ref="G69:H69"/>
    <mergeCell ref="I69:J69"/>
    <mergeCell ref="K69:L69"/>
    <mergeCell ref="M69:N69"/>
    <mergeCell ref="E71:F71"/>
    <mergeCell ref="G71:H71"/>
    <mergeCell ref="I71:J71"/>
    <mergeCell ref="K71:L71"/>
    <mergeCell ref="M71:N71"/>
    <mergeCell ref="E73:F73"/>
    <mergeCell ref="G73:H73"/>
    <mergeCell ref="I73:J73"/>
    <mergeCell ref="K73:L73"/>
    <mergeCell ref="M73:N73"/>
    <mergeCell ref="E75:F75"/>
    <mergeCell ref="G75:H75"/>
    <mergeCell ref="I75:J75"/>
    <mergeCell ref="K75:L75"/>
    <mergeCell ref="M75:N75"/>
    <mergeCell ref="E77:F77"/>
    <mergeCell ref="G77:H77"/>
    <mergeCell ref="I77:J77"/>
    <mergeCell ref="K77:L77"/>
    <mergeCell ref="M77:N77"/>
    <mergeCell ref="E79:F79"/>
    <mergeCell ref="G79:H79"/>
    <mergeCell ref="I79:J79"/>
    <mergeCell ref="K79:L79"/>
    <mergeCell ref="M79:N79"/>
    <mergeCell ref="E81:F81"/>
    <mergeCell ref="G81:H81"/>
    <mergeCell ref="I81:J81"/>
    <mergeCell ref="K81:L81"/>
    <mergeCell ref="M81:N81"/>
  </mergeCells>
  <dataValidations count="1">
    <dataValidation type="list" allowBlank="1" showInputMessage="1" showErrorMessage="1" sqref="U82:U90" xr:uid="{00000000-0002-0000-0700-000000000000}">
      <formula1>#REF!</formula1>
    </dataValidation>
  </dataValidations>
  <pageMargins left="0.7" right="0.7" top="0.75" bottom="0.75" header="0.3" footer="0.3"/>
  <pageSetup scale="52" orientation="landscape" r:id="rId1"/>
  <rowBreaks count="3" manualBreakCount="3">
    <brk id="31" max="16383" man="1"/>
    <brk id="47" max="16383" man="1"/>
    <brk id="81" max="16383" man="1"/>
  </rowBreaks>
  <colBreaks count="1" manualBreakCount="1">
    <brk id="16" max="1048575" man="1"/>
  </col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21">
    <tabColor theme="4" tint="-0.249977111117893"/>
  </sheetPr>
  <dimension ref="A1:AD108"/>
  <sheetViews>
    <sheetView showGridLines="0" showRowColHeaders="0" zoomScale="76" zoomScaleNormal="70" workbookViewId="0"/>
  </sheetViews>
  <sheetFormatPr baseColWidth="10" defaultRowHeight="15"/>
  <cols>
    <col min="1" max="1" width="3.28515625" customWidth="1" collapsed="1"/>
    <col min="2" max="2" width="17.28515625" bestFit="1" customWidth="1" collapsed="1"/>
    <col min="3" max="3" width="18" bestFit="1" customWidth="1" collapsed="1"/>
    <col min="4" max="4" width="32" bestFit="1" customWidth="1" collapsed="1"/>
    <col min="5" max="9" width="10.7109375" customWidth="1" collapsed="1"/>
    <col min="10" max="14" width="4.28515625" bestFit="1" customWidth="1" collapsed="1"/>
    <col min="15" max="15" width="4.85546875" customWidth="1" collapsed="1"/>
    <col min="16" max="18" width="4.28515625" bestFit="1" customWidth="1" collapsed="1"/>
    <col min="19" max="19" width="7.5703125" bestFit="1" customWidth="1" collapsed="1"/>
    <col min="20" max="20" width="54" customWidth="1"/>
    <col min="21" max="21" width="15.28515625" customWidth="1" collapsed="1"/>
    <col min="22" max="22" width="7.28515625" hidden="1" customWidth="1"/>
    <col min="26" max="28" width="0" hidden="1" customWidth="1"/>
    <col min="29" max="29" width="10.140625" hidden="1" customWidth="1"/>
    <col min="30" max="30" width="0" hidden="1" customWidth="1"/>
  </cols>
  <sheetData>
    <row r="1" spans="1:29" ht="17.25" customHeight="1"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</row>
    <row r="2" spans="1:29" ht="36.75" customHeight="1">
      <c r="A2" s="810"/>
      <c r="B2" s="810"/>
      <c r="C2" s="865" t="s">
        <v>236</v>
      </c>
      <c r="D2" s="865"/>
      <c r="E2" s="865"/>
      <c r="F2" s="865"/>
      <c r="G2" s="865"/>
      <c r="H2" s="865"/>
      <c r="I2" s="210"/>
      <c r="J2" s="210"/>
      <c r="K2" s="210"/>
      <c r="L2" s="210"/>
      <c r="M2" s="210"/>
      <c r="N2" s="211"/>
      <c r="O2" s="211"/>
      <c r="P2" s="211"/>
      <c r="Q2" s="211"/>
      <c r="R2" s="211"/>
      <c r="S2" s="211"/>
    </row>
    <row r="3" spans="1:29" ht="18">
      <c r="A3" s="864" t="s">
        <v>226</v>
      </c>
      <c r="B3" s="864"/>
      <c r="C3" s="864"/>
      <c r="D3" s="864"/>
      <c r="E3" s="796">
        <f>'REGISTRO DATOS'!I3</f>
        <v>0</v>
      </c>
      <c r="F3" s="796"/>
      <c r="G3" s="796"/>
      <c r="H3" s="796"/>
      <c r="I3" s="796"/>
      <c r="J3" s="796"/>
      <c r="K3" s="796"/>
      <c r="L3" s="796"/>
      <c r="M3" s="796"/>
      <c r="N3" s="212"/>
      <c r="O3" s="212"/>
      <c r="P3" s="212"/>
      <c r="Q3" s="212"/>
      <c r="R3" s="212"/>
      <c r="S3" s="212"/>
      <c r="T3" s="212"/>
      <c r="U3" s="86"/>
    </row>
    <row r="4" spans="1:29" ht="18">
      <c r="A4" s="864" t="s">
        <v>215</v>
      </c>
      <c r="B4" s="864"/>
      <c r="C4" s="864"/>
      <c r="D4" s="864"/>
      <c r="E4" s="796" t="str">
        <f>'REGISTRO DATOS'!I4</f>
        <v>COTO</v>
      </c>
      <c r="F4" s="796"/>
      <c r="G4" s="796"/>
      <c r="H4" s="796"/>
      <c r="I4" s="796"/>
      <c r="J4" s="796"/>
      <c r="K4" s="796"/>
      <c r="L4" s="796"/>
      <c r="M4" s="796"/>
      <c r="N4" s="61"/>
      <c r="O4" s="62"/>
      <c r="P4" s="62"/>
      <c r="Q4" s="62"/>
      <c r="R4" s="62"/>
      <c r="S4" s="62"/>
      <c r="T4" s="62"/>
      <c r="U4" s="62"/>
    </row>
    <row r="5" spans="1:29" ht="20.25">
      <c r="A5" s="864" t="s">
        <v>217</v>
      </c>
      <c r="B5" s="864"/>
      <c r="C5" s="864"/>
      <c r="D5" s="864"/>
      <c r="E5" s="796" t="str">
        <f>'REGISTRO DATOS'!I5</f>
        <v>06</v>
      </c>
      <c r="F5" s="796"/>
      <c r="G5" s="796"/>
      <c r="H5" s="796"/>
      <c r="I5" s="796"/>
      <c r="J5" s="388"/>
      <c r="K5" s="388"/>
      <c r="L5" s="388"/>
      <c r="M5" s="388"/>
      <c r="N5" s="62"/>
      <c r="O5" s="866"/>
      <c r="P5" s="866"/>
      <c r="Q5" s="866"/>
      <c r="R5" s="866"/>
      <c r="S5" s="241"/>
      <c r="T5" s="214"/>
      <c r="U5" s="62"/>
    </row>
    <row r="6" spans="1:29" ht="20.25">
      <c r="A6" s="864" t="s">
        <v>227</v>
      </c>
      <c r="B6" s="864"/>
      <c r="C6" s="864"/>
      <c r="D6" s="864"/>
      <c r="E6" s="796">
        <f>'REGISTRO DATOS'!I6</f>
        <v>0</v>
      </c>
      <c r="F6" s="796"/>
      <c r="G6" s="796"/>
      <c r="H6" s="796"/>
      <c r="I6" s="796"/>
      <c r="J6" s="796"/>
      <c r="K6" s="796"/>
      <c r="L6" s="796"/>
      <c r="M6" s="796"/>
      <c r="N6" s="66"/>
      <c r="O6" s="866"/>
      <c r="P6" s="866"/>
      <c r="Q6" s="866"/>
      <c r="R6" s="866"/>
      <c r="S6" s="390"/>
      <c r="T6" s="62"/>
      <c r="U6" s="69"/>
    </row>
    <row r="7" spans="1:29" ht="18.75" customHeight="1">
      <c r="A7" s="864" t="s">
        <v>228</v>
      </c>
      <c r="B7" s="864"/>
      <c r="C7" s="864"/>
      <c r="D7" s="864"/>
      <c r="E7" s="796">
        <f>'REGISTRO DATOS'!I7</f>
        <v>0</v>
      </c>
      <c r="F7" s="796"/>
      <c r="G7" s="796"/>
      <c r="H7" s="796"/>
      <c r="I7" s="796"/>
      <c r="J7" s="796"/>
      <c r="K7" s="796"/>
      <c r="L7" s="796"/>
      <c r="M7" s="796"/>
      <c r="N7" s="73"/>
      <c r="O7" s="73"/>
      <c r="P7" s="73"/>
      <c r="Q7" s="2"/>
      <c r="R7" s="3"/>
      <c r="S7" s="3"/>
      <c r="T7" s="3"/>
      <c r="U7" s="3"/>
    </row>
    <row r="8" spans="1:29" ht="19.5" customHeight="1">
      <c r="A8" s="867" t="s">
        <v>285</v>
      </c>
      <c r="B8" s="868"/>
      <c r="C8" s="868"/>
      <c r="D8" s="868"/>
      <c r="E8" s="796">
        <f>'REGISTRO DATOS'!I8</f>
        <v>0</v>
      </c>
      <c r="F8" s="796"/>
      <c r="G8" s="796"/>
      <c r="H8" s="796"/>
      <c r="I8" s="796"/>
      <c r="J8" s="796"/>
      <c r="K8" s="796"/>
      <c r="L8" s="796"/>
      <c r="M8" s="796"/>
      <c r="N8" s="2"/>
      <c r="O8" s="810"/>
      <c r="P8" s="810"/>
      <c r="Q8" s="810"/>
      <c r="R8" s="810"/>
      <c r="S8" s="810"/>
      <c r="U8" s="119"/>
    </row>
    <row r="9" spans="1:29" ht="19.5" customHeight="1">
      <c r="A9" s="864" t="s">
        <v>27</v>
      </c>
      <c r="B9" s="869"/>
      <c r="C9" s="869"/>
      <c r="D9" s="869"/>
      <c r="E9" s="796">
        <f>'REGISTRO DATOS'!I9</f>
        <v>0</v>
      </c>
      <c r="F9" s="796"/>
      <c r="G9" s="796"/>
      <c r="H9" s="796"/>
      <c r="I9" s="796"/>
      <c r="J9" s="796"/>
      <c r="K9" s="796"/>
      <c r="L9" s="388"/>
      <c r="M9" s="392"/>
      <c r="N9" s="217"/>
      <c r="O9" s="810"/>
      <c r="P9" s="810"/>
      <c r="Q9" s="810"/>
      <c r="R9" s="810"/>
      <c r="S9" s="810"/>
      <c r="T9" s="119"/>
      <c r="U9" s="123"/>
    </row>
    <row r="10" spans="1:29" ht="20.25" customHeight="1" thickBot="1">
      <c r="A10" s="2"/>
      <c r="B10" s="2"/>
      <c r="C10" s="2"/>
      <c r="D10" s="2"/>
      <c r="E10" s="806"/>
      <c r="F10" s="806"/>
      <c r="G10" s="806"/>
      <c r="H10" s="806"/>
      <c r="I10" s="119"/>
      <c r="J10" s="119"/>
      <c r="K10" s="119"/>
      <c r="L10" s="2"/>
      <c r="M10" s="6"/>
      <c r="N10" s="6"/>
      <c r="O10" s="810"/>
      <c r="P10" s="810"/>
      <c r="Q10" s="810"/>
      <c r="R10" s="810"/>
      <c r="S10" s="810"/>
      <c r="T10" s="567"/>
      <c r="U10" s="124"/>
      <c r="V10" s="2"/>
    </row>
    <row r="11" spans="1:29" ht="15.75" hidden="1" thickBot="1">
      <c r="A11" s="37"/>
      <c r="B11" s="13"/>
      <c r="C11" s="37"/>
      <c r="D11" s="13"/>
      <c r="E11" s="870"/>
      <c r="F11" s="870"/>
      <c r="G11" s="870"/>
      <c r="H11" s="870"/>
      <c r="I11" s="870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126"/>
    </row>
    <row r="12" spans="1:29" ht="21" hidden="1" customHeight="1" thickBot="1">
      <c r="E12" s="871"/>
      <c r="F12" s="871"/>
      <c r="G12" s="871"/>
      <c r="H12" s="871"/>
      <c r="I12" s="871"/>
      <c r="J12" s="394"/>
      <c r="K12" s="394"/>
      <c r="L12" s="394"/>
      <c r="M12" s="394"/>
      <c r="N12" s="394"/>
      <c r="O12" s="394"/>
      <c r="P12" s="394"/>
      <c r="Q12" s="394"/>
      <c r="R12" s="394"/>
      <c r="S12" s="394"/>
      <c r="T12" s="568" t="s">
        <v>239</v>
      </c>
      <c r="U12" s="111"/>
    </row>
    <row r="13" spans="1:29" ht="29.25" customHeight="1" thickBot="1">
      <c r="A13" s="872" t="s">
        <v>17</v>
      </c>
      <c r="B13" s="873"/>
      <c r="C13" s="873"/>
      <c r="D13" s="874"/>
      <c r="E13" s="475" t="s">
        <v>82</v>
      </c>
      <c r="F13" s="476" t="s">
        <v>89</v>
      </c>
      <c r="G13" s="477" t="s">
        <v>83</v>
      </c>
      <c r="H13" s="478" t="s">
        <v>89</v>
      </c>
      <c r="I13" s="479" t="s">
        <v>287</v>
      </c>
      <c r="J13" s="238"/>
      <c r="K13" s="2"/>
      <c r="L13" s="2"/>
      <c r="M13" s="393" t="s">
        <v>237</v>
      </c>
      <c r="N13" s="393"/>
      <c r="O13" s="393"/>
      <c r="P13" s="393"/>
      <c r="Q13" s="394"/>
      <c r="R13" s="2"/>
      <c r="S13" s="2"/>
      <c r="T13" s="240" t="s">
        <v>238</v>
      </c>
      <c r="U13" s="235"/>
    </row>
    <row r="14" spans="1:29" ht="21" customHeight="1" thickBot="1">
      <c r="A14" s="480" t="s">
        <v>37</v>
      </c>
      <c r="B14" s="481" t="s">
        <v>38</v>
      </c>
      <c r="C14" s="481" t="s">
        <v>39</v>
      </c>
      <c r="D14" s="482" t="s">
        <v>36</v>
      </c>
      <c r="E14" s="488">
        <v>1</v>
      </c>
      <c r="F14" s="489">
        <v>12</v>
      </c>
      <c r="G14" s="488">
        <v>10</v>
      </c>
      <c r="H14" s="490">
        <v>6</v>
      </c>
      <c r="I14" s="484">
        <v>0.1</v>
      </c>
      <c r="J14" s="238"/>
      <c r="K14" s="395"/>
      <c r="M14" s="238"/>
      <c r="N14" s="238"/>
      <c r="O14" s="238"/>
      <c r="P14" s="238"/>
      <c r="Q14" s="238"/>
      <c r="R14" s="394"/>
      <c r="S14" s="11"/>
      <c r="T14" s="485" t="s">
        <v>286</v>
      </c>
      <c r="U14" s="236"/>
    </row>
    <row r="15" spans="1:29" ht="18" customHeight="1" thickBot="1">
      <c r="A15" s="55">
        <v>1</v>
      </c>
      <c r="B15" s="676" t="str">
        <f>IFERROR(IF(VLOOKUP(A15,'REGISTRO DATOS'!B:H,2,0)=0,"",VLOOKUP(A15,'REGISTRO DATOS'!B:H,2,0)),"")</f>
        <v/>
      </c>
      <c r="C15" s="677" t="str">
        <f>IFERROR(IF(VLOOKUP(A15,'REGISTRO DATOS'!B:H,3,0)=0,"",VLOOKUP(A15,'REGISTRO DATOS'!B:H,3,0)),"")</f>
        <v/>
      </c>
      <c r="D15" s="678" t="str">
        <f>IFERROR(IF(VLOOKUP(A15,'REGISTRO DATOS'!B:H,4,0)=0,"",VLOOKUP(A15,'REGISTRO DATOS'!B:H,4,0)),"")</f>
        <v>MARIANELA</v>
      </c>
      <c r="E15" s="281">
        <f>(F15/$F$14)*$E$14</f>
        <v>0</v>
      </c>
      <c r="F15" s="412"/>
      <c r="G15" s="569">
        <f>(H15/$H$14)*$G$14</f>
        <v>10</v>
      </c>
      <c r="H15" s="412">
        <v>6</v>
      </c>
      <c r="I15" s="284">
        <f>E15+G15</f>
        <v>10</v>
      </c>
      <c r="J15" s="232"/>
      <c r="K15" s="238"/>
      <c r="Q15" s="238"/>
      <c r="R15" s="238"/>
      <c r="S15" s="239"/>
      <c r="T15" s="875"/>
      <c r="U15" s="234"/>
      <c r="V15" s="43">
        <f>'REGISTRO DATOS'!J13</f>
        <v>0</v>
      </c>
      <c r="Z15" s="786" t="s">
        <v>157</v>
      </c>
      <c r="AA15" s="787"/>
      <c r="AB15" s="787"/>
      <c r="AC15" s="788"/>
    </row>
    <row r="16" spans="1:29" ht="24.75" customHeight="1" thickBot="1">
      <c r="A16" s="52">
        <v>2</v>
      </c>
      <c r="B16" s="676" t="str">
        <f>IFERROR(IF(VLOOKUP(A16,'REGISTRO DATOS'!B:H,2,0)=0,"",VLOOKUP(A16,'REGISTRO DATOS'!B:H,2,0)),"")</f>
        <v/>
      </c>
      <c r="C16" s="677" t="str">
        <f>IFERROR(IF(VLOOKUP(A16,'REGISTRO DATOS'!B:H,3,0)=0,"",VLOOKUP(A16,'REGISTRO DATOS'!B:H,3,0)),"")</f>
        <v/>
      </c>
      <c r="D16" s="678" t="str">
        <f>IFERROR(IF(VLOOKUP(A16,'REGISTRO DATOS'!B:H,4,0)=0,"",VLOOKUP(A16,'REGISTRO DATOS'!B:H,4,0)),"")</f>
        <v>GENESIS</v>
      </c>
      <c r="E16" s="281">
        <f t="shared" ref="E16:E54" si="0">(F16/$F$14)*$E$14</f>
        <v>0</v>
      </c>
      <c r="F16" s="300"/>
      <c r="G16" s="569">
        <f t="shared" ref="G16:G54" si="1">(H16/$H$14)*$G$14</f>
        <v>0</v>
      </c>
      <c r="H16" s="300"/>
      <c r="I16" s="283">
        <f t="shared" ref="I16:I54" si="2">E16+G16</f>
        <v>0</v>
      </c>
      <c r="J16" s="232"/>
      <c r="K16" s="238"/>
      <c r="L16" s="238"/>
      <c r="M16" s="238"/>
      <c r="N16" s="238"/>
      <c r="O16" s="238"/>
      <c r="P16" s="238"/>
      <c r="Q16" s="238"/>
      <c r="R16" s="238"/>
      <c r="S16" s="239"/>
      <c r="T16" s="876"/>
      <c r="U16" s="234"/>
      <c r="V16" s="43">
        <f>'REGISTRO DATOS'!J14</f>
        <v>0</v>
      </c>
      <c r="Z16" s="793" t="s">
        <v>130</v>
      </c>
      <c r="AA16" s="794"/>
      <c r="AB16" s="786" t="s">
        <v>131</v>
      </c>
      <c r="AC16" s="788"/>
    </row>
    <row r="17" spans="1:30" ht="18" customHeight="1">
      <c r="A17" s="52">
        <v>3</v>
      </c>
      <c r="B17" s="676" t="str">
        <f>IFERROR(IF(VLOOKUP(A17,'REGISTRO DATOS'!B:H,2,0)=0,"",VLOOKUP(A17,'REGISTRO DATOS'!B:H,2,0)),"")</f>
        <v/>
      </c>
      <c r="C17" s="677" t="str">
        <f>IFERROR(IF(VLOOKUP(A17,'REGISTRO DATOS'!B:H,3,0)=0,"",VLOOKUP(A17,'REGISTRO DATOS'!B:H,3,0)),"")</f>
        <v/>
      </c>
      <c r="D17" s="678" t="str">
        <f>IFERROR(IF(VLOOKUP(A17,'REGISTRO DATOS'!B:H,4,0)=0,"",VLOOKUP(A17,'REGISTRO DATOS'!B:H,4,0)),"")</f>
        <v>EILEEN</v>
      </c>
      <c r="E17" s="281">
        <f t="shared" si="0"/>
        <v>0</v>
      </c>
      <c r="F17" s="300"/>
      <c r="G17" s="569">
        <f t="shared" si="1"/>
        <v>0</v>
      </c>
      <c r="H17" s="300"/>
      <c r="I17" s="283">
        <f t="shared" si="2"/>
        <v>0</v>
      </c>
      <c r="J17" s="232"/>
      <c r="K17" s="232"/>
      <c r="L17" s="232"/>
      <c r="M17" s="232"/>
      <c r="N17" s="232"/>
      <c r="O17" s="232"/>
      <c r="P17" s="232"/>
      <c r="Q17" s="232"/>
      <c r="R17" s="232"/>
      <c r="S17" s="237"/>
      <c r="T17" s="876"/>
      <c r="U17" s="234"/>
      <c r="V17" s="43">
        <f>'REGISTRO DATOS'!J15</f>
        <v>0</v>
      </c>
      <c r="Z17" s="198" t="s">
        <v>156</v>
      </c>
      <c r="AA17" s="199" t="s">
        <v>155</v>
      </c>
      <c r="AB17" s="198" t="s">
        <v>156</v>
      </c>
      <c r="AC17" s="199" t="s">
        <v>155</v>
      </c>
    </row>
    <row r="18" spans="1:30" ht="18" customHeight="1" thickBot="1">
      <c r="A18" s="55">
        <v>4</v>
      </c>
      <c r="B18" s="676" t="str">
        <f>IFERROR(IF(VLOOKUP(A18,'REGISTRO DATOS'!B:H,2,0)=0,"",VLOOKUP(A18,'REGISTRO DATOS'!B:H,2,0)),"")</f>
        <v/>
      </c>
      <c r="C18" s="677" t="str">
        <f>IFERROR(IF(VLOOKUP(A18,'REGISTRO DATOS'!B:H,3,0)=0,"",VLOOKUP(A18,'REGISTRO DATOS'!B:H,3,0)),"")</f>
        <v/>
      </c>
      <c r="D18" s="678" t="str">
        <f>IFERROR(IF(VLOOKUP(A18,'REGISTRO DATOS'!B:H,4,0)=0,"",VLOOKUP(A18,'REGISTRO DATOS'!B:H,4,0)),"")</f>
        <v>CINDEL</v>
      </c>
      <c r="E18" s="281">
        <f t="shared" si="0"/>
        <v>0</v>
      </c>
      <c r="F18" s="300"/>
      <c r="G18" s="569">
        <f t="shared" si="1"/>
        <v>0</v>
      </c>
      <c r="H18" s="300"/>
      <c r="I18" s="283">
        <f t="shared" si="2"/>
        <v>0</v>
      </c>
      <c r="J18" s="232"/>
      <c r="K18" s="232"/>
      <c r="L18" s="232"/>
      <c r="M18" s="232"/>
      <c r="N18" s="232"/>
      <c r="O18" s="232"/>
      <c r="P18" s="232"/>
      <c r="Q18" s="232"/>
      <c r="R18" s="232"/>
      <c r="S18" s="237"/>
      <c r="T18" s="876"/>
      <c r="U18" s="234"/>
      <c r="V18" s="43">
        <f>'REGISTRO DATOS'!J16</f>
        <v>0</v>
      </c>
      <c r="Z18" s="200" t="e">
        <f>COUNTIFS(V15:V54,"H",#REF!,"&lt;70")</f>
        <v>#REF!</v>
      </c>
      <c r="AA18" s="201" t="e">
        <f>COUNTIFS(V15:V54,"H",#REF!,"&gt;70")</f>
        <v>#REF!</v>
      </c>
      <c r="AB18" s="200" t="e">
        <f>COUNTIFS(V15:V54,"M",#REF!,"&lt;70")</f>
        <v>#REF!</v>
      </c>
      <c r="AC18" s="201" t="e">
        <f>COUNTIFS(V15:V54,"M",#REF!,"&gt;70")</f>
        <v>#REF!</v>
      </c>
      <c r="AD18" s="43" t="e">
        <f>SUM(Z18:AC18)</f>
        <v>#REF!</v>
      </c>
    </row>
    <row r="19" spans="1:30" ht="18" customHeight="1" thickBot="1">
      <c r="A19" s="52">
        <v>5</v>
      </c>
      <c r="B19" s="676" t="str">
        <f>IFERROR(IF(VLOOKUP(A19,'REGISTRO DATOS'!B:H,2,0)=0,"",VLOOKUP(A19,'REGISTRO DATOS'!B:H,2,0)),"")</f>
        <v/>
      </c>
      <c r="C19" s="677" t="str">
        <f>IFERROR(IF(VLOOKUP(A19,'REGISTRO DATOS'!B:H,3,0)=0,"",VLOOKUP(A19,'REGISTRO DATOS'!B:H,3,0)),"")</f>
        <v/>
      </c>
      <c r="D19" s="678" t="str">
        <f>IFERROR(IF(VLOOKUP(A19,'REGISTRO DATOS'!B:H,4,0)=0,"",VLOOKUP(A19,'REGISTRO DATOS'!B:H,4,0)),"")</f>
        <v>NANCY</v>
      </c>
      <c r="E19" s="281">
        <f t="shared" si="0"/>
        <v>0</v>
      </c>
      <c r="F19" s="411"/>
      <c r="G19" s="569">
        <f t="shared" si="1"/>
        <v>0</v>
      </c>
      <c r="H19" s="411"/>
      <c r="I19" s="283">
        <f t="shared" si="2"/>
        <v>0</v>
      </c>
      <c r="J19" s="232"/>
      <c r="K19" s="232"/>
      <c r="L19" s="232"/>
      <c r="M19" s="232"/>
      <c r="N19" s="232"/>
      <c r="O19" s="232"/>
      <c r="P19" s="232"/>
      <c r="Q19" s="232"/>
      <c r="R19" s="232"/>
      <c r="S19" s="237"/>
      <c r="T19" s="876"/>
      <c r="U19" s="234"/>
      <c r="V19" s="43">
        <f>'REGISTRO DATOS'!J17</f>
        <v>0</v>
      </c>
    </row>
    <row r="20" spans="1:30" ht="18" customHeight="1" thickBot="1">
      <c r="A20" s="52">
        <v>6</v>
      </c>
      <c r="B20" s="676" t="str">
        <f>IFERROR(IF(VLOOKUP(A20,'REGISTRO DATOS'!B:H,2,0)=0,"",VLOOKUP(A20,'REGISTRO DATOS'!B:H,2,0)),"")</f>
        <v/>
      </c>
      <c r="C20" s="677" t="str">
        <f>IFERROR(IF(VLOOKUP(A20,'REGISTRO DATOS'!B:H,3,0)=0,"",VLOOKUP(A20,'REGISTRO DATOS'!B:H,3,0)),"")</f>
        <v/>
      </c>
      <c r="D20" s="678" t="str">
        <f>IFERROR(IF(VLOOKUP(A20,'REGISTRO DATOS'!B:H,4,0)=0,"",VLOOKUP(A20,'REGISTRO DATOS'!B:H,4,0)),"")</f>
        <v>MARIANA</v>
      </c>
      <c r="E20" s="281">
        <f t="shared" si="0"/>
        <v>0</v>
      </c>
      <c r="F20" s="411"/>
      <c r="G20" s="569">
        <f t="shared" si="1"/>
        <v>0</v>
      </c>
      <c r="H20" s="411"/>
      <c r="I20" s="283">
        <f t="shared" si="2"/>
        <v>0</v>
      </c>
      <c r="J20" s="232"/>
      <c r="K20" s="232"/>
      <c r="L20" s="232"/>
      <c r="M20" s="232"/>
      <c r="N20" s="232"/>
      <c r="O20" s="232"/>
      <c r="P20" s="232"/>
      <c r="Q20" s="232"/>
      <c r="R20" s="232"/>
      <c r="S20" s="237"/>
      <c r="T20" s="876"/>
      <c r="U20" s="234"/>
      <c r="V20" s="43">
        <f>'REGISTRO DATOS'!J18</f>
        <v>0</v>
      </c>
      <c r="Z20" s="786" t="s">
        <v>152</v>
      </c>
      <c r="AA20" s="787"/>
      <c r="AB20" s="787"/>
      <c r="AC20" s="788"/>
    </row>
    <row r="21" spans="1:30" ht="18" customHeight="1" thickBot="1">
      <c r="A21" s="55">
        <v>7</v>
      </c>
      <c r="B21" s="676" t="str">
        <f>IFERROR(IF(VLOOKUP(A21,'REGISTRO DATOS'!B:H,2,0)=0,"",VLOOKUP(A21,'REGISTRO DATOS'!B:H,2,0)),"")</f>
        <v xml:space="preserve">GONZALEZ </v>
      </c>
      <c r="C21" s="677" t="str">
        <f>IFERROR(IF(VLOOKUP(A21,'REGISTRO DATOS'!B:H,3,0)=0,"",VLOOKUP(A21,'REGISTRO DATOS'!B:H,3,0)),"")</f>
        <v>CHAVARRIA</v>
      </c>
      <c r="D21" s="678" t="str">
        <f>IFERROR(IF(VLOOKUP(A21,'REGISTRO DATOS'!B:H,4,0)=0,"",VLOOKUP(A21,'REGISTRO DATOS'!B:H,4,0)),"")</f>
        <v>STEPHANIE</v>
      </c>
      <c r="E21" s="281">
        <f t="shared" si="0"/>
        <v>0</v>
      </c>
      <c r="F21" s="411"/>
      <c r="G21" s="569">
        <f t="shared" si="1"/>
        <v>0</v>
      </c>
      <c r="H21" s="411"/>
      <c r="I21" s="283">
        <f t="shared" si="2"/>
        <v>0</v>
      </c>
      <c r="J21" s="232"/>
      <c r="K21" s="232"/>
      <c r="L21" s="232"/>
      <c r="M21" s="232"/>
      <c r="N21" s="232"/>
      <c r="O21" s="232"/>
      <c r="P21" s="232"/>
      <c r="Q21" s="232"/>
      <c r="R21" s="232"/>
      <c r="S21" s="237"/>
      <c r="T21" s="876"/>
      <c r="U21" s="234"/>
      <c r="V21" s="43">
        <f>'REGISTRO DATOS'!J19</f>
        <v>0</v>
      </c>
      <c r="Z21" s="793" t="s">
        <v>130</v>
      </c>
      <c r="AA21" s="794"/>
      <c r="AB21" s="786" t="s">
        <v>131</v>
      </c>
      <c r="AC21" s="788"/>
    </row>
    <row r="22" spans="1:30" ht="18" customHeight="1" thickBot="1">
      <c r="A22" s="52">
        <v>8</v>
      </c>
      <c r="B22" s="676" t="str">
        <f>IFERROR(IF(VLOOKUP(A22,'REGISTRO DATOS'!B:H,2,0)=0,"",VLOOKUP(A22,'REGISTRO DATOS'!B:H,2,0)),"")</f>
        <v/>
      </c>
      <c r="C22" s="677" t="str">
        <f>IFERROR(IF(VLOOKUP(A22,'REGISTRO DATOS'!B:H,3,0)=0,"",VLOOKUP(A22,'REGISTRO DATOS'!B:H,3,0)),"")</f>
        <v/>
      </c>
      <c r="D22" s="678" t="str">
        <f>IFERROR(IF(VLOOKUP(A22,'REGISTRO DATOS'!B:H,4,0)=0,"",VLOOKUP(A22,'REGISTRO DATOS'!B:H,4,0)),"")</f>
        <v>YASCINI</v>
      </c>
      <c r="E22" s="281">
        <f t="shared" si="0"/>
        <v>0</v>
      </c>
      <c r="F22" s="411"/>
      <c r="G22" s="569">
        <f t="shared" si="1"/>
        <v>0</v>
      </c>
      <c r="H22" s="411"/>
      <c r="I22" s="283">
        <f t="shared" si="2"/>
        <v>0</v>
      </c>
      <c r="J22" s="232"/>
      <c r="K22" s="232"/>
      <c r="L22" s="232"/>
      <c r="M22" s="232"/>
      <c r="N22" s="232"/>
      <c r="O22" s="232"/>
      <c r="P22" s="232"/>
      <c r="Q22" s="232"/>
      <c r="R22" s="232"/>
      <c r="S22" s="237"/>
      <c r="T22" s="877"/>
      <c r="U22" s="234"/>
      <c r="V22" s="43">
        <f>'REGISTRO DATOS'!J20</f>
        <v>0</v>
      </c>
      <c r="Z22" s="198" t="s">
        <v>156</v>
      </c>
      <c r="AA22" s="199" t="s">
        <v>155</v>
      </c>
      <c r="AB22" s="198" t="s">
        <v>156</v>
      </c>
      <c r="AC22" s="199" t="s">
        <v>155</v>
      </c>
    </row>
    <row r="23" spans="1:30" ht="18" customHeight="1" thickBot="1">
      <c r="A23" s="52">
        <v>9</v>
      </c>
      <c r="B23" s="676" t="str">
        <f>IFERROR(IF(VLOOKUP(A23,'REGISTRO DATOS'!B:H,2,0)=0,"",VLOOKUP(A23,'REGISTRO DATOS'!B:H,2,0)),"")</f>
        <v>CUBILLO</v>
      </c>
      <c r="C23" s="677" t="str">
        <f>IFERROR(IF(VLOOKUP(A23,'REGISTRO DATOS'!B:H,3,0)=0,"",VLOOKUP(A23,'REGISTRO DATOS'!B:H,3,0)),"")</f>
        <v/>
      </c>
      <c r="D23" s="678" t="str">
        <f>IFERROR(IF(VLOOKUP(A23,'REGISTRO DATOS'!B:H,4,0)=0,"",VLOOKUP(A23,'REGISTRO DATOS'!B:H,4,0)),"")</f>
        <v xml:space="preserve">DYLAN </v>
      </c>
      <c r="E23" s="281">
        <f t="shared" si="0"/>
        <v>0</v>
      </c>
      <c r="F23" s="411"/>
      <c r="G23" s="569">
        <f t="shared" si="1"/>
        <v>0</v>
      </c>
      <c r="H23" s="411"/>
      <c r="I23" s="283">
        <f t="shared" si="2"/>
        <v>0</v>
      </c>
      <c r="J23" s="232"/>
      <c r="K23" s="232"/>
      <c r="L23" s="232"/>
      <c r="M23" s="232"/>
      <c r="N23" s="232"/>
      <c r="O23" s="232"/>
      <c r="P23" s="232"/>
      <c r="Q23" s="232"/>
      <c r="R23" s="232"/>
      <c r="S23" s="237"/>
      <c r="T23" s="240" t="s">
        <v>240</v>
      </c>
      <c r="U23" s="234"/>
      <c r="V23" s="43">
        <f>'REGISTRO DATOS'!J21</f>
        <v>0</v>
      </c>
      <c r="Z23" s="200" t="e">
        <f>COUNTIFS(V15:V54,"H",#REF!,"&lt;70")</f>
        <v>#REF!</v>
      </c>
      <c r="AA23" s="201" t="e">
        <f>COUNTIFS(V15:V54,"H",#REF!,"&gt;70")</f>
        <v>#REF!</v>
      </c>
      <c r="AB23" s="200" t="e">
        <f>COUNTIFS(V15:V54,"M",#REF!,"&lt;70")</f>
        <v>#REF!</v>
      </c>
      <c r="AC23" s="201" t="e">
        <f>COUNTIFS(V15:V54,"M",#REF!,"&gt;70")</f>
        <v>#REF!</v>
      </c>
      <c r="AD23" s="43" t="e">
        <f>SUM(Z23:AC23)</f>
        <v>#REF!</v>
      </c>
    </row>
    <row r="24" spans="1:30" ht="18" customHeight="1" thickBot="1">
      <c r="A24" s="55">
        <v>10</v>
      </c>
      <c r="B24" s="676" t="str">
        <f>IFERROR(IF(VLOOKUP(A24,'REGISTRO DATOS'!B:H,2,0)=0,"",VLOOKUP(A24,'REGISTRO DATOS'!B:H,2,0)),"")</f>
        <v/>
      </c>
      <c r="C24" s="677" t="str">
        <f>IFERROR(IF(VLOOKUP(A24,'REGISTRO DATOS'!B:H,3,0)=0,"",VLOOKUP(A24,'REGISTRO DATOS'!B:H,3,0)),"")</f>
        <v/>
      </c>
      <c r="D24" s="678" t="str">
        <f>IFERROR(IF(VLOOKUP(A24,'REGISTRO DATOS'!B:H,4,0)=0,"",VLOOKUP(A24,'REGISTRO DATOS'!B:H,4,0)),"")</f>
        <v>KATTYA</v>
      </c>
      <c r="E24" s="281">
        <f t="shared" si="0"/>
        <v>0</v>
      </c>
      <c r="F24" s="411"/>
      <c r="G24" s="569">
        <f t="shared" si="1"/>
        <v>0</v>
      </c>
      <c r="H24" s="411"/>
      <c r="I24" s="283">
        <f t="shared" si="2"/>
        <v>0</v>
      </c>
      <c r="J24" s="232"/>
      <c r="K24" s="232"/>
      <c r="L24" s="232"/>
      <c r="M24" s="232"/>
      <c r="N24" s="232"/>
      <c r="O24" s="232"/>
      <c r="P24" s="232"/>
      <c r="Q24" s="232"/>
      <c r="R24" s="232"/>
      <c r="S24" s="237"/>
      <c r="T24" s="487" t="s">
        <v>286</v>
      </c>
      <c r="U24" s="234"/>
      <c r="V24" s="43">
        <f>'REGISTRO DATOS'!J22</f>
        <v>0</v>
      </c>
    </row>
    <row r="25" spans="1:30" ht="18" customHeight="1" thickBot="1">
      <c r="A25" s="52">
        <v>11</v>
      </c>
      <c r="B25" s="676" t="str">
        <f>IFERROR(IF(VLOOKUP(A25,'REGISTRO DATOS'!B:H,2,0)=0,"",VLOOKUP(A25,'REGISTRO DATOS'!B:H,2,0)),"")</f>
        <v>BRIZUELA</v>
      </c>
      <c r="C25" s="677" t="str">
        <f>IFERROR(IF(VLOOKUP(A25,'REGISTRO DATOS'!B:H,3,0)=0,"",VLOOKUP(A25,'REGISTRO DATOS'!B:H,3,0)),"")</f>
        <v/>
      </c>
      <c r="D25" s="678" t="str">
        <f>IFERROR(IF(VLOOKUP(A25,'REGISTRO DATOS'!B:H,4,0)=0,"",VLOOKUP(A25,'REGISTRO DATOS'!B:H,4,0)),"")</f>
        <v>FABIOLA</v>
      </c>
      <c r="E25" s="281">
        <f t="shared" si="0"/>
        <v>0</v>
      </c>
      <c r="F25" s="411"/>
      <c r="G25" s="569">
        <f t="shared" si="1"/>
        <v>0</v>
      </c>
      <c r="H25" s="411"/>
      <c r="I25" s="283">
        <f t="shared" si="2"/>
        <v>0</v>
      </c>
      <c r="J25" s="232"/>
      <c r="K25" s="232"/>
      <c r="L25" s="232"/>
      <c r="M25" s="232"/>
      <c r="N25" s="232"/>
      <c r="O25" s="232"/>
      <c r="P25" s="232"/>
      <c r="Q25" s="232"/>
      <c r="R25" s="232"/>
      <c r="S25" s="237"/>
      <c r="T25" s="878">
        <v>1</v>
      </c>
      <c r="U25" s="234"/>
      <c r="V25" s="43">
        <f>'REGISTRO DATOS'!J23</f>
        <v>0</v>
      </c>
      <c r="Z25" s="786" t="s">
        <v>158</v>
      </c>
      <c r="AA25" s="787"/>
      <c r="AB25" s="787"/>
      <c r="AC25" s="788"/>
    </row>
    <row r="26" spans="1:30" ht="18" customHeight="1" thickBot="1">
      <c r="A26" s="52">
        <v>12</v>
      </c>
      <c r="B26" s="676" t="str">
        <f>IFERROR(IF(VLOOKUP(A26,'REGISTRO DATOS'!B:H,2,0)=0,"",VLOOKUP(A26,'REGISTRO DATOS'!B:H,2,0)),"")</f>
        <v/>
      </c>
      <c r="C26" s="677" t="str">
        <f>IFERROR(IF(VLOOKUP(A26,'REGISTRO DATOS'!B:H,3,0)=0,"",VLOOKUP(A26,'REGISTRO DATOS'!B:H,3,0)),"")</f>
        <v/>
      </c>
      <c r="D26" s="678" t="str">
        <f>IFERROR(IF(VLOOKUP(A26,'REGISTRO DATOS'!B:H,4,0)=0,"",VLOOKUP(A26,'REGISTRO DATOS'!B:H,4,0)),"")</f>
        <v>DARIANA</v>
      </c>
      <c r="E26" s="281">
        <f t="shared" si="0"/>
        <v>0</v>
      </c>
      <c r="F26" s="411"/>
      <c r="G26" s="569">
        <f t="shared" si="1"/>
        <v>0</v>
      </c>
      <c r="H26" s="411"/>
      <c r="I26" s="283">
        <f t="shared" si="2"/>
        <v>0</v>
      </c>
      <c r="J26" s="232"/>
      <c r="K26" s="232"/>
      <c r="L26" s="232"/>
      <c r="M26" s="232"/>
      <c r="N26" s="232"/>
      <c r="O26" s="232"/>
      <c r="P26" s="232"/>
      <c r="Q26" s="232"/>
      <c r="R26" s="232"/>
      <c r="S26" s="237"/>
      <c r="T26" s="879"/>
      <c r="U26" s="234"/>
      <c r="V26" s="43">
        <f>'REGISTRO DATOS'!J24</f>
        <v>0</v>
      </c>
      <c r="Z26" s="793" t="s">
        <v>130</v>
      </c>
      <c r="AA26" s="794"/>
      <c r="AB26" s="786" t="s">
        <v>131</v>
      </c>
      <c r="AC26" s="788"/>
    </row>
    <row r="27" spans="1:30" ht="18" customHeight="1">
      <c r="A27" s="55">
        <v>13</v>
      </c>
      <c r="B27" s="676" t="str">
        <f>IFERROR(IF(VLOOKUP(A27,'REGISTRO DATOS'!B:H,2,0)=0,"",VLOOKUP(A27,'REGISTRO DATOS'!B:H,2,0)),"")</f>
        <v/>
      </c>
      <c r="C27" s="677" t="str">
        <f>IFERROR(IF(VLOOKUP(A27,'REGISTRO DATOS'!B:H,3,0)=0,"",VLOOKUP(A27,'REGISTRO DATOS'!B:H,3,0)),"")</f>
        <v/>
      </c>
      <c r="D27" s="678" t="str">
        <f>IFERROR(IF(VLOOKUP(A27,'REGISTRO DATOS'!B:H,4,0)=0,"",VLOOKUP(A27,'REGISTRO DATOS'!B:H,4,0)),"")</f>
        <v>JENIFER</v>
      </c>
      <c r="E27" s="281">
        <f t="shared" si="0"/>
        <v>0</v>
      </c>
      <c r="F27" s="411"/>
      <c r="G27" s="569">
        <f t="shared" si="1"/>
        <v>0</v>
      </c>
      <c r="H27" s="411"/>
      <c r="I27" s="283">
        <f t="shared" si="2"/>
        <v>0</v>
      </c>
      <c r="J27" s="232"/>
      <c r="K27" s="232"/>
      <c r="L27" s="232"/>
      <c r="M27" s="232"/>
      <c r="N27" s="232"/>
      <c r="O27" s="232"/>
      <c r="P27" s="232"/>
      <c r="Q27" s="232"/>
      <c r="R27" s="232"/>
      <c r="S27" s="237"/>
      <c r="T27" s="879"/>
      <c r="U27" s="234"/>
      <c r="V27" s="43">
        <f>'REGISTRO DATOS'!J25</f>
        <v>0</v>
      </c>
      <c r="Z27" s="198" t="s">
        <v>156</v>
      </c>
      <c r="AA27" s="199" t="s">
        <v>155</v>
      </c>
      <c r="AB27" s="198" t="s">
        <v>156</v>
      </c>
      <c r="AC27" s="199" t="s">
        <v>155</v>
      </c>
    </row>
    <row r="28" spans="1:30" ht="18" customHeight="1" thickBot="1">
      <c r="A28" s="52">
        <v>14</v>
      </c>
      <c r="B28" s="676" t="str">
        <f>IFERROR(IF(VLOOKUP(A28,'REGISTRO DATOS'!B:H,2,0)=0,"",VLOOKUP(A28,'REGISTRO DATOS'!B:H,2,0)),"")</f>
        <v/>
      </c>
      <c r="C28" s="677" t="str">
        <f>IFERROR(IF(VLOOKUP(A28,'REGISTRO DATOS'!B:H,3,0)=0,"",VLOOKUP(A28,'REGISTRO DATOS'!B:H,3,0)),"")</f>
        <v/>
      </c>
      <c r="D28" s="678" t="str">
        <f>IFERROR(IF(VLOOKUP(A28,'REGISTRO DATOS'!B:H,4,0)=0,"",VLOOKUP(A28,'REGISTRO DATOS'!B:H,4,0)),"")</f>
        <v>GABRIELA</v>
      </c>
      <c r="E28" s="281">
        <f t="shared" si="0"/>
        <v>0</v>
      </c>
      <c r="F28" s="411"/>
      <c r="G28" s="569">
        <f t="shared" si="1"/>
        <v>0</v>
      </c>
      <c r="H28" s="411"/>
      <c r="I28" s="283">
        <f t="shared" si="2"/>
        <v>0</v>
      </c>
      <c r="J28" s="232"/>
      <c r="K28" s="232"/>
      <c r="L28" s="232"/>
      <c r="M28" s="232"/>
      <c r="N28" s="232"/>
      <c r="O28" s="232"/>
      <c r="P28" s="232"/>
      <c r="Q28" s="232"/>
      <c r="R28" s="232"/>
      <c r="S28" s="237"/>
      <c r="T28" s="879"/>
      <c r="U28" s="234"/>
      <c r="V28" s="43">
        <f>'REGISTRO DATOS'!J26</f>
        <v>0</v>
      </c>
      <c r="Z28" s="200" t="e">
        <f>COUNTIFS(V15:V54,"H",#REF!,"&lt;70")</f>
        <v>#REF!</v>
      </c>
      <c r="AA28" s="201" t="e">
        <f>COUNTIFS(V15:V54,"H",#REF!,"&gt;70")</f>
        <v>#REF!</v>
      </c>
      <c r="AB28" s="200" t="e">
        <f>COUNTIFS(V15:V54,"M",#REF!,"&lt;70")</f>
        <v>#REF!</v>
      </c>
      <c r="AC28" s="201" t="e">
        <f>COUNTIFS(V15:V54,"M",#REF!,"&gt;70")</f>
        <v>#REF!</v>
      </c>
      <c r="AD28" s="43" t="e">
        <f>SUM(Z28:AC28)</f>
        <v>#REF!</v>
      </c>
    </row>
    <row r="29" spans="1:30" ht="18" customHeight="1">
      <c r="A29" s="52">
        <v>15</v>
      </c>
      <c r="B29" s="676" t="str">
        <f>IFERROR(IF(VLOOKUP(A29,'REGISTRO DATOS'!B:H,2,0)=0,"",VLOOKUP(A29,'REGISTRO DATOS'!B:H,2,0)),"")</f>
        <v xml:space="preserve">SERRANO </v>
      </c>
      <c r="C29" s="677" t="str">
        <f>IFERROR(IF(VLOOKUP(A29,'REGISTRO DATOS'!B:H,3,0)=0,"",VLOOKUP(A29,'REGISTRO DATOS'!B:H,3,0)),"")</f>
        <v>VILLEGAS</v>
      </c>
      <c r="D29" s="678" t="str">
        <f>IFERROR(IF(VLOOKUP(A29,'REGISTRO DATOS'!B:H,4,0)=0,"",VLOOKUP(A29,'REGISTRO DATOS'!B:H,4,0)),"")</f>
        <v xml:space="preserve">DYLAN </v>
      </c>
      <c r="E29" s="281">
        <f t="shared" si="0"/>
        <v>0</v>
      </c>
      <c r="F29" s="411"/>
      <c r="G29" s="569">
        <f t="shared" si="1"/>
        <v>0</v>
      </c>
      <c r="H29" s="411"/>
      <c r="I29" s="283">
        <f t="shared" si="2"/>
        <v>0</v>
      </c>
      <c r="J29" s="232"/>
      <c r="K29" s="232"/>
      <c r="L29" s="232"/>
      <c r="M29" s="232"/>
      <c r="N29" s="232"/>
      <c r="O29" s="232"/>
      <c r="P29" s="232"/>
      <c r="Q29" s="232"/>
      <c r="R29" s="232"/>
      <c r="S29" s="237"/>
      <c r="T29" s="879"/>
      <c r="U29" s="234"/>
      <c r="V29" s="43">
        <f>'REGISTRO DATOS'!J27</f>
        <v>0</v>
      </c>
    </row>
    <row r="30" spans="1:30" ht="18" customHeight="1">
      <c r="A30" s="55">
        <v>16</v>
      </c>
      <c r="B30" s="676" t="str">
        <f>IFERROR(IF(VLOOKUP(A30,'REGISTRO DATOS'!B:H,2,0)=0,"",VLOOKUP(A30,'REGISTRO DATOS'!B:H,2,0)),"")</f>
        <v/>
      </c>
      <c r="C30" s="677" t="str">
        <f>IFERROR(IF(VLOOKUP(A30,'REGISTRO DATOS'!B:H,3,0)=0,"",VLOOKUP(A30,'REGISTRO DATOS'!B:H,3,0)),"")</f>
        <v/>
      </c>
      <c r="D30" s="678" t="str">
        <f>IFERROR(IF(VLOOKUP(A30,'REGISTRO DATOS'!B:H,4,0)=0,"",VLOOKUP(A30,'REGISTRO DATOS'!B:H,4,0)),"")</f>
        <v>ANA</v>
      </c>
      <c r="E30" s="281">
        <f t="shared" si="0"/>
        <v>0</v>
      </c>
      <c r="F30" s="411"/>
      <c r="G30" s="569">
        <f t="shared" si="1"/>
        <v>0</v>
      </c>
      <c r="H30" s="411"/>
      <c r="I30" s="283">
        <f t="shared" si="2"/>
        <v>0</v>
      </c>
      <c r="J30" s="232"/>
      <c r="K30" s="232"/>
      <c r="L30" s="232"/>
      <c r="M30" s="232"/>
      <c r="N30" s="232"/>
      <c r="O30" s="232"/>
      <c r="P30" s="232"/>
      <c r="Q30" s="232"/>
      <c r="R30" s="232"/>
      <c r="S30" s="237"/>
      <c r="T30" s="879"/>
      <c r="U30" s="234"/>
      <c r="V30" s="43">
        <f>'REGISTRO DATOS'!J28</f>
        <v>0</v>
      </c>
    </row>
    <row r="31" spans="1:30" ht="18" customHeight="1">
      <c r="A31" s="52">
        <v>17</v>
      </c>
      <c r="B31" s="676" t="str">
        <f>IFERROR(IF(VLOOKUP(A31,'REGISTRO DATOS'!B:H,2,0)=0,"",VLOOKUP(A31,'REGISTRO DATOS'!B:H,2,0)),"")</f>
        <v>QUIROS</v>
      </c>
      <c r="C31" s="677" t="str">
        <f>IFERROR(IF(VLOOKUP(A31,'REGISTRO DATOS'!B:H,3,0)=0,"",VLOOKUP(A31,'REGISTRO DATOS'!B:H,3,0)),"")</f>
        <v/>
      </c>
      <c r="D31" s="678" t="str">
        <f>IFERROR(IF(VLOOKUP(A31,'REGISTRO DATOS'!B:H,4,0)=0,"",VLOOKUP(A31,'REGISTRO DATOS'!B:H,4,0)),"")</f>
        <v>ANDY</v>
      </c>
      <c r="E31" s="281">
        <f t="shared" si="0"/>
        <v>0</v>
      </c>
      <c r="F31" s="411"/>
      <c r="G31" s="569">
        <f t="shared" si="1"/>
        <v>0</v>
      </c>
      <c r="H31" s="411"/>
      <c r="I31" s="283">
        <f t="shared" si="2"/>
        <v>0</v>
      </c>
      <c r="J31" s="232"/>
      <c r="K31" s="232"/>
      <c r="L31" s="232"/>
      <c r="M31" s="232"/>
      <c r="N31" s="232"/>
      <c r="O31" s="232"/>
      <c r="P31" s="232"/>
      <c r="Q31" s="232"/>
      <c r="R31" s="232"/>
      <c r="S31" s="237"/>
      <c r="T31" s="879"/>
      <c r="U31" s="234"/>
      <c r="V31" s="43">
        <f>'REGISTRO DATOS'!J29</f>
        <v>0</v>
      </c>
    </row>
    <row r="32" spans="1:30" ht="18" customHeight="1" thickBot="1">
      <c r="A32" s="52">
        <v>18</v>
      </c>
      <c r="B32" s="676" t="str">
        <f>IFERROR(IF(VLOOKUP(A32,'REGISTRO DATOS'!B:H,2,0)=0,"",VLOOKUP(A32,'REGISTRO DATOS'!B:H,2,0)),"")</f>
        <v>RIVER</v>
      </c>
      <c r="C32" s="677" t="str">
        <f>IFERROR(IF(VLOOKUP(A32,'REGISTRO DATOS'!B:H,3,0)=0,"",VLOOKUP(A32,'REGISTRO DATOS'!B:H,3,0)),"")</f>
        <v/>
      </c>
      <c r="D32" s="678" t="str">
        <f>IFERROR(IF(VLOOKUP(A32,'REGISTRO DATOS'!B:H,4,0)=0,"",VLOOKUP(A32,'REGISTRO DATOS'!B:H,4,0)),"")</f>
        <v>STEPHANIE</v>
      </c>
      <c r="E32" s="281">
        <f t="shared" si="0"/>
        <v>0</v>
      </c>
      <c r="F32" s="411"/>
      <c r="G32" s="569">
        <f t="shared" si="1"/>
        <v>0</v>
      </c>
      <c r="H32" s="411"/>
      <c r="I32" s="283">
        <f t="shared" si="2"/>
        <v>0</v>
      </c>
      <c r="J32" s="232"/>
      <c r="K32" s="232"/>
      <c r="L32" s="232"/>
      <c r="M32" s="232"/>
      <c r="N32" s="232"/>
      <c r="O32" s="232"/>
      <c r="P32" s="232"/>
      <c r="Q32" s="232"/>
      <c r="R32" s="232"/>
      <c r="S32" s="237"/>
      <c r="T32" s="880"/>
      <c r="U32" s="234"/>
      <c r="V32" s="43">
        <f>'REGISTRO DATOS'!J30</f>
        <v>0</v>
      </c>
    </row>
    <row r="33" spans="1:22" ht="18" customHeight="1">
      <c r="A33" s="55">
        <v>19</v>
      </c>
      <c r="B33" s="676" t="str">
        <f>IFERROR(IF(VLOOKUP(A33,'REGISTRO DATOS'!B:H,2,0)=0,"",VLOOKUP(A33,'REGISTRO DATOS'!B:H,2,0)),"")</f>
        <v/>
      </c>
      <c r="C33" s="677" t="str">
        <f>IFERROR(IF(VLOOKUP(A33,'REGISTRO DATOS'!B:H,3,0)=0,"",VLOOKUP(A33,'REGISTRO DATOS'!B:H,3,0)),"")</f>
        <v>FABIAN</v>
      </c>
      <c r="D33" s="678" t="str">
        <f>IFERROR(IF(VLOOKUP(A33,'REGISTRO DATOS'!B:H,4,0)=0,"",VLOOKUP(A33,'REGISTRO DATOS'!B:H,4,0)),"")</f>
        <v/>
      </c>
      <c r="E33" s="281">
        <f t="shared" si="0"/>
        <v>0</v>
      </c>
      <c r="F33" s="411"/>
      <c r="G33" s="569">
        <f t="shared" si="1"/>
        <v>0</v>
      </c>
      <c r="H33" s="411"/>
      <c r="I33" s="283">
        <f t="shared" si="2"/>
        <v>0</v>
      </c>
      <c r="J33" s="232"/>
      <c r="K33" s="232"/>
      <c r="L33" s="232"/>
      <c r="M33" s="232"/>
      <c r="N33" s="232"/>
      <c r="O33" s="232"/>
      <c r="P33" s="232"/>
      <c r="Q33" s="232"/>
      <c r="R33" s="232"/>
      <c r="S33" s="237"/>
      <c r="T33" s="415"/>
      <c r="U33" s="234"/>
      <c r="V33" s="43">
        <f>'REGISTRO DATOS'!J31</f>
        <v>0</v>
      </c>
    </row>
    <row r="34" spans="1:22" ht="18" customHeight="1">
      <c r="A34" s="52">
        <v>20</v>
      </c>
      <c r="B34" s="676" t="str">
        <f>IFERROR(IF(VLOOKUP(A34,'REGISTRO DATOS'!B:H,2,0)=0,"",VLOOKUP(A34,'REGISTRO DATOS'!B:H,2,0)),"")</f>
        <v/>
      </c>
      <c r="C34" s="677" t="str">
        <f>IFERROR(IF(VLOOKUP(A34,'REGISTRO DATOS'!B:H,3,0)=0,"",VLOOKUP(A34,'REGISTRO DATOS'!B:H,3,0)),"")</f>
        <v>EMILIN</v>
      </c>
      <c r="D34" s="678" t="str">
        <f>IFERROR(IF(VLOOKUP(A34,'REGISTRO DATOS'!B:H,4,0)=0,"",VLOOKUP(A34,'REGISTRO DATOS'!B:H,4,0)),"")</f>
        <v/>
      </c>
      <c r="E34" s="281">
        <f t="shared" si="0"/>
        <v>0</v>
      </c>
      <c r="F34" s="411"/>
      <c r="G34" s="569">
        <f t="shared" si="1"/>
        <v>0</v>
      </c>
      <c r="H34" s="411"/>
      <c r="I34" s="283">
        <f t="shared" si="2"/>
        <v>0</v>
      </c>
      <c r="J34" s="232"/>
      <c r="K34" s="232"/>
      <c r="L34" s="232"/>
      <c r="M34" s="232"/>
      <c r="N34" s="232"/>
      <c r="O34" s="232"/>
      <c r="P34" s="232"/>
      <c r="Q34" s="232"/>
      <c r="R34" s="232"/>
      <c r="S34" s="237"/>
      <c r="T34" s="415"/>
      <c r="U34" s="234"/>
      <c r="V34" s="43">
        <f>'REGISTRO DATOS'!J32</f>
        <v>0</v>
      </c>
    </row>
    <row r="35" spans="1:22" ht="18" customHeight="1">
      <c r="A35" s="52">
        <v>21</v>
      </c>
      <c r="B35" s="676" t="str">
        <f>IFERROR(IF(VLOOKUP(A35,'REGISTRO DATOS'!B:H,2,0)=0,"",VLOOKUP(A35,'REGISTRO DATOS'!B:H,2,0)),"")</f>
        <v/>
      </c>
      <c r="C35" s="677" t="str">
        <f>IFERROR(IF(VLOOKUP(A35,'REGISTRO DATOS'!B:H,3,0)=0,"",VLOOKUP(A35,'REGISTRO DATOS'!B:H,3,0)),"")</f>
        <v/>
      </c>
      <c r="D35" s="678" t="str">
        <f>IFERROR(IF(VLOOKUP(A35,'REGISTRO DATOS'!B:H,4,0)=0,"",VLOOKUP(A35,'REGISTRO DATOS'!B:H,4,0)),"")</f>
        <v/>
      </c>
      <c r="E35" s="281">
        <f t="shared" si="0"/>
        <v>0</v>
      </c>
      <c r="F35" s="411"/>
      <c r="G35" s="569">
        <f t="shared" si="1"/>
        <v>0</v>
      </c>
      <c r="H35" s="411"/>
      <c r="I35" s="283">
        <f t="shared" si="2"/>
        <v>0</v>
      </c>
      <c r="J35" s="232"/>
      <c r="K35" s="232"/>
      <c r="L35" s="232"/>
      <c r="M35" s="232"/>
      <c r="N35" s="232"/>
      <c r="O35" s="232"/>
      <c r="P35" s="232"/>
      <c r="Q35" s="232"/>
      <c r="R35" s="232"/>
      <c r="S35" s="237"/>
      <c r="T35" s="233"/>
      <c r="U35" s="234"/>
      <c r="V35" s="43">
        <f>'REGISTRO DATOS'!J33</f>
        <v>0</v>
      </c>
    </row>
    <row r="36" spans="1:22" ht="18" customHeight="1">
      <c r="A36" s="55">
        <v>22</v>
      </c>
      <c r="B36" s="676" t="str">
        <f>IFERROR(IF(VLOOKUP(A36,'REGISTRO DATOS'!B:H,2,0)=0,"",VLOOKUP(A36,'REGISTRO DATOS'!B:H,2,0)),"")</f>
        <v/>
      </c>
      <c r="C36" s="677" t="str">
        <f>IFERROR(IF(VLOOKUP(A36,'REGISTRO DATOS'!B:H,3,0)=0,"",VLOOKUP(A36,'REGISTRO DATOS'!B:H,3,0)),"")</f>
        <v/>
      </c>
      <c r="D36" s="678" t="str">
        <f>IFERROR(IF(VLOOKUP(A36,'REGISTRO DATOS'!B:H,4,0)=0,"",VLOOKUP(A36,'REGISTRO DATOS'!B:H,4,0)),"")</f>
        <v/>
      </c>
      <c r="E36" s="281">
        <f t="shared" si="0"/>
        <v>0</v>
      </c>
      <c r="F36" s="411"/>
      <c r="G36" s="569">
        <f t="shared" si="1"/>
        <v>0</v>
      </c>
      <c r="H36" s="411"/>
      <c r="I36" s="283">
        <f t="shared" si="2"/>
        <v>0</v>
      </c>
      <c r="J36" s="232"/>
      <c r="K36" s="232"/>
      <c r="L36" s="232"/>
      <c r="M36" s="232"/>
      <c r="N36" s="232"/>
      <c r="O36" s="232"/>
      <c r="P36" s="232"/>
      <c r="Q36" s="232"/>
      <c r="R36" s="232"/>
      <c r="S36" s="237"/>
      <c r="T36" s="233"/>
      <c r="U36" s="234"/>
      <c r="V36" s="43">
        <f>'REGISTRO DATOS'!J34</f>
        <v>0</v>
      </c>
    </row>
    <row r="37" spans="1:22" ht="18" customHeight="1">
      <c r="A37" s="52">
        <v>23</v>
      </c>
      <c r="B37" s="676" t="str">
        <f>IFERROR(IF(VLOOKUP(A37,'REGISTRO DATOS'!B:H,2,0)=0,"",VLOOKUP(A37,'REGISTRO DATOS'!B:H,2,0)),"")</f>
        <v/>
      </c>
      <c r="C37" s="677" t="str">
        <f>IFERROR(IF(VLOOKUP(A37,'REGISTRO DATOS'!B:H,3,0)=0,"",VLOOKUP(A37,'REGISTRO DATOS'!B:H,3,0)),"")</f>
        <v/>
      </c>
      <c r="D37" s="678" t="str">
        <f>IFERROR(IF(VLOOKUP(A37,'REGISTRO DATOS'!B:H,4,0)=0,"",VLOOKUP(A37,'REGISTRO DATOS'!B:H,4,0)),"")</f>
        <v/>
      </c>
      <c r="E37" s="281">
        <f t="shared" si="0"/>
        <v>0</v>
      </c>
      <c r="F37" s="411"/>
      <c r="G37" s="569">
        <f t="shared" si="1"/>
        <v>0</v>
      </c>
      <c r="H37" s="411"/>
      <c r="I37" s="283">
        <f t="shared" si="2"/>
        <v>0</v>
      </c>
      <c r="J37" s="232"/>
      <c r="K37" s="232"/>
      <c r="L37" s="232"/>
      <c r="M37" s="232"/>
      <c r="N37" s="232"/>
      <c r="O37" s="232"/>
      <c r="P37" s="232"/>
      <c r="Q37" s="232"/>
      <c r="R37" s="232"/>
      <c r="S37" s="232"/>
      <c r="T37" s="233"/>
      <c r="U37" s="234"/>
      <c r="V37" s="43">
        <f>'REGISTRO DATOS'!J35</f>
        <v>0</v>
      </c>
    </row>
    <row r="38" spans="1:22" ht="18" customHeight="1">
      <c r="A38" s="52">
        <v>24</v>
      </c>
      <c r="B38" s="676" t="str">
        <f>IFERROR(IF(VLOOKUP(A38,'REGISTRO DATOS'!B:H,2,0)=0,"",VLOOKUP(A38,'REGISTRO DATOS'!B:H,2,0)),"")</f>
        <v/>
      </c>
      <c r="C38" s="677" t="str">
        <f>IFERROR(IF(VLOOKUP(A38,'REGISTRO DATOS'!B:H,3,0)=0,"",VLOOKUP(A38,'REGISTRO DATOS'!B:H,3,0)),"")</f>
        <v/>
      </c>
      <c r="D38" s="678" t="str">
        <f>IFERROR(IF(VLOOKUP(A38,'REGISTRO DATOS'!B:H,4,0)=0,"",VLOOKUP(A38,'REGISTRO DATOS'!B:H,4,0)),"")</f>
        <v/>
      </c>
      <c r="E38" s="281">
        <f t="shared" si="0"/>
        <v>0</v>
      </c>
      <c r="F38" s="411"/>
      <c r="G38" s="569">
        <f t="shared" si="1"/>
        <v>0</v>
      </c>
      <c r="H38" s="411"/>
      <c r="I38" s="283">
        <f t="shared" si="2"/>
        <v>0</v>
      </c>
      <c r="J38" s="232"/>
      <c r="K38" s="232"/>
      <c r="L38" s="232"/>
      <c r="M38" s="232"/>
      <c r="N38" s="232"/>
      <c r="O38" s="232"/>
      <c r="P38" s="232"/>
      <c r="Q38" s="232"/>
      <c r="R38" s="232"/>
      <c r="S38" s="232"/>
      <c r="T38" s="233"/>
      <c r="U38" s="234"/>
      <c r="V38" s="43">
        <f>'REGISTRO DATOS'!J36</f>
        <v>0</v>
      </c>
    </row>
    <row r="39" spans="1:22" ht="18" customHeight="1">
      <c r="A39" s="55">
        <v>25</v>
      </c>
      <c r="B39" s="676" t="str">
        <f>IFERROR(IF(VLOOKUP(A39,'REGISTRO DATOS'!B:H,2,0)=0,"",VLOOKUP(A39,'REGISTRO DATOS'!B:H,2,0)),"")</f>
        <v/>
      </c>
      <c r="C39" s="677" t="str">
        <f>IFERROR(IF(VLOOKUP(A39,'REGISTRO DATOS'!B:H,3,0)=0,"",VLOOKUP(A39,'REGISTRO DATOS'!B:H,3,0)),"")</f>
        <v/>
      </c>
      <c r="D39" s="678" t="str">
        <f>IFERROR(IF(VLOOKUP(A39,'REGISTRO DATOS'!B:H,4,0)=0,"",VLOOKUP(A39,'REGISTRO DATOS'!B:H,4,0)),"")</f>
        <v/>
      </c>
      <c r="E39" s="281">
        <f t="shared" si="0"/>
        <v>0</v>
      </c>
      <c r="F39" s="411"/>
      <c r="G39" s="569">
        <f t="shared" si="1"/>
        <v>0</v>
      </c>
      <c r="H39" s="411"/>
      <c r="I39" s="283">
        <f t="shared" si="2"/>
        <v>0</v>
      </c>
      <c r="J39" s="232"/>
      <c r="K39" s="232"/>
      <c r="L39" s="232"/>
      <c r="M39" s="232"/>
      <c r="N39" s="232"/>
      <c r="O39" s="232"/>
      <c r="P39" s="232"/>
      <c r="Q39" s="232"/>
      <c r="R39" s="232"/>
      <c r="S39" s="232"/>
      <c r="T39" s="233"/>
      <c r="U39" s="234"/>
      <c r="V39" s="43">
        <f>'REGISTRO DATOS'!J37</f>
        <v>0</v>
      </c>
    </row>
    <row r="40" spans="1:22" ht="18" customHeight="1">
      <c r="A40" s="52">
        <v>26</v>
      </c>
      <c r="B40" s="676" t="str">
        <f>IFERROR(IF(VLOOKUP(A40,'REGISTRO DATOS'!B:H,2,0)=0,"",VLOOKUP(A40,'REGISTRO DATOS'!B:H,2,0)),"")</f>
        <v/>
      </c>
      <c r="C40" s="677" t="str">
        <f>IFERROR(IF(VLOOKUP(A40,'REGISTRO DATOS'!B:H,3,0)=0,"",VLOOKUP(A40,'REGISTRO DATOS'!B:H,3,0)),"")</f>
        <v/>
      </c>
      <c r="D40" s="678" t="str">
        <f>IFERROR(IF(VLOOKUP(A40,'REGISTRO DATOS'!B:H,4,0)=0,"",VLOOKUP(A40,'REGISTRO DATOS'!B:H,4,0)),"")</f>
        <v/>
      </c>
      <c r="E40" s="281">
        <f t="shared" si="0"/>
        <v>0</v>
      </c>
      <c r="F40" s="411"/>
      <c r="G40" s="569">
        <f t="shared" si="1"/>
        <v>0</v>
      </c>
      <c r="H40" s="411"/>
      <c r="I40" s="283">
        <f t="shared" si="2"/>
        <v>0</v>
      </c>
      <c r="J40" s="232"/>
      <c r="K40" s="232"/>
      <c r="L40" s="232"/>
      <c r="M40" s="232"/>
      <c r="N40" s="232"/>
      <c r="O40" s="232"/>
      <c r="P40" s="232"/>
      <c r="Q40" s="232"/>
      <c r="R40" s="232"/>
      <c r="S40" s="232"/>
      <c r="T40" s="233"/>
      <c r="U40" s="234"/>
      <c r="V40" s="43">
        <f>'REGISTRO DATOS'!J38</f>
        <v>0</v>
      </c>
    </row>
    <row r="41" spans="1:22" ht="18" customHeight="1">
      <c r="A41" s="52">
        <v>27</v>
      </c>
      <c r="B41" s="676" t="str">
        <f>IFERROR(IF(VLOOKUP(A41,'REGISTRO DATOS'!B:H,2,0)=0,"",VLOOKUP(A41,'REGISTRO DATOS'!B:H,2,0)),"")</f>
        <v/>
      </c>
      <c r="C41" s="677" t="str">
        <f>IFERROR(IF(VLOOKUP(A41,'REGISTRO DATOS'!B:H,3,0)=0,"",VLOOKUP(A41,'REGISTRO DATOS'!B:H,3,0)),"")</f>
        <v/>
      </c>
      <c r="D41" s="678" t="str">
        <f>IFERROR(IF(VLOOKUP(A41,'REGISTRO DATOS'!B:H,4,0)=0,"",VLOOKUP(A41,'REGISTRO DATOS'!B:H,4,0)),"")</f>
        <v/>
      </c>
      <c r="E41" s="281">
        <f t="shared" si="0"/>
        <v>0</v>
      </c>
      <c r="F41" s="411"/>
      <c r="G41" s="569">
        <f t="shared" si="1"/>
        <v>0</v>
      </c>
      <c r="H41" s="411"/>
      <c r="I41" s="283">
        <f t="shared" si="2"/>
        <v>0</v>
      </c>
      <c r="J41" s="232"/>
      <c r="K41" s="232"/>
      <c r="L41" s="232"/>
      <c r="M41" s="232"/>
      <c r="N41" s="232"/>
      <c r="O41" s="232"/>
      <c r="P41" s="232"/>
      <c r="Q41" s="232"/>
      <c r="R41" s="232"/>
      <c r="S41" s="232"/>
      <c r="T41" s="233"/>
      <c r="U41" s="234"/>
      <c r="V41" s="43">
        <f>'REGISTRO DATOS'!J39</f>
        <v>0</v>
      </c>
    </row>
    <row r="42" spans="1:22" ht="18" customHeight="1">
      <c r="A42" s="55">
        <v>28</v>
      </c>
      <c r="B42" s="676" t="str">
        <f>IFERROR(IF(VLOOKUP(A42,'REGISTRO DATOS'!B:H,2,0)=0,"",VLOOKUP(A42,'REGISTRO DATOS'!B:H,2,0)),"")</f>
        <v/>
      </c>
      <c r="C42" s="677" t="str">
        <f>IFERROR(IF(VLOOKUP(A42,'REGISTRO DATOS'!B:H,3,0)=0,"",VLOOKUP(A42,'REGISTRO DATOS'!B:H,3,0)),"")</f>
        <v/>
      </c>
      <c r="D42" s="678" t="str">
        <f>IFERROR(IF(VLOOKUP(A42,'REGISTRO DATOS'!B:H,4,0)=0,"",VLOOKUP(A42,'REGISTRO DATOS'!B:H,4,0)),"")</f>
        <v/>
      </c>
      <c r="E42" s="281">
        <f t="shared" si="0"/>
        <v>0</v>
      </c>
      <c r="F42" s="411"/>
      <c r="G42" s="569">
        <f t="shared" si="1"/>
        <v>0</v>
      </c>
      <c r="H42" s="411"/>
      <c r="I42" s="283">
        <f t="shared" si="2"/>
        <v>0</v>
      </c>
      <c r="J42" s="232"/>
      <c r="K42" s="232"/>
      <c r="L42" s="232"/>
      <c r="M42" s="232"/>
      <c r="N42" s="232"/>
      <c r="O42" s="232"/>
      <c r="P42" s="232"/>
      <c r="Q42" s="232"/>
      <c r="R42" s="232"/>
      <c r="S42" s="232"/>
      <c r="T42" s="233"/>
      <c r="U42" s="234"/>
      <c r="V42" s="43">
        <f>'REGISTRO DATOS'!J40</f>
        <v>0</v>
      </c>
    </row>
    <row r="43" spans="1:22" ht="18" customHeight="1">
      <c r="A43" s="52">
        <v>29</v>
      </c>
      <c r="B43" s="676" t="str">
        <f>IFERROR(IF(VLOOKUP(A43,'REGISTRO DATOS'!B:H,2,0)=0,"",VLOOKUP(A43,'REGISTRO DATOS'!B:H,2,0)),"")</f>
        <v/>
      </c>
      <c r="C43" s="677" t="str">
        <f>IFERROR(IF(VLOOKUP(A43,'REGISTRO DATOS'!B:H,3,0)=0,"",VLOOKUP(A43,'REGISTRO DATOS'!B:H,3,0)),"")</f>
        <v/>
      </c>
      <c r="D43" s="678" t="str">
        <f>IFERROR(IF(VLOOKUP(A43,'REGISTRO DATOS'!B:H,4,0)=0,"",VLOOKUP(A43,'REGISTRO DATOS'!B:H,4,0)),"")</f>
        <v/>
      </c>
      <c r="E43" s="281">
        <f t="shared" si="0"/>
        <v>0</v>
      </c>
      <c r="F43" s="411"/>
      <c r="G43" s="569">
        <f t="shared" si="1"/>
        <v>0</v>
      </c>
      <c r="H43" s="411"/>
      <c r="I43" s="283">
        <f t="shared" si="2"/>
        <v>0</v>
      </c>
      <c r="J43" s="232"/>
      <c r="K43" s="232"/>
      <c r="L43" s="232"/>
      <c r="M43" s="232"/>
      <c r="N43" s="232"/>
      <c r="O43" s="232"/>
      <c r="P43" s="232"/>
      <c r="Q43" s="232"/>
      <c r="R43" s="232"/>
      <c r="S43" s="232"/>
      <c r="T43" s="233"/>
      <c r="U43" s="234"/>
      <c r="V43" s="43">
        <f>'REGISTRO DATOS'!J41</f>
        <v>0</v>
      </c>
    </row>
    <row r="44" spans="1:22" ht="18" customHeight="1">
      <c r="A44" s="52">
        <v>30</v>
      </c>
      <c r="B44" s="676" t="str">
        <f>IFERROR(IF(VLOOKUP(A44,'REGISTRO DATOS'!B:H,2,0)=0,"",VLOOKUP(A44,'REGISTRO DATOS'!B:H,2,0)),"")</f>
        <v/>
      </c>
      <c r="C44" s="677" t="str">
        <f>IFERROR(IF(VLOOKUP(A44,'REGISTRO DATOS'!B:H,3,0)=0,"",VLOOKUP(A44,'REGISTRO DATOS'!B:H,3,0)),"")</f>
        <v/>
      </c>
      <c r="D44" s="678" t="str">
        <f>IFERROR(IF(VLOOKUP(A44,'REGISTRO DATOS'!B:H,4,0)=0,"",VLOOKUP(A44,'REGISTRO DATOS'!B:H,4,0)),"")</f>
        <v/>
      </c>
      <c r="E44" s="281">
        <f t="shared" si="0"/>
        <v>0</v>
      </c>
      <c r="F44" s="411"/>
      <c r="G44" s="569">
        <f t="shared" si="1"/>
        <v>0</v>
      </c>
      <c r="H44" s="411"/>
      <c r="I44" s="283">
        <f t="shared" si="2"/>
        <v>0</v>
      </c>
      <c r="J44" s="232"/>
      <c r="K44" s="232"/>
      <c r="L44" s="232"/>
      <c r="M44" s="232"/>
      <c r="N44" s="232"/>
      <c r="O44" s="232"/>
      <c r="P44" s="232"/>
      <c r="Q44" s="232"/>
      <c r="R44" s="232"/>
      <c r="S44" s="232"/>
      <c r="T44" s="233"/>
      <c r="U44" s="234"/>
      <c r="V44" s="43">
        <f>'REGISTRO DATOS'!J42</f>
        <v>0</v>
      </c>
    </row>
    <row r="45" spans="1:22" ht="18" customHeight="1">
      <c r="A45" s="55">
        <v>31</v>
      </c>
      <c r="B45" s="676" t="str">
        <f>IFERROR(IF(VLOOKUP(A45,'REGISTRO DATOS'!B:H,2,0)=0,"",VLOOKUP(A45,'REGISTRO DATOS'!B:H,2,0)),"")</f>
        <v/>
      </c>
      <c r="C45" s="677" t="str">
        <f>IFERROR(IF(VLOOKUP(A45,'REGISTRO DATOS'!B:H,3,0)=0,"",VLOOKUP(A45,'REGISTRO DATOS'!B:H,3,0)),"")</f>
        <v/>
      </c>
      <c r="D45" s="678" t="str">
        <f>IFERROR(IF(VLOOKUP(A45,'REGISTRO DATOS'!B:H,4,0)=0,"",VLOOKUP(A45,'REGISTRO DATOS'!B:H,4,0)),"")</f>
        <v/>
      </c>
      <c r="E45" s="281">
        <f t="shared" si="0"/>
        <v>0</v>
      </c>
      <c r="F45" s="411"/>
      <c r="G45" s="569">
        <f t="shared" si="1"/>
        <v>0</v>
      </c>
      <c r="H45" s="411"/>
      <c r="I45" s="283">
        <f t="shared" si="2"/>
        <v>0</v>
      </c>
      <c r="J45" s="232"/>
      <c r="K45" s="232"/>
      <c r="L45" s="232"/>
      <c r="M45" s="232"/>
      <c r="N45" s="232"/>
      <c r="O45" s="232"/>
      <c r="P45" s="232"/>
      <c r="Q45" s="232"/>
      <c r="R45" s="232"/>
      <c r="S45" s="232"/>
      <c r="T45" s="233"/>
      <c r="U45" s="234"/>
      <c r="V45" s="43">
        <f>'REGISTRO DATOS'!J43</f>
        <v>0</v>
      </c>
    </row>
    <row r="46" spans="1:22" ht="18" customHeight="1">
      <c r="A46" s="52">
        <v>32</v>
      </c>
      <c r="B46" s="676" t="str">
        <f>IFERROR(IF(VLOOKUP(A46,'REGISTRO DATOS'!B:H,2,0)=0,"",VLOOKUP(A46,'REGISTRO DATOS'!B:H,2,0)),"")</f>
        <v/>
      </c>
      <c r="C46" s="677" t="str">
        <f>IFERROR(IF(VLOOKUP(A46,'REGISTRO DATOS'!B:H,3,0)=0,"",VLOOKUP(A46,'REGISTRO DATOS'!B:H,3,0)),"")</f>
        <v/>
      </c>
      <c r="D46" s="678" t="str">
        <f>IFERROR(IF(VLOOKUP(A46,'REGISTRO DATOS'!B:H,4,0)=0,"",VLOOKUP(A46,'REGISTRO DATOS'!B:H,4,0)),"")</f>
        <v/>
      </c>
      <c r="E46" s="281">
        <f t="shared" si="0"/>
        <v>0</v>
      </c>
      <c r="F46" s="411"/>
      <c r="G46" s="569">
        <f t="shared" si="1"/>
        <v>0</v>
      </c>
      <c r="H46" s="411"/>
      <c r="I46" s="283">
        <f t="shared" si="2"/>
        <v>0</v>
      </c>
      <c r="J46" s="232"/>
      <c r="K46" s="232"/>
      <c r="L46" s="232"/>
      <c r="M46" s="232"/>
      <c r="N46" s="232"/>
      <c r="O46" s="232"/>
      <c r="P46" s="232"/>
      <c r="Q46" s="232"/>
      <c r="R46" s="232"/>
      <c r="S46" s="232"/>
      <c r="T46" s="233"/>
      <c r="U46" s="234"/>
      <c r="V46" s="43">
        <f>'REGISTRO DATOS'!J44</f>
        <v>0</v>
      </c>
    </row>
    <row r="47" spans="1:22" ht="18" customHeight="1">
      <c r="A47" s="52">
        <v>33</v>
      </c>
      <c r="B47" s="676" t="str">
        <f>IFERROR(IF(VLOOKUP(A47,'REGISTRO DATOS'!B:H,2,0)=0,"",VLOOKUP(A47,'REGISTRO DATOS'!B:H,2,0)),"")</f>
        <v/>
      </c>
      <c r="C47" s="677" t="str">
        <f>IFERROR(IF(VLOOKUP(A47,'REGISTRO DATOS'!B:H,3,0)=0,"",VLOOKUP(A47,'REGISTRO DATOS'!B:H,3,0)),"")</f>
        <v/>
      </c>
      <c r="D47" s="678" t="str">
        <f>IFERROR(IF(VLOOKUP(A47,'REGISTRO DATOS'!B:H,4,0)=0,"",VLOOKUP(A47,'REGISTRO DATOS'!B:H,4,0)),"")</f>
        <v/>
      </c>
      <c r="E47" s="281">
        <f t="shared" si="0"/>
        <v>0</v>
      </c>
      <c r="F47" s="411"/>
      <c r="G47" s="569">
        <f t="shared" si="1"/>
        <v>0</v>
      </c>
      <c r="H47" s="411"/>
      <c r="I47" s="283">
        <f t="shared" si="2"/>
        <v>0</v>
      </c>
      <c r="J47" s="232"/>
      <c r="K47" s="232"/>
      <c r="L47" s="232"/>
      <c r="M47" s="232"/>
      <c r="N47" s="232"/>
      <c r="O47" s="232"/>
      <c r="P47" s="232"/>
      <c r="Q47" s="232"/>
      <c r="R47" s="232"/>
      <c r="S47" s="232"/>
      <c r="T47" s="233"/>
      <c r="U47" s="234"/>
      <c r="V47" s="43">
        <f>'REGISTRO DATOS'!J45</f>
        <v>0</v>
      </c>
    </row>
    <row r="48" spans="1:22" ht="18" customHeight="1">
      <c r="A48" s="55">
        <v>34</v>
      </c>
      <c r="B48" s="676" t="str">
        <f>IFERROR(IF(VLOOKUP(A48,'REGISTRO DATOS'!B:H,2,0)=0,"",VLOOKUP(A48,'REGISTRO DATOS'!B:H,2,0)),"")</f>
        <v/>
      </c>
      <c r="C48" s="677" t="str">
        <f>IFERROR(IF(VLOOKUP(A48,'REGISTRO DATOS'!B:H,3,0)=0,"",VLOOKUP(A48,'REGISTRO DATOS'!B:H,3,0)),"")</f>
        <v/>
      </c>
      <c r="D48" s="678" t="str">
        <f>IFERROR(IF(VLOOKUP(A48,'REGISTRO DATOS'!B:H,4,0)=0,"",VLOOKUP(A48,'REGISTRO DATOS'!B:H,4,0)),"")</f>
        <v/>
      </c>
      <c r="E48" s="281">
        <f t="shared" si="0"/>
        <v>0</v>
      </c>
      <c r="F48" s="411"/>
      <c r="G48" s="569">
        <f t="shared" si="1"/>
        <v>0</v>
      </c>
      <c r="H48" s="411"/>
      <c r="I48" s="283">
        <f t="shared" si="2"/>
        <v>0</v>
      </c>
      <c r="J48" s="232"/>
      <c r="K48" s="232"/>
      <c r="L48" s="232"/>
      <c r="M48" s="232"/>
      <c r="N48" s="232"/>
      <c r="O48" s="232"/>
      <c r="P48" s="232"/>
      <c r="Q48" s="232"/>
      <c r="R48" s="232"/>
      <c r="S48" s="232"/>
      <c r="T48" s="233"/>
      <c r="U48" s="234"/>
      <c r="V48" s="43">
        <f>'REGISTRO DATOS'!J46</f>
        <v>0</v>
      </c>
    </row>
    <row r="49" spans="1:22" ht="18" customHeight="1">
      <c r="A49" s="52">
        <v>35</v>
      </c>
      <c r="B49" s="676" t="str">
        <f>IFERROR(IF(VLOOKUP(A49,'REGISTRO DATOS'!B:H,2,0)=0,"",VLOOKUP(A49,'REGISTRO DATOS'!B:H,2,0)),"")</f>
        <v/>
      </c>
      <c r="C49" s="677" t="str">
        <f>IFERROR(IF(VLOOKUP(A49,'REGISTRO DATOS'!B:H,3,0)=0,"",VLOOKUP(A49,'REGISTRO DATOS'!B:H,3,0)),"")</f>
        <v/>
      </c>
      <c r="D49" s="678" t="str">
        <f>IFERROR(IF(VLOOKUP(A49,'REGISTRO DATOS'!B:H,4,0)=0,"",VLOOKUP(A49,'REGISTRO DATOS'!B:H,4,0)),"")</f>
        <v/>
      </c>
      <c r="E49" s="281">
        <f t="shared" si="0"/>
        <v>0</v>
      </c>
      <c r="F49" s="411"/>
      <c r="G49" s="569">
        <f t="shared" si="1"/>
        <v>0</v>
      </c>
      <c r="H49" s="411"/>
      <c r="I49" s="283">
        <f t="shared" si="2"/>
        <v>0</v>
      </c>
      <c r="J49" s="232"/>
      <c r="K49" s="232"/>
      <c r="L49" s="232"/>
      <c r="M49" s="232"/>
      <c r="N49" s="232"/>
      <c r="O49" s="232"/>
      <c r="P49" s="232"/>
      <c r="Q49" s="232"/>
      <c r="R49" s="232"/>
      <c r="S49" s="232"/>
      <c r="T49" s="233"/>
      <c r="U49" s="234"/>
      <c r="V49" s="43">
        <f>'REGISTRO DATOS'!J47</f>
        <v>0</v>
      </c>
    </row>
    <row r="50" spans="1:22" ht="18" customHeight="1">
      <c r="A50" s="52">
        <v>36</v>
      </c>
      <c r="B50" s="676" t="str">
        <f>IFERROR(IF(VLOOKUP(A50,'REGISTRO DATOS'!B:H,2,0)=0,"",VLOOKUP(A50,'REGISTRO DATOS'!B:H,2,0)),"")</f>
        <v/>
      </c>
      <c r="C50" s="677" t="str">
        <f>IFERROR(IF(VLOOKUP(A50,'REGISTRO DATOS'!B:H,3,0)=0,"",VLOOKUP(A50,'REGISTRO DATOS'!B:H,3,0)),"")</f>
        <v/>
      </c>
      <c r="D50" s="678" t="str">
        <f>IFERROR(IF(VLOOKUP(A50,'REGISTRO DATOS'!B:H,4,0)=0,"",VLOOKUP(A50,'REGISTRO DATOS'!B:H,4,0)),"")</f>
        <v/>
      </c>
      <c r="E50" s="281">
        <f t="shared" si="0"/>
        <v>0</v>
      </c>
      <c r="F50" s="411"/>
      <c r="G50" s="569">
        <f t="shared" si="1"/>
        <v>0</v>
      </c>
      <c r="H50" s="411"/>
      <c r="I50" s="283">
        <f t="shared" si="2"/>
        <v>0</v>
      </c>
      <c r="J50" s="232"/>
      <c r="K50" s="232"/>
      <c r="L50" s="232"/>
      <c r="M50" s="232"/>
      <c r="N50" s="232"/>
      <c r="O50" s="232"/>
      <c r="P50" s="232"/>
      <c r="Q50" s="232"/>
      <c r="R50" s="232"/>
      <c r="S50" s="232"/>
      <c r="T50" s="233"/>
      <c r="U50" s="234"/>
      <c r="V50" s="43">
        <f>'REGISTRO DATOS'!J48</f>
        <v>0</v>
      </c>
    </row>
    <row r="51" spans="1:22" ht="18" customHeight="1">
      <c r="A51" s="55">
        <v>37</v>
      </c>
      <c r="B51" s="676" t="str">
        <f>IFERROR(IF(VLOOKUP(A51,'REGISTRO DATOS'!B:H,2,0)=0,"",VLOOKUP(A51,'REGISTRO DATOS'!B:H,2,0)),"")</f>
        <v/>
      </c>
      <c r="C51" s="677" t="str">
        <f>IFERROR(IF(VLOOKUP(A51,'REGISTRO DATOS'!B:H,3,0)=0,"",VLOOKUP(A51,'REGISTRO DATOS'!B:H,3,0)),"")</f>
        <v/>
      </c>
      <c r="D51" s="678" t="str">
        <f>IFERROR(IF(VLOOKUP(A51,'REGISTRO DATOS'!B:H,4,0)=0,"",VLOOKUP(A51,'REGISTRO DATOS'!B:H,4,0)),"")</f>
        <v/>
      </c>
      <c r="E51" s="281">
        <f t="shared" si="0"/>
        <v>0</v>
      </c>
      <c r="F51" s="411"/>
      <c r="G51" s="569">
        <f t="shared" si="1"/>
        <v>0</v>
      </c>
      <c r="H51" s="411"/>
      <c r="I51" s="283">
        <f t="shared" si="2"/>
        <v>0</v>
      </c>
      <c r="J51" s="232"/>
      <c r="K51" s="232"/>
      <c r="L51" s="232"/>
      <c r="M51" s="232"/>
      <c r="N51" s="232"/>
      <c r="O51" s="232"/>
      <c r="P51" s="232"/>
      <c r="Q51" s="232"/>
      <c r="R51" s="232"/>
      <c r="S51" s="232"/>
      <c r="T51" s="233"/>
      <c r="U51" s="234"/>
      <c r="V51" s="43">
        <f>'REGISTRO DATOS'!J49</f>
        <v>0</v>
      </c>
    </row>
    <row r="52" spans="1:22" ht="18" customHeight="1">
      <c r="A52" s="52">
        <v>38</v>
      </c>
      <c r="B52" s="676" t="str">
        <f>IFERROR(IF(VLOOKUP(A52,'REGISTRO DATOS'!B:H,2,0)=0,"",VLOOKUP(A52,'REGISTRO DATOS'!B:H,2,0)),"")</f>
        <v/>
      </c>
      <c r="C52" s="677" t="str">
        <f>IFERROR(IF(VLOOKUP(A52,'REGISTRO DATOS'!B:H,3,0)=0,"",VLOOKUP(A52,'REGISTRO DATOS'!B:H,3,0)),"")</f>
        <v/>
      </c>
      <c r="D52" s="678" t="str">
        <f>IFERROR(IF(VLOOKUP(A52,'REGISTRO DATOS'!B:H,4,0)=0,"",VLOOKUP(A52,'REGISTRO DATOS'!B:H,4,0)),"")</f>
        <v/>
      </c>
      <c r="E52" s="281">
        <f t="shared" si="0"/>
        <v>0</v>
      </c>
      <c r="F52" s="411"/>
      <c r="G52" s="569">
        <f t="shared" si="1"/>
        <v>0</v>
      </c>
      <c r="H52" s="411"/>
      <c r="I52" s="283">
        <f t="shared" si="2"/>
        <v>0</v>
      </c>
      <c r="J52" s="232"/>
      <c r="K52" s="232"/>
      <c r="L52" s="232"/>
      <c r="M52" s="232"/>
      <c r="N52" s="232"/>
      <c r="O52" s="232"/>
      <c r="P52" s="232"/>
      <c r="Q52" s="232"/>
      <c r="R52" s="232"/>
      <c r="S52" s="232"/>
      <c r="T52" s="233"/>
      <c r="U52" s="234"/>
      <c r="V52" s="43">
        <f>'REGISTRO DATOS'!J50</f>
        <v>0</v>
      </c>
    </row>
    <row r="53" spans="1:22" ht="18" customHeight="1">
      <c r="A53" s="52">
        <v>39</v>
      </c>
      <c r="B53" s="676" t="str">
        <f>IFERROR(IF(VLOOKUP(A53,'REGISTRO DATOS'!B:H,2,0)=0,"",VLOOKUP(A53,'REGISTRO DATOS'!B:H,2,0)),"")</f>
        <v/>
      </c>
      <c r="C53" s="677" t="str">
        <f>IFERROR(IF(VLOOKUP(A53,'REGISTRO DATOS'!B:H,3,0)=0,"",VLOOKUP(A53,'REGISTRO DATOS'!B:H,3,0)),"")</f>
        <v/>
      </c>
      <c r="D53" s="678" t="str">
        <f>IFERROR(IF(VLOOKUP(A53,'REGISTRO DATOS'!B:H,4,0)=0,"",VLOOKUP(A53,'REGISTRO DATOS'!B:H,4,0)),"")</f>
        <v/>
      </c>
      <c r="E53" s="281">
        <f t="shared" si="0"/>
        <v>0</v>
      </c>
      <c r="F53" s="411"/>
      <c r="G53" s="569">
        <f t="shared" si="1"/>
        <v>0</v>
      </c>
      <c r="H53" s="411"/>
      <c r="I53" s="283">
        <f t="shared" si="2"/>
        <v>0</v>
      </c>
      <c r="J53" s="232"/>
      <c r="K53" s="232"/>
      <c r="L53" s="232"/>
      <c r="M53" s="232"/>
      <c r="N53" s="232"/>
      <c r="O53" s="232"/>
      <c r="P53" s="232"/>
      <c r="Q53" s="232"/>
      <c r="R53" s="232"/>
      <c r="S53" s="232"/>
      <c r="T53" s="233"/>
      <c r="U53" s="234"/>
      <c r="V53" s="43">
        <f>'REGISTRO DATOS'!J51</f>
        <v>0</v>
      </c>
    </row>
    <row r="54" spans="1:22" ht="18" customHeight="1">
      <c r="A54" s="432">
        <v>40</v>
      </c>
      <c r="B54" s="679" t="str">
        <f>IFERROR(IF(VLOOKUP(A54,'REGISTRO DATOS'!B:H,2,0)=0,"",VLOOKUP(A54,'REGISTRO DATOS'!B:H,2,0)),"")</f>
        <v/>
      </c>
      <c r="C54" s="680" t="str">
        <f>IFERROR(IF(VLOOKUP(A54,'REGISTRO DATOS'!B:H,3,0)=0,"",VLOOKUP(A54,'REGISTRO DATOS'!B:H,3,0)),"")</f>
        <v/>
      </c>
      <c r="D54" s="681" t="str">
        <f>IFERROR(IF(VLOOKUP(A54,'REGISTRO DATOS'!B:H,4,0)=0,"",VLOOKUP(A54,'REGISTRO DATOS'!B:H,4,0)),"")</f>
        <v/>
      </c>
      <c r="E54" s="281">
        <f t="shared" si="0"/>
        <v>0</v>
      </c>
      <c r="F54" s="411"/>
      <c r="G54" s="569">
        <f t="shared" si="1"/>
        <v>0</v>
      </c>
      <c r="H54" s="411"/>
      <c r="I54" s="283">
        <f t="shared" si="2"/>
        <v>0</v>
      </c>
      <c r="J54" s="232"/>
      <c r="K54" s="232"/>
      <c r="L54" s="232"/>
      <c r="M54" s="232"/>
      <c r="N54" s="232"/>
      <c r="O54" s="232"/>
      <c r="P54" s="232"/>
      <c r="Q54" s="232"/>
      <c r="R54" s="232"/>
      <c r="S54" s="232"/>
      <c r="T54" s="233"/>
      <c r="U54" s="234"/>
      <c r="V54" s="43">
        <f>'REGISTRO DATOS'!J52</f>
        <v>0</v>
      </c>
    </row>
    <row r="55" spans="1:22" ht="18" customHeight="1">
      <c r="A55" s="223"/>
      <c r="B55" s="223"/>
      <c r="C55" s="223"/>
      <c r="D55" s="223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</row>
    <row r="56" spans="1:22" ht="18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</row>
    <row r="57" spans="1:22" ht="18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</row>
    <row r="58" spans="1:22" ht="18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</row>
    <row r="59" spans="1:22" ht="18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</row>
    <row r="60" spans="1:22" ht="18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</row>
    <row r="61" spans="1:22" ht="17.2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</row>
    <row r="62" spans="1:22" ht="17.2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</row>
    <row r="63" spans="1:22" ht="17.2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</row>
    <row r="64" spans="1:22" ht="1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</row>
    <row r="65" spans="1:21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</row>
    <row r="66" spans="1:21" ht="1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</row>
    <row r="67" spans="1:21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</row>
    <row r="68" spans="1:21" ht="1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</row>
    <row r="69" spans="1:21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</row>
    <row r="70" spans="1:21" ht="1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</row>
    <row r="71" spans="1:2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</row>
    <row r="72" spans="1:21" ht="1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</row>
    <row r="73" spans="1:21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</row>
    <row r="74" spans="1:21" ht="1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</row>
    <row r="75" spans="1:21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</row>
    <row r="76" spans="1:21" ht="1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</row>
    <row r="77" spans="1:21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</row>
    <row r="78" spans="1:21" ht="1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</row>
    <row r="79" spans="1:21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</row>
    <row r="80" spans="1:2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</row>
    <row r="81" spans="1:2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</row>
    <row r="82" spans="1:2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</row>
    <row r="83" spans="1:2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</row>
    <row r="84" spans="1:2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</row>
    <row r="85" spans="1:2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</row>
    <row r="86" spans="1:2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</row>
    <row r="87" spans="1:2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</row>
    <row r="88" spans="1:2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</row>
    <row r="89" spans="1:2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</row>
    <row r="90" spans="1:2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</row>
    <row r="91" spans="1:2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</row>
    <row r="92" spans="1:2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</row>
    <row r="93" spans="1:2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</row>
    <row r="94" spans="1:2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</row>
    <row r="95" spans="1:2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</row>
    <row r="96" spans="1:2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</row>
    <row r="97" spans="1:2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</row>
    <row r="98" spans="1:2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</row>
    <row r="99" spans="1:2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</row>
    <row r="100" spans="1:2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</row>
    <row r="101" spans="1:2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</row>
    <row r="102" spans="1:2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</row>
    <row r="103" spans="1:2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</row>
    <row r="104" spans="1:2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</row>
    <row r="105" spans="1:2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</row>
    <row r="106" spans="1:2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</row>
    <row r="107" spans="1:2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</row>
    <row r="108" spans="1:2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</row>
  </sheetData>
  <dataConsolidate/>
  <mergeCells count="37">
    <mergeCell ref="A13:D13"/>
    <mergeCell ref="Z25:AC25"/>
    <mergeCell ref="Z26:AA26"/>
    <mergeCell ref="AB26:AC26"/>
    <mergeCell ref="Z15:AC15"/>
    <mergeCell ref="Z16:AA16"/>
    <mergeCell ref="AB16:AC16"/>
    <mergeCell ref="Z20:AC20"/>
    <mergeCell ref="Z21:AA21"/>
    <mergeCell ref="AB21:AC21"/>
    <mergeCell ref="T15:T22"/>
    <mergeCell ref="T25:T32"/>
    <mergeCell ref="E10:H10"/>
    <mergeCell ref="O10:S10"/>
    <mergeCell ref="E11:I11"/>
    <mergeCell ref="E12:G12"/>
    <mergeCell ref="H12:I12"/>
    <mergeCell ref="A8:D8"/>
    <mergeCell ref="E8:M8"/>
    <mergeCell ref="O8:S8"/>
    <mergeCell ref="A9:D9"/>
    <mergeCell ref="E9:K9"/>
    <mergeCell ref="O9:S9"/>
    <mergeCell ref="O5:R5"/>
    <mergeCell ref="A6:D6"/>
    <mergeCell ref="E6:M6"/>
    <mergeCell ref="O6:R6"/>
    <mergeCell ref="A7:D7"/>
    <mergeCell ref="E7:M7"/>
    <mergeCell ref="A5:D5"/>
    <mergeCell ref="E5:I5"/>
    <mergeCell ref="A2:B2"/>
    <mergeCell ref="A3:D3"/>
    <mergeCell ref="E3:M3"/>
    <mergeCell ref="A4:D4"/>
    <mergeCell ref="E4:M4"/>
    <mergeCell ref="C2:H2"/>
  </mergeCells>
  <dataValidations count="1">
    <dataValidation type="list" allowBlank="1" showInputMessage="1" showErrorMessage="1" sqref="U55:U63" xr:uid="{00000000-0002-0000-0800-000000000000}">
      <formula1>$U$9:$U$10</formula1>
    </dataValidation>
  </dataValidations>
  <pageMargins left="0.7" right="0.7" top="0.75" bottom="0.75" header="0.3" footer="0.3"/>
  <pageSetup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22">
    <tabColor rgb="FF9F480D"/>
  </sheetPr>
  <dimension ref="A1:AC108"/>
  <sheetViews>
    <sheetView showGridLines="0" showRowColHeaders="0" zoomScale="76" zoomScaleNormal="70" workbookViewId="0">
      <selection activeCell="N9" sqref="N9:S9"/>
    </sheetView>
  </sheetViews>
  <sheetFormatPr baseColWidth="10" defaultRowHeight="15"/>
  <cols>
    <col min="1" max="1" width="3.28515625" customWidth="1" collapsed="1"/>
    <col min="2" max="2" width="17.28515625" bestFit="1" customWidth="1" collapsed="1"/>
    <col min="3" max="3" width="18" bestFit="1" customWidth="1" collapsed="1"/>
    <col min="4" max="4" width="32" bestFit="1" customWidth="1" collapsed="1"/>
    <col min="5" max="10" width="10.7109375" customWidth="1" collapsed="1"/>
    <col min="11" max="13" width="4.28515625" bestFit="1" customWidth="1" collapsed="1"/>
    <col min="14" max="14" width="4.85546875" customWidth="1" collapsed="1"/>
    <col min="15" max="17" width="4.28515625" bestFit="1" customWidth="1" collapsed="1"/>
    <col min="18" max="18" width="7.5703125" bestFit="1" customWidth="1" collapsed="1"/>
    <col min="19" max="19" width="49.140625" customWidth="1" collapsed="1"/>
    <col min="20" max="20" width="15.28515625" customWidth="1" collapsed="1"/>
    <col min="21" max="21" width="7.28515625" hidden="1" customWidth="1"/>
    <col min="25" max="27" width="0" hidden="1" customWidth="1"/>
    <col min="28" max="28" width="10.140625" hidden="1" customWidth="1"/>
    <col min="29" max="29" width="0" hidden="1" customWidth="1"/>
  </cols>
  <sheetData>
    <row r="1" spans="1:28" ht="15" customHeight="1"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</row>
    <row r="2" spans="1:28" ht="9.75" customHeight="1">
      <c r="E2" s="206"/>
      <c r="F2" s="206"/>
      <c r="G2" s="206"/>
      <c r="H2" s="206"/>
      <c r="I2" s="206"/>
      <c r="J2" s="206"/>
      <c r="K2" s="206"/>
      <c r="L2" s="206"/>
      <c r="M2" s="211"/>
      <c r="N2" s="211"/>
      <c r="O2" s="211"/>
      <c r="P2" s="211"/>
      <c r="Q2" s="211"/>
      <c r="R2" s="211"/>
    </row>
    <row r="3" spans="1:28" ht="45.75">
      <c r="A3" s="810"/>
      <c r="B3" s="810"/>
      <c r="C3" s="865" t="s">
        <v>264</v>
      </c>
      <c r="D3" s="865"/>
      <c r="E3" s="865"/>
      <c r="F3" s="865"/>
      <c r="G3" s="865"/>
      <c r="H3" s="865"/>
      <c r="I3" s="210"/>
      <c r="J3" s="210"/>
      <c r="K3" s="210"/>
      <c r="L3" s="210"/>
      <c r="M3" s="212"/>
      <c r="N3" s="212"/>
      <c r="O3" s="212"/>
      <c r="P3" s="212"/>
      <c r="Q3" s="212"/>
      <c r="R3" s="212"/>
      <c r="S3" s="212"/>
      <c r="T3" s="212"/>
    </row>
    <row r="4" spans="1:28" ht="18">
      <c r="A4" s="864" t="s">
        <v>226</v>
      </c>
      <c r="B4" s="864"/>
      <c r="C4" s="864"/>
      <c r="D4" s="864"/>
      <c r="E4" s="796">
        <f>'REGISTRO DATOS'!I3</f>
        <v>0</v>
      </c>
      <c r="F4" s="796"/>
      <c r="G4" s="796"/>
      <c r="H4" s="796"/>
      <c r="I4" s="796"/>
      <c r="J4" s="796"/>
      <c r="K4" s="796"/>
      <c r="L4" s="796"/>
      <c r="M4" s="61"/>
      <c r="N4" s="62"/>
      <c r="O4" s="62"/>
      <c r="P4" s="62"/>
      <c r="Q4" s="62"/>
      <c r="R4" s="62"/>
      <c r="S4" s="62"/>
      <c r="T4" s="62"/>
    </row>
    <row r="5" spans="1:28" ht="20.25">
      <c r="A5" s="864" t="s">
        <v>215</v>
      </c>
      <c r="B5" s="864"/>
      <c r="C5" s="864"/>
      <c r="D5" s="864"/>
      <c r="E5" s="796" t="str">
        <f>'REGISTRO DATOS'!I4</f>
        <v>COTO</v>
      </c>
      <c r="F5" s="796"/>
      <c r="G5" s="796"/>
      <c r="H5" s="796"/>
      <c r="I5" s="796"/>
      <c r="J5" s="796"/>
      <c r="K5" s="796"/>
      <c r="L5" s="796"/>
      <c r="M5" s="62"/>
      <c r="N5" s="866"/>
      <c r="O5" s="866"/>
      <c r="P5" s="866"/>
      <c r="Q5" s="866"/>
      <c r="R5" s="241"/>
      <c r="S5" s="389"/>
      <c r="T5" s="62"/>
    </row>
    <row r="6" spans="1:28" ht="20.25">
      <c r="A6" s="864" t="s">
        <v>217</v>
      </c>
      <c r="B6" s="864"/>
      <c r="C6" s="864"/>
      <c r="D6" s="864"/>
      <c r="E6" s="796" t="str">
        <f>'REGISTRO DATOS'!I5</f>
        <v>06</v>
      </c>
      <c r="F6" s="796"/>
      <c r="G6" s="796"/>
      <c r="H6" s="796"/>
      <c r="I6" s="796"/>
      <c r="J6" s="796"/>
      <c r="K6" s="388"/>
      <c r="L6" s="388"/>
      <c r="M6" s="66"/>
      <c r="N6" s="866"/>
      <c r="O6" s="866"/>
      <c r="P6" s="866"/>
      <c r="Q6" s="866"/>
      <c r="R6" s="390"/>
      <c r="S6" s="391"/>
      <c r="T6" s="69"/>
    </row>
    <row r="7" spans="1:28" ht="18.75" customHeight="1">
      <c r="A7" s="864" t="s">
        <v>227</v>
      </c>
      <c r="B7" s="864"/>
      <c r="C7" s="864"/>
      <c r="D7" s="864"/>
      <c r="E7" s="796">
        <f>'REGISTRO DATOS'!I6</f>
        <v>0</v>
      </c>
      <c r="F7" s="796"/>
      <c r="G7" s="796"/>
      <c r="H7" s="796"/>
      <c r="I7" s="796"/>
      <c r="J7" s="796"/>
      <c r="K7" s="796"/>
      <c r="L7" s="796"/>
      <c r="M7" s="73"/>
      <c r="N7" s="73"/>
      <c r="O7" s="73"/>
      <c r="P7" s="2"/>
      <c r="Q7" s="3"/>
      <c r="R7" s="3"/>
      <c r="S7" s="3"/>
      <c r="T7" s="3"/>
    </row>
    <row r="8" spans="1:28" ht="19.5" customHeight="1">
      <c r="A8" s="864" t="s">
        <v>228</v>
      </c>
      <c r="B8" s="864"/>
      <c r="C8" s="864"/>
      <c r="D8" s="864"/>
      <c r="E8" s="796">
        <f>'REGISTRO DATOS'!I7</f>
        <v>0</v>
      </c>
      <c r="F8" s="796"/>
      <c r="G8" s="796"/>
      <c r="H8" s="796"/>
      <c r="I8" s="796"/>
      <c r="J8" s="796"/>
      <c r="K8" s="796"/>
      <c r="L8" s="796"/>
      <c r="M8" s="2"/>
      <c r="N8" s="810"/>
      <c r="O8" s="810"/>
      <c r="P8" s="810"/>
      <c r="Q8" s="810"/>
      <c r="R8" s="810"/>
      <c r="S8" s="810"/>
      <c r="T8" s="119"/>
    </row>
    <row r="9" spans="1:28" ht="19.5" customHeight="1">
      <c r="A9" s="867" t="s">
        <v>265</v>
      </c>
      <c r="B9" s="868"/>
      <c r="C9" s="868"/>
      <c r="D9" s="868"/>
      <c r="E9" s="796">
        <f>'REGISTRO DATOS'!I8</f>
        <v>0</v>
      </c>
      <c r="F9" s="796"/>
      <c r="G9" s="796"/>
      <c r="H9" s="796"/>
      <c r="I9" s="796"/>
      <c r="J9" s="796"/>
      <c r="K9" s="796"/>
      <c r="L9" s="796"/>
      <c r="M9" s="217"/>
      <c r="N9" s="810"/>
      <c r="O9" s="810"/>
      <c r="P9" s="810"/>
      <c r="Q9" s="810"/>
      <c r="R9" s="810"/>
      <c r="S9" s="810"/>
      <c r="T9" s="123"/>
    </row>
    <row r="10" spans="1:28" ht="26.25">
      <c r="A10" s="864" t="s">
        <v>27</v>
      </c>
      <c r="B10" s="869"/>
      <c r="C10" s="869"/>
      <c r="D10" s="869"/>
      <c r="E10" s="796">
        <f>'REGISTRO DATOS'!I9</f>
        <v>0</v>
      </c>
      <c r="F10" s="796"/>
      <c r="G10" s="796"/>
      <c r="H10" s="796"/>
      <c r="I10" s="796"/>
      <c r="J10" s="796"/>
      <c r="K10" s="388"/>
      <c r="L10" s="392"/>
      <c r="M10" s="6"/>
      <c r="N10" s="810"/>
      <c r="O10" s="810"/>
      <c r="P10" s="810"/>
      <c r="Q10" s="810"/>
      <c r="R10" s="810"/>
      <c r="S10" s="810"/>
      <c r="T10" s="124"/>
      <c r="U10" s="2"/>
    </row>
    <row r="11" spans="1:28" ht="23.25" customHeight="1" thickBot="1">
      <c r="A11" s="2"/>
      <c r="B11" s="2"/>
      <c r="C11" s="2"/>
      <c r="D11" s="2"/>
      <c r="E11" s="806"/>
      <c r="F11" s="806"/>
      <c r="G11" s="806"/>
      <c r="H11" s="806"/>
      <c r="I11" s="119"/>
      <c r="J11" s="119"/>
      <c r="K11" s="2"/>
      <c r="L11" s="393" t="s">
        <v>237</v>
      </c>
      <c r="M11" s="393"/>
      <c r="N11" s="393"/>
      <c r="O11" s="393"/>
      <c r="P11" s="394"/>
      <c r="Q11" s="2"/>
      <c r="R11" s="2"/>
      <c r="S11" s="239"/>
      <c r="T11" s="235"/>
    </row>
    <row r="12" spans="1:28" ht="21" hidden="1" customHeight="1" thickBot="1">
      <c r="A12" s="474"/>
      <c r="B12" s="474"/>
      <c r="C12" s="474"/>
      <c r="D12" s="474"/>
      <c r="E12" s="871"/>
      <c r="F12" s="871"/>
      <c r="G12" s="871"/>
      <c r="H12" s="871"/>
      <c r="I12" s="871"/>
      <c r="J12" s="871"/>
      <c r="K12" s="394"/>
      <c r="L12" s="238"/>
      <c r="M12" s="238"/>
      <c r="N12" s="238"/>
      <c r="O12" s="238"/>
      <c r="P12" s="238"/>
      <c r="Q12" s="394"/>
      <c r="R12" s="11"/>
      <c r="S12" s="239"/>
      <c r="T12" s="403"/>
    </row>
    <row r="13" spans="1:28" ht="29.25" customHeight="1" thickBot="1">
      <c r="A13" s="881" t="s">
        <v>17</v>
      </c>
      <c r="B13" s="882"/>
      <c r="C13" s="882"/>
      <c r="D13" s="883"/>
      <c r="E13" s="475" t="s">
        <v>82</v>
      </c>
      <c r="F13" s="476" t="s">
        <v>89</v>
      </c>
      <c r="G13" s="477" t="s">
        <v>83</v>
      </c>
      <c r="H13" s="478" t="s">
        <v>89</v>
      </c>
      <c r="I13" s="479" t="s">
        <v>287</v>
      </c>
      <c r="J13" s="264"/>
      <c r="K13" s="238"/>
      <c r="P13" s="238"/>
      <c r="Q13" s="238"/>
      <c r="R13" s="239"/>
      <c r="S13" s="240" t="s">
        <v>238</v>
      </c>
      <c r="T13" s="234"/>
    </row>
    <row r="14" spans="1:28" ht="21" customHeight="1" thickBot="1">
      <c r="A14" s="480" t="s">
        <v>37</v>
      </c>
      <c r="B14" s="481" t="s">
        <v>38</v>
      </c>
      <c r="C14" s="481" t="s">
        <v>39</v>
      </c>
      <c r="D14" s="482" t="s">
        <v>36</v>
      </c>
      <c r="E14" s="488">
        <v>5</v>
      </c>
      <c r="F14" s="489">
        <v>8</v>
      </c>
      <c r="G14" s="488">
        <v>5</v>
      </c>
      <c r="H14" s="490">
        <v>20</v>
      </c>
      <c r="I14" s="484">
        <v>0.1</v>
      </c>
      <c r="J14" s="483"/>
      <c r="K14" s="238"/>
      <c r="L14" s="238"/>
      <c r="M14" s="238"/>
      <c r="N14" s="238"/>
      <c r="O14" s="238"/>
      <c r="P14" s="238"/>
      <c r="Q14" s="238"/>
      <c r="R14" s="239"/>
      <c r="S14" s="485" t="s">
        <v>286</v>
      </c>
      <c r="T14" s="234"/>
    </row>
    <row r="15" spans="1:28" ht="18" customHeight="1" thickBot="1">
      <c r="A15" s="29">
        <v>1</v>
      </c>
      <c r="B15" s="682" t="str">
        <f>IFERROR(IF(VLOOKUP(A15,'REGISTRO DATOS'!B:H,2,0)=0,"",VLOOKUP(A15,'REGISTRO DATOS'!B:H,2,0)),"")</f>
        <v/>
      </c>
      <c r="C15" s="683" t="str">
        <f>IFERROR(IF(VLOOKUP(A15,'REGISTRO DATOS'!B:H,3,0)=0,"",VLOOKUP(A15,'REGISTRO DATOS'!B:H,3,0)),"")</f>
        <v/>
      </c>
      <c r="D15" s="684" t="str">
        <f>IFERROR(IF(VLOOKUP(A15,'REGISTRO DATOS'!B:H,4,0)=0,"",VLOOKUP(A15,'REGISTRO DATOS'!B:H,4,0)),"")</f>
        <v>MARIANELA</v>
      </c>
      <c r="E15" s="282">
        <f>(F15/$F$14)*$E$14</f>
        <v>0</v>
      </c>
      <c r="F15" s="412"/>
      <c r="G15" s="486">
        <f>(H15/$H$14)*$G$14</f>
        <v>0</v>
      </c>
      <c r="H15" s="412"/>
      <c r="I15" s="280">
        <f t="shared" ref="I15:I54" si="0">E15+G15</f>
        <v>0</v>
      </c>
      <c r="J15" s="234"/>
      <c r="K15" s="232"/>
      <c r="L15" s="232"/>
      <c r="M15" s="232"/>
      <c r="N15" s="232"/>
      <c r="O15" s="232"/>
      <c r="P15" s="232"/>
      <c r="Q15" s="232"/>
      <c r="R15" s="237"/>
      <c r="S15" s="875">
        <v>1</v>
      </c>
      <c r="T15" s="234"/>
      <c r="U15" s="43">
        <f>'REGISTRO DATOS'!J13</f>
        <v>0</v>
      </c>
      <c r="Y15" s="786" t="s">
        <v>157</v>
      </c>
      <c r="Z15" s="787"/>
      <c r="AA15" s="787"/>
      <c r="AB15" s="788"/>
    </row>
    <row r="16" spans="1:28" ht="24.75" customHeight="1" thickBot="1">
      <c r="A16" s="7">
        <v>2</v>
      </c>
      <c r="B16" s="682" t="str">
        <f>IFERROR(IF(VLOOKUP(A16,'REGISTRO DATOS'!B:H,2,0)=0,"",VLOOKUP(A16,'REGISTRO DATOS'!B:H,2,0)),"")</f>
        <v/>
      </c>
      <c r="C16" s="683" t="str">
        <f>IFERROR(IF(VLOOKUP(A16,'REGISTRO DATOS'!B:H,3,0)=0,"",VLOOKUP(A16,'REGISTRO DATOS'!B:H,3,0)),"")</f>
        <v/>
      </c>
      <c r="D16" s="684" t="str">
        <f>IFERROR(IF(VLOOKUP(A16,'REGISTRO DATOS'!B:H,4,0)=0,"",VLOOKUP(A16,'REGISTRO DATOS'!B:H,4,0)),"")</f>
        <v>GENESIS</v>
      </c>
      <c r="E16" s="282">
        <f t="shared" ref="E16:E54" si="1">(F16/$F$14)*$E$14</f>
        <v>0</v>
      </c>
      <c r="F16" s="300"/>
      <c r="G16" s="486">
        <f t="shared" ref="G16:G54" si="2">(H16/$H$14)*$G$14</f>
        <v>0</v>
      </c>
      <c r="H16" s="300"/>
      <c r="I16" s="280">
        <f t="shared" si="0"/>
        <v>0</v>
      </c>
      <c r="J16" s="234"/>
      <c r="K16" s="232"/>
      <c r="L16" s="232"/>
      <c r="M16" s="232"/>
      <c r="N16" s="232"/>
      <c r="O16" s="232"/>
      <c r="P16" s="232"/>
      <c r="Q16" s="232"/>
      <c r="R16" s="237"/>
      <c r="S16" s="876"/>
      <c r="T16" s="234"/>
      <c r="U16" s="43">
        <f>'REGISTRO DATOS'!J14</f>
        <v>0</v>
      </c>
      <c r="Y16" s="793" t="s">
        <v>130</v>
      </c>
      <c r="Z16" s="794"/>
      <c r="AA16" s="786" t="s">
        <v>131</v>
      </c>
      <c r="AB16" s="788"/>
    </row>
    <row r="17" spans="1:29" ht="18" customHeight="1">
      <c r="A17" s="7">
        <v>3</v>
      </c>
      <c r="B17" s="682" t="str">
        <f>IFERROR(IF(VLOOKUP(A17,'REGISTRO DATOS'!B:H,2,0)=0,"",VLOOKUP(A17,'REGISTRO DATOS'!B:H,2,0)),"")</f>
        <v/>
      </c>
      <c r="C17" s="683" t="str">
        <f>IFERROR(IF(VLOOKUP(A17,'REGISTRO DATOS'!B:H,3,0)=0,"",VLOOKUP(A17,'REGISTRO DATOS'!B:H,3,0)),"")</f>
        <v/>
      </c>
      <c r="D17" s="684" t="str">
        <f>IFERROR(IF(VLOOKUP(A17,'REGISTRO DATOS'!B:H,4,0)=0,"",VLOOKUP(A17,'REGISTRO DATOS'!B:H,4,0)),"")</f>
        <v>EILEEN</v>
      </c>
      <c r="E17" s="282">
        <f t="shared" si="1"/>
        <v>0</v>
      </c>
      <c r="F17" s="300"/>
      <c r="G17" s="486">
        <f t="shared" si="2"/>
        <v>0</v>
      </c>
      <c r="H17" s="300"/>
      <c r="I17" s="280">
        <f t="shared" si="0"/>
        <v>0</v>
      </c>
      <c r="J17" s="232"/>
      <c r="K17" s="232"/>
      <c r="L17" s="232"/>
      <c r="M17" s="232"/>
      <c r="N17" s="232"/>
      <c r="O17" s="232"/>
      <c r="P17" s="232"/>
      <c r="Q17" s="232"/>
      <c r="R17" s="237"/>
      <c r="S17" s="876"/>
      <c r="T17" s="234"/>
      <c r="U17" s="43">
        <f>'REGISTRO DATOS'!J15</f>
        <v>0</v>
      </c>
      <c r="Y17" s="198" t="s">
        <v>156</v>
      </c>
      <c r="Z17" s="199" t="s">
        <v>155</v>
      </c>
      <c r="AA17" s="198" t="s">
        <v>156</v>
      </c>
      <c r="AB17" s="199" t="s">
        <v>155</v>
      </c>
    </row>
    <row r="18" spans="1:29" ht="18" customHeight="1" thickBot="1">
      <c r="A18" s="29">
        <v>4</v>
      </c>
      <c r="B18" s="682" t="str">
        <f>IFERROR(IF(VLOOKUP(A18,'REGISTRO DATOS'!B:H,2,0)=0,"",VLOOKUP(A18,'REGISTRO DATOS'!B:H,2,0)),"")</f>
        <v/>
      </c>
      <c r="C18" s="683" t="str">
        <f>IFERROR(IF(VLOOKUP(A18,'REGISTRO DATOS'!B:H,3,0)=0,"",VLOOKUP(A18,'REGISTRO DATOS'!B:H,3,0)),"")</f>
        <v/>
      </c>
      <c r="D18" s="684" t="str">
        <f>IFERROR(IF(VLOOKUP(A18,'REGISTRO DATOS'!B:H,4,0)=0,"",VLOOKUP(A18,'REGISTRO DATOS'!B:H,4,0)),"")</f>
        <v>CINDEL</v>
      </c>
      <c r="E18" s="282">
        <f t="shared" si="1"/>
        <v>0</v>
      </c>
      <c r="F18" s="300"/>
      <c r="G18" s="486">
        <f t="shared" si="2"/>
        <v>0</v>
      </c>
      <c r="H18" s="300"/>
      <c r="I18" s="280">
        <f t="shared" si="0"/>
        <v>0</v>
      </c>
      <c r="J18" s="234"/>
      <c r="K18" s="232"/>
      <c r="L18" s="232"/>
      <c r="M18" s="232"/>
      <c r="N18" s="232"/>
      <c r="O18" s="232"/>
      <c r="P18" s="232"/>
      <c r="Q18" s="232"/>
      <c r="R18" s="237"/>
      <c r="S18" s="876"/>
      <c r="T18" s="234"/>
      <c r="U18" s="43">
        <f>'REGISTRO DATOS'!J16</f>
        <v>0</v>
      </c>
      <c r="Y18" s="200" t="e">
        <f>COUNTIFS(U15:U54,"H",#REF!,"&lt;70")</f>
        <v>#REF!</v>
      </c>
      <c r="Z18" s="201" t="e">
        <f>COUNTIFS(U15:U54,"H",#REF!,"&gt;70")</f>
        <v>#REF!</v>
      </c>
      <c r="AA18" s="200" t="e">
        <f>COUNTIFS(U15:U54,"M",#REF!,"&lt;70")</f>
        <v>#REF!</v>
      </c>
      <c r="AB18" s="201" t="e">
        <f>COUNTIFS(U15:U54,"M",#REF!,"&gt;70")</f>
        <v>#REF!</v>
      </c>
      <c r="AC18" s="43" t="e">
        <f>SUM(Y18:AB18)</f>
        <v>#REF!</v>
      </c>
    </row>
    <row r="19" spans="1:29" ht="18" customHeight="1" thickBot="1">
      <c r="A19" s="7">
        <v>5</v>
      </c>
      <c r="B19" s="682" t="str">
        <f>IFERROR(IF(VLOOKUP(A19,'REGISTRO DATOS'!B:H,2,0)=0,"",VLOOKUP(A19,'REGISTRO DATOS'!B:H,2,0)),"")</f>
        <v/>
      </c>
      <c r="C19" s="683" t="str">
        <f>IFERROR(IF(VLOOKUP(A19,'REGISTRO DATOS'!B:H,3,0)=0,"",VLOOKUP(A19,'REGISTRO DATOS'!B:H,3,0)),"")</f>
        <v/>
      </c>
      <c r="D19" s="684" t="str">
        <f>IFERROR(IF(VLOOKUP(A19,'REGISTRO DATOS'!B:H,4,0)=0,"",VLOOKUP(A19,'REGISTRO DATOS'!B:H,4,0)),"")</f>
        <v>NANCY</v>
      </c>
      <c r="E19" s="282">
        <f t="shared" si="1"/>
        <v>0</v>
      </c>
      <c r="F19" s="411"/>
      <c r="G19" s="486">
        <f t="shared" si="2"/>
        <v>0</v>
      </c>
      <c r="H19" s="411"/>
      <c r="I19" s="280">
        <f t="shared" si="0"/>
        <v>0</v>
      </c>
      <c r="J19" s="242"/>
      <c r="K19" s="232"/>
      <c r="L19" s="232"/>
      <c r="M19" s="232"/>
      <c r="N19" s="232"/>
      <c r="O19" s="232"/>
      <c r="P19" s="232"/>
      <c r="Q19" s="232"/>
      <c r="R19" s="237"/>
      <c r="S19" s="876"/>
      <c r="T19" s="234"/>
      <c r="U19" s="43">
        <f>'REGISTRO DATOS'!J17</f>
        <v>0</v>
      </c>
    </row>
    <row r="20" spans="1:29" ht="18" customHeight="1" thickBot="1">
      <c r="A20" s="7">
        <v>6</v>
      </c>
      <c r="B20" s="682" t="str">
        <f>IFERROR(IF(VLOOKUP(A20,'REGISTRO DATOS'!B:H,2,0)=0,"",VLOOKUP(A20,'REGISTRO DATOS'!B:H,2,0)),"")</f>
        <v/>
      </c>
      <c r="C20" s="683" t="str">
        <f>IFERROR(IF(VLOOKUP(A20,'REGISTRO DATOS'!B:H,3,0)=0,"",VLOOKUP(A20,'REGISTRO DATOS'!B:H,3,0)),"")</f>
        <v/>
      </c>
      <c r="D20" s="684" t="str">
        <f>IFERROR(IF(VLOOKUP(A20,'REGISTRO DATOS'!B:H,4,0)=0,"",VLOOKUP(A20,'REGISTRO DATOS'!B:H,4,0)),"")</f>
        <v>MARIANA</v>
      </c>
      <c r="E20" s="282">
        <f t="shared" si="1"/>
        <v>0</v>
      </c>
      <c r="F20" s="411"/>
      <c r="G20" s="486">
        <f t="shared" si="2"/>
        <v>0</v>
      </c>
      <c r="H20" s="411"/>
      <c r="I20" s="280">
        <f t="shared" si="0"/>
        <v>0</v>
      </c>
      <c r="J20" s="242"/>
      <c r="K20" s="232"/>
      <c r="L20" s="232"/>
      <c r="M20" s="232"/>
      <c r="N20" s="232"/>
      <c r="O20" s="232"/>
      <c r="P20" s="232"/>
      <c r="Q20" s="232"/>
      <c r="R20" s="237"/>
      <c r="S20" s="876"/>
      <c r="T20" s="234"/>
      <c r="U20" s="43">
        <f>'REGISTRO DATOS'!J18</f>
        <v>0</v>
      </c>
      <c r="Y20" s="786" t="s">
        <v>152</v>
      </c>
      <c r="Z20" s="787"/>
      <c r="AA20" s="787"/>
      <c r="AB20" s="788"/>
    </row>
    <row r="21" spans="1:29" ht="18" customHeight="1" thickBot="1">
      <c r="A21" s="29">
        <v>7</v>
      </c>
      <c r="B21" s="682" t="str">
        <f>IFERROR(IF(VLOOKUP(A21,'REGISTRO DATOS'!B:H,2,0)=0,"",VLOOKUP(A21,'REGISTRO DATOS'!B:H,2,0)),"")</f>
        <v xml:space="preserve">GONZALEZ </v>
      </c>
      <c r="C21" s="683" t="str">
        <f>IFERROR(IF(VLOOKUP(A21,'REGISTRO DATOS'!B:H,3,0)=0,"",VLOOKUP(A21,'REGISTRO DATOS'!B:H,3,0)),"")</f>
        <v>CHAVARRIA</v>
      </c>
      <c r="D21" s="684" t="str">
        <f>IFERROR(IF(VLOOKUP(A21,'REGISTRO DATOS'!B:H,4,0)=0,"",VLOOKUP(A21,'REGISTRO DATOS'!B:H,4,0)),"")</f>
        <v>STEPHANIE</v>
      </c>
      <c r="E21" s="282">
        <f t="shared" si="1"/>
        <v>0</v>
      </c>
      <c r="F21" s="411"/>
      <c r="G21" s="486">
        <f t="shared" si="2"/>
        <v>0</v>
      </c>
      <c r="H21" s="411"/>
      <c r="I21" s="280">
        <f t="shared" si="0"/>
        <v>0</v>
      </c>
      <c r="J21" s="242"/>
      <c r="K21" s="232"/>
      <c r="L21" s="232"/>
      <c r="M21" s="232"/>
      <c r="N21" s="232"/>
      <c r="O21" s="232"/>
      <c r="P21" s="232"/>
      <c r="Q21" s="232"/>
      <c r="R21" s="237"/>
      <c r="S21" s="876"/>
      <c r="T21" s="234"/>
      <c r="U21" s="43">
        <f>'REGISTRO DATOS'!J19</f>
        <v>0</v>
      </c>
      <c r="Y21" s="793" t="s">
        <v>130</v>
      </c>
      <c r="Z21" s="794"/>
      <c r="AA21" s="786" t="s">
        <v>131</v>
      </c>
      <c r="AB21" s="788"/>
    </row>
    <row r="22" spans="1:29" ht="18" customHeight="1" thickBot="1">
      <c r="A22" s="7">
        <v>8</v>
      </c>
      <c r="B22" s="682" t="str">
        <f>IFERROR(IF(VLOOKUP(A22,'REGISTRO DATOS'!B:H,2,0)=0,"",VLOOKUP(A22,'REGISTRO DATOS'!B:H,2,0)),"")</f>
        <v/>
      </c>
      <c r="C22" s="683" t="str">
        <f>IFERROR(IF(VLOOKUP(A22,'REGISTRO DATOS'!B:H,3,0)=0,"",VLOOKUP(A22,'REGISTRO DATOS'!B:H,3,0)),"")</f>
        <v/>
      </c>
      <c r="D22" s="684" t="str">
        <f>IFERROR(IF(VLOOKUP(A22,'REGISTRO DATOS'!B:H,4,0)=0,"",VLOOKUP(A22,'REGISTRO DATOS'!B:H,4,0)),"")</f>
        <v>YASCINI</v>
      </c>
      <c r="E22" s="282">
        <f t="shared" si="1"/>
        <v>0</v>
      </c>
      <c r="F22" s="411"/>
      <c r="G22" s="486">
        <f t="shared" si="2"/>
        <v>0</v>
      </c>
      <c r="H22" s="411"/>
      <c r="I22" s="280">
        <f t="shared" si="0"/>
        <v>0</v>
      </c>
      <c r="J22" s="242"/>
      <c r="K22" s="232"/>
      <c r="L22" s="232"/>
      <c r="M22" s="232"/>
      <c r="N22" s="232"/>
      <c r="O22" s="232"/>
      <c r="P22" s="232"/>
      <c r="Q22" s="232"/>
      <c r="R22" s="237"/>
      <c r="S22" s="877"/>
      <c r="T22" s="234"/>
      <c r="U22" s="43">
        <f>'REGISTRO DATOS'!J20</f>
        <v>0</v>
      </c>
      <c r="Y22" s="198" t="s">
        <v>156</v>
      </c>
      <c r="Z22" s="199" t="s">
        <v>155</v>
      </c>
      <c r="AA22" s="198" t="s">
        <v>156</v>
      </c>
      <c r="AB22" s="199" t="s">
        <v>155</v>
      </c>
    </row>
    <row r="23" spans="1:29" ht="18" customHeight="1" thickBot="1">
      <c r="A23" s="7">
        <v>9</v>
      </c>
      <c r="B23" s="682" t="str">
        <f>IFERROR(IF(VLOOKUP(A23,'REGISTRO DATOS'!B:H,2,0)=0,"",VLOOKUP(A23,'REGISTRO DATOS'!B:H,2,0)),"")</f>
        <v>CUBILLO</v>
      </c>
      <c r="C23" s="683" t="str">
        <f>IFERROR(IF(VLOOKUP(A23,'REGISTRO DATOS'!B:H,3,0)=0,"",VLOOKUP(A23,'REGISTRO DATOS'!B:H,3,0)),"")</f>
        <v/>
      </c>
      <c r="D23" s="684" t="str">
        <f>IFERROR(IF(VLOOKUP(A23,'REGISTRO DATOS'!B:H,4,0)=0,"",VLOOKUP(A23,'REGISTRO DATOS'!B:H,4,0)),"")</f>
        <v xml:space="preserve">DYLAN </v>
      </c>
      <c r="E23" s="282">
        <f t="shared" si="1"/>
        <v>0</v>
      </c>
      <c r="F23" s="411"/>
      <c r="G23" s="486">
        <f t="shared" si="2"/>
        <v>0</v>
      </c>
      <c r="H23" s="411"/>
      <c r="I23" s="280">
        <f t="shared" si="0"/>
        <v>0</v>
      </c>
      <c r="J23" s="242"/>
      <c r="K23" s="232"/>
      <c r="L23" s="232"/>
      <c r="M23" s="232"/>
      <c r="N23" s="232"/>
      <c r="O23" s="232"/>
      <c r="P23" s="232"/>
      <c r="Q23" s="232"/>
      <c r="R23" s="237"/>
      <c r="S23" s="240" t="s">
        <v>240</v>
      </c>
      <c r="T23" s="234"/>
      <c r="U23" s="43">
        <f>'REGISTRO DATOS'!J21</f>
        <v>0</v>
      </c>
      <c r="Y23" s="200" t="e">
        <f>COUNTIFS(U15:U54,"H",#REF!,"&lt;70")</f>
        <v>#REF!</v>
      </c>
      <c r="Z23" s="201" t="e">
        <f>COUNTIFS(U15:U54,"H",#REF!,"&gt;70")</f>
        <v>#REF!</v>
      </c>
      <c r="AA23" s="200" t="e">
        <f>COUNTIFS(U15:U54,"M",#REF!,"&lt;70")</f>
        <v>#REF!</v>
      </c>
      <c r="AB23" s="201" t="e">
        <f>COUNTIFS(U15:U54,"M",#REF!,"&gt;70")</f>
        <v>#REF!</v>
      </c>
      <c r="AC23" s="43" t="e">
        <f>SUM(Y23:AB23)</f>
        <v>#REF!</v>
      </c>
    </row>
    <row r="24" spans="1:29" ht="18" customHeight="1" thickBot="1">
      <c r="A24" s="29">
        <v>10</v>
      </c>
      <c r="B24" s="682" t="str">
        <f>IFERROR(IF(VLOOKUP(A24,'REGISTRO DATOS'!B:H,2,0)=0,"",VLOOKUP(A24,'REGISTRO DATOS'!B:H,2,0)),"")</f>
        <v/>
      </c>
      <c r="C24" s="683" t="str">
        <f>IFERROR(IF(VLOOKUP(A24,'REGISTRO DATOS'!B:H,3,0)=0,"",VLOOKUP(A24,'REGISTRO DATOS'!B:H,3,0)),"")</f>
        <v/>
      </c>
      <c r="D24" s="684" t="str">
        <f>IFERROR(IF(VLOOKUP(A24,'REGISTRO DATOS'!B:H,4,0)=0,"",VLOOKUP(A24,'REGISTRO DATOS'!B:H,4,0)),"")</f>
        <v>KATTYA</v>
      </c>
      <c r="E24" s="282">
        <f t="shared" si="1"/>
        <v>0</v>
      </c>
      <c r="F24" s="411"/>
      <c r="G24" s="486">
        <f t="shared" si="2"/>
        <v>0</v>
      </c>
      <c r="H24" s="411"/>
      <c r="I24" s="280">
        <f t="shared" si="0"/>
        <v>0</v>
      </c>
      <c r="J24" s="242"/>
      <c r="K24" s="232"/>
      <c r="L24" s="232"/>
      <c r="M24" s="232"/>
      <c r="N24" s="232"/>
      <c r="O24" s="232"/>
      <c r="P24" s="232"/>
      <c r="Q24" s="232"/>
      <c r="R24" s="237"/>
      <c r="S24" s="487" t="s">
        <v>286</v>
      </c>
      <c r="T24" s="234"/>
      <c r="U24" s="43">
        <f>'REGISTRO DATOS'!J22</f>
        <v>0</v>
      </c>
    </row>
    <row r="25" spans="1:29" ht="18" customHeight="1" thickBot="1">
      <c r="A25" s="7">
        <v>11</v>
      </c>
      <c r="B25" s="682" t="str">
        <f>IFERROR(IF(VLOOKUP(A25,'REGISTRO DATOS'!B:H,2,0)=0,"",VLOOKUP(A25,'REGISTRO DATOS'!B:H,2,0)),"")</f>
        <v>BRIZUELA</v>
      </c>
      <c r="C25" s="683" t="str">
        <f>IFERROR(IF(VLOOKUP(A25,'REGISTRO DATOS'!B:H,3,0)=0,"",VLOOKUP(A25,'REGISTRO DATOS'!B:H,3,0)),"")</f>
        <v/>
      </c>
      <c r="D25" s="684" t="str">
        <f>IFERROR(IF(VLOOKUP(A25,'REGISTRO DATOS'!B:H,4,0)=0,"",VLOOKUP(A25,'REGISTRO DATOS'!B:H,4,0)),"")</f>
        <v>FABIOLA</v>
      </c>
      <c r="E25" s="282">
        <f t="shared" si="1"/>
        <v>0</v>
      </c>
      <c r="F25" s="411"/>
      <c r="G25" s="486">
        <f t="shared" si="2"/>
        <v>0</v>
      </c>
      <c r="H25" s="411"/>
      <c r="I25" s="280">
        <f t="shared" si="0"/>
        <v>0</v>
      </c>
      <c r="J25" s="242"/>
      <c r="K25" s="232"/>
      <c r="L25" s="232"/>
      <c r="M25" s="232"/>
      <c r="N25" s="232"/>
      <c r="O25" s="232"/>
      <c r="P25" s="232"/>
      <c r="Q25" s="232"/>
      <c r="R25" s="237"/>
      <c r="S25" s="878">
        <v>1</v>
      </c>
      <c r="T25" s="234"/>
      <c r="U25" s="43">
        <f>'REGISTRO DATOS'!J23</f>
        <v>0</v>
      </c>
      <c r="Y25" s="786" t="s">
        <v>158</v>
      </c>
      <c r="Z25" s="787"/>
      <c r="AA25" s="787"/>
      <c r="AB25" s="788"/>
    </row>
    <row r="26" spans="1:29" ht="18" customHeight="1" thickBot="1">
      <c r="A26" s="7">
        <v>12</v>
      </c>
      <c r="B26" s="682" t="str">
        <f>IFERROR(IF(VLOOKUP(A26,'REGISTRO DATOS'!B:H,2,0)=0,"",VLOOKUP(A26,'REGISTRO DATOS'!B:H,2,0)),"")</f>
        <v/>
      </c>
      <c r="C26" s="683" t="str">
        <f>IFERROR(IF(VLOOKUP(A26,'REGISTRO DATOS'!B:H,3,0)=0,"",VLOOKUP(A26,'REGISTRO DATOS'!B:H,3,0)),"")</f>
        <v/>
      </c>
      <c r="D26" s="684" t="str">
        <f>IFERROR(IF(VLOOKUP(A26,'REGISTRO DATOS'!B:H,4,0)=0,"",VLOOKUP(A26,'REGISTRO DATOS'!B:H,4,0)),"")</f>
        <v>DARIANA</v>
      </c>
      <c r="E26" s="282">
        <f t="shared" si="1"/>
        <v>0</v>
      </c>
      <c r="F26" s="411"/>
      <c r="G26" s="486">
        <f t="shared" si="2"/>
        <v>0</v>
      </c>
      <c r="H26" s="411"/>
      <c r="I26" s="280">
        <f t="shared" si="0"/>
        <v>0</v>
      </c>
      <c r="J26" s="242"/>
      <c r="K26" s="232"/>
      <c r="L26" s="232"/>
      <c r="M26" s="232"/>
      <c r="N26" s="232"/>
      <c r="O26" s="232"/>
      <c r="P26" s="232"/>
      <c r="Q26" s="232"/>
      <c r="R26" s="237"/>
      <c r="S26" s="879"/>
      <c r="T26" s="234"/>
      <c r="U26" s="43">
        <f>'REGISTRO DATOS'!J24</f>
        <v>0</v>
      </c>
      <c r="Y26" s="793" t="s">
        <v>130</v>
      </c>
      <c r="Z26" s="794"/>
      <c r="AA26" s="786" t="s">
        <v>131</v>
      </c>
      <c r="AB26" s="788"/>
    </row>
    <row r="27" spans="1:29" ht="18" customHeight="1">
      <c r="A27" s="29">
        <v>13</v>
      </c>
      <c r="B27" s="682" t="str">
        <f>IFERROR(IF(VLOOKUP(A27,'REGISTRO DATOS'!B:H,2,0)=0,"",VLOOKUP(A27,'REGISTRO DATOS'!B:H,2,0)),"")</f>
        <v/>
      </c>
      <c r="C27" s="683" t="str">
        <f>IFERROR(IF(VLOOKUP(A27,'REGISTRO DATOS'!B:H,3,0)=0,"",VLOOKUP(A27,'REGISTRO DATOS'!B:H,3,0)),"")</f>
        <v/>
      </c>
      <c r="D27" s="684" t="str">
        <f>IFERROR(IF(VLOOKUP(A27,'REGISTRO DATOS'!B:H,4,0)=0,"",VLOOKUP(A27,'REGISTRO DATOS'!B:H,4,0)),"")</f>
        <v>JENIFER</v>
      </c>
      <c r="E27" s="282">
        <f t="shared" si="1"/>
        <v>0</v>
      </c>
      <c r="F27" s="411"/>
      <c r="G27" s="486">
        <f t="shared" si="2"/>
        <v>0</v>
      </c>
      <c r="H27" s="411"/>
      <c r="I27" s="280">
        <f t="shared" si="0"/>
        <v>0</v>
      </c>
      <c r="J27" s="242"/>
      <c r="K27" s="232"/>
      <c r="L27" s="232"/>
      <c r="M27" s="232"/>
      <c r="N27" s="232"/>
      <c r="O27" s="232"/>
      <c r="P27" s="232"/>
      <c r="Q27" s="232"/>
      <c r="R27" s="232"/>
      <c r="S27" s="879"/>
      <c r="T27" s="234"/>
      <c r="U27" s="43">
        <f>'REGISTRO DATOS'!J25</f>
        <v>0</v>
      </c>
      <c r="Y27" s="198" t="s">
        <v>156</v>
      </c>
      <c r="Z27" s="199" t="s">
        <v>155</v>
      </c>
      <c r="AA27" s="198" t="s">
        <v>156</v>
      </c>
      <c r="AB27" s="199" t="s">
        <v>155</v>
      </c>
    </row>
    <row r="28" spans="1:29" ht="18" customHeight="1" thickBot="1">
      <c r="A28" s="52">
        <v>14</v>
      </c>
      <c r="B28" s="682" t="str">
        <f>IFERROR(IF(VLOOKUP(A28,'REGISTRO DATOS'!B:H,2,0)=0,"",VLOOKUP(A28,'REGISTRO DATOS'!B:H,2,0)),"")</f>
        <v/>
      </c>
      <c r="C28" s="683" t="str">
        <f>IFERROR(IF(VLOOKUP(A28,'REGISTRO DATOS'!B:H,3,0)=0,"",VLOOKUP(A28,'REGISTRO DATOS'!B:H,3,0)),"")</f>
        <v/>
      </c>
      <c r="D28" s="684" t="str">
        <f>IFERROR(IF(VLOOKUP(A28,'REGISTRO DATOS'!B:H,4,0)=0,"",VLOOKUP(A28,'REGISTRO DATOS'!B:H,4,0)),"")</f>
        <v>GABRIELA</v>
      </c>
      <c r="E28" s="282">
        <f t="shared" si="1"/>
        <v>0</v>
      </c>
      <c r="F28" s="411"/>
      <c r="G28" s="486">
        <f t="shared" si="2"/>
        <v>0</v>
      </c>
      <c r="H28" s="411"/>
      <c r="I28" s="280">
        <f t="shared" si="0"/>
        <v>0</v>
      </c>
      <c r="J28" s="242"/>
      <c r="K28" s="232"/>
      <c r="L28" s="232"/>
      <c r="M28" s="232"/>
      <c r="N28" s="232"/>
      <c r="O28" s="232"/>
      <c r="P28" s="232"/>
      <c r="Q28" s="232"/>
      <c r="R28" s="232"/>
      <c r="S28" s="879"/>
      <c r="T28" s="234"/>
      <c r="U28" s="43">
        <f>'REGISTRO DATOS'!J26</f>
        <v>0</v>
      </c>
      <c r="Y28" s="200" t="e">
        <f>COUNTIFS(U15:U54,"H",#REF!,"&lt;70")</f>
        <v>#REF!</v>
      </c>
      <c r="Z28" s="201" t="e">
        <f>COUNTIFS(U15:U54,"H",#REF!,"&gt;70")</f>
        <v>#REF!</v>
      </c>
      <c r="AA28" s="200" t="e">
        <f>COUNTIFS(U15:U54,"M",#REF!,"&lt;70")</f>
        <v>#REF!</v>
      </c>
      <c r="AB28" s="201" t="e">
        <f>COUNTIFS(U15:U54,"M",#REF!,"&gt;70")</f>
        <v>#REF!</v>
      </c>
      <c r="AC28" s="43" t="e">
        <f>SUM(Y28:AB28)</f>
        <v>#REF!</v>
      </c>
    </row>
    <row r="29" spans="1:29" ht="18" customHeight="1">
      <c r="A29" s="7">
        <v>15</v>
      </c>
      <c r="B29" s="682" t="str">
        <f>IFERROR(IF(VLOOKUP(A29,'REGISTRO DATOS'!B:H,2,0)=0,"",VLOOKUP(A29,'REGISTRO DATOS'!B:H,2,0)),"")</f>
        <v xml:space="preserve">SERRANO </v>
      </c>
      <c r="C29" s="683" t="str">
        <f>IFERROR(IF(VLOOKUP(A29,'REGISTRO DATOS'!B:H,3,0)=0,"",VLOOKUP(A29,'REGISTRO DATOS'!B:H,3,0)),"")</f>
        <v>VILLEGAS</v>
      </c>
      <c r="D29" s="684" t="str">
        <f>IFERROR(IF(VLOOKUP(A29,'REGISTRO DATOS'!B:H,4,0)=0,"",VLOOKUP(A29,'REGISTRO DATOS'!B:H,4,0)),"")</f>
        <v xml:space="preserve">DYLAN </v>
      </c>
      <c r="E29" s="282">
        <f t="shared" si="1"/>
        <v>0</v>
      </c>
      <c r="F29" s="411"/>
      <c r="G29" s="486">
        <f t="shared" si="2"/>
        <v>0</v>
      </c>
      <c r="H29" s="411"/>
      <c r="I29" s="280">
        <f t="shared" si="0"/>
        <v>0</v>
      </c>
      <c r="J29" s="242"/>
      <c r="K29" s="232"/>
      <c r="L29" s="232"/>
      <c r="M29" s="232"/>
      <c r="N29" s="232"/>
      <c r="O29" s="232"/>
      <c r="P29" s="232"/>
      <c r="Q29" s="232"/>
      <c r="R29" s="232"/>
      <c r="S29" s="879"/>
      <c r="T29" s="234"/>
      <c r="U29" s="43">
        <f>'REGISTRO DATOS'!J27</f>
        <v>0</v>
      </c>
    </row>
    <row r="30" spans="1:29" ht="18" customHeight="1">
      <c r="A30" s="55">
        <v>16</v>
      </c>
      <c r="B30" s="682" t="str">
        <f>IFERROR(IF(VLOOKUP(A30,'REGISTRO DATOS'!B:H,2,0)=0,"",VLOOKUP(A30,'REGISTRO DATOS'!B:H,2,0)),"")</f>
        <v/>
      </c>
      <c r="C30" s="683" t="str">
        <f>IFERROR(IF(VLOOKUP(A30,'REGISTRO DATOS'!B:H,3,0)=0,"",VLOOKUP(A30,'REGISTRO DATOS'!B:H,3,0)),"")</f>
        <v/>
      </c>
      <c r="D30" s="684" t="str">
        <f>IFERROR(IF(VLOOKUP(A30,'REGISTRO DATOS'!B:H,4,0)=0,"",VLOOKUP(A30,'REGISTRO DATOS'!B:H,4,0)),"")</f>
        <v>ANA</v>
      </c>
      <c r="E30" s="282">
        <f t="shared" si="1"/>
        <v>0</v>
      </c>
      <c r="F30" s="411"/>
      <c r="G30" s="486">
        <f t="shared" si="2"/>
        <v>0</v>
      </c>
      <c r="H30" s="411"/>
      <c r="I30" s="280">
        <f t="shared" si="0"/>
        <v>0</v>
      </c>
      <c r="J30" s="242"/>
      <c r="K30" s="232"/>
      <c r="L30" s="232"/>
      <c r="M30" s="232"/>
      <c r="N30" s="232"/>
      <c r="O30" s="232"/>
      <c r="P30" s="232"/>
      <c r="Q30" s="232"/>
      <c r="R30" s="232"/>
      <c r="S30" s="879"/>
      <c r="T30" s="234"/>
      <c r="U30" s="43">
        <f>'REGISTRO DATOS'!J28</f>
        <v>0</v>
      </c>
    </row>
    <row r="31" spans="1:29" ht="18" customHeight="1">
      <c r="A31" s="7">
        <v>17</v>
      </c>
      <c r="B31" s="682" t="str">
        <f>IFERROR(IF(VLOOKUP(A31,'REGISTRO DATOS'!B:H,2,0)=0,"",VLOOKUP(A31,'REGISTRO DATOS'!B:H,2,0)),"")</f>
        <v>QUIROS</v>
      </c>
      <c r="C31" s="683" t="str">
        <f>IFERROR(IF(VLOOKUP(A31,'REGISTRO DATOS'!B:H,3,0)=0,"",VLOOKUP(A31,'REGISTRO DATOS'!B:H,3,0)),"")</f>
        <v/>
      </c>
      <c r="D31" s="684" t="str">
        <f>IFERROR(IF(VLOOKUP(A31,'REGISTRO DATOS'!B:H,4,0)=0,"",VLOOKUP(A31,'REGISTRO DATOS'!B:H,4,0)),"")</f>
        <v>ANDY</v>
      </c>
      <c r="E31" s="282">
        <f t="shared" si="1"/>
        <v>0</v>
      </c>
      <c r="F31" s="411"/>
      <c r="G31" s="486">
        <f t="shared" si="2"/>
        <v>0</v>
      </c>
      <c r="H31" s="411"/>
      <c r="I31" s="280">
        <f t="shared" si="0"/>
        <v>0</v>
      </c>
      <c r="J31" s="242"/>
      <c r="K31" s="232"/>
      <c r="L31" s="232"/>
      <c r="M31" s="232"/>
      <c r="N31" s="232"/>
      <c r="O31" s="232"/>
      <c r="P31" s="232"/>
      <c r="Q31" s="232"/>
      <c r="R31" s="232"/>
      <c r="S31" s="879"/>
      <c r="T31" s="234"/>
      <c r="U31" s="43">
        <f>'REGISTRO DATOS'!J29</f>
        <v>0</v>
      </c>
    </row>
    <row r="32" spans="1:29" ht="18" customHeight="1" thickBot="1">
      <c r="A32" s="52">
        <v>18</v>
      </c>
      <c r="B32" s="682" t="str">
        <f>IFERROR(IF(VLOOKUP(A32,'REGISTRO DATOS'!B:H,2,0)=0,"",VLOOKUP(A32,'REGISTRO DATOS'!B:H,2,0)),"")</f>
        <v>RIVER</v>
      </c>
      <c r="C32" s="683" t="str">
        <f>IFERROR(IF(VLOOKUP(A32,'REGISTRO DATOS'!B:H,3,0)=0,"",VLOOKUP(A32,'REGISTRO DATOS'!B:H,3,0)),"")</f>
        <v/>
      </c>
      <c r="D32" s="684" t="str">
        <f>IFERROR(IF(VLOOKUP(A32,'REGISTRO DATOS'!B:H,4,0)=0,"",VLOOKUP(A32,'REGISTRO DATOS'!B:H,4,0)),"")</f>
        <v>STEPHANIE</v>
      </c>
      <c r="E32" s="282">
        <f t="shared" si="1"/>
        <v>0</v>
      </c>
      <c r="F32" s="411"/>
      <c r="G32" s="486">
        <f t="shared" si="2"/>
        <v>0</v>
      </c>
      <c r="H32" s="411"/>
      <c r="I32" s="280">
        <f t="shared" si="0"/>
        <v>0</v>
      </c>
      <c r="J32" s="242"/>
      <c r="K32" s="232"/>
      <c r="L32" s="232"/>
      <c r="M32" s="232"/>
      <c r="N32" s="232"/>
      <c r="O32" s="232"/>
      <c r="P32" s="232"/>
      <c r="Q32" s="232"/>
      <c r="R32" s="232"/>
      <c r="S32" s="880"/>
      <c r="T32" s="234"/>
      <c r="U32" s="43">
        <f>'REGISTRO DATOS'!J30</f>
        <v>0</v>
      </c>
    </row>
    <row r="33" spans="1:21" ht="18" customHeight="1">
      <c r="A33" s="29">
        <v>19</v>
      </c>
      <c r="B33" s="682" t="str">
        <f>IFERROR(IF(VLOOKUP(A33,'REGISTRO DATOS'!B:H,2,0)=0,"",VLOOKUP(A33,'REGISTRO DATOS'!B:H,2,0)),"")</f>
        <v/>
      </c>
      <c r="C33" s="683" t="str">
        <f>IFERROR(IF(VLOOKUP(A33,'REGISTRO DATOS'!B:H,3,0)=0,"",VLOOKUP(A33,'REGISTRO DATOS'!B:H,3,0)),"")</f>
        <v>FABIAN</v>
      </c>
      <c r="D33" s="684" t="str">
        <f>IFERROR(IF(VLOOKUP(A33,'REGISTRO DATOS'!B:H,4,0)=0,"",VLOOKUP(A33,'REGISTRO DATOS'!B:H,4,0)),"")</f>
        <v/>
      </c>
      <c r="E33" s="282">
        <f t="shared" si="1"/>
        <v>0</v>
      </c>
      <c r="F33" s="411"/>
      <c r="G33" s="486">
        <f t="shared" si="2"/>
        <v>0</v>
      </c>
      <c r="H33" s="411"/>
      <c r="I33" s="280">
        <f t="shared" si="0"/>
        <v>0</v>
      </c>
      <c r="J33" s="242"/>
      <c r="K33" s="232"/>
      <c r="L33" s="232"/>
      <c r="M33" s="232"/>
      <c r="N33" s="232"/>
      <c r="O33" s="232"/>
      <c r="P33" s="232"/>
      <c r="Q33" s="232"/>
      <c r="R33" s="232"/>
      <c r="S33" s="237"/>
      <c r="T33" s="234"/>
      <c r="U33" s="43">
        <f>'REGISTRO DATOS'!J31</f>
        <v>0</v>
      </c>
    </row>
    <row r="34" spans="1:21" ht="18" customHeight="1">
      <c r="A34" s="52">
        <v>20</v>
      </c>
      <c r="B34" s="682" t="str">
        <f>IFERROR(IF(VLOOKUP(A34,'REGISTRO DATOS'!B:H,2,0)=0,"",VLOOKUP(A34,'REGISTRO DATOS'!B:H,2,0)),"")</f>
        <v/>
      </c>
      <c r="C34" s="683" t="str">
        <f>IFERROR(IF(VLOOKUP(A34,'REGISTRO DATOS'!B:H,3,0)=0,"",VLOOKUP(A34,'REGISTRO DATOS'!B:H,3,0)),"")</f>
        <v>EMILIN</v>
      </c>
      <c r="D34" s="684" t="str">
        <f>IFERROR(IF(VLOOKUP(A34,'REGISTRO DATOS'!B:H,4,0)=0,"",VLOOKUP(A34,'REGISTRO DATOS'!B:H,4,0)),"")</f>
        <v/>
      </c>
      <c r="E34" s="282">
        <f t="shared" si="1"/>
        <v>0</v>
      </c>
      <c r="F34" s="411"/>
      <c r="G34" s="486">
        <f t="shared" si="2"/>
        <v>0</v>
      </c>
      <c r="H34" s="411"/>
      <c r="I34" s="280">
        <f t="shared" si="0"/>
        <v>0</v>
      </c>
      <c r="J34" s="242"/>
      <c r="K34" s="232"/>
      <c r="L34" s="232"/>
      <c r="M34" s="232"/>
      <c r="N34" s="232"/>
      <c r="O34" s="232"/>
      <c r="P34" s="232"/>
      <c r="Q34" s="232"/>
      <c r="R34" s="232"/>
      <c r="S34" s="237"/>
      <c r="T34" s="234"/>
      <c r="U34" s="43">
        <f>'REGISTRO DATOS'!J32</f>
        <v>0</v>
      </c>
    </row>
    <row r="35" spans="1:21" ht="18" customHeight="1">
      <c r="A35" s="7">
        <v>21</v>
      </c>
      <c r="B35" s="682" t="str">
        <f>IFERROR(IF(VLOOKUP(A35,'REGISTRO DATOS'!B:H,2,0)=0,"",VLOOKUP(A35,'REGISTRO DATOS'!B:H,2,0)),"")</f>
        <v/>
      </c>
      <c r="C35" s="683" t="str">
        <f>IFERROR(IF(VLOOKUP(A35,'REGISTRO DATOS'!B:H,3,0)=0,"",VLOOKUP(A35,'REGISTRO DATOS'!B:H,3,0)),"")</f>
        <v/>
      </c>
      <c r="D35" s="684" t="str">
        <f>IFERROR(IF(VLOOKUP(A35,'REGISTRO DATOS'!B:H,4,0)=0,"",VLOOKUP(A35,'REGISTRO DATOS'!B:H,4,0)),"")</f>
        <v/>
      </c>
      <c r="E35" s="282">
        <f t="shared" si="1"/>
        <v>0</v>
      </c>
      <c r="F35" s="411"/>
      <c r="G35" s="486">
        <f t="shared" si="2"/>
        <v>0</v>
      </c>
      <c r="H35" s="411"/>
      <c r="I35" s="280">
        <f t="shared" si="0"/>
        <v>0</v>
      </c>
      <c r="J35" s="242"/>
      <c r="K35" s="232"/>
      <c r="L35" s="232"/>
      <c r="M35" s="232"/>
      <c r="N35" s="232"/>
      <c r="O35" s="232"/>
      <c r="P35" s="232"/>
      <c r="Q35" s="232"/>
      <c r="R35" s="232"/>
      <c r="S35" s="237"/>
      <c r="T35" s="234"/>
      <c r="U35" s="43">
        <f>'REGISTRO DATOS'!J33</f>
        <v>0</v>
      </c>
    </row>
    <row r="36" spans="1:21" ht="18" customHeight="1">
      <c r="A36" s="55">
        <v>22</v>
      </c>
      <c r="B36" s="682" t="str">
        <f>IFERROR(IF(VLOOKUP(A36,'REGISTRO DATOS'!B:H,2,0)=0,"",VLOOKUP(A36,'REGISTRO DATOS'!B:H,2,0)),"")</f>
        <v/>
      </c>
      <c r="C36" s="683" t="str">
        <f>IFERROR(IF(VLOOKUP(A36,'REGISTRO DATOS'!B:H,3,0)=0,"",VLOOKUP(A36,'REGISTRO DATOS'!B:H,3,0)),"")</f>
        <v/>
      </c>
      <c r="D36" s="684" t="str">
        <f>IFERROR(IF(VLOOKUP(A36,'REGISTRO DATOS'!B:H,4,0)=0,"",VLOOKUP(A36,'REGISTRO DATOS'!B:H,4,0)),"")</f>
        <v/>
      </c>
      <c r="E36" s="282">
        <f t="shared" si="1"/>
        <v>0</v>
      </c>
      <c r="F36" s="411"/>
      <c r="G36" s="486">
        <f t="shared" si="2"/>
        <v>0</v>
      </c>
      <c r="H36" s="411"/>
      <c r="I36" s="280">
        <f t="shared" si="0"/>
        <v>0</v>
      </c>
      <c r="J36" s="242"/>
      <c r="K36" s="232"/>
      <c r="L36" s="232"/>
      <c r="M36" s="232"/>
      <c r="N36" s="232"/>
      <c r="O36" s="232"/>
      <c r="P36" s="232"/>
      <c r="Q36" s="232"/>
      <c r="R36" s="232"/>
      <c r="S36" s="237"/>
      <c r="T36" s="234"/>
      <c r="U36" s="43">
        <f>'REGISTRO DATOS'!J34</f>
        <v>0</v>
      </c>
    </row>
    <row r="37" spans="1:21" ht="18" customHeight="1">
      <c r="A37" s="7">
        <v>23</v>
      </c>
      <c r="B37" s="682" t="str">
        <f>IFERROR(IF(VLOOKUP(A37,'REGISTRO DATOS'!B:H,2,0)=0,"",VLOOKUP(A37,'REGISTRO DATOS'!B:H,2,0)),"")</f>
        <v/>
      </c>
      <c r="C37" s="683" t="str">
        <f>IFERROR(IF(VLOOKUP(A37,'REGISTRO DATOS'!B:H,3,0)=0,"",VLOOKUP(A37,'REGISTRO DATOS'!B:H,3,0)),"")</f>
        <v/>
      </c>
      <c r="D37" s="684" t="str">
        <f>IFERROR(IF(VLOOKUP(A37,'REGISTRO DATOS'!B:H,4,0)=0,"",VLOOKUP(A37,'REGISTRO DATOS'!B:H,4,0)),"")</f>
        <v/>
      </c>
      <c r="E37" s="282">
        <f t="shared" si="1"/>
        <v>0</v>
      </c>
      <c r="F37" s="411"/>
      <c r="G37" s="486">
        <f t="shared" si="2"/>
        <v>0</v>
      </c>
      <c r="H37" s="411"/>
      <c r="I37" s="280">
        <f t="shared" si="0"/>
        <v>0</v>
      </c>
      <c r="J37" s="242"/>
      <c r="K37" s="232"/>
      <c r="L37" s="232"/>
      <c r="M37" s="232"/>
      <c r="N37" s="232"/>
      <c r="O37" s="232"/>
      <c r="P37" s="232"/>
      <c r="Q37" s="232"/>
      <c r="R37" s="232"/>
      <c r="S37" s="237"/>
      <c r="T37" s="234"/>
      <c r="U37" s="43">
        <f>'REGISTRO DATOS'!J35</f>
        <v>0</v>
      </c>
    </row>
    <row r="38" spans="1:21" ht="18" customHeight="1">
      <c r="A38" s="52">
        <v>24</v>
      </c>
      <c r="B38" s="682" t="str">
        <f>IFERROR(IF(VLOOKUP(A38,'REGISTRO DATOS'!B:H,2,0)=0,"",VLOOKUP(A38,'REGISTRO DATOS'!B:H,2,0)),"")</f>
        <v/>
      </c>
      <c r="C38" s="683" t="str">
        <f>IFERROR(IF(VLOOKUP(A38,'REGISTRO DATOS'!B:H,3,0)=0,"",VLOOKUP(A38,'REGISTRO DATOS'!B:H,3,0)),"")</f>
        <v/>
      </c>
      <c r="D38" s="684" t="str">
        <f>IFERROR(IF(VLOOKUP(A38,'REGISTRO DATOS'!B:H,4,0)=0,"",VLOOKUP(A38,'REGISTRO DATOS'!B:H,4,0)),"")</f>
        <v/>
      </c>
      <c r="E38" s="282">
        <f t="shared" si="1"/>
        <v>0</v>
      </c>
      <c r="F38" s="411"/>
      <c r="G38" s="486">
        <f t="shared" si="2"/>
        <v>0</v>
      </c>
      <c r="H38" s="411"/>
      <c r="I38" s="280">
        <f t="shared" si="0"/>
        <v>0</v>
      </c>
      <c r="J38" s="242"/>
      <c r="K38" s="232"/>
      <c r="L38" s="232"/>
      <c r="M38" s="232"/>
      <c r="N38" s="232"/>
      <c r="O38" s="232"/>
      <c r="P38" s="232"/>
      <c r="Q38" s="232"/>
      <c r="R38" s="232"/>
      <c r="S38" s="237"/>
      <c r="T38" s="234"/>
      <c r="U38" s="43">
        <f>'REGISTRO DATOS'!J36</f>
        <v>0</v>
      </c>
    </row>
    <row r="39" spans="1:21" ht="18" customHeight="1">
      <c r="A39" s="29">
        <v>25</v>
      </c>
      <c r="B39" s="682" t="str">
        <f>IFERROR(IF(VLOOKUP(A39,'REGISTRO DATOS'!B:H,2,0)=0,"",VLOOKUP(A39,'REGISTRO DATOS'!B:H,2,0)),"")</f>
        <v/>
      </c>
      <c r="C39" s="683" t="str">
        <f>IFERROR(IF(VLOOKUP(A39,'REGISTRO DATOS'!B:H,3,0)=0,"",VLOOKUP(A39,'REGISTRO DATOS'!B:H,3,0)),"")</f>
        <v/>
      </c>
      <c r="D39" s="684" t="str">
        <f>IFERROR(IF(VLOOKUP(A39,'REGISTRO DATOS'!B:H,4,0)=0,"",VLOOKUP(A39,'REGISTRO DATOS'!B:H,4,0)),"")</f>
        <v/>
      </c>
      <c r="E39" s="282">
        <f t="shared" si="1"/>
        <v>0</v>
      </c>
      <c r="F39" s="411"/>
      <c r="G39" s="486">
        <f t="shared" si="2"/>
        <v>0</v>
      </c>
      <c r="H39" s="411"/>
      <c r="I39" s="280">
        <f t="shared" si="0"/>
        <v>0</v>
      </c>
      <c r="J39" s="242"/>
      <c r="K39" s="232"/>
      <c r="L39" s="232"/>
      <c r="M39" s="232"/>
      <c r="N39" s="232"/>
      <c r="O39" s="232"/>
      <c r="P39" s="232"/>
      <c r="Q39" s="232"/>
      <c r="R39" s="232"/>
      <c r="S39" s="237"/>
      <c r="T39" s="234"/>
      <c r="U39" s="43">
        <f>'REGISTRO DATOS'!J37</f>
        <v>0</v>
      </c>
    </row>
    <row r="40" spans="1:21" ht="18" customHeight="1">
      <c r="A40" s="52">
        <v>26</v>
      </c>
      <c r="B40" s="682" t="str">
        <f>IFERROR(IF(VLOOKUP(A40,'REGISTRO DATOS'!B:H,2,0)=0,"",VLOOKUP(A40,'REGISTRO DATOS'!B:H,2,0)),"")</f>
        <v/>
      </c>
      <c r="C40" s="683" t="str">
        <f>IFERROR(IF(VLOOKUP(A40,'REGISTRO DATOS'!B:H,3,0)=0,"",VLOOKUP(A40,'REGISTRO DATOS'!B:H,3,0)),"")</f>
        <v/>
      </c>
      <c r="D40" s="684" t="str">
        <f>IFERROR(IF(VLOOKUP(A40,'REGISTRO DATOS'!B:H,4,0)=0,"",VLOOKUP(A40,'REGISTRO DATOS'!B:H,4,0)),"")</f>
        <v/>
      </c>
      <c r="E40" s="282">
        <f t="shared" si="1"/>
        <v>0</v>
      </c>
      <c r="F40" s="411"/>
      <c r="G40" s="486">
        <f t="shared" si="2"/>
        <v>0</v>
      </c>
      <c r="H40" s="411"/>
      <c r="I40" s="280">
        <f t="shared" si="0"/>
        <v>0</v>
      </c>
      <c r="J40" s="242"/>
      <c r="K40" s="232"/>
      <c r="L40" s="232"/>
      <c r="M40" s="232"/>
      <c r="N40" s="232"/>
      <c r="O40" s="232"/>
      <c r="P40" s="232"/>
      <c r="Q40" s="232"/>
      <c r="R40" s="232"/>
      <c r="S40" s="237"/>
      <c r="T40" s="234"/>
      <c r="U40" s="43">
        <f>'REGISTRO DATOS'!J38</f>
        <v>0</v>
      </c>
    </row>
    <row r="41" spans="1:21" ht="18" customHeight="1">
      <c r="A41" s="7">
        <v>27</v>
      </c>
      <c r="B41" s="682" t="str">
        <f>IFERROR(IF(VLOOKUP(A41,'REGISTRO DATOS'!B:H,2,0)=0,"",VLOOKUP(A41,'REGISTRO DATOS'!B:H,2,0)),"")</f>
        <v/>
      </c>
      <c r="C41" s="683" t="str">
        <f>IFERROR(IF(VLOOKUP(A41,'REGISTRO DATOS'!B:H,3,0)=0,"",VLOOKUP(A41,'REGISTRO DATOS'!B:H,3,0)),"")</f>
        <v/>
      </c>
      <c r="D41" s="684" t="str">
        <f>IFERROR(IF(VLOOKUP(A41,'REGISTRO DATOS'!B:H,4,0)=0,"",VLOOKUP(A41,'REGISTRO DATOS'!B:H,4,0)),"")</f>
        <v/>
      </c>
      <c r="E41" s="282">
        <f t="shared" si="1"/>
        <v>0</v>
      </c>
      <c r="F41" s="411"/>
      <c r="G41" s="486">
        <f t="shared" si="2"/>
        <v>0</v>
      </c>
      <c r="H41" s="411"/>
      <c r="I41" s="280">
        <f t="shared" si="0"/>
        <v>0</v>
      </c>
      <c r="J41" s="242"/>
      <c r="K41" s="232"/>
      <c r="L41" s="232"/>
      <c r="M41" s="232"/>
      <c r="N41" s="232"/>
      <c r="O41" s="232"/>
      <c r="P41" s="232"/>
      <c r="Q41" s="232"/>
      <c r="R41" s="232"/>
      <c r="S41" s="237"/>
      <c r="T41" s="234"/>
      <c r="U41" s="43">
        <f>'REGISTRO DATOS'!J39</f>
        <v>0</v>
      </c>
    </row>
    <row r="42" spans="1:21" ht="18" customHeight="1">
      <c r="A42" s="55">
        <v>28</v>
      </c>
      <c r="B42" s="682" t="str">
        <f>IFERROR(IF(VLOOKUP(A42,'REGISTRO DATOS'!B:H,2,0)=0,"",VLOOKUP(A42,'REGISTRO DATOS'!B:H,2,0)),"")</f>
        <v/>
      </c>
      <c r="C42" s="683" t="str">
        <f>IFERROR(IF(VLOOKUP(A42,'REGISTRO DATOS'!B:H,3,0)=0,"",VLOOKUP(A42,'REGISTRO DATOS'!B:H,3,0)),"")</f>
        <v/>
      </c>
      <c r="D42" s="684" t="str">
        <f>IFERROR(IF(VLOOKUP(A42,'REGISTRO DATOS'!B:H,4,0)=0,"",VLOOKUP(A42,'REGISTRO DATOS'!B:H,4,0)),"")</f>
        <v/>
      </c>
      <c r="E42" s="282">
        <f t="shared" si="1"/>
        <v>0</v>
      </c>
      <c r="F42" s="411"/>
      <c r="G42" s="486">
        <f t="shared" si="2"/>
        <v>0</v>
      </c>
      <c r="H42" s="411"/>
      <c r="I42" s="280">
        <f t="shared" si="0"/>
        <v>0</v>
      </c>
      <c r="J42" s="242"/>
      <c r="K42" s="232"/>
      <c r="L42" s="232"/>
      <c r="M42" s="232"/>
      <c r="N42" s="232"/>
      <c r="O42" s="232"/>
      <c r="P42" s="232"/>
      <c r="Q42" s="232"/>
      <c r="R42" s="232"/>
      <c r="S42" s="237"/>
      <c r="T42" s="234"/>
      <c r="U42" s="43">
        <f>'REGISTRO DATOS'!J40</f>
        <v>0</v>
      </c>
    </row>
    <row r="43" spans="1:21" ht="18" customHeight="1">
      <c r="A43" s="7">
        <v>29</v>
      </c>
      <c r="B43" s="682" t="str">
        <f>IFERROR(IF(VLOOKUP(A43,'REGISTRO DATOS'!B:H,2,0)=0,"",VLOOKUP(A43,'REGISTRO DATOS'!B:H,2,0)),"")</f>
        <v/>
      </c>
      <c r="C43" s="683" t="str">
        <f>IFERROR(IF(VLOOKUP(A43,'REGISTRO DATOS'!B:H,3,0)=0,"",VLOOKUP(A43,'REGISTRO DATOS'!B:H,3,0)),"")</f>
        <v/>
      </c>
      <c r="D43" s="684" t="str">
        <f>IFERROR(IF(VLOOKUP(A43,'REGISTRO DATOS'!B:H,4,0)=0,"",VLOOKUP(A43,'REGISTRO DATOS'!B:H,4,0)),"")</f>
        <v/>
      </c>
      <c r="E43" s="282">
        <f t="shared" si="1"/>
        <v>0</v>
      </c>
      <c r="F43" s="411"/>
      <c r="G43" s="486">
        <f t="shared" si="2"/>
        <v>0</v>
      </c>
      <c r="H43" s="411"/>
      <c r="I43" s="280">
        <f t="shared" si="0"/>
        <v>0</v>
      </c>
      <c r="J43" s="242"/>
      <c r="K43" s="232"/>
      <c r="L43" s="232"/>
      <c r="M43" s="232"/>
      <c r="N43" s="232"/>
      <c r="O43" s="232"/>
      <c r="P43" s="232"/>
      <c r="Q43" s="232"/>
      <c r="R43" s="232"/>
      <c r="S43" s="237"/>
      <c r="T43" s="234"/>
      <c r="U43" s="43">
        <f>'REGISTRO DATOS'!J41</f>
        <v>0</v>
      </c>
    </row>
    <row r="44" spans="1:21" ht="18" customHeight="1">
      <c r="A44" s="52">
        <v>30</v>
      </c>
      <c r="B44" s="682" t="str">
        <f>IFERROR(IF(VLOOKUP(A44,'REGISTRO DATOS'!B:H,2,0)=0,"",VLOOKUP(A44,'REGISTRO DATOS'!B:H,2,0)),"")</f>
        <v/>
      </c>
      <c r="C44" s="683" t="str">
        <f>IFERROR(IF(VLOOKUP(A44,'REGISTRO DATOS'!B:H,3,0)=0,"",VLOOKUP(A44,'REGISTRO DATOS'!B:H,3,0)),"")</f>
        <v/>
      </c>
      <c r="D44" s="684" t="str">
        <f>IFERROR(IF(VLOOKUP(A44,'REGISTRO DATOS'!B:H,4,0)=0,"",VLOOKUP(A44,'REGISTRO DATOS'!B:H,4,0)),"")</f>
        <v/>
      </c>
      <c r="E44" s="282">
        <f t="shared" si="1"/>
        <v>0</v>
      </c>
      <c r="F44" s="411"/>
      <c r="G44" s="486">
        <f t="shared" si="2"/>
        <v>0</v>
      </c>
      <c r="H44" s="411"/>
      <c r="I44" s="280">
        <f t="shared" si="0"/>
        <v>0</v>
      </c>
      <c r="J44" s="242"/>
      <c r="K44" s="232"/>
      <c r="L44" s="232"/>
      <c r="M44" s="232"/>
      <c r="N44" s="232"/>
      <c r="O44" s="232"/>
      <c r="P44" s="232"/>
      <c r="Q44" s="232"/>
      <c r="R44" s="232"/>
      <c r="S44" s="237"/>
      <c r="T44" s="234"/>
      <c r="U44" s="43">
        <f>'REGISTRO DATOS'!J42</f>
        <v>0</v>
      </c>
    </row>
    <row r="45" spans="1:21" ht="18" customHeight="1">
      <c r="A45" s="29">
        <v>31</v>
      </c>
      <c r="B45" s="682" t="str">
        <f>IFERROR(IF(VLOOKUP(A45,'REGISTRO DATOS'!B:H,2,0)=0,"",VLOOKUP(A45,'REGISTRO DATOS'!B:H,2,0)),"")</f>
        <v/>
      </c>
      <c r="C45" s="683" t="str">
        <f>IFERROR(IF(VLOOKUP(A45,'REGISTRO DATOS'!B:H,3,0)=0,"",VLOOKUP(A45,'REGISTRO DATOS'!B:H,3,0)),"")</f>
        <v/>
      </c>
      <c r="D45" s="684" t="str">
        <f>IFERROR(IF(VLOOKUP(A45,'REGISTRO DATOS'!B:H,4,0)=0,"",VLOOKUP(A45,'REGISTRO DATOS'!B:H,4,0)),"")</f>
        <v/>
      </c>
      <c r="E45" s="282">
        <f t="shared" si="1"/>
        <v>0</v>
      </c>
      <c r="F45" s="411"/>
      <c r="G45" s="486">
        <f t="shared" si="2"/>
        <v>0</v>
      </c>
      <c r="H45" s="411"/>
      <c r="I45" s="280">
        <f t="shared" si="0"/>
        <v>0</v>
      </c>
      <c r="J45" s="242"/>
      <c r="K45" s="232"/>
      <c r="L45" s="232"/>
      <c r="M45" s="232"/>
      <c r="N45" s="232"/>
      <c r="O45" s="232"/>
      <c r="P45" s="232"/>
      <c r="Q45" s="232"/>
      <c r="R45" s="232"/>
      <c r="S45" s="237"/>
      <c r="T45" s="234"/>
      <c r="U45" s="43">
        <f>'REGISTRO DATOS'!J43</f>
        <v>0</v>
      </c>
    </row>
    <row r="46" spans="1:21" ht="18" customHeight="1">
      <c r="A46" s="7">
        <v>32</v>
      </c>
      <c r="B46" s="682" t="str">
        <f>IFERROR(IF(VLOOKUP(A46,'REGISTRO DATOS'!B:H,2,0)=0,"",VLOOKUP(A46,'REGISTRO DATOS'!B:H,2,0)),"")</f>
        <v/>
      </c>
      <c r="C46" s="683" t="str">
        <f>IFERROR(IF(VLOOKUP(A46,'REGISTRO DATOS'!B:H,3,0)=0,"",VLOOKUP(A46,'REGISTRO DATOS'!B:H,3,0)),"")</f>
        <v/>
      </c>
      <c r="D46" s="684" t="str">
        <f>IFERROR(IF(VLOOKUP(A46,'REGISTRO DATOS'!B:H,4,0)=0,"",VLOOKUP(A46,'REGISTRO DATOS'!B:H,4,0)),"")</f>
        <v/>
      </c>
      <c r="E46" s="282">
        <f t="shared" si="1"/>
        <v>0</v>
      </c>
      <c r="F46" s="411"/>
      <c r="G46" s="486">
        <f t="shared" si="2"/>
        <v>0</v>
      </c>
      <c r="H46" s="411"/>
      <c r="I46" s="280">
        <f t="shared" si="0"/>
        <v>0</v>
      </c>
      <c r="J46" s="242"/>
      <c r="K46" s="232"/>
      <c r="L46" s="232"/>
      <c r="M46" s="232"/>
      <c r="N46" s="232"/>
      <c r="O46" s="232"/>
      <c r="P46" s="232"/>
      <c r="Q46" s="232"/>
      <c r="R46" s="232"/>
      <c r="S46" s="237"/>
      <c r="T46" s="234"/>
      <c r="U46" s="43">
        <f>'REGISTRO DATOS'!J44</f>
        <v>0</v>
      </c>
    </row>
    <row r="47" spans="1:21" ht="18" customHeight="1">
      <c r="A47" s="7">
        <v>33</v>
      </c>
      <c r="B47" s="682" t="str">
        <f>IFERROR(IF(VLOOKUP(A47,'REGISTRO DATOS'!B:H,2,0)=0,"",VLOOKUP(A47,'REGISTRO DATOS'!B:H,2,0)),"")</f>
        <v/>
      </c>
      <c r="C47" s="683" t="str">
        <f>IFERROR(IF(VLOOKUP(A47,'REGISTRO DATOS'!B:H,3,0)=0,"",VLOOKUP(A47,'REGISTRO DATOS'!B:H,3,0)),"")</f>
        <v/>
      </c>
      <c r="D47" s="684" t="str">
        <f>IFERROR(IF(VLOOKUP(A47,'REGISTRO DATOS'!B:H,4,0)=0,"",VLOOKUP(A47,'REGISTRO DATOS'!B:H,4,0)),"")</f>
        <v/>
      </c>
      <c r="E47" s="282">
        <f t="shared" si="1"/>
        <v>0</v>
      </c>
      <c r="F47" s="411"/>
      <c r="G47" s="486">
        <f t="shared" si="2"/>
        <v>0</v>
      </c>
      <c r="H47" s="411"/>
      <c r="I47" s="280">
        <f t="shared" si="0"/>
        <v>0</v>
      </c>
      <c r="J47" s="242"/>
      <c r="K47" s="232"/>
      <c r="L47" s="232"/>
      <c r="M47" s="232"/>
      <c r="N47" s="232"/>
      <c r="O47" s="232"/>
      <c r="P47" s="232"/>
      <c r="Q47" s="232"/>
      <c r="R47" s="232"/>
      <c r="S47" s="237"/>
      <c r="T47" s="234"/>
      <c r="U47" s="43">
        <f>'REGISTRO DATOS'!J45</f>
        <v>0</v>
      </c>
    </row>
    <row r="48" spans="1:21" ht="18" customHeight="1">
      <c r="A48" s="55">
        <v>34</v>
      </c>
      <c r="B48" s="682" t="str">
        <f>IFERROR(IF(VLOOKUP(A48,'REGISTRO DATOS'!B:H,2,0)=0,"",VLOOKUP(A48,'REGISTRO DATOS'!B:H,2,0)),"")</f>
        <v/>
      </c>
      <c r="C48" s="683" t="str">
        <f>IFERROR(IF(VLOOKUP(A48,'REGISTRO DATOS'!B:H,3,0)=0,"",VLOOKUP(A48,'REGISTRO DATOS'!B:H,3,0)),"")</f>
        <v/>
      </c>
      <c r="D48" s="684" t="str">
        <f>IFERROR(IF(VLOOKUP(A48,'REGISTRO DATOS'!B:H,4,0)=0,"",VLOOKUP(A48,'REGISTRO DATOS'!B:H,4,0)),"")</f>
        <v/>
      </c>
      <c r="E48" s="282">
        <f t="shared" si="1"/>
        <v>0</v>
      </c>
      <c r="F48" s="411"/>
      <c r="G48" s="486">
        <f t="shared" si="2"/>
        <v>0</v>
      </c>
      <c r="H48" s="411"/>
      <c r="I48" s="280">
        <f t="shared" si="0"/>
        <v>0</v>
      </c>
      <c r="J48" s="242"/>
      <c r="K48" s="232"/>
      <c r="L48" s="232"/>
      <c r="M48" s="232"/>
      <c r="N48" s="232"/>
      <c r="O48" s="232"/>
      <c r="P48" s="232"/>
      <c r="Q48" s="232"/>
      <c r="R48" s="232"/>
      <c r="S48" s="237"/>
      <c r="T48" s="234"/>
      <c r="U48" s="43">
        <f>'REGISTRO DATOS'!J46</f>
        <v>0</v>
      </c>
    </row>
    <row r="49" spans="1:21" ht="18" customHeight="1">
      <c r="A49" s="7">
        <v>35</v>
      </c>
      <c r="B49" s="682" t="str">
        <f>IFERROR(IF(VLOOKUP(A49,'REGISTRO DATOS'!B:H,2,0)=0,"",VLOOKUP(A49,'REGISTRO DATOS'!B:H,2,0)),"")</f>
        <v/>
      </c>
      <c r="C49" s="683" t="str">
        <f>IFERROR(IF(VLOOKUP(A49,'REGISTRO DATOS'!B:H,3,0)=0,"",VLOOKUP(A49,'REGISTRO DATOS'!B:H,3,0)),"")</f>
        <v/>
      </c>
      <c r="D49" s="684" t="str">
        <f>IFERROR(IF(VLOOKUP(A49,'REGISTRO DATOS'!B:H,4,0)=0,"",VLOOKUP(A49,'REGISTRO DATOS'!B:H,4,0)),"")</f>
        <v/>
      </c>
      <c r="E49" s="282">
        <f t="shared" si="1"/>
        <v>0</v>
      </c>
      <c r="F49" s="411"/>
      <c r="G49" s="486">
        <f t="shared" si="2"/>
        <v>0</v>
      </c>
      <c r="H49" s="411"/>
      <c r="I49" s="280">
        <f t="shared" si="0"/>
        <v>0</v>
      </c>
      <c r="J49" s="242"/>
      <c r="K49" s="232"/>
      <c r="L49" s="232"/>
      <c r="M49" s="232"/>
      <c r="N49" s="232"/>
      <c r="O49" s="232"/>
      <c r="P49" s="232"/>
      <c r="Q49" s="232"/>
      <c r="R49" s="232"/>
      <c r="S49" s="237"/>
      <c r="T49" s="234"/>
      <c r="U49" s="43">
        <f>'REGISTRO DATOS'!J47</f>
        <v>0</v>
      </c>
    </row>
    <row r="50" spans="1:21" ht="18" customHeight="1">
      <c r="A50" s="52">
        <v>36</v>
      </c>
      <c r="B50" s="682" t="str">
        <f>IFERROR(IF(VLOOKUP(A50,'REGISTRO DATOS'!B:H,2,0)=0,"",VLOOKUP(A50,'REGISTRO DATOS'!B:H,2,0)),"")</f>
        <v/>
      </c>
      <c r="C50" s="683" t="str">
        <f>IFERROR(IF(VLOOKUP(A50,'REGISTRO DATOS'!B:H,3,0)=0,"",VLOOKUP(A50,'REGISTRO DATOS'!B:H,3,0)),"")</f>
        <v/>
      </c>
      <c r="D50" s="684" t="str">
        <f>IFERROR(IF(VLOOKUP(A50,'REGISTRO DATOS'!B:H,4,0)=0,"",VLOOKUP(A50,'REGISTRO DATOS'!B:H,4,0)),"")</f>
        <v/>
      </c>
      <c r="E50" s="282">
        <f t="shared" si="1"/>
        <v>0</v>
      </c>
      <c r="F50" s="411"/>
      <c r="G50" s="486">
        <f t="shared" si="2"/>
        <v>0</v>
      </c>
      <c r="H50" s="411"/>
      <c r="I50" s="280">
        <f t="shared" si="0"/>
        <v>0</v>
      </c>
      <c r="J50" s="242"/>
      <c r="K50" s="232"/>
      <c r="L50" s="232"/>
      <c r="M50" s="232"/>
      <c r="N50" s="232"/>
      <c r="O50" s="232"/>
      <c r="P50" s="232"/>
      <c r="Q50" s="232"/>
      <c r="R50" s="232"/>
      <c r="S50" s="237"/>
      <c r="T50" s="234"/>
      <c r="U50" s="43">
        <f>'REGISTRO DATOS'!J48</f>
        <v>0</v>
      </c>
    </row>
    <row r="51" spans="1:21" ht="18" customHeight="1">
      <c r="A51" s="29">
        <v>37</v>
      </c>
      <c r="B51" s="682" t="str">
        <f>IFERROR(IF(VLOOKUP(A51,'REGISTRO DATOS'!B:H,2,0)=0,"",VLOOKUP(A51,'REGISTRO DATOS'!B:H,2,0)),"")</f>
        <v/>
      </c>
      <c r="C51" s="683" t="str">
        <f>IFERROR(IF(VLOOKUP(A51,'REGISTRO DATOS'!B:H,3,0)=0,"",VLOOKUP(A51,'REGISTRO DATOS'!B:H,3,0)),"")</f>
        <v/>
      </c>
      <c r="D51" s="684" t="str">
        <f>IFERROR(IF(VLOOKUP(A51,'REGISTRO DATOS'!B:H,4,0)=0,"",VLOOKUP(A51,'REGISTRO DATOS'!B:H,4,0)),"")</f>
        <v/>
      </c>
      <c r="E51" s="282">
        <f t="shared" si="1"/>
        <v>0</v>
      </c>
      <c r="F51" s="411"/>
      <c r="G51" s="486">
        <f t="shared" si="2"/>
        <v>0</v>
      </c>
      <c r="H51" s="411"/>
      <c r="I51" s="280">
        <f t="shared" si="0"/>
        <v>0</v>
      </c>
      <c r="J51" s="242"/>
      <c r="K51" s="232"/>
      <c r="L51" s="232"/>
      <c r="M51" s="232"/>
      <c r="N51" s="232"/>
      <c r="O51" s="232"/>
      <c r="P51" s="232"/>
      <c r="Q51" s="232"/>
      <c r="R51" s="232"/>
      <c r="S51" s="237"/>
      <c r="T51" s="234"/>
      <c r="U51" s="43">
        <f>'REGISTRO DATOS'!J49</f>
        <v>0</v>
      </c>
    </row>
    <row r="52" spans="1:21" ht="18" customHeight="1">
      <c r="A52" s="52">
        <v>38</v>
      </c>
      <c r="B52" s="682" t="str">
        <f>IFERROR(IF(VLOOKUP(A52,'REGISTRO DATOS'!B:H,2,0)=0,"",VLOOKUP(A52,'REGISTRO DATOS'!B:H,2,0)),"")</f>
        <v/>
      </c>
      <c r="C52" s="683" t="str">
        <f>IFERROR(IF(VLOOKUP(A52,'REGISTRO DATOS'!B:H,3,0)=0,"",VLOOKUP(A52,'REGISTRO DATOS'!B:H,3,0)),"")</f>
        <v/>
      </c>
      <c r="D52" s="684" t="str">
        <f>IFERROR(IF(VLOOKUP(A52,'REGISTRO DATOS'!B:H,4,0)=0,"",VLOOKUP(A52,'REGISTRO DATOS'!B:H,4,0)),"")</f>
        <v/>
      </c>
      <c r="E52" s="282">
        <f t="shared" si="1"/>
        <v>0</v>
      </c>
      <c r="F52" s="411"/>
      <c r="G52" s="486">
        <f t="shared" si="2"/>
        <v>0</v>
      </c>
      <c r="H52" s="411"/>
      <c r="I52" s="280">
        <f t="shared" si="0"/>
        <v>0</v>
      </c>
      <c r="J52" s="242"/>
      <c r="K52" s="232"/>
      <c r="L52" s="232"/>
      <c r="M52" s="232"/>
      <c r="N52" s="232"/>
      <c r="O52" s="232"/>
      <c r="P52" s="232"/>
      <c r="Q52" s="232"/>
      <c r="R52" s="232"/>
      <c r="S52" s="237"/>
      <c r="T52" s="234"/>
      <c r="U52" s="43">
        <f>'REGISTRO DATOS'!J50</f>
        <v>0</v>
      </c>
    </row>
    <row r="53" spans="1:21" ht="18" customHeight="1">
      <c r="A53" s="7">
        <v>39</v>
      </c>
      <c r="B53" s="682" t="str">
        <f>IFERROR(IF(VLOOKUP(A53,'REGISTRO DATOS'!B:H,2,0)=0,"",VLOOKUP(A53,'REGISTRO DATOS'!B:H,2,0)),"")</f>
        <v/>
      </c>
      <c r="C53" s="683" t="str">
        <f>IFERROR(IF(VLOOKUP(A53,'REGISTRO DATOS'!B:H,3,0)=0,"",VLOOKUP(A53,'REGISTRO DATOS'!B:H,3,0)),"")</f>
        <v/>
      </c>
      <c r="D53" s="684" t="str">
        <f>IFERROR(IF(VLOOKUP(A53,'REGISTRO DATOS'!B:H,4,0)=0,"",VLOOKUP(A53,'REGISTRO DATOS'!B:H,4,0)),"")</f>
        <v/>
      </c>
      <c r="E53" s="282">
        <f t="shared" si="1"/>
        <v>0</v>
      </c>
      <c r="F53" s="411"/>
      <c r="G53" s="486">
        <f t="shared" si="2"/>
        <v>0</v>
      </c>
      <c r="H53" s="411"/>
      <c r="I53" s="280">
        <f t="shared" si="0"/>
        <v>0</v>
      </c>
      <c r="J53" s="242"/>
      <c r="K53" s="232"/>
      <c r="L53" s="232"/>
      <c r="M53" s="232"/>
      <c r="N53" s="232"/>
      <c r="O53" s="232"/>
      <c r="P53" s="232"/>
      <c r="Q53" s="232"/>
      <c r="R53" s="232"/>
      <c r="S53" s="237"/>
      <c r="T53" s="234"/>
      <c r="U53" s="43">
        <f>'REGISTRO DATOS'!J51</f>
        <v>0</v>
      </c>
    </row>
    <row r="54" spans="1:21" ht="18" customHeight="1">
      <c r="A54" s="432">
        <v>40</v>
      </c>
      <c r="B54" s="685" t="str">
        <f>IFERROR(IF(VLOOKUP(A54,'REGISTRO DATOS'!B:H,2,0)=0,"",VLOOKUP(A54,'REGISTRO DATOS'!B:H,2,0)),"")</f>
        <v/>
      </c>
      <c r="C54" s="686" t="str">
        <f>IFERROR(IF(VLOOKUP(A54,'REGISTRO DATOS'!B:H,3,0)=0,"",VLOOKUP(A54,'REGISTRO DATOS'!B:H,3,0)),"")</f>
        <v/>
      </c>
      <c r="D54" s="687" t="str">
        <f>IFERROR(IF(VLOOKUP(A54,'REGISTRO DATOS'!B:H,4,0)=0,"",VLOOKUP(A54,'REGISTRO DATOS'!B:H,4,0)),"")</f>
        <v/>
      </c>
      <c r="E54" s="282">
        <f t="shared" si="1"/>
        <v>0</v>
      </c>
      <c r="F54" s="411"/>
      <c r="G54" s="486">
        <f t="shared" si="2"/>
        <v>0</v>
      </c>
      <c r="H54" s="411"/>
      <c r="I54" s="280">
        <f t="shared" si="0"/>
        <v>0</v>
      </c>
      <c r="J54" s="242"/>
      <c r="K54" s="232"/>
      <c r="L54" s="232"/>
      <c r="M54" s="232"/>
      <c r="N54" s="232"/>
      <c r="O54" s="232"/>
      <c r="P54" s="232"/>
      <c r="Q54" s="232"/>
      <c r="R54" s="232"/>
      <c r="S54" s="237"/>
      <c r="T54" s="234"/>
      <c r="U54" s="43">
        <f>'REGISTRO DATOS'!J52</f>
        <v>0</v>
      </c>
    </row>
    <row r="55" spans="1:21" ht="18" customHeight="1">
      <c r="A55" s="223"/>
      <c r="B55" s="223"/>
      <c r="C55" s="223"/>
      <c r="D55" s="223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1:21" ht="18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1:21" ht="18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1:21" ht="18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1:21" ht="18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1:21" ht="18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1:21" ht="17.2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1:21" ht="17.2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1:21" ht="17.2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1:21" ht="1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1:20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1:20" ht="1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1:20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1:20" ht="1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1:20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1:20" ht="1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1:20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2" spans="1:20" ht="1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</row>
    <row r="73" spans="1:20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</row>
    <row r="74" spans="1:20" ht="1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</row>
    <row r="75" spans="1:20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</row>
    <row r="76" spans="1:20" ht="1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</row>
    <row r="77" spans="1:20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</row>
    <row r="78" spans="1:20" ht="1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</row>
    <row r="79" spans="1:20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</row>
    <row r="80" spans="1:20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</row>
    <row r="81" spans="1:20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</row>
    <row r="82" spans="1:20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</row>
    <row r="83" spans="1:20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</row>
    <row r="84" spans="1:20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</row>
    <row r="85" spans="1:20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</row>
    <row r="86" spans="1:20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</row>
    <row r="87" spans="1:20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</row>
    <row r="88" spans="1:20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</row>
    <row r="89" spans="1:20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</row>
    <row r="90" spans="1:20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</row>
    <row r="91" spans="1:20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</row>
    <row r="92" spans="1:20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</row>
    <row r="93" spans="1:20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</row>
    <row r="94" spans="1:20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</row>
    <row r="95" spans="1:20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</row>
    <row r="96" spans="1:20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</row>
    <row r="97" spans="1:20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</row>
    <row r="98" spans="1:20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</row>
    <row r="99" spans="1:20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</row>
    <row r="100" spans="1:20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</row>
    <row r="101" spans="1:20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</row>
    <row r="102" spans="1:20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</row>
    <row r="103" spans="1:20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</row>
    <row r="104" spans="1:20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</row>
    <row r="105" spans="1:20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</row>
    <row r="106" spans="1:20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</row>
    <row r="107" spans="1:20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</row>
    <row r="108" spans="1:20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</row>
  </sheetData>
  <dataConsolidate/>
  <mergeCells count="36">
    <mergeCell ref="Y25:AB25"/>
    <mergeCell ref="Y26:Z26"/>
    <mergeCell ref="AA26:AB26"/>
    <mergeCell ref="Y15:AB15"/>
    <mergeCell ref="Y16:Z16"/>
    <mergeCell ref="AA16:AB16"/>
    <mergeCell ref="Y20:AB20"/>
    <mergeCell ref="Y21:Z21"/>
    <mergeCell ref="AA21:AB21"/>
    <mergeCell ref="N10:S10"/>
    <mergeCell ref="E12:G12"/>
    <mergeCell ref="H12:J12"/>
    <mergeCell ref="A10:D10"/>
    <mergeCell ref="E10:J10"/>
    <mergeCell ref="E11:H11"/>
    <mergeCell ref="E8:L8"/>
    <mergeCell ref="N8:S8"/>
    <mergeCell ref="A9:D9"/>
    <mergeCell ref="N9:S9"/>
    <mergeCell ref="E9:L9"/>
    <mergeCell ref="S25:S32"/>
    <mergeCell ref="A4:D4"/>
    <mergeCell ref="E4:L4"/>
    <mergeCell ref="A3:B3"/>
    <mergeCell ref="C3:H3"/>
    <mergeCell ref="S15:S22"/>
    <mergeCell ref="N5:Q5"/>
    <mergeCell ref="A6:D6"/>
    <mergeCell ref="N6:Q6"/>
    <mergeCell ref="A7:D7"/>
    <mergeCell ref="E7:L7"/>
    <mergeCell ref="A5:D5"/>
    <mergeCell ref="E5:L5"/>
    <mergeCell ref="E6:J6"/>
    <mergeCell ref="A13:D13"/>
    <mergeCell ref="A8:D8"/>
  </mergeCells>
  <dataValidations count="1">
    <dataValidation type="list" allowBlank="1" showInputMessage="1" showErrorMessage="1" sqref="T55:T63" xr:uid="{00000000-0002-0000-0900-000000000000}">
      <formula1>$T$9:$T$10</formula1>
    </dataValidation>
  </dataValidations>
  <pageMargins left="0.7" right="0.7" top="0.75" bottom="0.75" header="0.3" footer="0.3"/>
  <pageSetup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9">
    <tabColor theme="4" tint="-0.249977111117893"/>
  </sheetPr>
  <dimension ref="A1:AX108"/>
  <sheetViews>
    <sheetView showGridLines="0" zoomScale="89" zoomScaleNormal="70" workbookViewId="0"/>
  </sheetViews>
  <sheetFormatPr baseColWidth="10" defaultColWidth="0" defaultRowHeight="15" zeroHeight="1"/>
  <cols>
    <col min="1" max="1" width="3.28515625" customWidth="1" collapsed="1"/>
    <col min="2" max="2" width="17.28515625" bestFit="1" customWidth="1" collapsed="1"/>
    <col min="3" max="3" width="18" bestFit="1" customWidth="1" collapsed="1"/>
    <col min="4" max="4" width="32" bestFit="1" customWidth="1" collapsed="1"/>
    <col min="5" max="5" width="0.28515625" hidden="1" customWidth="1" collapsed="1"/>
    <col min="6" max="7" width="10.7109375" hidden="1" customWidth="1" collapsed="1"/>
    <col min="8" max="10" width="10.7109375" customWidth="1" collapsed="1"/>
    <col min="11" max="15" width="4.28515625" bestFit="1" customWidth="1" collapsed="1"/>
    <col min="16" max="16" width="4.85546875" customWidth="1" collapsed="1"/>
    <col min="17" max="19" width="4.28515625" bestFit="1" customWidth="1" collapsed="1"/>
    <col min="20" max="20" width="7.5703125" bestFit="1" customWidth="1" collapsed="1"/>
    <col min="21" max="21" width="9.42578125" customWidth="1" collapsed="1"/>
    <col min="22" max="22" width="29.7109375" customWidth="1"/>
    <col min="23" max="23" width="15.28515625" hidden="1" customWidth="1" collapsed="1"/>
    <col min="24" max="24" width="7.28515625" hidden="1" customWidth="1"/>
    <col min="25" max="27" width="11.42578125" hidden="1" customWidth="1"/>
    <col min="28" max="30" width="0" hidden="1" customWidth="1"/>
    <col min="31" max="31" width="10.140625" hidden="1" customWidth="1"/>
    <col min="32" max="50" width="0" hidden="1" customWidth="1"/>
    <col min="51" max="16384" width="11.42578125" hidden="1"/>
  </cols>
  <sheetData>
    <row r="1" spans="1:31" ht="30"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</row>
    <row r="2" spans="1:31" ht="27.75" customHeight="1">
      <c r="A2" s="810"/>
      <c r="B2" s="810"/>
      <c r="C2" s="386" t="s">
        <v>322</v>
      </c>
      <c r="D2" s="387"/>
      <c r="E2" s="387"/>
      <c r="F2" s="387"/>
      <c r="G2" s="387"/>
      <c r="H2" s="387"/>
      <c r="I2" s="210"/>
      <c r="J2" s="210"/>
      <c r="K2" s="210"/>
      <c r="L2" s="210"/>
      <c r="M2" s="210"/>
      <c r="N2" s="210"/>
      <c r="O2" s="211"/>
      <c r="P2" s="211"/>
      <c r="Q2" s="211"/>
      <c r="R2" s="211"/>
      <c r="S2" s="211"/>
      <c r="T2" s="211"/>
    </row>
    <row r="3" spans="1:31" ht="18">
      <c r="A3" s="864" t="s">
        <v>226</v>
      </c>
      <c r="B3" s="864"/>
      <c r="C3" s="864"/>
      <c r="D3" s="864"/>
      <c r="E3" s="796">
        <f>'REGISTRO DATOS'!I3</f>
        <v>0</v>
      </c>
      <c r="F3" s="796"/>
      <c r="G3" s="796"/>
      <c r="H3" s="796"/>
      <c r="I3" s="796"/>
      <c r="J3" s="796"/>
      <c r="K3" s="796"/>
      <c r="L3" s="796"/>
      <c r="M3" s="796"/>
      <c r="N3" s="796"/>
      <c r="O3" s="212"/>
      <c r="P3" s="212"/>
      <c r="Q3" s="212"/>
      <c r="R3" s="212"/>
      <c r="S3" s="212"/>
      <c r="T3" s="212"/>
      <c r="U3" s="212"/>
      <c r="V3" s="212"/>
      <c r="W3" s="212"/>
    </row>
    <row r="4" spans="1:31" ht="18">
      <c r="A4" s="864" t="s">
        <v>215</v>
      </c>
      <c r="B4" s="864"/>
      <c r="C4" s="864"/>
      <c r="D4" s="864"/>
      <c r="E4" s="796" t="str">
        <f>'REGISTRO DATOS'!I4</f>
        <v>COTO</v>
      </c>
      <c r="F4" s="796"/>
      <c r="G4" s="796"/>
      <c r="H4" s="796"/>
      <c r="I4" s="796"/>
      <c r="J4" s="796"/>
      <c r="K4" s="796"/>
      <c r="L4" s="796"/>
      <c r="M4" s="796"/>
      <c r="N4" s="796"/>
      <c r="O4" s="61"/>
      <c r="P4" s="62"/>
      <c r="Q4" s="62"/>
      <c r="R4" s="62"/>
      <c r="S4" s="62"/>
      <c r="T4" s="62"/>
      <c r="U4" s="62"/>
      <c r="V4" s="62"/>
      <c r="W4" s="62"/>
    </row>
    <row r="5" spans="1:31" ht="20.25">
      <c r="A5" s="864" t="s">
        <v>217</v>
      </c>
      <c r="B5" s="864"/>
      <c r="C5" s="864"/>
      <c r="D5" s="864"/>
      <c r="E5" s="796" t="str">
        <f>'REGISTRO DATOS'!I5</f>
        <v>06</v>
      </c>
      <c r="F5" s="796"/>
      <c r="G5" s="796"/>
      <c r="H5" s="796"/>
      <c r="I5" s="796"/>
      <c r="J5" s="796"/>
      <c r="K5" s="388"/>
      <c r="L5" s="388"/>
      <c r="M5" s="388"/>
      <c r="N5" s="388"/>
      <c r="O5" s="62"/>
      <c r="P5" s="866"/>
      <c r="Q5" s="866"/>
      <c r="R5" s="866"/>
      <c r="S5" s="866"/>
      <c r="T5" s="241"/>
      <c r="U5" s="389"/>
      <c r="V5" s="214"/>
      <c r="W5" s="62"/>
    </row>
    <row r="6" spans="1:31" ht="20.25">
      <c r="A6" s="864" t="s">
        <v>227</v>
      </c>
      <c r="B6" s="864"/>
      <c r="C6" s="864"/>
      <c r="D6" s="864"/>
      <c r="E6" s="796">
        <f>'REGISTRO DATOS'!I6</f>
        <v>0</v>
      </c>
      <c r="F6" s="796"/>
      <c r="G6" s="796"/>
      <c r="H6" s="796"/>
      <c r="I6" s="796"/>
      <c r="J6" s="796"/>
      <c r="K6" s="796"/>
      <c r="L6" s="796"/>
      <c r="M6" s="796"/>
      <c r="N6" s="796"/>
      <c r="O6" s="66"/>
      <c r="P6" s="866"/>
      <c r="Q6" s="866"/>
      <c r="R6" s="866"/>
      <c r="S6" s="866"/>
      <c r="T6" s="390"/>
      <c r="U6" s="391"/>
      <c r="V6" s="62"/>
      <c r="W6" s="69"/>
    </row>
    <row r="7" spans="1:31" ht="18.75" customHeight="1">
      <c r="A7" s="864" t="s">
        <v>228</v>
      </c>
      <c r="B7" s="864"/>
      <c r="C7" s="864"/>
      <c r="D7" s="864"/>
      <c r="E7" s="796">
        <f>'REGISTRO DATOS'!I7</f>
        <v>0</v>
      </c>
      <c r="F7" s="796"/>
      <c r="G7" s="796"/>
      <c r="H7" s="796"/>
      <c r="I7" s="796"/>
      <c r="J7" s="796"/>
      <c r="K7" s="796"/>
      <c r="L7" s="796"/>
      <c r="M7" s="796"/>
      <c r="N7" s="796"/>
      <c r="O7" s="73"/>
      <c r="P7" s="73"/>
      <c r="Q7" s="73"/>
      <c r="R7" s="2"/>
      <c r="S7" s="3"/>
      <c r="T7" s="3"/>
      <c r="U7" s="3"/>
      <c r="V7" s="3"/>
      <c r="W7" s="3"/>
    </row>
    <row r="8" spans="1:31" ht="19.5" customHeight="1">
      <c r="A8" s="867" t="s">
        <v>227</v>
      </c>
      <c r="B8" s="868"/>
      <c r="C8" s="868"/>
      <c r="D8" s="868"/>
      <c r="E8" s="796">
        <f>'REGISTRO DATOS'!I8</f>
        <v>0</v>
      </c>
      <c r="F8" s="796"/>
      <c r="G8" s="796"/>
      <c r="H8" s="796"/>
      <c r="I8" s="796"/>
      <c r="J8" s="796"/>
      <c r="K8" s="796"/>
      <c r="L8" s="796"/>
      <c r="M8" s="796"/>
      <c r="N8" s="796"/>
      <c r="O8" s="2"/>
      <c r="P8" s="810"/>
      <c r="Q8" s="810"/>
      <c r="R8" s="810"/>
      <c r="S8" s="810"/>
      <c r="T8" s="810"/>
      <c r="U8" s="810"/>
      <c r="W8" s="119"/>
    </row>
    <row r="9" spans="1:31" ht="19.5" customHeight="1">
      <c r="A9" s="864" t="s">
        <v>27</v>
      </c>
      <c r="B9" s="869"/>
      <c r="C9" s="869"/>
      <c r="D9" s="869"/>
      <c r="E9" s="796">
        <f>'REGISTRO DATOS'!I9</f>
        <v>0</v>
      </c>
      <c r="F9" s="796"/>
      <c r="G9" s="796"/>
      <c r="H9" s="796"/>
      <c r="I9" s="796"/>
      <c r="J9" s="796"/>
      <c r="K9" s="796"/>
      <c r="L9" s="796"/>
      <c r="M9" s="388"/>
      <c r="N9" s="392"/>
      <c r="O9" s="217"/>
      <c r="P9" s="810"/>
      <c r="Q9" s="810"/>
      <c r="R9" s="810"/>
      <c r="S9" s="810"/>
      <c r="T9" s="810"/>
      <c r="U9" s="810"/>
      <c r="V9" s="119"/>
      <c r="W9" s="123"/>
    </row>
    <row r="10" spans="1:31" ht="16.5" customHeight="1">
      <c r="A10" s="2"/>
      <c r="B10" s="2"/>
      <c r="C10" s="2"/>
      <c r="D10" s="2"/>
      <c r="E10" s="806"/>
      <c r="F10" s="806"/>
      <c r="G10" s="806"/>
      <c r="H10" s="806"/>
      <c r="I10" s="119"/>
      <c r="J10" s="119"/>
      <c r="K10" s="119"/>
      <c r="L10" s="119"/>
      <c r="M10" s="2"/>
      <c r="N10" s="6"/>
      <c r="O10" s="6"/>
      <c r="P10" s="810"/>
      <c r="Q10" s="810"/>
      <c r="R10" s="810"/>
      <c r="S10" s="810"/>
      <c r="T10" s="810"/>
      <c r="U10" s="810"/>
      <c r="V10" s="219"/>
      <c r="W10" s="124"/>
      <c r="X10" s="2"/>
    </row>
    <row r="11" spans="1:31" ht="25.5" thickBot="1">
      <c r="A11" s="37"/>
      <c r="B11" s="13"/>
      <c r="C11" s="37"/>
      <c r="D11" s="13"/>
      <c r="E11" s="870"/>
      <c r="F11" s="870"/>
      <c r="G11" s="870"/>
      <c r="H11" s="870"/>
      <c r="I11" s="870"/>
      <c r="J11" s="870"/>
      <c r="K11" s="2"/>
      <c r="L11" s="2"/>
      <c r="M11" s="2"/>
      <c r="N11" s="2"/>
      <c r="O11" s="393"/>
      <c r="P11" s="393"/>
      <c r="Q11" s="393"/>
      <c r="R11" s="393"/>
      <c r="S11" s="394"/>
      <c r="T11" s="2"/>
      <c r="U11" s="2"/>
      <c r="V11" s="2"/>
      <c r="W11" s="126"/>
    </row>
    <row r="12" spans="1:31" ht="21" customHeight="1" thickBot="1">
      <c r="A12" s="884" t="s">
        <v>17</v>
      </c>
      <c r="B12" s="885"/>
      <c r="C12" s="885"/>
      <c r="D12" s="885"/>
      <c r="E12" s="892" t="s">
        <v>71</v>
      </c>
      <c r="F12" s="892"/>
      <c r="G12" s="893"/>
      <c r="H12" s="894" t="s">
        <v>319</v>
      </c>
      <c r="I12" s="895"/>
      <c r="J12" s="896"/>
      <c r="K12" s="394"/>
      <c r="L12" s="394"/>
      <c r="M12" s="395"/>
      <c r="O12" s="238"/>
      <c r="P12" s="238"/>
      <c r="Q12" s="238"/>
      <c r="R12" s="238"/>
      <c r="S12" s="238"/>
      <c r="T12" s="394"/>
      <c r="U12" s="11"/>
      <c r="V12" s="11"/>
      <c r="W12" s="111"/>
    </row>
    <row r="13" spans="1:31" ht="21" customHeight="1" thickBot="1">
      <c r="A13" s="886"/>
      <c r="B13" s="887"/>
      <c r="C13" s="887"/>
      <c r="D13" s="887"/>
      <c r="E13" s="888" t="s">
        <v>16</v>
      </c>
      <c r="F13" s="396" t="s">
        <v>90</v>
      </c>
      <c r="G13" s="397" t="s">
        <v>89</v>
      </c>
      <c r="H13" s="890" t="s">
        <v>16</v>
      </c>
      <c r="I13" s="398" t="s">
        <v>320</v>
      </c>
      <c r="J13" s="399" t="s">
        <v>89</v>
      </c>
      <c r="K13" s="238"/>
      <c r="L13" s="238"/>
      <c r="M13" s="238"/>
      <c r="S13" s="238"/>
      <c r="T13" s="238"/>
      <c r="U13" s="239"/>
      <c r="V13" s="240"/>
      <c r="W13" s="235"/>
    </row>
    <row r="14" spans="1:31" ht="21" customHeight="1" thickBot="1">
      <c r="A14" s="400" t="s">
        <v>37</v>
      </c>
      <c r="B14" s="401" t="s">
        <v>38</v>
      </c>
      <c r="C14" s="401" t="s">
        <v>39</v>
      </c>
      <c r="D14" s="402" t="s">
        <v>36</v>
      </c>
      <c r="E14" s="889"/>
      <c r="F14" s="413">
        <v>0.15</v>
      </c>
      <c r="G14" s="414">
        <v>25</v>
      </c>
      <c r="H14" s="891"/>
      <c r="I14" s="690">
        <v>0.25</v>
      </c>
      <c r="J14" s="414">
        <v>9</v>
      </c>
      <c r="K14" s="238"/>
      <c r="L14" s="238"/>
      <c r="M14" s="238"/>
      <c r="N14" s="238"/>
      <c r="O14" s="238"/>
      <c r="P14" s="238"/>
      <c r="Q14" s="238"/>
      <c r="R14" s="238"/>
      <c r="S14" s="238"/>
      <c r="T14" s="238"/>
      <c r="U14" s="239"/>
      <c r="V14" s="240"/>
      <c r="W14" s="403"/>
    </row>
    <row r="15" spans="1:31" ht="18" customHeight="1" thickBot="1">
      <c r="A15" s="29">
        <v>1</v>
      </c>
      <c r="B15" s="404" t="str">
        <f>IFERROR(IF(VLOOKUP(A15,'REGISTRO DATOS'!B:H,2,0)=0,"",VLOOKUP(A15,'REGISTRO DATOS'!B:H,2,0)),"")</f>
        <v/>
      </c>
      <c r="C15" s="405" t="str">
        <f>IFERROR(IF(VLOOKUP(A15,'REGISTRO DATOS'!B:H,3,0)=0,"",VLOOKUP(A15,'REGISTRO DATOS'!B:H,3,0)),"")</f>
        <v/>
      </c>
      <c r="D15" s="406" t="str">
        <f>IFERROR(IF(VLOOKUP(A15,'REGISTRO DATOS'!B:H,4,0)=0,"",VLOOKUP(A15,'REGISTRO DATOS'!B:H,4,0)),"")</f>
        <v>MARIANELA</v>
      </c>
      <c r="E15" s="276">
        <f>(G15/$G$14)*100</f>
        <v>100</v>
      </c>
      <c r="F15" s="279">
        <f>E15*$F$14</f>
        <v>15</v>
      </c>
      <c r="G15" s="411">
        <v>25</v>
      </c>
      <c r="H15" s="276">
        <f>(J15/$J$14)*100</f>
        <v>88.888888888888886</v>
      </c>
      <c r="I15" s="279">
        <f>H15*$I$14</f>
        <v>22.222222222222221</v>
      </c>
      <c r="J15" s="411">
        <v>8</v>
      </c>
      <c r="K15" s="232"/>
      <c r="L15" s="232"/>
      <c r="M15" s="232"/>
      <c r="N15" s="232"/>
      <c r="O15" s="232"/>
      <c r="P15" s="232"/>
      <c r="Q15" s="232"/>
      <c r="R15" s="232"/>
      <c r="S15" s="232"/>
      <c r="T15" s="232"/>
      <c r="U15" s="237"/>
      <c r="V15" s="233"/>
      <c r="W15" s="234"/>
      <c r="X15" s="43">
        <f>'REGISTRO DATOS'!J13</f>
        <v>0</v>
      </c>
      <c r="AB15" s="786" t="s">
        <v>157</v>
      </c>
      <c r="AC15" s="787"/>
      <c r="AD15" s="787"/>
      <c r="AE15" s="788"/>
    </row>
    <row r="16" spans="1:31" ht="24.75" customHeight="1" thickBot="1">
      <c r="A16" s="7">
        <v>2</v>
      </c>
      <c r="B16" s="404" t="str">
        <f>IFERROR(IF(VLOOKUP(A16,'REGISTRO DATOS'!B:H,2,0)=0,"",VLOOKUP(A16,'REGISTRO DATOS'!B:H,2,0)),"")</f>
        <v/>
      </c>
      <c r="C16" s="405" t="str">
        <f>IFERROR(IF(VLOOKUP(A16,'REGISTRO DATOS'!B:H,3,0)=0,"",VLOOKUP(A16,'REGISTRO DATOS'!B:H,3,0)),"")</f>
        <v/>
      </c>
      <c r="D16" s="406" t="str">
        <f>IFERROR(IF(VLOOKUP(A16,'REGISTRO DATOS'!B:H,4,0)=0,"",VLOOKUP(A16,'REGISTRO DATOS'!B:H,4,0)),"")</f>
        <v>GENESIS</v>
      </c>
      <c r="E16" s="164">
        <f t="shared" ref="E16:E54" si="0">(G16/$G$14)*100</f>
        <v>0</v>
      </c>
      <c r="F16" s="280">
        <f t="shared" ref="F16:F54" si="1">E16*$F$14</f>
        <v>0</v>
      </c>
      <c r="G16" s="411"/>
      <c r="H16" s="164">
        <f t="shared" ref="H16:H54" si="2">(J16/$J$14)*100</f>
        <v>88.888888888888886</v>
      </c>
      <c r="I16" s="280">
        <f t="shared" ref="I16:I54" si="3">H16*$I$14</f>
        <v>22.222222222222221</v>
      </c>
      <c r="J16" s="411">
        <v>8</v>
      </c>
      <c r="K16" s="232"/>
      <c r="L16" s="232"/>
      <c r="M16" s="232"/>
      <c r="N16" s="232"/>
      <c r="O16" s="232"/>
      <c r="P16" s="232"/>
      <c r="Q16" s="232"/>
      <c r="R16" s="232"/>
      <c r="S16" s="232"/>
      <c r="T16" s="232"/>
      <c r="U16" s="237"/>
      <c r="V16" s="233"/>
      <c r="W16" s="234"/>
      <c r="X16" s="43">
        <f>'REGISTRO DATOS'!J14</f>
        <v>0</v>
      </c>
      <c r="AB16" s="793" t="s">
        <v>130</v>
      </c>
      <c r="AC16" s="794"/>
      <c r="AD16" s="786" t="s">
        <v>131</v>
      </c>
      <c r="AE16" s="788"/>
    </row>
    <row r="17" spans="1:32" ht="18" customHeight="1">
      <c r="A17" s="7">
        <v>3</v>
      </c>
      <c r="B17" s="404" t="str">
        <f>IFERROR(IF(VLOOKUP(A17,'REGISTRO DATOS'!B:H,2,0)=0,"",VLOOKUP(A17,'REGISTRO DATOS'!B:H,2,0)),"")</f>
        <v/>
      </c>
      <c r="C17" s="405" t="str">
        <f>IFERROR(IF(VLOOKUP(A17,'REGISTRO DATOS'!B:H,3,0)=0,"",VLOOKUP(A17,'REGISTRO DATOS'!B:H,3,0)),"")</f>
        <v/>
      </c>
      <c r="D17" s="406" t="str">
        <f>IFERROR(IF(VLOOKUP(A17,'REGISTRO DATOS'!B:H,4,0)=0,"",VLOOKUP(A17,'REGISTRO DATOS'!B:H,4,0)),"")</f>
        <v>EILEEN</v>
      </c>
      <c r="E17" s="164">
        <f t="shared" si="0"/>
        <v>0</v>
      </c>
      <c r="F17" s="280">
        <f t="shared" si="1"/>
        <v>0</v>
      </c>
      <c r="G17" s="411"/>
      <c r="H17" s="164">
        <f t="shared" si="2"/>
        <v>100</v>
      </c>
      <c r="I17" s="280">
        <f t="shared" si="3"/>
        <v>25</v>
      </c>
      <c r="J17" s="411">
        <v>9</v>
      </c>
      <c r="K17" s="232"/>
      <c r="L17" s="232"/>
      <c r="M17" s="232"/>
      <c r="N17" s="232"/>
      <c r="O17" s="232"/>
      <c r="P17" s="232"/>
      <c r="Q17" s="232"/>
      <c r="R17" s="232"/>
      <c r="S17" s="232"/>
      <c r="T17" s="232"/>
      <c r="U17" s="237"/>
      <c r="V17" s="233"/>
      <c r="W17" s="234"/>
      <c r="X17" s="43">
        <f>'REGISTRO DATOS'!J15</f>
        <v>0</v>
      </c>
      <c r="AB17" s="198" t="s">
        <v>156</v>
      </c>
      <c r="AC17" s="199" t="s">
        <v>155</v>
      </c>
      <c r="AD17" s="198" t="s">
        <v>156</v>
      </c>
      <c r="AE17" s="199" t="s">
        <v>155</v>
      </c>
    </row>
    <row r="18" spans="1:32" ht="18" customHeight="1" thickBot="1">
      <c r="A18" s="29">
        <v>4</v>
      </c>
      <c r="B18" s="404" t="str">
        <f>IFERROR(IF(VLOOKUP(A18,'REGISTRO DATOS'!B:H,2,0)=0,"",VLOOKUP(A18,'REGISTRO DATOS'!B:H,2,0)),"")</f>
        <v/>
      </c>
      <c r="C18" s="405" t="str">
        <f>IFERROR(IF(VLOOKUP(A18,'REGISTRO DATOS'!B:H,3,0)=0,"",VLOOKUP(A18,'REGISTRO DATOS'!B:H,3,0)),"")</f>
        <v/>
      </c>
      <c r="D18" s="406" t="str">
        <f>IFERROR(IF(VLOOKUP(A18,'REGISTRO DATOS'!B:H,4,0)=0,"",VLOOKUP(A18,'REGISTRO DATOS'!B:H,4,0)),"")</f>
        <v>CINDEL</v>
      </c>
      <c r="E18" s="164">
        <f t="shared" si="0"/>
        <v>0</v>
      </c>
      <c r="F18" s="280">
        <f t="shared" si="1"/>
        <v>0</v>
      </c>
      <c r="G18" s="411"/>
      <c r="H18" s="164">
        <f t="shared" si="2"/>
        <v>11.111111111111111</v>
      </c>
      <c r="I18" s="280">
        <f t="shared" si="3"/>
        <v>2.7777777777777777</v>
      </c>
      <c r="J18" s="411">
        <v>1</v>
      </c>
      <c r="K18" s="232"/>
      <c r="L18" s="232"/>
      <c r="M18" s="232"/>
      <c r="N18" s="232"/>
      <c r="O18" s="232"/>
      <c r="P18" s="232"/>
      <c r="Q18" s="232"/>
      <c r="R18" s="232"/>
      <c r="S18" s="232"/>
      <c r="T18" s="232"/>
      <c r="U18" s="237"/>
      <c r="V18" s="233"/>
      <c r="W18" s="234"/>
      <c r="X18" s="43">
        <f>'REGISTRO DATOS'!J16</f>
        <v>0</v>
      </c>
      <c r="AB18" s="200" t="e">
        <f>COUNTIFS(X15:X54,"H",#REF!,"&lt;70")</f>
        <v>#REF!</v>
      </c>
      <c r="AC18" s="201" t="e">
        <f>COUNTIFS(X15:X54,"H",#REF!,"&gt;70")</f>
        <v>#REF!</v>
      </c>
      <c r="AD18" s="200" t="e">
        <f>COUNTIFS(X15:X54,"M",#REF!,"&lt;70")</f>
        <v>#REF!</v>
      </c>
      <c r="AE18" s="201" t="e">
        <f>COUNTIFS(X15:X54,"M",#REF!,"&gt;70")</f>
        <v>#REF!</v>
      </c>
      <c r="AF18" s="43" t="e">
        <f>SUM(AB18:AE18)</f>
        <v>#REF!</v>
      </c>
    </row>
    <row r="19" spans="1:32" ht="18" customHeight="1" thickBot="1">
      <c r="A19" s="7">
        <v>5</v>
      </c>
      <c r="B19" s="404" t="str">
        <f>IFERROR(IF(VLOOKUP(A19,'REGISTRO DATOS'!B:H,2,0)=0,"",VLOOKUP(A19,'REGISTRO DATOS'!B:H,2,0)),"")</f>
        <v/>
      </c>
      <c r="C19" s="405" t="str">
        <f>IFERROR(IF(VLOOKUP(A19,'REGISTRO DATOS'!B:H,3,0)=0,"",VLOOKUP(A19,'REGISTRO DATOS'!B:H,3,0)),"")</f>
        <v/>
      </c>
      <c r="D19" s="406" t="str">
        <f>IFERROR(IF(VLOOKUP(A19,'REGISTRO DATOS'!B:H,4,0)=0,"",VLOOKUP(A19,'REGISTRO DATOS'!B:H,4,0)),"")</f>
        <v>NANCY</v>
      </c>
      <c r="E19" s="164">
        <f t="shared" si="0"/>
        <v>0</v>
      </c>
      <c r="F19" s="280">
        <f t="shared" si="1"/>
        <v>0</v>
      </c>
      <c r="G19" s="411"/>
      <c r="H19" s="164">
        <f t="shared" si="2"/>
        <v>88.888888888888886</v>
      </c>
      <c r="I19" s="280">
        <f t="shared" si="3"/>
        <v>22.222222222222221</v>
      </c>
      <c r="J19" s="411">
        <v>8</v>
      </c>
      <c r="K19" s="232"/>
      <c r="L19" s="232"/>
      <c r="M19" s="232"/>
      <c r="N19" s="232"/>
      <c r="O19" s="232"/>
      <c r="P19" s="232"/>
      <c r="Q19" s="232"/>
      <c r="R19" s="232"/>
      <c r="S19" s="232"/>
      <c r="T19" s="232"/>
      <c r="U19" s="237"/>
      <c r="V19" s="233"/>
      <c r="W19" s="234"/>
      <c r="X19" s="43">
        <f>'REGISTRO DATOS'!J17</f>
        <v>0</v>
      </c>
    </row>
    <row r="20" spans="1:32" ht="18" customHeight="1" thickBot="1">
      <c r="A20" s="7">
        <v>6</v>
      </c>
      <c r="B20" s="404" t="str">
        <f>IFERROR(IF(VLOOKUP(A20,'REGISTRO DATOS'!B:H,2,0)=0,"",VLOOKUP(A20,'REGISTRO DATOS'!B:H,2,0)),"")</f>
        <v/>
      </c>
      <c r="C20" s="405" t="str">
        <f>IFERROR(IF(VLOOKUP(A20,'REGISTRO DATOS'!B:H,3,0)=0,"",VLOOKUP(A20,'REGISTRO DATOS'!B:H,3,0)),"")</f>
        <v/>
      </c>
      <c r="D20" s="406" t="str">
        <f>IFERROR(IF(VLOOKUP(A20,'REGISTRO DATOS'!B:H,4,0)=0,"",VLOOKUP(A20,'REGISTRO DATOS'!B:H,4,0)),"")</f>
        <v>MARIANA</v>
      </c>
      <c r="E20" s="164">
        <f t="shared" si="0"/>
        <v>0</v>
      </c>
      <c r="F20" s="280">
        <f t="shared" si="1"/>
        <v>0</v>
      </c>
      <c r="G20" s="411"/>
      <c r="H20" s="164">
        <f t="shared" si="2"/>
        <v>100</v>
      </c>
      <c r="I20" s="280">
        <f t="shared" si="3"/>
        <v>25</v>
      </c>
      <c r="J20" s="411">
        <v>9</v>
      </c>
      <c r="K20" s="232"/>
      <c r="L20" s="232"/>
      <c r="M20" s="232"/>
      <c r="N20" s="232"/>
      <c r="O20" s="232"/>
      <c r="P20" s="232"/>
      <c r="Q20" s="232"/>
      <c r="R20" s="232"/>
      <c r="S20" s="232"/>
      <c r="T20" s="232"/>
      <c r="U20" s="237"/>
      <c r="V20" s="233"/>
      <c r="W20" s="234"/>
      <c r="X20" s="43">
        <f>'REGISTRO DATOS'!J18</f>
        <v>0</v>
      </c>
      <c r="AB20" s="786" t="s">
        <v>152</v>
      </c>
      <c r="AC20" s="787"/>
      <c r="AD20" s="787"/>
      <c r="AE20" s="788"/>
    </row>
    <row r="21" spans="1:32" ht="18" customHeight="1" thickBot="1">
      <c r="A21" s="29">
        <v>7</v>
      </c>
      <c r="B21" s="404" t="str">
        <f>IFERROR(IF(VLOOKUP(A21,'REGISTRO DATOS'!B:H,2,0)=0,"",VLOOKUP(A21,'REGISTRO DATOS'!B:H,2,0)),"")</f>
        <v xml:space="preserve">GONZALEZ </v>
      </c>
      <c r="C21" s="405" t="str">
        <f>IFERROR(IF(VLOOKUP(A21,'REGISTRO DATOS'!B:H,3,0)=0,"",VLOOKUP(A21,'REGISTRO DATOS'!B:H,3,0)),"")</f>
        <v>CHAVARRIA</v>
      </c>
      <c r="D21" s="406" t="str">
        <f>IFERROR(IF(VLOOKUP(A21,'REGISTRO DATOS'!B:H,4,0)=0,"",VLOOKUP(A21,'REGISTRO DATOS'!B:H,4,0)),"")</f>
        <v>STEPHANIE</v>
      </c>
      <c r="E21" s="164">
        <f t="shared" si="0"/>
        <v>0</v>
      </c>
      <c r="F21" s="280">
        <f t="shared" si="1"/>
        <v>0</v>
      </c>
      <c r="G21" s="411"/>
      <c r="H21" s="164">
        <f t="shared" si="2"/>
        <v>88.888888888888886</v>
      </c>
      <c r="I21" s="280">
        <f t="shared" si="3"/>
        <v>22.222222222222221</v>
      </c>
      <c r="J21" s="411">
        <v>8</v>
      </c>
      <c r="K21" s="232"/>
      <c r="L21" s="232"/>
      <c r="M21" s="232"/>
      <c r="N21" s="232"/>
      <c r="O21" s="232"/>
      <c r="P21" s="232"/>
      <c r="Q21" s="232"/>
      <c r="R21" s="232"/>
      <c r="S21" s="232"/>
      <c r="T21" s="232"/>
      <c r="U21" s="237"/>
      <c r="V21" s="233"/>
      <c r="W21" s="234"/>
      <c r="X21" s="43">
        <f>'REGISTRO DATOS'!J19</f>
        <v>0</v>
      </c>
      <c r="AB21" s="793" t="s">
        <v>130</v>
      </c>
      <c r="AC21" s="794"/>
      <c r="AD21" s="786" t="s">
        <v>131</v>
      </c>
      <c r="AE21" s="788"/>
    </row>
    <row r="22" spans="1:32" ht="18" customHeight="1">
      <c r="A22" s="7">
        <v>8</v>
      </c>
      <c r="B22" s="404" t="str">
        <f>IFERROR(IF(VLOOKUP(A22,'REGISTRO DATOS'!B:H,2,0)=0,"",VLOOKUP(A22,'REGISTRO DATOS'!B:H,2,0)),"")</f>
        <v/>
      </c>
      <c r="C22" s="405" t="str">
        <f>IFERROR(IF(VLOOKUP(A22,'REGISTRO DATOS'!B:H,3,0)=0,"",VLOOKUP(A22,'REGISTRO DATOS'!B:H,3,0)),"")</f>
        <v/>
      </c>
      <c r="D22" s="406" t="str">
        <f>IFERROR(IF(VLOOKUP(A22,'REGISTRO DATOS'!B:H,4,0)=0,"",VLOOKUP(A22,'REGISTRO DATOS'!B:H,4,0)),"")</f>
        <v>YASCINI</v>
      </c>
      <c r="E22" s="164">
        <f t="shared" si="0"/>
        <v>0</v>
      </c>
      <c r="F22" s="280">
        <f t="shared" si="1"/>
        <v>0</v>
      </c>
      <c r="G22" s="411"/>
      <c r="H22" s="164">
        <f t="shared" si="2"/>
        <v>88.888888888888886</v>
      </c>
      <c r="I22" s="280">
        <f t="shared" si="3"/>
        <v>22.222222222222221</v>
      </c>
      <c r="J22" s="411">
        <v>8</v>
      </c>
      <c r="K22" s="232"/>
      <c r="L22" s="232"/>
      <c r="M22" s="232"/>
      <c r="N22" s="232"/>
      <c r="O22" s="232"/>
      <c r="P22" s="232"/>
      <c r="Q22" s="232"/>
      <c r="R22" s="232"/>
      <c r="S22" s="232"/>
      <c r="T22" s="232"/>
      <c r="U22" s="237"/>
      <c r="V22" s="233"/>
      <c r="W22" s="234"/>
      <c r="X22" s="43">
        <f>'REGISTRO DATOS'!J20</f>
        <v>0</v>
      </c>
      <c r="AB22" s="198" t="s">
        <v>156</v>
      </c>
      <c r="AC22" s="199" t="s">
        <v>155</v>
      </c>
      <c r="AD22" s="198" t="s">
        <v>156</v>
      </c>
      <c r="AE22" s="199" t="s">
        <v>155</v>
      </c>
    </row>
    <row r="23" spans="1:32" ht="18" customHeight="1" thickBot="1">
      <c r="A23" s="7">
        <v>9</v>
      </c>
      <c r="B23" s="404" t="str">
        <f>IFERROR(IF(VLOOKUP(A23,'REGISTRO DATOS'!B:H,2,0)=0,"",VLOOKUP(A23,'REGISTRO DATOS'!B:H,2,0)),"")</f>
        <v>CUBILLO</v>
      </c>
      <c r="C23" s="405" t="str">
        <f>IFERROR(IF(VLOOKUP(A23,'REGISTRO DATOS'!B:H,3,0)=0,"",VLOOKUP(A23,'REGISTRO DATOS'!B:H,3,0)),"")</f>
        <v/>
      </c>
      <c r="D23" s="406" t="str">
        <f>IFERROR(IF(VLOOKUP(A23,'REGISTRO DATOS'!B:H,4,0)=0,"",VLOOKUP(A23,'REGISTRO DATOS'!B:H,4,0)),"")</f>
        <v xml:space="preserve">DYLAN </v>
      </c>
      <c r="E23" s="164">
        <f t="shared" si="0"/>
        <v>0</v>
      </c>
      <c r="F23" s="280">
        <f t="shared" si="1"/>
        <v>0</v>
      </c>
      <c r="G23" s="411"/>
      <c r="H23" s="164">
        <f t="shared" si="2"/>
        <v>100</v>
      </c>
      <c r="I23" s="280">
        <f t="shared" si="3"/>
        <v>25</v>
      </c>
      <c r="J23" s="411">
        <v>9</v>
      </c>
      <c r="K23" s="232"/>
      <c r="L23" s="232"/>
      <c r="M23" s="232"/>
      <c r="N23" s="232"/>
      <c r="O23" s="232"/>
      <c r="P23" s="232"/>
      <c r="Q23" s="232"/>
      <c r="R23" s="232"/>
      <c r="S23" s="232"/>
      <c r="T23" s="232"/>
      <c r="U23" s="237"/>
      <c r="V23" s="233"/>
      <c r="W23" s="234"/>
      <c r="X23" s="43">
        <f>'REGISTRO DATOS'!J21</f>
        <v>0</v>
      </c>
      <c r="AB23" s="200" t="e">
        <f>COUNTIFS(X15:X54,"H",#REF!,"&lt;70")</f>
        <v>#REF!</v>
      </c>
      <c r="AC23" s="201" t="e">
        <f>COUNTIFS(X15:X54,"H",#REF!,"&gt;70")</f>
        <v>#REF!</v>
      </c>
      <c r="AD23" s="200" t="e">
        <f>COUNTIFS(X15:X54,"M",#REF!,"&lt;70")</f>
        <v>#REF!</v>
      </c>
      <c r="AE23" s="201" t="e">
        <f>COUNTIFS(X15:X54,"M",#REF!,"&gt;70")</f>
        <v>#REF!</v>
      </c>
      <c r="AF23" s="43" t="e">
        <f>SUM(AB23:AE23)</f>
        <v>#REF!</v>
      </c>
    </row>
    <row r="24" spans="1:32" ht="18" customHeight="1" thickBot="1">
      <c r="A24" s="29">
        <v>10</v>
      </c>
      <c r="B24" s="404" t="str">
        <f>IFERROR(IF(VLOOKUP(A24,'REGISTRO DATOS'!B:H,2,0)=0,"",VLOOKUP(A24,'REGISTRO DATOS'!B:H,2,0)),"")</f>
        <v/>
      </c>
      <c r="C24" s="405" t="str">
        <f>IFERROR(IF(VLOOKUP(A24,'REGISTRO DATOS'!B:H,3,0)=0,"",VLOOKUP(A24,'REGISTRO DATOS'!B:H,3,0)),"")</f>
        <v/>
      </c>
      <c r="D24" s="406" t="str">
        <f>IFERROR(IF(VLOOKUP(A24,'REGISTRO DATOS'!B:H,4,0)=0,"",VLOOKUP(A24,'REGISTRO DATOS'!B:H,4,0)),"")</f>
        <v>KATTYA</v>
      </c>
      <c r="E24" s="164">
        <f t="shared" si="0"/>
        <v>0</v>
      </c>
      <c r="F24" s="280">
        <f t="shared" si="1"/>
        <v>0</v>
      </c>
      <c r="G24" s="411"/>
      <c r="H24" s="164">
        <f t="shared" si="2"/>
        <v>100</v>
      </c>
      <c r="I24" s="280">
        <f t="shared" si="3"/>
        <v>25</v>
      </c>
      <c r="J24" s="411">
        <v>9</v>
      </c>
      <c r="K24" s="232"/>
      <c r="L24" s="232"/>
      <c r="M24" s="232"/>
      <c r="N24" s="232"/>
      <c r="O24" s="232"/>
      <c r="P24" s="232"/>
      <c r="Q24" s="232"/>
      <c r="R24" s="232"/>
      <c r="S24" s="232"/>
      <c r="T24" s="232"/>
      <c r="U24" s="237"/>
      <c r="V24" s="233"/>
      <c r="W24" s="234"/>
      <c r="X24" s="43">
        <f>'REGISTRO DATOS'!J22</f>
        <v>0</v>
      </c>
    </row>
    <row r="25" spans="1:32" ht="18" customHeight="1" thickBot="1">
      <c r="A25" s="7">
        <v>11</v>
      </c>
      <c r="B25" s="404" t="str">
        <f>IFERROR(IF(VLOOKUP(A25,'REGISTRO DATOS'!B:H,2,0)=0,"",VLOOKUP(A25,'REGISTRO DATOS'!B:H,2,0)),"")</f>
        <v>BRIZUELA</v>
      </c>
      <c r="C25" s="405" t="str">
        <f>IFERROR(IF(VLOOKUP(A25,'REGISTRO DATOS'!B:H,3,0)=0,"",VLOOKUP(A25,'REGISTRO DATOS'!B:H,3,0)),"")</f>
        <v/>
      </c>
      <c r="D25" s="406" t="str">
        <f>IFERROR(IF(VLOOKUP(A25,'REGISTRO DATOS'!B:H,4,0)=0,"",VLOOKUP(A25,'REGISTRO DATOS'!B:H,4,0)),"")</f>
        <v>FABIOLA</v>
      </c>
      <c r="E25" s="164">
        <f t="shared" si="0"/>
        <v>0</v>
      </c>
      <c r="F25" s="280">
        <f t="shared" si="1"/>
        <v>0</v>
      </c>
      <c r="G25" s="411"/>
      <c r="H25" s="164">
        <f t="shared" si="2"/>
        <v>77.777777777777786</v>
      </c>
      <c r="I25" s="280">
        <f t="shared" si="3"/>
        <v>19.444444444444446</v>
      </c>
      <c r="J25" s="411">
        <v>7</v>
      </c>
      <c r="K25" s="232"/>
      <c r="L25" s="232"/>
      <c r="M25" s="232"/>
      <c r="N25" s="232"/>
      <c r="O25" s="232"/>
      <c r="P25" s="232"/>
      <c r="Q25" s="232"/>
      <c r="R25" s="232"/>
      <c r="S25" s="232"/>
      <c r="T25" s="232"/>
      <c r="U25" s="237"/>
      <c r="V25" s="233"/>
      <c r="W25" s="234"/>
      <c r="X25" s="43">
        <f>'REGISTRO DATOS'!J23</f>
        <v>0</v>
      </c>
      <c r="AB25" s="786" t="s">
        <v>158</v>
      </c>
      <c r="AC25" s="787"/>
      <c r="AD25" s="787"/>
      <c r="AE25" s="788"/>
    </row>
    <row r="26" spans="1:32" ht="18" customHeight="1" thickBot="1">
      <c r="A26" s="7">
        <v>12</v>
      </c>
      <c r="B26" s="404" t="str">
        <f>IFERROR(IF(VLOOKUP(A26,'REGISTRO DATOS'!B:H,2,0)=0,"",VLOOKUP(A26,'REGISTRO DATOS'!B:H,2,0)),"")</f>
        <v/>
      </c>
      <c r="C26" s="405" t="str">
        <f>IFERROR(IF(VLOOKUP(A26,'REGISTRO DATOS'!B:H,3,0)=0,"",VLOOKUP(A26,'REGISTRO DATOS'!B:H,3,0)),"")</f>
        <v/>
      </c>
      <c r="D26" s="406" t="str">
        <f>IFERROR(IF(VLOOKUP(A26,'REGISTRO DATOS'!B:H,4,0)=0,"",VLOOKUP(A26,'REGISTRO DATOS'!B:H,4,0)),"")</f>
        <v>DARIANA</v>
      </c>
      <c r="E26" s="164">
        <f t="shared" si="0"/>
        <v>0</v>
      </c>
      <c r="F26" s="280">
        <f t="shared" si="1"/>
        <v>0</v>
      </c>
      <c r="G26" s="411"/>
      <c r="H26" s="164">
        <f t="shared" si="2"/>
        <v>100</v>
      </c>
      <c r="I26" s="280">
        <f t="shared" si="3"/>
        <v>25</v>
      </c>
      <c r="J26" s="411">
        <v>9</v>
      </c>
      <c r="K26" s="232"/>
      <c r="L26" s="232"/>
      <c r="M26" s="232"/>
      <c r="N26" s="232"/>
      <c r="O26" s="232"/>
      <c r="P26" s="232"/>
      <c r="Q26" s="232"/>
      <c r="R26" s="232"/>
      <c r="S26" s="232"/>
      <c r="T26" s="232"/>
      <c r="U26" s="237"/>
      <c r="V26" s="233"/>
      <c r="W26" s="234"/>
      <c r="X26" s="43">
        <f>'REGISTRO DATOS'!J24</f>
        <v>0</v>
      </c>
      <c r="AB26" s="793" t="s">
        <v>130</v>
      </c>
      <c r="AC26" s="794"/>
      <c r="AD26" s="786" t="s">
        <v>131</v>
      </c>
      <c r="AE26" s="788"/>
    </row>
    <row r="27" spans="1:32" ht="18" customHeight="1">
      <c r="A27" s="29">
        <v>13</v>
      </c>
      <c r="B27" s="404" t="str">
        <f>IFERROR(IF(VLOOKUP(A27,'REGISTRO DATOS'!B:H,2,0)=0,"",VLOOKUP(A27,'REGISTRO DATOS'!B:H,2,0)),"")</f>
        <v/>
      </c>
      <c r="C27" s="405" t="str">
        <f>IFERROR(IF(VLOOKUP(A27,'REGISTRO DATOS'!B:H,3,0)=0,"",VLOOKUP(A27,'REGISTRO DATOS'!B:H,3,0)),"")</f>
        <v/>
      </c>
      <c r="D27" s="406" t="str">
        <f>IFERROR(IF(VLOOKUP(A27,'REGISTRO DATOS'!B:H,4,0)=0,"",VLOOKUP(A27,'REGISTRO DATOS'!B:H,4,0)),"")</f>
        <v>JENIFER</v>
      </c>
      <c r="E27" s="164">
        <f t="shared" si="0"/>
        <v>0</v>
      </c>
      <c r="F27" s="280">
        <f t="shared" si="1"/>
        <v>0</v>
      </c>
      <c r="G27" s="411"/>
      <c r="H27" s="164">
        <f t="shared" si="2"/>
        <v>100</v>
      </c>
      <c r="I27" s="280">
        <f t="shared" si="3"/>
        <v>25</v>
      </c>
      <c r="J27" s="411">
        <v>9</v>
      </c>
      <c r="K27" s="232"/>
      <c r="L27" s="232"/>
      <c r="M27" s="232"/>
      <c r="N27" s="232"/>
      <c r="O27" s="232"/>
      <c r="P27" s="232"/>
      <c r="Q27" s="232"/>
      <c r="R27" s="232"/>
      <c r="S27" s="232"/>
      <c r="T27" s="232"/>
      <c r="U27" s="237"/>
      <c r="V27" s="233"/>
      <c r="W27" s="234"/>
      <c r="X27" s="43">
        <f>'REGISTRO DATOS'!J25</f>
        <v>0</v>
      </c>
      <c r="AB27" s="198" t="s">
        <v>156</v>
      </c>
      <c r="AC27" s="199" t="s">
        <v>155</v>
      </c>
      <c r="AD27" s="198" t="s">
        <v>156</v>
      </c>
      <c r="AE27" s="199" t="s">
        <v>155</v>
      </c>
    </row>
    <row r="28" spans="1:32" ht="18" customHeight="1" thickBot="1">
      <c r="A28" s="7">
        <v>14</v>
      </c>
      <c r="B28" s="404" t="str">
        <f>IFERROR(IF(VLOOKUP(A28,'REGISTRO DATOS'!B:H,2,0)=0,"",VLOOKUP(A28,'REGISTRO DATOS'!B:H,2,0)),"")</f>
        <v/>
      </c>
      <c r="C28" s="405" t="str">
        <f>IFERROR(IF(VLOOKUP(A28,'REGISTRO DATOS'!B:H,3,0)=0,"",VLOOKUP(A28,'REGISTRO DATOS'!B:H,3,0)),"")</f>
        <v/>
      </c>
      <c r="D28" s="406" t="str">
        <f>IFERROR(IF(VLOOKUP(A28,'REGISTRO DATOS'!B:H,4,0)=0,"",VLOOKUP(A28,'REGISTRO DATOS'!B:H,4,0)),"")</f>
        <v>GABRIELA</v>
      </c>
      <c r="E28" s="164">
        <f t="shared" si="0"/>
        <v>0</v>
      </c>
      <c r="F28" s="280">
        <f t="shared" si="1"/>
        <v>0</v>
      </c>
      <c r="G28" s="411"/>
      <c r="H28" s="164">
        <f t="shared" si="2"/>
        <v>100</v>
      </c>
      <c r="I28" s="280">
        <f t="shared" si="3"/>
        <v>25</v>
      </c>
      <c r="J28" s="411">
        <v>9</v>
      </c>
      <c r="K28" s="232"/>
      <c r="L28" s="232"/>
      <c r="M28" s="232"/>
      <c r="N28" s="232"/>
      <c r="O28" s="232"/>
      <c r="P28" s="232"/>
      <c r="Q28" s="232"/>
      <c r="R28" s="232"/>
      <c r="S28" s="232"/>
      <c r="T28" s="232"/>
      <c r="U28" s="237"/>
      <c r="V28" s="233"/>
      <c r="W28" s="234"/>
      <c r="X28" s="43">
        <f>'REGISTRO DATOS'!J26</f>
        <v>0</v>
      </c>
      <c r="AB28" s="200" t="e">
        <f>COUNTIFS(X15:X54,"H",#REF!,"&lt;70")</f>
        <v>#REF!</v>
      </c>
      <c r="AC28" s="201" t="e">
        <f>COUNTIFS(X15:X54,"H",#REF!,"&gt;70")</f>
        <v>#REF!</v>
      </c>
      <c r="AD28" s="200" t="e">
        <f>COUNTIFS(X15:X54,"M",#REF!,"&lt;70")</f>
        <v>#REF!</v>
      </c>
      <c r="AE28" s="201" t="e">
        <f>COUNTIFS(X15:X54,"M",#REF!,"&gt;70")</f>
        <v>#REF!</v>
      </c>
      <c r="AF28" s="43" t="e">
        <f>SUM(AB28:AE28)</f>
        <v>#REF!</v>
      </c>
    </row>
    <row r="29" spans="1:32" ht="18" customHeight="1">
      <c r="A29" s="7">
        <v>15</v>
      </c>
      <c r="B29" s="404" t="str">
        <f>IFERROR(IF(VLOOKUP(A29,'REGISTRO DATOS'!B:H,2,0)=0,"",VLOOKUP(A29,'REGISTRO DATOS'!B:H,2,0)),"")</f>
        <v xml:space="preserve">SERRANO </v>
      </c>
      <c r="C29" s="405" t="str">
        <f>IFERROR(IF(VLOOKUP(A29,'REGISTRO DATOS'!B:H,3,0)=0,"",VLOOKUP(A29,'REGISTRO DATOS'!B:H,3,0)),"")</f>
        <v>VILLEGAS</v>
      </c>
      <c r="D29" s="406" t="str">
        <f>IFERROR(IF(VLOOKUP(A29,'REGISTRO DATOS'!B:H,4,0)=0,"",VLOOKUP(A29,'REGISTRO DATOS'!B:H,4,0)),"")</f>
        <v xml:space="preserve">DYLAN </v>
      </c>
      <c r="E29" s="164">
        <f t="shared" si="0"/>
        <v>0</v>
      </c>
      <c r="F29" s="280">
        <f t="shared" si="1"/>
        <v>0</v>
      </c>
      <c r="G29" s="411"/>
      <c r="H29" s="164">
        <f t="shared" si="2"/>
        <v>77.777777777777786</v>
      </c>
      <c r="I29" s="280">
        <f t="shared" si="3"/>
        <v>19.444444444444446</v>
      </c>
      <c r="J29" s="411">
        <v>7</v>
      </c>
      <c r="K29" s="232"/>
      <c r="L29" s="232"/>
      <c r="M29" s="232"/>
      <c r="N29" s="232"/>
      <c r="O29" s="232"/>
      <c r="P29" s="232"/>
      <c r="Q29" s="232"/>
      <c r="R29" s="232"/>
      <c r="S29" s="232"/>
      <c r="T29" s="232"/>
      <c r="U29" s="237"/>
      <c r="V29" s="233"/>
      <c r="W29" s="234"/>
      <c r="X29" s="43">
        <f>'REGISTRO DATOS'!J27</f>
        <v>0</v>
      </c>
    </row>
    <row r="30" spans="1:32" ht="18" customHeight="1">
      <c r="A30" s="29">
        <v>16</v>
      </c>
      <c r="B30" s="404" t="str">
        <f>IFERROR(IF(VLOOKUP(A30,'REGISTRO DATOS'!B:H,2,0)=0,"",VLOOKUP(A30,'REGISTRO DATOS'!B:H,2,0)),"")</f>
        <v/>
      </c>
      <c r="C30" s="405" t="str">
        <f>IFERROR(IF(VLOOKUP(A30,'REGISTRO DATOS'!B:H,3,0)=0,"",VLOOKUP(A30,'REGISTRO DATOS'!B:H,3,0)),"")</f>
        <v/>
      </c>
      <c r="D30" s="406" t="str">
        <f>IFERROR(IF(VLOOKUP(A30,'REGISTRO DATOS'!B:H,4,0)=0,"",VLOOKUP(A30,'REGISTRO DATOS'!B:H,4,0)),"")</f>
        <v>ANA</v>
      </c>
      <c r="E30" s="164">
        <f t="shared" si="0"/>
        <v>0</v>
      </c>
      <c r="F30" s="280">
        <f t="shared" si="1"/>
        <v>0</v>
      </c>
      <c r="G30" s="411"/>
      <c r="H30" s="164">
        <f t="shared" si="2"/>
        <v>11.111111111111111</v>
      </c>
      <c r="I30" s="280">
        <f t="shared" si="3"/>
        <v>2.7777777777777777</v>
      </c>
      <c r="J30" s="411">
        <v>1</v>
      </c>
      <c r="K30" s="232"/>
      <c r="L30" s="232"/>
      <c r="M30" s="232"/>
      <c r="N30" s="232"/>
      <c r="O30" s="232"/>
      <c r="P30" s="232"/>
      <c r="Q30" s="232"/>
      <c r="R30" s="232"/>
      <c r="S30" s="232"/>
      <c r="T30" s="232"/>
      <c r="U30" s="237"/>
      <c r="V30" s="233"/>
      <c r="W30" s="234"/>
      <c r="X30" s="43">
        <f>'REGISTRO DATOS'!J28</f>
        <v>0</v>
      </c>
    </row>
    <row r="31" spans="1:32" ht="18" customHeight="1">
      <c r="A31" s="7">
        <v>17</v>
      </c>
      <c r="B31" s="404" t="str">
        <f>IFERROR(IF(VLOOKUP(A31,'REGISTRO DATOS'!B:H,2,0)=0,"",VLOOKUP(A31,'REGISTRO DATOS'!B:H,2,0)),"")</f>
        <v>QUIROS</v>
      </c>
      <c r="C31" s="405" t="str">
        <f>IFERROR(IF(VLOOKUP(A31,'REGISTRO DATOS'!B:H,3,0)=0,"",VLOOKUP(A31,'REGISTRO DATOS'!B:H,3,0)),"")</f>
        <v/>
      </c>
      <c r="D31" s="406" t="str">
        <f>IFERROR(IF(VLOOKUP(A31,'REGISTRO DATOS'!B:H,4,0)=0,"",VLOOKUP(A31,'REGISTRO DATOS'!B:H,4,0)),"")</f>
        <v>ANDY</v>
      </c>
      <c r="E31" s="164">
        <f t="shared" si="0"/>
        <v>0</v>
      </c>
      <c r="F31" s="280">
        <f t="shared" si="1"/>
        <v>0</v>
      </c>
      <c r="G31" s="411"/>
      <c r="H31" s="164">
        <f t="shared" si="2"/>
        <v>100</v>
      </c>
      <c r="I31" s="280">
        <f t="shared" si="3"/>
        <v>25</v>
      </c>
      <c r="J31" s="411">
        <v>9</v>
      </c>
      <c r="K31" s="232"/>
      <c r="L31" s="232"/>
      <c r="M31" s="232"/>
      <c r="N31" s="232"/>
      <c r="O31" s="232"/>
      <c r="P31" s="232"/>
      <c r="Q31" s="232"/>
      <c r="R31" s="232"/>
      <c r="S31" s="232"/>
      <c r="T31" s="232"/>
      <c r="U31" s="237"/>
      <c r="V31" s="233"/>
      <c r="W31" s="234"/>
      <c r="X31" s="43">
        <f>'REGISTRO DATOS'!J29</f>
        <v>0</v>
      </c>
    </row>
    <row r="32" spans="1:32" ht="18" customHeight="1">
      <c r="A32" s="7">
        <v>18</v>
      </c>
      <c r="B32" s="404" t="str">
        <f>IFERROR(IF(VLOOKUP(A32,'REGISTRO DATOS'!B:H,2,0)=0,"",VLOOKUP(A32,'REGISTRO DATOS'!B:H,2,0)),"")</f>
        <v>RIVER</v>
      </c>
      <c r="C32" s="405" t="str">
        <f>IFERROR(IF(VLOOKUP(A32,'REGISTRO DATOS'!B:H,3,0)=0,"",VLOOKUP(A32,'REGISTRO DATOS'!B:H,3,0)),"")</f>
        <v/>
      </c>
      <c r="D32" s="406" t="str">
        <f>IFERROR(IF(VLOOKUP(A32,'REGISTRO DATOS'!B:H,4,0)=0,"",VLOOKUP(A32,'REGISTRO DATOS'!B:H,4,0)),"")</f>
        <v>STEPHANIE</v>
      </c>
      <c r="E32" s="164">
        <f t="shared" si="0"/>
        <v>0</v>
      </c>
      <c r="F32" s="280">
        <f t="shared" si="1"/>
        <v>0</v>
      </c>
      <c r="G32" s="411"/>
      <c r="H32" s="164">
        <f t="shared" si="2"/>
        <v>88.888888888888886</v>
      </c>
      <c r="I32" s="280">
        <f t="shared" si="3"/>
        <v>22.222222222222221</v>
      </c>
      <c r="J32" s="411">
        <v>8</v>
      </c>
      <c r="K32" s="232"/>
      <c r="L32" s="232"/>
      <c r="M32" s="232"/>
      <c r="N32" s="232"/>
      <c r="O32" s="232"/>
      <c r="P32" s="232"/>
      <c r="Q32" s="232"/>
      <c r="R32" s="232"/>
      <c r="S32" s="232"/>
      <c r="T32" s="232"/>
      <c r="U32" s="237"/>
      <c r="V32" s="233"/>
      <c r="W32" s="234"/>
      <c r="X32" s="43">
        <f>'REGISTRO DATOS'!J30</f>
        <v>0</v>
      </c>
    </row>
    <row r="33" spans="1:24" ht="18" customHeight="1">
      <c r="A33" s="29">
        <v>19</v>
      </c>
      <c r="B33" s="404" t="str">
        <f>IFERROR(IF(VLOOKUP(A33,'REGISTRO DATOS'!B:H,2,0)=0,"",VLOOKUP(A33,'REGISTRO DATOS'!B:H,2,0)),"")</f>
        <v/>
      </c>
      <c r="C33" s="405" t="str">
        <f>IFERROR(IF(VLOOKUP(A33,'REGISTRO DATOS'!B:H,3,0)=0,"",VLOOKUP(A33,'REGISTRO DATOS'!B:H,3,0)),"")</f>
        <v>FABIAN</v>
      </c>
      <c r="D33" s="406" t="str">
        <f>IFERROR(IF(VLOOKUP(A33,'REGISTRO DATOS'!B:H,4,0)=0,"",VLOOKUP(A33,'REGISTRO DATOS'!B:H,4,0)),"")</f>
        <v/>
      </c>
      <c r="E33" s="164">
        <f t="shared" si="0"/>
        <v>0</v>
      </c>
      <c r="F33" s="280">
        <f t="shared" si="1"/>
        <v>0</v>
      </c>
      <c r="G33" s="411"/>
      <c r="H33" s="164">
        <f t="shared" si="2"/>
        <v>88.888888888888886</v>
      </c>
      <c r="I33" s="280">
        <f t="shared" si="3"/>
        <v>22.222222222222221</v>
      </c>
      <c r="J33" s="411">
        <v>8</v>
      </c>
      <c r="K33" s="232"/>
      <c r="L33" s="232"/>
      <c r="M33" s="232"/>
      <c r="N33" s="232"/>
      <c r="O33" s="232"/>
      <c r="P33" s="232"/>
      <c r="Q33" s="232"/>
      <c r="R33" s="232"/>
      <c r="S33" s="232"/>
      <c r="T33" s="232"/>
      <c r="U33" s="237"/>
      <c r="V33" s="233"/>
      <c r="W33" s="234"/>
      <c r="X33" s="43">
        <f>'REGISTRO DATOS'!J31</f>
        <v>0</v>
      </c>
    </row>
    <row r="34" spans="1:24" ht="18" customHeight="1">
      <c r="A34" s="7">
        <v>20</v>
      </c>
      <c r="B34" s="404" t="str">
        <f>IFERROR(IF(VLOOKUP(A34,'REGISTRO DATOS'!B:H,2,0)=0,"",VLOOKUP(A34,'REGISTRO DATOS'!B:H,2,0)),"")</f>
        <v/>
      </c>
      <c r="C34" s="405" t="str">
        <f>IFERROR(IF(VLOOKUP(A34,'REGISTRO DATOS'!B:H,3,0)=0,"",VLOOKUP(A34,'REGISTRO DATOS'!B:H,3,0)),"")</f>
        <v>EMILIN</v>
      </c>
      <c r="D34" s="406" t="str">
        <f>IFERROR(IF(VLOOKUP(A34,'REGISTRO DATOS'!B:H,4,0)=0,"",VLOOKUP(A34,'REGISTRO DATOS'!B:H,4,0)),"")</f>
        <v/>
      </c>
      <c r="E34" s="164">
        <f t="shared" si="0"/>
        <v>0</v>
      </c>
      <c r="F34" s="280">
        <f t="shared" si="1"/>
        <v>0</v>
      </c>
      <c r="G34" s="411"/>
      <c r="H34" s="164">
        <f t="shared" si="2"/>
        <v>100</v>
      </c>
      <c r="I34" s="280">
        <f t="shared" si="3"/>
        <v>25</v>
      </c>
      <c r="J34" s="411">
        <v>9</v>
      </c>
      <c r="K34" s="232"/>
      <c r="L34" s="232"/>
      <c r="M34" s="232"/>
      <c r="N34" s="232"/>
      <c r="O34" s="232"/>
      <c r="P34" s="232"/>
      <c r="Q34" s="232"/>
      <c r="R34" s="232"/>
      <c r="S34" s="232"/>
      <c r="T34" s="232"/>
      <c r="U34" s="237"/>
      <c r="V34" s="233"/>
      <c r="W34" s="234"/>
      <c r="X34" s="43">
        <f>'REGISTRO DATOS'!J32</f>
        <v>0</v>
      </c>
    </row>
    <row r="35" spans="1:24" ht="18" customHeight="1">
      <c r="A35" s="7">
        <v>21</v>
      </c>
      <c r="B35" s="404" t="str">
        <f>IFERROR(IF(VLOOKUP(A35,'REGISTRO DATOS'!B:H,2,0)=0,"",VLOOKUP(A35,'REGISTRO DATOS'!B:H,2,0)),"")</f>
        <v/>
      </c>
      <c r="C35" s="405" t="str">
        <f>IFERROR(IF(VLOOKUP(A35,'REGISTRO DATOS'!B:H,3,0)=0,"",VLOOKUP(A35,'REGISTRO DATOS'!B:H,3,0)),"")</f>
        <v/>
      </c>
      <c r="D35" s="406" t="str">
        <f>IFERROR(IF(VLOOKUP(A35,'REGISTRO DATOS'!B:H,4,0)=0,"",VLOOKUP(A35,'REGISTRO DATOS'!B:H,4,0)),"")</f>
        <v/>
      </c>
      <c r="E35" s="164">
        <f t="shared" si="0"/>
        <v>0</v>
      </c>
      <c r="F35" s="280">
        <f t="shared" si="1"/>
        <v>0</v>
      </c>
      <c r="G35" s="411"/>
      <c r="H35" s="164">
        <f t="shared" si="2"/>
        <v>0</v>
      </c>
      <c r="I35" s="280">
        <f t="shared" si="3"/>
        <v>0</v>
      </c>
      <c r="J35" s="411"/>
      <c r="K35" s="232"/>
      <c r="L35" s="232"/>
      <c r="M35" s="232"/>
      <c r="N35" s="232"/>
      <c r="O35" s="232"/>
      <c r="P35" s="232"/>
      <c r="Q35" s="232"/>
      <c r="R35" s="232"/>
      <c r="S35" s="232"/>
      <c r="T35" s="232"/>
      <c r="U35" s="237"/>
      <c r="V35" s="233"/>
      <c r="W35" s="234"/>
      <c r="X35" s="43">
        <f>'REGISTRO DATOS'!J33</f>
        <v>0</v>
      </c>
    </row>
    <row r="36" spans="1:24" ht="18" customHeight="1">
      <c r="A36" s="29">
        <v>22</v>
      </c>
      <c r="B36" s="404" t="str">
        <f>IFERROR(IF(VLOOKUP(A36,'REGISTRO DATOS'!B:H,2,0)=0,"",VLOOKUP(A36,'REGISTRO DATOS'!B:H,2,0)),"")</f>
        <v/>
      </c>
      <c r="C36" s="405" t="str">
        <f>IFERROR(IF(VLOOKUP(A36,'REGISTRO DATOS'!B:H,3,0)=0,"",VLOOKUP(A36,'REGISTRO DATOS'!B:H,3,0)),"")</f>
        <v/>
      </c>
      <c r="D36" s="406" t="str">
        <f>IFERROR(IF(VLOOKUP(A36,'REGISTRO DATOS'!B:H,4,0)=0,"",VLOOKUP(A36,'REGISTRO DATOS'!B:H,4,0)),"")</f>
        <v/>
      </c>
      <c r="E36" s="164">
        <f t="shared" si="0"/>
        <v>0</v>
      </c>
      <c r="F36" s="280">
        <f t="shared" si="1"/>
        <v>0</v>
      </c>
      <c r="G36" s="411"/>
      <c r="H36" s="164">
        <f t="shared" si="2"/>
        <v>0</v>
      </c>
      <c r="I36" s="280">
        <f t="shared" si="3"/>
        <v>0</v>
      </c>
      <c r="J36" s="411"/>
      <c r="K36" s="232"/>
      <c r="L36" s="232"/>
      <c r="M36" s="232"/>
      <c r="N36" s="232"/>
      <c r="O36" s="232"/>
      <c r="P36" s="232"/>
      <c r="Q36" s="232"/>
      <c r="R36" s="232"/>
      <c r="S36" s="232"/>
      <c r="T36" s="232"/>
      <c r="U36" s="237"/>
      <c r="V36" s="233"/>
      <c r="W36" s="234"/>
      <c r="X36" s="43">
        <f>'REGISTRO DATOS'!J34</f>
        <v>0</v>
      </c>
    </row>
    <row r="37" spans="1:24" ht="18" customHeight="1">
      <c r="A37" s="7">
        <v>23</v>
      </c>
      <c r="B37" s="404" t="str">
        <f>IFERROR(IF(VLOOKUP(A37,'REGISTRO DATOS'!B:H,2,0)=0,"",VLOOKUP(A37,'REGISTRO DATOS'!B:H,2,0)),"")</f>
        <v/>
      </c>
      <c r="C37" s="405" t="str">
        <f>IFERROR(IF(VLOOKUP(A37,'REGISTRO DATOS'!B:H,3,0)=0,"",VLOOKUP(A37,'REGISTRO DATOS'!B:H,3,0)),"")</f>
        <v/>
      </c>
      <c r="D37" s="406" t="str">
        <f>IFERROR(IF(VLOOKUP(A37,'REGISTRO DATOS'!B:H,4,0)=0,"",VLOOKUP(A37,'REGISTRO DATOS'!B:H,4,0)),"")</f>
        <v/>
      </c>
      <c r="E37" s="164">
        <f t="shared" si="0"/>
        <v>0</v>
      </c>
      <c r="F37" s="280">
        <f t="shared" si="1"/>
        <v>0</v>
      </c>
      <c r="G37" s="411"/>
      <c r="H37" s="164">
        <f t="shared" si="2"/>
        <v>0</v>
      </c>
      <c r="I37" s="280">
        <f t="shared" si="3"/>
        <v>0</v>
      </c>
      <c r="J37" s="411"/>
      <c r="K37" s="232"/>
      <c r="L37" s="232"/>
      <c r="M37" s="232"/>
      <c r="N37" s="232"/>
      <c r="O37" s="232"/>
      <c r="P37" s="232"/>
      <c r="Q37" s="232"/>
      <c r="R37" s="232"/>
      <c r="S37" s="232"/>
      <c r="T37" s="232"/>
      <c r="U37" s="237"/>
      <c r="V37" s="233"/>
      <c r="W37" s="234"/>
      <c r="X37" s="43">
        <f>'REGISTRO DATOS'!J35</f>
        <v>0</v>
      </c>
    </row>
    <row r="38" spans="1:24" ht="18" customHeight="1">
      <c r="A38" s="7">
        <v>24</v>
      </c>
      <c r="B38" s="404" t="str">
        <f>IFERROR(IF(VLOOKUP(A38,'REGISTRO DATOS'!B:H,2,0)=0,"",VLOOKUP(A38,'REGISTRO DATOS'!B:H,2,0)),"")</f>
        <v/>
      </c>
      <c r="C38" s="405" t="str">
        <f>IFERROR(IF(VLOOKUP(A38,'REGISTRO DATOS'!B:H,3,0)=0,"",VLOOKUP(A38,'REGISTRO DATOS'!B:H,3,0)),"")</f>
        <v/>
      </c>
      <c r="D38" s="406" t="str">
        <f>IFERROR(IF(VLOOKUP(A38,'REGISTRO DATOS'!B:H,4,0)=0,"",VLOOKUP(A38,'REGISTRO DATOS'!B:H,4,0)),"")</f>
        <v/>
      </c>
      <c r="E38" s="164">
        <f t="shared" si="0"/>
        <v>0</v>
      </c>
      <c r="F38" s="280">
        <f t="shared" si="1"/>
        <v>0</v>
      </c>
      <c r="G38" s="411"/>
      <c r="H38" s="164">
        <f t="shared" si="2"/>
        <v>0</v>
      </c>
      <c r="I38" s="280">
        <f t="shared" si="3"/>
        <v>0</v>
      </c>
      <c r="J38" s="411"/>
      <c r="K38" s="232"/>
      <c r="L38" s="232"/>
      <c r="M38" s="232"/>
      <c r="N38" s="232"/>
      <c r="O38" s="232"/>
      <c r="P38" s="232"/>
      <c r="Q38" s="232"/>
      <c r="R38" s="232"/>
      <c r="S38" s="232"/>
      <c r="T38" s="232"/>
      <c r="U38" s="237"/>
      <c r="V38" s="233"/>
      <c r="W38" s="234"/>
      <c r="X38" s="43">
        <f>'REGISTRO DATOS'!J36</f>
        <v>0</v>
      </c>
    </row>
    <row r="39" spans="1:24" ht="18" customHeight="1">
      <c r="A39" s="29">
        <v>25</v>
      </c>
      <c r="B39" s="404" t="str">
        <f>IFERROR(IF(VLOOKUP(A39,'REGISTRO DATOS'!B:H,2,0)=0,"",VLOOKUP(A39,'REGISTRO DATOS'!B:H,2,0)),"")</f>
        <v/>
      </c>
      <c r="C39" s="405" t="str">
        <f>IFERROR(IF(VLOOKUP(A39,'REGISTRO DATOS'!B:H,3,0)=0,"",VLOOKUP(A39,'REGISTRO DATOS'!B:H,3,0)),"")</f>
        <v/>
      </c>
      <c r="D39" s="406" t="str">
        <f>IFERROR(IF(VLOOKUP(A39,'REGISTRO DATOS'!B:H,4,0)=0,"",VLOOKUP(A39,'REGISTRO DATOS'!B:H,4,0)),"")</f>
        <v/>
      </c>
      <c r="E39" s="164">
        <f t="shared" si="0"/>
        <v>0</v>
      </c>
      <c r="F39" s="280">
        <f t="shared" si="1"/>
        <v>0</v>
      </c>
      <c r="G39" s="411"/>
      <c r="H39" s="164">
        <f t="shared" si="2"/>
        <v>0</v>
      </c>
      <c r="I39" s="280">
        <f t="shared" si="3"/>
        <v>0</v>
      </c>
      <c r="J39" s="411"/>
      <c r="K39" s="232"/>
      <c r="L39" s="232"/>
      <c r="M39" s="232"/>
      <c r="N39" s="232"/>
      <c r="O39" s="232"/>
      <c r="P39" s="232"/>
      <c r="Q39" s="232"/>
      <c r="R39" s="232"/>
      <c r="S39" s="232"/>
      <c r="T39" s="232"/>
      <c r="U39" s="237"/>
      <c r="V39" s="233"/>
      <c r="W39" s="234"/>
      <c r="X39" s="43">
        <f>'REGISTRO DATOS'!J37</f>
        <v>0</v>
      </c>
    </row>
    <row r="40" spans="1:24" ht="18" customHeight="1">
      <c r="A40" s="7">
        <v>26</v>
      </c>
      <c r="B40" s="404" t="str">
        <f>IFERROR(IF(VLOOKUP(A40,'REGISTRO DATOS'!B:H,2,0)=0,"",VLOOKUP(A40,'REGISTRO DATOS'!B:H,2,0)),"")</f>
        <v/>
      </c>
      <c r="C40" s="405" t="str">
        <f>IFERROR(IF(VLOOKUP(A40,'REGISTRO DATOS'!B:H,3,0)=0,"",VLOOKUP(A40,'REGISTRO DATOS'!B:H,3,0)),"")</f>
        <v/>
      </c>
      <c r="D40" s="406" t="str">
        <f>IFERROR(IF(VLOOKUP(A40,'REGISTRO DATOS'!B:H,4,0)=0,"",VLOOKUP(A40,'REGISTRO DATOS'!B:H,4,0)),"")</f>
        <v/>
      </c>
      <c r="E40" s="164">
        <f t="shared" si="0"/>
        <v>0</v>
      </c>
      <c r="F40" s="280">
        <f t="shared" si="1"/>
        <v>0</v>
      </c>
      <c r="G40" s="411"/>
      <c r="H40" s="164">
        <f t="shared" si="2"/>
        <v>0</v>
      </c>
      <c r="I40" s="280">
        <f t="shared" si="3"/>
        <v>0</v>
      </c>
      <c r="J40" s="411"/>
      <c r="K40" s="232"/>
      <c r="L40" s="232"/>
      <c r="M40" s="232"/>
      <c r="N40" s="232"/>
      <c r="O40" s="232"/>
      <c r="P40" s="232"/>
      <c r="Q40" s="232"/>
      <c r="R40" s="232"/>
      <c r="S40" s="232"/>
      <c r="T40" s="232"/>
      <c r="U40" s="237"/>
      <c r="V40" s="233"/>
      <c r="W40" s="234"/>
      <c r="X40" s="43">
        <f>'REGISTRO DATOS'!J38</f>
        <v>0</v>
      </c>
    </row>
    <row r="41" spans="1:24" ht="18" customHeight="1">
      <c r="A41" s="7">
        <v>27</v>
      </c>
      <c r="B41" s="404" t="str">
        <f>IFERROR(IF(VLOOKUP(A41,'REGISTRO DATOS'!B:H,2,0)=0,"",VLOOKUP(A41,'REGISTRO DATOS'!B:H,2,0)),"")</f>
        <v/>
      </c>
      <c r="C41" s="405" t="str">
        <f>IFERROR(IF(VLOOKUP(A41,'REGISTRO DATOS'!B:H,3,0)=0,"",VLOOKUP(A41,'REGISTRO DATOS'!B:H,3,0)),"")</f>
        <v/>
      </c>
      <c r="D41" s="406" t="str">
        <f>IFERROR(IF(VLOOKUP(A41,'REGISTRO DATOS'!B:H,4,0)=0,"",VLOOKUP(A41,'REGISTRO DATOS'!B:H,4,0)),"")</f>
        <v/>
      </c>
      <c r="E41" s="164">
        <f t="shared" si="0"/>
        <v>0</v>
      </c>
      <c r="F41" s="280">
        <f t="shared" si="1"/>
        <v>0</v>
      </c>
      <c r="G41" s="411"/>
      <c r="H41" s="164">
        <f t="shared" si="2"/>
        <v>0</v>
      </c>
      <c r="I41" s="280">
        <f t="shared" si="3"/>
        <v>0</v>
      </c>
      <c r="J41" s="411"/>
      <c r="K41" s="232"/>
      <c r="L41" s="232"/>
      <c r="M41" s="232"/>
      <c r="N41" s="232"/>
      <c r="O41" s="232"/>
      <c r="P41" s="232"/>
      <c r="Q41" s="232"/>
      <c r="R41" s="232"/>
      <c r="S41" s="232"/>
      <c r="T41" s="232"/>
      <c r="U41" s="237"/>
      <c r="V41" s="233"/>
      <c r="W41" s="234"/>
      <c r="X41" s="43">
        <f>'REGISTRO DATOS'!J39</f>
        <v>0</v>
      </c>
    </row>
    <row r="42" spans="1:24" ht="18" customHeight="1">
      <c r="A42" s="29">
        <v>28</v>
      </c>
      <c r="B42" s="404" t="str">
        <f>IFERROR(IF(VLOOKUP(A42,'REGISTRO DATOS'!B:H,2,0)=0,"",VLOOKUP(A42,'REGISTRO DATOS'!B:H,2,0)),"")</f>
        <v/>
      </c>
      <c r="C42" s="405" t="str">
        <f>IFERROR(IF(VLOOKUP(A42,'REGISTRO DATOS'!B:H,3,0)=0,"",VLOOKUP(A42,'REGISTRO DATOS'!B:H,3,0)),"")</f>
        <v/>
      </c>
      <c r="D42" s="406" t="str">
        <f>IFERROR(IF(VLOOKUP(A42,'REGISTRO DATOS'!B:H,4,0)=0,"",VLOOKUP(A42,'REGISTRO DATOS'!B:H,4,0)),"")</f>
        <v/>
      </c>
      <c r="E42" s="164">
        <f t="shared" si="0"/>
        <v>0</v>
      </c>
      <c r="F42" s="280">
        <f t="shared" si="1"/>
        <v>0</v>
      </c>
      <c r="G42" s="411"/>
      <c r="H42" s="164">
        <f t="shared" si="2"/>
        <v>0</v>
      </c>
      <c r="I42" s="280">
        <f t="shared" si="3"/>
        <v>0</v>
      </c>
      <c r="J42" s="411"/>
      <c r="K42" s="232"/>
      <c r="L42" s="232"/>
      <c r="M42" s="232"/>
      <c r="N42" s="232"/>
      <c r="O42" s="232"/>
      <c r="P42" s="232"/>
      <c r="Q42" s="232"/>
      <c r="R42" s="232"/>
      <c r="S42" s="232"/>
      <c r="T42" s="232"/>
      <c r="U42" s="237"/>
      <c r="V42" s="233"/>
      <c r="W42" s="234"/>
      <c r="X42" s="43">
        <f>'REGISTRO DATOS'!J40</f>
        <v>0</v>
      </c>
    </row>
    <row r="43" spans="1:24" ht="18" customHeight="1">
      <c r="A43" s="7">
        <v>29</v>
      </c>
      <c r="B43" s="404" t="str">
        <f>IFERROR(IF(VLOOKUP(A43,'REGISTRO DATOS'!B:H,2,0)=0,"",VLOOKUP(A43,'REGISTRO DATOS'!B:H,2,0)),"")</f>
        <v/>
      </c>
      <c r="C43" s="405" t="str">
        <f>IFERROR(IF(VLOOKUP(A43,'REGISTRO DATOS'!B:H,3,0)=0,"",VLOOKUP(A43,'REGISTRO DATOS'!B:H,3,0)),"")</f>
        <v/>
      </c>
      <c r="D43" s="406" t="str">
        <f>IFERROR(IF(VLOOKUP(A43,'REGISTRO DATOS'!B:H,4,0)=0,"",VLOOKUP(A43,'REGISTRO DATOS'!B:H,4,0)),"")</f>
        <v/>
      </c>
      <c r="E43" s="164">
        <f t="shared" si="0"/>
        <v>0</v>
      </c>
      <c r="F43" s="280">
        <f t="shared" si="1"/>
        <v>0</v>
      </c>
      <c r="G43" s="411"/>
      <c r="H43" s="164">
        <f t="shared" si="2"/>
        <v>0</v>
      </c>
      <c r="I43" s="280">
        <f t="shared" si="3"/>
        <v>0</v>
      </c>
      <c r="J43" s="411"/>
      <c r="K43" s="232"/>
      <c r="L43" s="232"/>
      <c r="M43" s="232"/>
      <c r="N43" s="232"/>
      <c r="O43" s="232"/>
      <c r="P43" s="232"/>
      <c r="Q43" s="232"/>
      <c r="R43" s="232"/>
      <c r="S43" s="232"/>
      <c r="T43" s="232"/>
      <c r="U43" s="237"/>
      <c r="V43" s="233"/>
      <c r="W43" s="234"/>
      <c r="X43" s="43">
        <f>'REGISTRO DATOS'!J41</f>
        <v>0</v>
      </c>
    </row>
    <row r="44" spans="1:24" ht="18" customHeight="1">
      <c r="A44" s="7">
        <v>30</v>
      </c>
      <c r="B44" s="404" t="str">
        <f>IFERROR(IF(VLOOKUP(A44,'REGISTRO DATOS'!B:H,2,0)=0,"",VLOOKUP(A44,'REGISTRO DATOS'!B:H,2,0)),"")</f>
        <v/>
      </c>
      <c r="C44" s="405" t="str">
        <f>IFERROR(IF(VLOOKUP(A44,'REGISTRO DATOS'!B:H,3,0)=0,"",VLOOKUP(A44,'REGISTRO DATOS'!B:H,3,0)),"")</f>
        <v/>
      </c>
      <c r="D44" s="406" t="str">
        <f>IFERROR(IF(VLOOKUP(A44,'REGISTRO DATOS'!B:H,4,0)=0,"",VLOOKUP(A44,'REGISTRO DATOS'!B:H,4,0)),"")</f>
        <v/>
      </c>
      <c r="E44" s="164">
        <f t="shared" si="0"/>
        <v>0</v>
      </c>
      <c r="F44" s="280">
        <f t="shared" si="1"/>
        <v>0</v>
      </c>
      <c r="G44" s="411"/>
      <c r="H44" s="164">
        <f t="shared" si="2"/>
        <v>0</v>
      </c>
      <c r="I44" s="280">
        <f t="shared" si="3"/>
        <v>0</v>
      </c>
      <c r="J44" s="411"/>
      <c r="K44" s="232"/>
      <c r="L44" s="232"/>
      <c r="M44" s="232"/>
      <c r="N44" s="232"/>
      <c r="O44" s="232"/>
      <c r="P44" s="232"/>
      <c r="Q44" s="232"/>
      <c r="R44" s="232"/>
      <c r="S44" s="232"/>
      <c r="T44" s="232"/>
      <c r="U44" s="237"/>
      <c r="V44" s="233"/>
      <c r="W44" s="234"/>
      <c r="X44" s="43">
        <f>'REGISTRO DATOS'!J42</f>
        <v>0</v>
      </c>
    </row>
    <row r="45" spans="1:24" ht="18" customHeight="1">
      <c r="A45" s="29">
        <v>31</v>
      </c>
      <c r="B45" s="404" t="str">
        <f>IFERROR(IF(VLOOKUP(A45,'REGISTRO DATOS'!B:H,2,0)=0,"",VLOOKUP(A45,'REGISTRO DATOS'!B:H,2,0)),"")</f>
        <v/>
      </c>
      <c r="C45" s="405" t="str">
        <f>IFERROR(IF(VLOOKUP(A45,'REGISTRO DATOS'!B:H,3,0)=0,"",VLOOKUP(A45,'REGISTRO DATOS'!B:H,3,0)),"")</f>
        <v/>
      </c>
      <c r="D45" s="406" t="str">
        <f>IFERROR(IF(VLOOKUP(A45,'REGISTRO DATOS'!B:H,4,0)=0,"",VLOOKUP(A45,'REGISTRO DATOS'!B:H,4,0)),"")</f>
        <v/>
      </c>
      <c r="E45" s="164">
        <f t="shared" si="0"/>
        <v>0</v>
      </c>
      <c r="F45" s="280">
        <f t="shared" si="1"/>
        <v>0</v>
      </c>
      <c r="G45" s="411"/>
      <c r="H45" s="164">
        <f t="shared" si="2"/>
        <v>0</v>
      </c>
      <c r="I45" s="280">
        <f t="shared" si="3"/>
        <v>0</v>
      </c>
      <c r="J45" s="411"/>
      <c r="K45" s="232"/>
      <c r="L45" s="232"/>
      <c r="M45" s="232"/>
      <c r="N45" s="232"/>
      <c r="O45" s="232"/>
      <c r="P45" s="232"/>
      <c r="Q45" s="232"/>
      <c r="R45" s="232"/>
      <c r="S45" s="232"/>
      <c r="T45" s="232"/>
      <c r="U45" s="237"/>
      <c r="V45" s="233"/>
      <c r="W45" s="234"/>
      <c r="X45" s="43">
        <f>'REGISTRO DATOS'!J43</f>
        <v>0</v>
      </c>
    </row>
    <row r="46" spans="1:24" ht="18" customHeight="1">
      <c r="A46" s="7">
        <v>32</v>
      </c>
      <c r="B46" s="404" t="str">
        <f>IFERROR(IF(VLOOKUP(A46,'REGISTRO DATOS'!B:H,2,0)=0,"",VLOOKUP(A46,'REGISTRO DATOS'!B:H,2,0)),"")</f>
        <v/>
      </c>
      <c r="C46" s="405" t="str">
        <f>IFERROR(IF(VLOOKUP(A46,'REGISTRO DATOS'!B:H,3,0)=0,"",VLOOKUP(A46,'REGISTRO DATOS'!B:H,3,0)),"")</f>
        <v/>
      </c>
      <c r="D46" s="406" t="str">
        <f>IFERROR(IF(VLOOKUP(A46,'REGISTRO DATOS'!B:H,4,0)=0,"",VLOOKUP(A46,'REGISTRO DATOS'!B:H,4,0)),"")</f>
        <v/>
      </c>
      <c r="E46" s="164">
        <f t="shared" si="0"/>
        <v>0</v>
      </c>
      <c r="F46" s="280">
        <f t="shared" si="1"/>
        <v>0</v>
      </c>
      <c r="G46" s="411"/>
      <c r="H46" s="164">
        <f t="shared" si="2"/>
        <v>0</v>
      </c>
      <c r="I46" s="280">
        <f t="shared" si="3"/>
        <v>0</v>
      </c>
      <c r="J46" s="411"/>
      <c r="K46" s="232"/>
      <c r="L46" s="232"/>
      <c r="M46" s="232"/>
      <c r="N46" s="232"/>
      <c r="O46" s="232"/>
      <c r="P46" s="232"/>
      <c r="Q46" s="232"/>
      <c r="R46" s="232"/>
      <c r="S46" s="232"/>
      <c r="T46" s="232"/>
      <c r="U46" s="237"/>
      <c r="V46" s="233"/>
      <c r="W46" s="234"/>
      <c r="X46" s="43">
        <f>'REGISTRO DATOS'!J44</f>
        <v>0</v>
      </c>
    </row>
    <row r="47" spans="1:24" ht="18" customHeight="1">
      <c r="A47" s="7">
        <v>33</v>
      </c>
      <c r="B47" s="404" t="str">
        <f>IFERROR(IF(VLOOKUP(A47,'REGISTRO DATOS'!B:H,2,0)=0,"",VLOOKUP(A47,'REGISTRO DATOS'!B:H,2,0)),"")</f>
        <v/>
      </c>
      <c r="C47" s="405" t="str">
        <f>IFERROR(IF(VLOOKUP(A47,'REGISTRO DATOS'!B:H,3,0)=0,"",VLOOKUP(A47,'REGISTRO DATOS'!B:H,3,0)),"")</f>
        <v/>
      </c>
      <c r="D47" s="406" t="str">
        <f>IFERROR(IF(VLOOKUP(A47,'REGISTRO DATOS'!B:H,4,0)=0,"",VLOOKUP(A47,'REGISTRO DATOS'!B:H,4,0)),"")</f>
        <v/>
      </c>
      <c r="E47" s="164">
        <f t="shared" si="0"/>
        <v>0</v>
      </c>
      <c r="F47" s="280">
        <f t="shared" si="1"/>
        <v>0</v>
      </c>
      <c r="G47" s="411"/>
      <c r="H47" s="164">
        <f t="shared" si="2"/>
        <v>0</v>
      </c>
      <c r="I47" s="280">
        <f t="shared" si="3"/>
        <v>0</v>
      </c>
      <c r="J47" s="411"/>
      <c r="K47" s="232"/>
      <c r="L47" s="232"/>
      <c r="M47" s="232"/>
      <c r="N47" s="232"/>
      <c r="O47" s="232"/>
      <c r="P47" s="232"/>
      <c r="Q47" s="232"/>
      <c r="R47" s="232"/>
      <c r="S47" s="232"/>
      <c r="T47" s="232"/>
      <c r="U47" s="237"/>
      <c r="V47" s="233"/>
      <c r="W47" s="234"/>
      <c r="X47" s="43">
        <f>'REGISTRO DATOS'!J45</f>
        <v>0</v>
      </c>
    </row>
    <row r="48" spans="1:24" ht="18" customHeight="1">
      <c r="A48" s="29">
        <v>34</v>
      </c>
      <c r="B48" s="404" t="str">
        <f>IFERROR(IF(VLOOKUP(A48,'REGISTRO DATOS'!B:H,2,0)=0,"",VLOOKUP(A48,'REGISTRO DATOS'!B:H,2,0)),"")</f>
        <v/>
      </c>
      <c r="C48" s="405" t="str">
        <f>IFERROR(IF(VLOOKUP(A48,'REGISTRO DATOS'!B:H,3,0)=0,"",VLOOKUP(A48,'REGISTRO DATOS'!B:H,3,0)),"")</f>
        <v/>
      </c>
      <c r="D48" s="406" t="str">
        <f>IFERROR(IF(VLOOKUP(A48,'REGISTRO DATOS'!B:H,4,0)=0,"",VLOOKUP(A48,'REGISTRO DATOS'!B:H,4,0)),"")</f>
        <v/>
      </c>
      <c r="E48" s="164">
        <f t="shared" si="0"/>
        <v>0</v>
      </c>
      <c r="F48" s="280">
        <f t="shared" si="1"/>
        <v>0</v>
      </c>
      <c r="G48" s="411"/>
      <c r="H48" s="164">
        <f t="shared" si="2"/>
        <v>0</v>
      </c>
      <c r="I48" s="280">
        <f t="shared" si="3"/>
        <v>0</v>
      </c>
      <c r="J48" s="411"/>
      <c r="K48" s="232"/>
      <c r="L48" s="232"/>
      <c r="M48" s="232"/>
      <c r="N48" s="232"/>
      <c r="O48" s="232"/>
      <c r="P48" s="232"/>
      <c r="Q48" s="232"/>
      <c r="R48" s="232"/>
      <c r="S48" s="232"/>
      <c r="T48" s="232"/>
      <c r="U48" s="237"/>
      <c r="V48" s="233"/>
      <c r="W48" s="234"/>
      <c r="X48" s="43">
        <f>'REGISTRO DATOS'!J46</f>
        <v>0</v>
      </c>
    </row>
    <row r="49" spans="1:24" ht="18" customHeight="1">
      <c r="A49" s="7">
        <v>35</v>
      </c>
      <c r="B49" s="404" t="str">
        <f>IFERROR(IF(VLOOKUP(A49,'REGISTRO DATOS'!B:H,2,0)=0,"",VLOOKUP(A49,'REGISTRO DATOS'!B:H,2,0)),"")</f>
        <v/>
      </c>
      <c r="C49" s="405" t="str">
        <f>IFERROR(IF(VLOOKUP(A49,'REGISTRO DATOS'!B:H,3,0)=0,"",VLOOKUP(A49,'REGISTRO DATOS'!B:H,3,0)),"")</f>
        <v/>
      </c>
      <c r="D49" s="406" t="str">
        <f>IFERROR(IF(VLOOKUP(A49,'REGISTRO DATOS'!B:H,4,0)=0,"",VLOOKUP(A49,'REGISTRO DATOS'!B:H,4,0)),"")</f>
        <v/>
      </c>
      <c r="E49" s="164">
        <f t="shared" si="0"/>
        <v>0</v>
      </c>
      <c r="F49" s="280">
        <f t="shared" si="1"/>
        <v>0</v>
      </c>
      <c r="G49" s="411"/>
      <c r="H49" s="164">
        <f t="shared" si="2"/>
        <v>0</v>
      </c>
      <c r="I49" s="280">
        <f t="shared" si="3"/>
        <v>0</v>
      </c>
      <c r="J49" s="411"/>
      <c r="K49" s="232"/>
      <c r="L49" s="232"/>
      <c r="M49" s="232"/>
      <c r="N49" s="232"/>
      <c r="O49" s="232"/>
      <c r="P49" s="232"/>
      <c r="Q49" s="232"/>
      <c r="R49" s="232"/>
      <c r="S49" s="232"/>
      <c r="T49" s="232"/>
      <c r="U49" s="237"/>
      <c r="V49" s="233"/>
      <c r="W49" s="234"/>
      <c r="X49" s="43">
        <f>'REGISTRO DATOS'!J47</f>
        <v>0</v>
      </c>
    </row>
    <row r="50" spans="1:24" ht="18" customHeight="1">
      <c r="A50" s="7">
        <v>36</v>
      </c>
      <c r="B50" s="404" t="str">
        <f>IFERROR(IF(VLOOKUP(A50,'REGISTRO DATOS'!B:H,2,0)=0,"",VLOOKUP(A50,'REGISTRO DATOS'!B:H,2,0)),"")</f>
        <v/>
      </c>
      <c r="C50" s="405" t="str">
        <f>IFERROR(IF(VLOOKUP(A50,'REGISTRO DATOS'!B:H,3,0)=0,"",VLOOKUP(A50,'REGISTRO DATOS'!B:H,3,0)),"")</f>
        <v/>
      </c>
      <c r="D50" s="406" t="str">
        <f>IFERROR(IF(VLOOKUP(A50,'REGISTRO DATOS'!B:H,4,0)=0,"",VLOOKUP(A50,'REGISTRO DATOS'!B:H,4,0)),"")</f>
        <v/>
      </c>
      <c r="E50" s="164">
        <f t="shared" si="0"/>
        <v>0</v>
      </c>
      <c r="F50" s="280">
        <f t="shared" si="1"/>
        <v>0</v>
      </c>
      <c r="G50" s="411"/>
      <c r="H50" s="164">
        <f t="shared" si="2"/>
        <v>0</v>
      </c>
      <c r="I50" s="280">
        <f t="shared" si="3"/>
        <v>0</v>
      </c>
      <c r="J50" s="411"/>
      <c r="K50" s="232"/>
      <c r="L50" s="232"/>
      <c r="M50" s="232"/>
      <c r="N50" s="232"/>
      <c r="O50" s="232"/>
      <c r="P50" s="232"/>
      <c r="Q50" s="232"/>
      <c r="R50" s="232"/>
      <c r="S50" s="232"/>
      <c r="T50" s="232"/>
      <c r="U50" s="237"/>
      <c r="V50" s="233"/>
      <c r="W50" s="234"/>
      <c r="X50" s="43">
        <f>'REGISTRO DATOS'!J48</f>
        <v>0</v>
      </c>
    </row>
    <row r="51" spans="1:24" ht="18" customHeight="1">
      <c r="A51" s="29">
        <v>37</v>
      </c>
      <c r="B51" s="404" t="str">
        <f>IFERROR(IF(VLOOKUP(A51,'REGISTRO DATOS'!B:H,2,0)=0,"",VLOOKUP(A51,'REGISTRO DATOS'!B:H,2,0)),"")</f>
        <v/>
      </c>
      <c r="C51" s="405" t="str">
        <f>IFERROR(IF(VLOOKUP(A51,'REGISTRO DATOS'!B:H,3,0)=0,"",VLOOKUP(A51,'REGISTRO DATOS'!B:H,3,0)),"")</f>
        <v/>
      </c>
      <c r="D51" s="406" t="str">
        <f>IFERROR(IF(VLOOKUP(A51,'REGISTRO DATOS'!B:H,4,0)=0,"",VLOOKUP(A51,'REGISTRO DATOS'!B:H,4,0)),"")</f>
        <v/>
      </c>
      <c r="E51" s="164">
        <f t="shared" si="0"/>
        <v>0</v>
      </c>
      <c r="F51" s="280">
        <f t="shared" si="1"/>
        <v>0</v>
      </c>
      <c r="G51" s="411"/>
      <c r="H51" s="164">
        <f t="shared" si="2"/>
        <v>0</v>
      </c>
      <c r="I51" s="280">
        <f t="shared" si="3"/>
        <v>0</v>
      </c>
      <c r="J51" s="411"/>
      <c r="K51" s="232"/>
      <c r="L51" s="232"/>
      <c r="M51" s="232"/>
      <c r="N51" s="232"/>
      <c r="O51" s="232"/>
      <c r="P51" s="232"/>
      <c r="Q51" s="232"/>
      <c r="R51" s="232"/>
      <c r="S51" s="232"/>
      <c r="T51" s="232"/>
      <c r="U51" s="237"/>
      <c r="V51" s="233"/>
      <c r="W51" s="234"/>
      <c r="X51" s="43">
        <f>'REGISTRO DATOS'!J49</f>
        <v>0</v>
      </c>
    </row>
    <row r="52" spans="1:24" ht="18" customHeight="1">
      <c r="A52" s="7">
        <v>38</v>
      </c>
      <c r="B52" s="404" t="str">
        <f>IFERROR(IF(VLOOKUP(A52,'REGISTRO DATOS'!B:H,2,0)=0,"",VLOOKUP(A52,'REGISTRO DATOS'!B:H,2,0)),"")</f>
        <v/>
      </c>
      <c r="C52" s="405" t="str">
        <f>IFERROR(IF(VLOOKUP(A52,'REGISTRO DATOS'!B:H,3,0)=0,"",VLOOKUP(A52,'REGISTRO DATOS'!B:H,3,0)),"")</f>
        <v/>
      </c>
      <c r="D52" s="406" t="str">
        <f>IFERROR(IF(VLOOKUP(A52,'REGISTRO DATOS'!B:H,4,0)=0,"",VLOOKUP(A52,'REGISTRO DATOS'!B:H,4,0)),"")</f>
        <v/>
      </c>
      <c r="E52" s="164">
        <f t="shared" si="0"/>
        <v>0</v>
      </c>
      <c r="F52" s="280">
        <f t="shared" si="1"/>
        <v>0</v>
      </c>
      <c r="G52" s="411"/>
      <c r="H52" s="164">
        <f t="shared" si="2"/>
        <v>0</v>
      </c>
      <c r="I52" s="280">
        <f t="shared" si="3"/>
        <v>0</v>
      </c>
      <c r="J52" s="411"/>
      <c r="K52" s="232"/>
      <c r="L52" s="232"/>
      <c r="M52" s="232"/>
      <c r="N52" s="232"/>
      <c r="O52" s="232"/>
      <c r="P52" s="232"/>
      <c r="Q52" s="232"/>
      <c r="R52" s="232"/>
      <c r="S52" s="232"/>
      <c r="T52" s="232"/>
      <c r="U52" s="237"/>
      <c r="V52" s="233"/>
      <c r="W52" s="234"/>
      <c r="X52" s="43">
        <f>'REGISTRO DATOS'!J50</f>
        <v>0</v>
      </c>
    </row>
    <row r="53" spans="1:24" ht="18" customHeight="1">
      <c r="A53" s="7">
        <v>39</v>
      </c>
      <c r="B53" s="404" t="str">
        <f>IFERROR(IF(VLOOKUP(A53,'REGISTRO DATOS'!B:H,2,0)=0,"",VLOOKUP(A53,'REGISTRO DATOS'!B:H,2,0)),"")</f>
        <v/>
      </c>
      <c r="C53" s="405" t="str">
        <f>IFERROR(IF(VLOOKUP(A53,'REGISTRO DATOS'!B:H,3,0)=0,"",VLOOKUP(A53,'REGISTRO DATOS'!B:H,3,0)),"")</f>
        <v/>
      </c>
      <c r="D53" s="406" t="str">
        <f>IFERROR(IF(VLOOKUP(A53,'REGISTRO DATOS'!B:H,4,0)=0,"",VLOOKUP(A53,'REGISTRO DATOS'!B:H,4,0)),"")</f>
        <v/>
      </c>
      <c r="E53" s="164">
        <f t="shared" si="0"/>
        <v>0</v>
      </c>
      <c r="F53" s="280">
        <f t="shared" si="1"/>
        <v>0</v>
      </c>
      <c r="G53" s="411"/>
      <c r="H53" s="164">
        <f t="shared" si="2"/>
        <v>0</v>
      </c>
      <c r="I53" s="280">
        <f t="shared" si="3"/>
        <v>0</v>
      </c>
      <c r="J53" s="411"/>
      <c r="K53" s="232"/>
      <c r="L53" s="232"/>
      <c r="M53" s="232"/>
      <c r="N53" s="232"/>
      <c r="O53" s="232"/>
      <c r="P53" s="232"/>
      <c r="Q53" s="232"/>
      <c r="R53" s="232"/>
      <c r="S53" s="232"/>
      <c r="T53" s="232"/>
      <c r="U53" s="237"/>
      <c r="V53" s="233"/>
      <c r="W53" s="234"/>
      <c r="X53" s="43">
        <f>'REGISTRO DATOS'!J51</f>
        <v>0</v>
      </c>
    </row>
    <row r="54" spans="1:24" ht="18" customHeight="1">
      <c r="A54" s="407">
        <v>40</v>
      </c>
      <c r="B54" s="408" t="str">
        <f>IFERROR(IF(VLOOKUP(A54,'REGISTRO DATOS'!B:H,2,0)=0,"",VLOOKUP(A54,'REGISTRO DATOS'!B:H,2,0)),"")</f>
        <v/>
      </c>
      <c r="C54" s="409" t="str">
        <f>IFERROR(IF(VLOOKUP(A54,'REGISTRO DATOS'!B:H,3,0)=0,"",VLOOKUP(A54,'REGISTRO DATOS'!B:H,3,0)),"")</f>
        <v/>
      </c>
      <c r="D54" s="410" t="str">
        <f>IFERROR(IF(VLOOKUP(A54,'REGISTRO DATOS'!B:H,4,0)=0,"",VLOOKUP(A54,'REGISTRO DATOS'!B:H,4,0)),"")</f>
        <v/>
      </c>
      <c r="E54" s="164">
        <f t="shared" si="0"/>
        <v>0</v>
      </c>
      <c r="F54" s="280">
        <f t="shared" si="1"/>
        <v>0</v>
      </c>
      <c r="G54" s="411"/>
      <c r="H54" s="164">
        <f t="shared" si="2"/>
        <v>0</v>
      </c>
      <c r="I54" s="280">
        <f t="shared" si="3"/>
        <v>0</v>
      </c>
      <c r="J54" s="411"/>
      <c r="K54" s="232"/>
      <c r="L54" s="232"/>
      <c r="M54" s="232"/>
      <c r="N54" s="232"/>
      <c r="O54" s="232"/>
      <c r="P54" s="232"/>
      <c r="Q54" s="232"/>
      <c r="R54" s="232"/>
      <c r="S54" s="232"/>
      <c r="T54" s="232"/>
      <c r="U54" s="237"/>
      <c r="V54" s="233"/>
      <c r="W54" s="234"/>
      <c r="X54" s="43">
        <f>'REGISTRO DATOS'!J52</f>
        <v>0</v>
      </c>
    </row>
    <row r="55" spans="1:24" ht="18" customHeight="1">
      <c r="A55" s="223"/>
      <c r="B55" s="223"/>
      <c r="C55" s="223"/>
      <c r="D55" s="223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</row>
    <row r="56" spans="1:24" ht="18" hidden="1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</row>
    <row r="57" spans="1:24" ht="18" hidden="1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</row>
    <row r="58" spans="1:24" ht="18" hidden="1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</row>
    <row r="59" spans="1:24" ht="18" hidden="1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</row>
    <row r="60" spans="1:24" ht="18" hidden="1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</row>
    <row r="61" spans="1:24" ht="17.25" hidden="1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</row>
    <row r="62" spans="1:24" ht="17.25" hidden="1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</row>
    <row r="63" spans="1:24" ht="17.25" hidden="1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</row>
    <row r="64" spans="1:24" ht="15" hidden="1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</row>
    <row r="65" spans="1:23" ht="15.75" hidden="1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</row>
    <row r="66" spans="1:23" ht="15" hidden="1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</row>
    <row r="67" spans="1:23" ht="15.75" hidden="1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</row>
    <row r="68" spans="1:23" ht="15" hidden="1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</row>
    <row r="69" spans="1:23" ht="15.75" hidden="1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</row>
    <row r="70" spans="1:23" ht="15" hidden="1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</row>
    <row r="71" spans="1:23" ht="15.75" hidden="1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</row>
    <row r="72" spans="1:23" ht="15" hidden="1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</row>
    <row r="73" spans="1:23" ht="15.75" hidden="1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</row>
    <row r="74" spans="1:23" ht="15" hidden="1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</row>
    <row r="75" spans="1:23" ht="15.75" hidden="1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</row>
    <row r="76" spans="1:23" ht="15" hidden="1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</row>
    <row r="77" spans="1:23" ht="15.75" hidden="1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</row>
    <row r="78" spans="1:23" ht="15" hidden="1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</row>
    <row r="79" spans="1:23" ht="15.75" hidden="1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</row>
    <row r="80" spans="1:23" hidden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</row>
    <row r="81" spans="1:23" hidden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</row>
    <row r="82" spans="1:23" hidden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</row>
    <row r="83" spans="1:23" hidden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</row>
    <row r="84" spans="1:23" hidden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</row>
    <row r="85" spans="1:23" hidden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</row>
    <row r="86" spans="1:23" hidden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</row>
    <row r="87" spans="1:23" hidden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</row>
    <row r="88" spans="1:23" hidden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</row>
    <row r="89" spans="1:23" hidden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</row>
    <row r="90" spans="1:23" hidden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</row>
    <row r="91" spans="1:23" hidden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</row>
    <row r="92" spans="1:23" hidden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</row>
    <row r="93" spans="1:23" hidden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</row>
    <row r="94" spans="1:23" hidden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</row>
    <row r="95" spans="1:23" hidden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</row>
    <row r="96" spans="1:23" hidden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</row>
    <row r="97" spans="1:23" hidden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</row>
    <row r="98" spans="1:23" hidden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</row>
    <row r="99" spans="1:23" hidden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</row>
    <row r="100" spans="1:23" hidden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</row>
    <row r="101" spans="1:23" hidden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</row>
    <row r="102" spans="1:23" hidden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</row>
    <row r="103" spans="1:23" hidden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</row>
    <row r="104" spans="1:23" hidden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</row>
    <row r="105" spans="1:23" hidden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</row>
    <row r="106" spans="1:23" hidden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</row>
    <row r="107" spans="1:23" hidden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</row>
    <row r="108" spans="1:23" hidden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</row>
  </sheetData>
  <dataConsolidate/>
  <mergeCells count="36">
    <mergeCell ref="AB25:AE25"/>
    <mergeCell ref="AB26:AC26"/>
    <mergeCell ref="AD26:AE26"/>
    <mergeCell ref="AB15:AE15"/>
    <mergeCell ref="AB16:AC16"/>
    <mergeCell ref="AD16:AE16"/>
    <mergeCell ref="AB20:AE20"/>
    <mergeCell ref="AB21:AC21"/>
    <mergeCell ref="AD21:AE21"/>
    <mergeCell ref="E11:J11"/>
    <mergeCell ref="A12:D13"/>
    <mergeCell ref="E13:E14"/>
    <mergeCell ref="H13:H14"/>
    <mergeCell ref="A9:D9"/>
    <mergeCell ref="E9:L9"/>
    <mergeCell ref="E12:G12"/>
    <mergeCell ref="H12:J12"/>
    <mergeCell ref="P9:U9"/>
    <mergeCell ref="E10:H10"/>
    <mergeCell ref="P10:U10"/>
    <mergeCell ref="A7:D7"/>
    <mergeCell ref="E7:N7"/>
    <mergeCell ref="A8:D8"/>
    <mergeCell ref="E8:N8"/>
    <mergeCell ref="P8:U8"/>
    <mergeCell ref="A5:D5"/>
    <mergeCell ref="E5:J5"/>
    <mergeCell ref="P5:S5"/>
    <mergeCell ref="A6:D6"/>
    <mergeCell ref="E6:N6"/>
    <mergeCell ref="P6:S6"/>
    <mergeCell ref="A2:B2"/>
    <mergeCell ref="A3:D3"/>
    <mergeCell ref="E3:N3"/>
    <mergeCell ref="A4:D4"/>
    <mergeCell ref="E4:N4"/>
  </mergeCells>
  <conditionalFormatting sqref="E15:E54">
    <cfRule type="cellIs" dxfId="177" priority="33" operator="lessThan">
      <formula>70</formula>
    </cfRule>
    <cfRule type="cellIs" dxfId="176" priority="34" operator="greaterThan">
      <formula>69</formula>
    </cfRule>
  </conditionalFormatting>
  <conditionalFormatting sqref="H15:H54">
    <cfRule type="cellIs" dxfId="175" priority="31" operator="lessThan">
      <formula>70</formula>
    </cfRule>
    <cfRule type="cellIs" dxfId="174" priority="32" operator="greaterThan">
      <formula>69</formula>
    </cfRule>
  </conditionalFormatting>
  <dataValidations count="1">
    <dataValidation type="list" allowBlank="1" showInputMessage="1" showErrorMessage="1" sqref="W55:W63" xr:uid="{00000000-0002-0000-0A00-000000000000}">
      <formula1>$W$9:$W$10</formula1>
    </dataValidation>
  </dataValidations>
  <pageMargins left="0.7" right="0.7" top="0.75" bottom="0.75" header="0.3" footer="0.3"/>
  <pageSetup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33">
    <tabColor rgb="FFFFFF00"/>
  </sheetPr>
  <dimension ref="A1:HG145"/>
  <sheetViews>
    <sheetView showGridLines="0" showRowColHeaders="0" zoomScale="84" zoomScaleNormal="100" workbookViewId="0">
      <selection activeCell="B7" sqref="B7:D46"/>
    </sheetView>
  </sheetViews>
  <sheetFormatPr baseColWidth="10" defaultColWidth="10.85546875" defaultRowHeight="15"/>
  <cols>
    <col min="1" max="1" width="3.85546875" style="43" customWidth="1" collapsed="1"/>
    <col min="2" max="3" width="14.140625" bestFit="1" customWidth="1" collapsed="1"/>
    <col min="4" max="4" width="23.42578125" customWidth="1" collapsed="1"/>
    <col min="5" max="5" width="7.85546875" style="132" bestFit="1" customWidth="1"/>
    <col min="6" max="6" width="5" bestFit="1" customWidth="1"/>
    <col min="7" max="7" width="4" bestFit="1" customWidth="1"/>
    <col min="8" max="8" width="4" bestFit="1" customWidth="1" collapsed="1"/>
    <col min="9" max="9" width="4" customWidth="1"/>
    <col min="10" max="10" width="4" bestFit="1" customWidth="1"/>
    <col min="11" max="11" width="4.7109375" customWidth="1" collapsed="1"/>
    <col min="12" max="12" width="6.28515625" customWidth="1"/>
    <col min="13" max="13" width="5.42578125" customWidth="1"/>
    <col min="14" max="14" width="2.140625" customWidth="1" collapsed="1"/>
    <col min="15" max="15" width="5" bestFit="1" customWidth="1"/>
    <col min="16" max="17" width="5" customWidth="1"/>
    <col min="18" max="18" width="4" bestFit="1" customWidth="1"/>
    <col min="19" max="19" width="4" customWidth="1"/>
    <col min="20" max="20" width="4" bestFit="1" customWidth="1" collapsed="1"/>
    <col min="21" max="21" width="4.7109375" customWidth="1" collapsed="1"/>
    <col min="22" max="22" width="7.140625" customWidth="1"/>
    <col min="23" max="23" width="4.7109375" customWidth="1"/>
    <col min="24" max="24" width="2" customWidth="1" collapsed="1"/>
    <col min="25" max="25" width="5" bestFit="1" customWidth="1" collapsed="1"/>
    <col min="26" max="27" width="5" customWidth="1"/>
    <col min="28" max="28" width="6.85546875" customWidth="1" collapsed="1"/>
    <col min="29" max="29" width="6.85546875" customWidth="1"/>
    <col min="30" max="30" width="4.7109375" customWidth="1" collapsed="1"/>
    <col min="31" max="31" width="6.7109375" customWidth="1"/>
    <col min="32" max="32" width="5.28515625" customWidth="1"/>
    <col min="33" max="175" width="4.7109375" style="2" customWidth="1" collapsed="1"/>
    <col min="176" max="176" width="10.85546875" style="2"/>
    <col min="202" max="202" width="10.85546875" collapsed="1"/>
    <col min="205" max="205" width="10.85546875" collapsed="1"/>
    <col min="208" max="208" width="10.85546875" collapsed="1"/>
    <col min="211" max="211" width="10.85546875" collapsed="1"/>
    <col min="215" max="16384" width="10.85546875" collapsed="1"/>
  </cols>
  <sheetData>
    <row r="1" spans="1:215" s="2" customFormat="1" ht="18.75">
      <c r="A1" s="43"/>
      <c r="B1"/>
      <c r="C1"/>
      <c r="D1"/>
      <c r="E1" s="897"/>
      <c r="F1" s="897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</row>
    <row r="2" spans="1:215" s="2" customFormat="1">
      <c r="A2" s="898" t="s">
        <v>308</v>
      </c>
      <c r="B2" s="898"/>
      <c r="C2" s="898"/>
      <c r="D2"/>
      <c r="E2" s="581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</row>
    <row r="3" spans="1:215" s="2" customFormat="1" ht="19.5" customHeight="1">
      <c r="A3" s="898"/>
      <c r="B3" s="898"/>
      <c r="C3" s="898"/>
      <c r="D3"/>
      <c r="E3" s="581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</row>
    <row r="4" spans="1:215" s="2" customFormat="1" ht="29.25" customHeight="1" thickBot="1">
      <c r="A4" s="898"/>
      <c r="B4" s="898"/>
      <c r="C4" s="898"/>
      <c r="D4" s="720">
        <f>L6+V6+AE6</f>
        <v>0.30000000000000004</v>
      </c>
      <c r="E4" s="691"/>
      <c r="F4" s="899" t="s">
        <v>293</v>
      </c>
      <c r="G4" s="899"/>
      <c r="H4" s="899"/>
      <c r="I4" s="899"/>
      <c r="J4" s="899"/>
      <c r="L4" s="3"/>
      <c r="O4" s="899" t="s">
        <v>294</v>
      </c>
      <c r="P4" s="899"/>
      <c r="Q4" s="899"/>
      <c r="R4" s="899"/>
      <c r="S4" s="899"/>
      <c r="T4" s="899"/>
      <c r="U4" s="692"/>
      <c r="Y4" s="900" t="s">
        <v>295</v>
      </c>
      <c r="Z4" s="900"/>
      <c r="AA4" s="900"/>
      <c r="AB4" s="900"/>
      <c r="AC4" s="900"/>
      <c r="AD4" s="900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</row>
    <row r="5" spans="1:215" s="2" customFormat="1" ht="23.25" customHeight="1" thickBot="1">
      <c r="A5" s="43"/>
      <c r="B5"/>
      <c r="C5"/>
      <c r="D5" s="721">
        <f>K5+U5+AD5</f>
        <v>44</v>
      </c>
      <c r="E5" s="738" t="s">
        <v>296</v>
      </c>
      <c r="F5" s="707">
        <v>3</v>
      </c>
      <c r="G5" s="707">
        <v>3</v>
      </c>
      <c r="H5" s="707">
        <v>3</v>
      </c>
      <c r="I5" s="707">
        <v>3</v>
      </c>
      <c r="J5" s="707">
        <v>0</v>
      </c>
      <c r="K5" s="749">
        <f>SUM(F5:J5)</f>
        <v>12</v>
      </c>
      <c r="L5" s="750" t="s">
        <v>146</v>
      </c>
      <c r="M5" s="751" t="s">
        <v>89</v>
      </c>
      <c r="N5" s="731"/>
      <c r="O5" s="732">
        <v>3</v>
      </c>
      <c r="P5" s="732">
        <v>3</v>
      </c>
      <c r="Q5" s="732">
        <v>3</v>
      </c>
      <c r="R5" s="732">
        <v>3</v>
      </c>
      <c r="S5" s="732">
        <v>3</v>
      </c>
      <c r="T5" s="732">
        <v>3</v>
      </c>
      <c r="U5" s="749">
        <f>SUM(O5:T5)</f>
        <v>18</v>
      </c>
      <c r="V5" s="750" t="s">
        <v>146</v>
      </c>
      <c r="W5" s="751" t="s">
        <v>89</v>
      </c>
      <c r="X5" s="731"/>
      <c r="Y5" s="732">
        <v>2</v>
      </c>
      <c r="Z5" s="732">
        <v>3</v>
      </c>
      <c r="AA5" s="732">
        <v>3</v>
      </c>
      <c r="AB5" s="732">
        <v>3</v>
      </c>
      <c r="AC5" s="733">
        <v>3</v>
      </c>
      <c r="AD5" s="749">
        <f>SUM(Y5:AC5)</f>
        <v>14</v>
      </c>
      <c r="AE5" s="750" t="s">
        <v>146</v>
      </c>
      <c r="AF5" s="751" t="s">
        <v>89</v>
      </c>
      <c r="AG5" s="146">
        <f>K5+U5+AD5</f>
        <v>44</v>
      </c>
      <c r="AH5" s="179"/>
      <c r="AI5" s="179"/>
      <c r="AJ5" s="179"/>
      <c r="AK5" s="179"/>
      <c r="AL5" s="179"/>
      <c r="AM5" s="179"/>
      <c r="AN5" s="179"/>
      <c r="AO5" s="179"/>
      <c r="AP5" s="179"/>
      <c r="AQ5" s="179"/>
      <c r="AR5" s="179"/>
      <c r="AS5" s="179"/>
      <c r="AT5" s="179"/>
      <c r="AU5" s="179"/>
      <c r="AV5" s="179"/>
      <c r="AW5" s="179"/>
      <c r="AX5" s="179"/>
      <c r="AY5" s="179"/>
      <c r="AZ5" s="179"/>
      <c r="BA5" s="179"/>
      <c r="BB5" s="179"/>
      <c r="BC5" s="179"/>
      <c r="BD5" s="179"/>
      <c r="BE5" s="179"/>
      <c r="BF5" s="179"/>
      <c r="BG5" s="179"/>
      <c r="BH5" s="179"/>
      <c r="BI5" s="179"/>
      <c r="BJ5" s="179"/>
      <c r="BK5" s="179"/>
      <c r="BL5" s="179"/>
      <c r="BM5" s="179"/>
      <c r="BN5" s="179"/>
      <c r="BO5" s="179"/>
      <c r="BP5" s="179"/>
      <c r="BQ5" s="179"/>
      <c r="BR5" s="179"/>
      <c r="BS5" s="179"/>
      <c r="BT5" s="179"/>
      <c r="BU5" s="179"/>
      <c r="BV5" s="179"/>
      <c r="BW5" s="179"/>
      <c r="BX5" s="179"/>
      <c r="BY5" s="179"/>
      <c r="BZ5" s="179"/>
      <c r="CA5" s="179"/>
      <c r="CB5" s="179"/>
      <c r="CC5" s="179"/>
      <c r="CD5" s="179"/>
      <c r="CE5" s="179"/>
      <c r="CF5" s="179"/>
      <c r="CG5" s="179"/>
      <c r="CH5" s="179"/>
      <c r="CI5" s="179"/>
      <c r="CJ5" s="179"/>
      <c r="CK5" s="179"/>
      <c r="CL5" s="179"/>
      <c r="CM5" s="179"/>
      <c r="CN5" s="179"/>
      <c r="CO5" s="179"/>
      <c r="CP5" s="179"/>
      <c r="CQ5" s="179"/>
      <c r="CR5" s="179"/>
      <c r="CS5" s="179"/>
      <c r="CT5" s="179"/>
      <c r="CU5" s="179"/>
      <c r="CV5" s="179"/>
      <c r="CW5" s="179"/>
      <c r="CX5" s="179"/>
      <c r="CY5" s="179"/>
      <c r="CZ5" s="179"/>
      <c r="DA5" s="179"/>
      <c r="DB5" s="179"/>
      <c r="DC5" s="179"/>
      <c r="DD5" s="179"/>
      <c r="DE5" s="179"/>
      <c r="DF5" s="179"/>
      <c r="DG5" s="179"/>
      <c r="DH5" s="179"/>
      <c r="DI5" s="179"/>
      <c r="DJ5" s="179"/>
      <c r="DK5" s="179"/>
      <c r="DL5" s="179"/>
      <c r="DM5" s="179"/>
      <c r="DN5" s="179"/>
      <c r="DO5" s="179"/>
      <c r="DP5" s="179"/>
      <c r="DQ5" s="179"/>
      <c r="DR5" s="179"/>
      <c r="DS5" s="179"/>
      <c r="DT5" s="179"/>
      <c r="DU5" s="179"/>
      <c r="DV5" s="179"/>
      <c r="DW5" s="179"/>
      <c r="DX5" s="179"/>
      <c r="DY5" s="179"/>
      <c r="DZ5" s="179"/>
      <c r="EA5" s="179"/>
      <c r="EB5" s="179"/>
      <c r="EC5" s="179"/>
      <c r="ED5" s="179"/>
      <c r="EE5" s="179"/>
      <c r="EF5" s="179"/>
      <c r="EG5" s="179"/>
      <c r="EH5" s="179"/>
      <c r="EI5" s="179"/>
      <c r="EJ5" s="179"/>
      <c r="EK5" s="179"/>
      <c r="EL5" s="179"/>
      <c r="EM5" s="179"/>
      <c r="EN5" s="179"/>
      <c r="EO5" s="179"/>
      <c r="EP5" s="179"/>
      <c r="EQ5" s="179"/>
      <c r="ER5" s="179"/>
      <c r="ES5" s="179"/>
      <c r="ET5" s="179"/>
      <c r="EU5" s="179"/>
      <c r="EV5" s="179"/>
      <c r="EW5" s="179"/>
      <c r="EX5" s="179"/>
      <c r="EY5" s="179"/>
      <c r="EZ5" s="179"/>
      <c r="FA5" s="179"/>
      <c r="FB5" s="179"/>
      <c r="FC5" s="179"/>
      <c r="FD5" s="179"/>
      <c r="FE5" s="179"/>
      <c r="FF5" s="179"/>
      <c r="FG5" s="179"/>
      <c r="FH5" s="179"/>
      <c r="FI5" s="179"/>
      <c r="FJ5" s="179"/>
      <c r="FK5" s="179"/>
      <c r="FL5" s="179"/>
      <c r="FM5" s="179"/>
      <c r="FN5" s="179"/>
      <c r="FO5" s="179"/>
      <c r="FP5" s="179"/>
      <c r="FQ5" s="179"/>
      <c r="FR5" s="179"/>
      <c r="FS5" s="179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</row>
    <row r="6" spans="1:215" s="2" customFormat="1" ht="157.5" customHeight="1" thickBot="1">
      <c r="A6" s="724" t="s">
        <v>37</v>
      </c>
      <c r="B6" s="725" t="s">
        <v>38</v>
      </c>
      <c r="C6" s="725" t="s">
        <v>39</v>
      </c>
      <c r="D6" s="726" t="s">
        <v>36</v>
      </c>
      <c r="E6" s="727" t="s">
        <v>18</v>
      </c>
      <c r="F6" s="709" t="s">
        <v>297</v>
      </c>
      <c r="G6" s="710" t="s">
        <v>298</v>
      </c>
      <c r="H6" s="710" t="s">
        <v>299</v>
      </c>
      <c r="I6" s="710" t="s">
        <v>300</v>
      </c>
      <c r="J6" s="710" t="s">
        <v>307</v>
      </c>
      <c r="K6" s="752" t="s">
        <v>183</v>
      </c>
      <c r="L6" s="765">
        <v>0.1</v>
      </c>
      <c r="M6" s="753">
        <f>K5</f>
        <v>12</v>
      </c>
      <c r="N6" s="734"/>
      <c r="O6" s="735" t="s">
        <v>301</v>
      </c>
      <c r="P6" s="736" t="s">
        <v>302</v>
      </c>
      <c r="Q6" s="736" t="s">
        <v>303</v>
      </c>
      <c r="R6" s="736" t="s">
        <v>304</v>
      </c>
      <c r="S6" s="737" t="s">
        <v>305</v>
      </c>
      <c r="T6" s="737" t="s">
        <v>311</v>
      </c>
      <c r="U6" s="752" t="s">
        <v>183</v>
      </c>
      <c r="V6" s="765">
        <v>0.1</v>
      </c>
      <c r="W6" s="753">
        <f>U5</f>
        <v>18</v>
      </c>
      <c r="X6" s="734"/>
      <c r="Y6" s="736" t="s">
        <v>301</v>
      </c>
      <c r="Z6" s="736" t="s">
        <v>302</v>
      </c>
      <c r="AA6" s="737" t="s">
        <v>303</v>
      </c>
      <c r="AB6" s="736" t="s">
        <v>304</v>
      </c>
      <c r="AC6" s="737" t="s">
        <v>305</v>
      </c>
      <c r="AD6" s="752" t="s">
        <v>183</v>
      </c>
      <c r="AE6" s="765">
        <v>0.1</v>
      </c>
      <c r="AF6" s="753">
        <f>AD5</f>
        <v>14</v>
      </c>
      <c r="AG6" s="180"/>
      <c r="AH6" s="180"/>
      <c r="AI6" s="180"/>
      <c r="AJ6" s="180"/>
      <c r="AK6" s="180"/>
      <c r="AL6" s="180"/>
      <c r="AM6" s="180"/>
      <c r="AN6" s="180"/>
      <c r="AO6" s="180"/>
      <c r="AP6" s="180"/>
      <c r="AQ6" s="180"/>
      <c r="AR6" s="180"/>
      <c r="AS6" s="180"/>
      <c r="AT6" s="180"/>
      <c r="AU6" s="180"/>
      <c r="AV6" s="180"/>
      <c r="AW6" s="180"/>
      <c r="AX6" s="180"/>
      <c r="AY6" s="180"/>
      <c r="AZ6" s="180"/>
      <c r="BA6" s="180"/>
      <c r="BB6" s="180"/>
      <c r="BC6" s="180"/>
      <c r="BD6" s="180"/>
      <c r="BE6" s="180"/>
      <c r="BF6" s="180"/>
      <c r="BG6" s="180"/>
      <c r="BH6" s="180"/>
      <c r="BI6" s="180"/>
      <c r="BJ6" s="180"/>
      <c r="BK6" s="180"/>
      <c r="BL6" s="180"/>
      <c r="BM6" s="180"/>
      <c r="BN6" s="180"/>
      <c r="BO6" s="180"/>
      <c r="BP6" s="180"/>
      <c r="BQ6" s="180"/>
      <c r="BR6" s="180"/>
      <c r="BS6" s="180"/>
      <c r="BT6" s="180"/>
      <c r="BU6" s="180"/>
      <c r="BV6" s="180"/>
      <c r="BW6" s="180"/>
      <c r="BX6" s="180"/>
      <c r="BY6" s="180"/>
      <c r="BZ6" s="180"/>
      <c r="CA6" s="180"/>
      <c r="CB6" s="180"/>
      <c r="CC6" s="180"/>
      <c r="CD6" s="180"/>
      <c r="CE6" s="180"/>
      <c r="CF6" s="180"/>
      <c r="CG6" s="180"/>
      <c r="CH6" s="180"/>
      <c r="CI6" s="180"/>
      <c r="CJ6" s="180"/>
      <c r="CK6" s="180"/>
      <c r="CL6" s="180"/>
      <c r="CM6" s="180"/>
      <c r="CN6" s="180"/>
      <c r="CO6" s="180"/>
      <c r="CP6" s="180"/>
      <c r="CQ6" s="180"/>
      <c r="CR6" s="180"/>
      <c r="CS6" s="180"/>
      <c r="CT6" s="180"/>
      <c r="CU6" s="180"/>
      <c r="CV6" s="180"/>
      <c r="CW6" s="180"/>
      <c r="CX6" s="180"/>
      <c r="CY6" s="180"/>
      <c r="CZ6" s="180"/>
      <c r="DA6" s="180"/>
      <c r="DB6" s="180"/>
      <c r="DC6" s="180"/>
      <c r="DD6" s="180"/>
      <c r="DE6" s="180"/>
      <c r="DF6" s="180"/>
      <c r="DG6" s="180"/>
      <c r="DH6" s="180"/>
      <c r="DI6" s="180"/>
      <c r="DJ6" s="180"/>
      <c r="DK6" s="180"/>
      <c r="DL6" s="180"/>
      <c r="DM6" s="180"/>
      <c r="DN6" s="180"/>
      <c r="DO6" s="180"/>
      <c r="DP6" s="180"/>
      <c r="DQ6" s="180"/>
      <c r="DR6" s="180"/>
      <c r="DS6" s="180"/>
      <c r="DT6" s="180"/>
      <c r="DU6" s="180"/>
      <c r="DV6" s="180"/>
      <c r="DW6" s="180"/>
      <c r="DX6" s="180"/>
      <c r="DY6" s="180"/>
      <c r="DZ6" s="180"/>
      <c r="EA6" s="180"/>
      <c r="EB6" s="180"/>
      <c r="EC6" s="180"/>
      <c r="ED6" s="180"/>
      <c r="EE6" s="180"/>
      <c r="EF6" s="180"/>
      <c r="EG6" s="180"/>
      <c r="EH6" s="180"/>
      <c r="EI6" s="180"/>
      <c r="EJ6" s="180"/>
      <c r="EK6" s="180"/>
      <c r="EL6" s="180"/>
      <c r="EM6" s="180"/>
      <c r="EN6" s="180"/>
      <c r="EO6" s="180"/>
      <c r="EP6" s="180"/>
      <c r="EQ6" s="180"/>
      <c r="ER6" s="180"/>
      <c r="ES6" s="180"/>
      <c r="ET6" s="180"/>
      <c r="EU6" s="180"/>
      <c r="EV6" s="180"/>
      <c r="EW6" s="180"/>
      <c r="EX6" s="180"/>
      <c r="EY6" s="180"/>
      <c r="EZ6" s="180"/>
      <c r="FA6" s="180"/>
      <c r="FB6" s="180"/>
      <c r="FC6" s="180"/>
      <c r="FD6" s="180"/>
      <c r="FE6" s="180"/>
      <c r="FF6" s="180"/>
      <c r="FG6" s="180"/>
      <c r="FH6" s="180"/>
      <c r="FI6" s="180"/>
      <c r="FJ6" s="180"/>
      <c r="FK6" s="180"/>
      <c r="FL6" s="180"/>
      <c r="FM6" s="180"/>
      <c r="FN6" s="180"/>
      <c r="FO6" s="180"/>
      <c r="FP6" s="180"/>
      <c r="FQ6" s="180"/>
      <c r="FR6" s="180"/>
      <c r="FS6" s="180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</row>
    <row r="7" spans="1:215" s="2" customFormat="1" ht="19.5" thickBot="1">
      <c r="A7" s="43">
        <v>1</v>
      </c>
      <c r="B7" s="512">
        <f>'REGISTRO DATOS'!C13</f>
        <v>0</v>
      </c>
      <c r="C7" s="512">
        <f>'REGISTRO DATOS'!D13</f>
        <v>0</v>
      </c>
      <c r="D7" s="512" t="str">
        <f>'REGISTRO DATOS'!E13</f>
        <v>MARIANELA</v>
      </c>
      <c r="E7" s="701">
        <f t="shared" ref="E7:E46" si="0">K7+U7+AD7</f>
        <v>44</v>
      </c>
      <c r="F7" s="712">
        <v>3</v>
      </c>
      <c r="G7" s="713">
        <v>3</v>
      </c>
      <c r="H7" s="714">
        <v>3</v>
      </c>
      <c r="I7" s="714">
        <v>3</v>
      </c>
      <c r="J7" s="714"/>
      <c r="K7" s="702">
        <f t="shared" ref="K7:K46" si="1">SUM(F7:J7)</f>
        <v>12</v>
      </c>
      <c r="L7" s="703">
        <f>M7*$L$6</f>
        <v>10</v>
      </c>
      <c r="M7" s="704">
        <f>(K7/$K$5)*100</f>
        <v>100</v>
      </c>
      <c r="N7" s="728"/>
      <c r="O7" s="712">
        <v>3</v>
      </c>
      <c r="P7" s="712">
        <v>3</v>
      </c>
      <c r="Q7" s="712">
        <v>3</v>
      </c>
      <c r="R7" s="713">
        <v>3</v>
      </c>
      <c r="S7" s="713">
        <v>3</v>
      </c>
      <c r="T7" s="714">
        <v>3</v>
      </c>
      <c r="U7" s="705">
        <f t="shared" ref="U7:U46" si="2">SUM(O7:T7)</f>
        <v>18</v>
      </c>
      <c r="V7" s="703">
        <f>W7*$V$6</f>
        <v>10</v>
      </c>
      <c r="W7" s="704">
        <f>(U7/$U$5)*100</f>
        <v>100</v>
      </c>
      <c r="X7" s="728"/>
      <c r="Y7" s="714">
        <v>2</v>
      </c>
      <c r="Z7" s="714">
        <v>3</v>
      </c>
      <c r="AA7" s="714">
        <v>3</v>
      </c>
      <c r="AB7" s="714">
        <v>3</v>
      </c>
      <c r="AC7" s="714">
        <v>3</v>
      </c>
      <c r="AD7" s="706">
        <f>SUM(Y7:AC7)</f>
        <v>14</v>
      </c>
      <c r="AE7" s="703">
        <f>AF7*$AE$6</f>
        <v>10</v>
      </c>
      <c r="AF7" s="704">
        <f>(AD7/$AD$5)*100</f>
        <v>100</v>
      </c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</row>
    <row r="8" spans="1:215" s="2" customFormat="1" ht="19.5" thickBot="1">
      <c r="A8" s="43">
        <v>2</v>
      </c>
      <c r="B8" s="512">
        <f>'REGISTRO DATOS'!C14</f>
        <v>0</v>
      </c>
      <c r="C8" s="512">
        <f>'REGISTRO DATOS'!D14</f>
        <v>0</v>
      </c>
      <c r="D8" s="512" t="str">
        <f>'REGISTRO DATOS'!E14</f>
        <v>GENESIS</v>
      </c>
      <c r="E8" s="701">
        <f t="shared" si="0"/>
        <v>0</v>
      </c>
      <c r="F8" s="638"/>
      <c r="G8" s="639"/>
      <c r="H8" s="555"/>
      <c r="I8" s="555"/>
      <c r="J8" s="555"/>
      <c r="K8" s="702">
        <f t="shared" si="1"/>
        <v>0</v>
      </c>
      <c r="L8" s="703">
        <f t="shared" ref="L8:L46" si="3">M8*$L$6</f>
        <v>0</v>
      </c>
      <c r="M8" s="704">
        <f t="shared" ref="M8:M46" si="4">(K8/$K$5)*100</f>
        <v>0</v>
      </c>
      <c r="N8" s="728"/>
      <c r="O8" s="638"/>
      <c r="P8" s="638"/>
      <c r="Q8" s="638"/>
      <c r="R8" s="639"/>
      <c r="S8" s="639"/>
      <c r="T8" s="555"/>
      <c r="U8" s="705">
        <f t="shared" si="2"/>
        <v>0</v>
      </c>
      <c r="V8" s="703">
        <f t="shared" ref="V8:V46" si="5">W8*$V$6</f>
        <v>0</v>
      </c>
      <c r="W8" s="704">
        <f t="shared" ref="W8:W46" si="6">(U8/$U$5)*100</f>
        <v>0</v>
      </c>
      <c r="X8" s="728"/>
      <c r="Y8" s="555"/>
      <c r="Z8" s="555"/>
      <c r="AA8" s="555"/>
      <c r="AB8" s="555"/>
      <c r="AC8" s="555"/>
      <c r="AD8" s="706">
        <f t="shared" ref="AD8:AD46" si="7">SUM(Y8:AC8)</f>
        <v>0</v>
      </c>
      <c r="AE8" s="703">
        <f t="shared" ref="AE8:AE46" si="8">AF8*$AE$6</f>
        <v>0</v>
      </c>
      <c r="AF8" s="704">
        <f t="shared" ref="AF8:AF46" si="9">(AD8/$AD$5)*100</f>
        <v>0</v>
      </c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</row>
    <row r="9" spans="1:215" s="2" customFormat="1" ht="19.5" thickBot="1">
      <c r="A9" s="43">
        <v>3</v>
      </c>
      <c r="B9" s="512">
        <f>'REGISTRO DATOS'!C15</f>
        <v>0</v>
      </c>
      <c r="C9" s="512">
        <f>'REGISTRO DATOS'!D15</f>
        <v>0</v>
      </c>
      <c r="D9" s="512" t="str">
        <f>'REGISTRO DATOS'!E15</f>
        <v>EILEEN</v>
      </c>
      <c r="E9" s="701">
        <f t="shared" si="0"/>
        <v>0</v>
      </c>
      <c r="F9" s="638"/>
      <c r="G9" s="639"/>
      <c r="H9" s="555"/>
      <c r="I9" s="555"/>
      <c r="J9" s="555"/>
      <c r="K9" s="702">
        <f t="shared" si="1"/>
        <v>0</v>
      </c>
      <c r="L9" s="703">
        <f t="shared" si="3"/>
        <v>0</v>
      </c>
      <c r="M9" s="704">
        <f t="shared" si="4"/>
        <v>0</v>
      </c>
      <c r="N9" s="729"/>
      <c r="O9" s="638"/>
      <c r="P9" s="638"/>
      <c r="Q9" s="638"/>
      <c r="R9" s="639"/>
      <c r="S9" s="639"/>
      <c r="T9" s="555"/>
      <c r="U9" s="705">
        <f t="shared" si="2"/>
        <v>0</v>
      </c>
      <c r="V9" s="703">
        <f t="shared" si="5"/>
        <v>0</v>
      </c>
      <c r="W9" s="704">
        <f t="shared" si="6"/>
        <v>0</v>
      </c>
      <c r="X9" s="729"/>
      <c r="Y9" s="555"/>
      <c r="Z9" s="555"/>
      <c r="AA9" s="555"/>
      <c r="AB9" s="555"/>
      <c r="AC9" s="555"/>
      <c r="AD9" s="706">
        <f t="shared" si="7"/>
        <v>0</v>
      </c>
      <c r="AE9" s="703">
        <f t="shared" si="8"/>
        <v>0</v>
      </c>
      <c r="AF9" s="704">
        <f t="shared" si="9"/>
        <v>0</v>
      </c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</row>
    <row r="10" spans="1:215" s="2" customFormat="1" ht="19.5" thickBot="1">
      <c r="A10" s="43">
        <v>4</v>
      </c>
      <c r="B10" s="512">
        <f>'REGISTRO DATOS'!C16</f>
        <v>0</v>
      </c>
      <c r="C10" s="512">
        <f>'REGISTRO DATOS'!D16</f>
        <v>0</v>
      </c>
      <c r="D10" s="512" t="str">
        <f>'REGISTRO DATOS'!E16</f>
        <v>CINDEL</v>
      </c>
      <c r="E10" s="701">
        <f t="shared" si="0"/>
        <v>0</v>
      </c>
      <c r="F10" s="638"/>
      <c r="G10" s="639"/>
      <c r="H10" s="555"/>
      <c r="I10" s="555"/>
      <c r="J10" s="555"/>
      <c r="K10" s="702">
        <f t="shared" si="1"/>
        <v>0</v>
      </c>
      <c r="L10" s="703">
        <f t="shared" si="3"/>
        <v>0</v>
      </c>
      <c r="M10" s="704">
        <f t="shared" si="4"/>
        <v>0</v>
      </c>
      <c r="N10" s="728"/>
      <c r="O10" s="638"/>
      <c r="P10" s="638"/>
      <c r="Q10" s="638"/>
      <c r="R10" s="639"/>
      <c r="S10" s="639"/>
      <c r="T10" s="555"/>
      <c r="U10" s="705">
        <f t="shared" si="2"/>
        <v>0</v>
      </c>
      <c r="V10" s="703">
        <f t="shared" si="5"/>
        <v>0</v>
      </c>
      <c r="W10" s="704">
        <f t="shared" si="6"/>
        <v>0</v>
      </c>
      <c r="X10" s="728"/>
      <c r="Y10" s="555"/>
      <c r="Z10" s="555"/>
      <c r="AA10" s="555"/>
      <c r="AB10" s="555"/>
      <c r="AC10" s="555"/>
      <c r="AD10" s="706">
        <f t="shared" si="7"/>
        <v>0</v>
      </c>
      <c r="AE10" s="703">
        <f t="shared" si="8"/>
        <v>0</v>
      </c>
      <c r="AF10" s="704">
        <f t="shared" si="9"/>
        <v>0</v>
      </c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</row>
    <row r="11" spans="1:215" s="2" customFormat="1" ht="19.5" thickBot="1">
      <c r="A11" s="43">
        <v>5</v>
      </c>
      <c r="B11" s="512">
        <f>'REGISTRO DATOS'!C17</f>
        <v>0</v>
      </c>
      <c r="C11" s="512">
        <f>'REGISTRO DATOS'!D17</f>
        <v>0</v>
      </c>
      <c r="D11" s="512" t="str">
        <f>'REGISTRO DATOS'!E17</f>
        <v>NANCY</v>
      </c>
      <c r="E11" s="701">
        <f t="shared" si="0"/>
        <v>0</v>
      </c>
      <c r="F11" s="638"/>
      <c r="G11" s="639"/>
      <c r="H11" s="555"/>
      <c r="I11" s="555"/>
      <c r="J11" s="555"/>
      <c r="K11" s="702">
        <f t="shared" si="1"/>
        <v>0</v>
      </c>
      <c r="L11" s="703">
        <f t="shared" si="3"/>
        <v>0</v>
      </c>
      <c r="M11" s="704">
        <f t="shared" si="4"/>
        <v>0</v>
      </c>
      <c r="N11" s="728"/>
      <c r="O11" s="638"/>
      <c r="P11" s="638"/>
      <c r="Q11" s="638"/>
      <c r="R11" s="639"/>
      <c r="S11" s="639"/>
      <c r="T11" s="555"/>
      <c r="U11" s="705">
        <f t="shared" si="2"/>
        <v>0</v>
      </c>
      <c r="V11" s="703">
        <f t="shared" si="5"/>
        <v>0</v>
      </c>
      <c r="W11" s="704">
        <f t="shared" si="6"/>
        <v>0</v>
      </c>
      <c r="X11" s="728"/>
      <c r="Y11" s="555"/>
      <c r="Z11" s="555"/>
      <c r="AA11" s="555"/>
      <c r="AB11" s="555"/>
      <c r="AC11" s="555"/>
      <c r="AD11" s="706">
        <f t="shared" si="7"/>
        <v>0</v>
      </c>
      <c r="AE11" s="703">
        <f t="shared" si="8"/>
        <v>0</v>
      </c>
      <c r="AF11" s="704">
        <f t="shared" si="9"/>
        <v>0</v>
      </c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</row>
    <row r="12" spans="1:215" s="2" customFormat="1" ht="19.5" thickBot="1">
      <c r="A12" s="43">
        <v>6</v>
      </c>
      <c r="B12" s="512">
        <f>'REGISTRO DATOS'!C18</f>
        <v>0</v>
      </c>
      <c r="C12" s="512">
        <f>'REGISTRO DATOS'!D18</f>
        <v>0</v>
      </c>
      <c r="D12" s="512" t="str">
        <f>'REGISTRO DATOS'!E18</f>
        <v>MARIANA</v>
      </c>
      <c r="E12" s="701">
        <f t="shared" si="0"/>
        <v>0</v>
      </c>
      <c r="F12" s="638"/>
      <c r="G12" s="639"/>
      <c r="H12" s="555"/>
      <c r="I12" s="555"/>
      <c r="J12" s="555"/>
      <c r="K12" s="702">
        <f t="shared" si="1"/>
        <v>0</v>
      </c>
      <c r="L12" s="703">
        <f t="shared" si="3"/>
        <v>0</v>
      </c>
      <c r="M12" s="704">
        <f t="shared" si="4"/>
        <v>0</v>
      </c>
      <c r="N12" s="728"/>
      <c r="O12" s="638"/>
      <c r="P12" s="638"/>
      <c r="Q12" s="638"/>
      <c r="R12" s="639"/>
      <c r="S12" s="639"/>
      <c r="T12" s="555"/>
      <c r="U12" s="705">
        <f t="shared" si="2"/>
        <v>0</v>
      </c>
      <c r="V12" s="703">
        <f t="shared" si="5"/>
        <v>0</v>
      </c>
      <c r="W12" s="704">
        <f t="shared" si="6"/>
        <v>0</v>
      </c>
      <c r="X12" s="728"/>
      <c r="Y12" s="555"/>
      <c r="Z12" s="555"/>
      <c r="AA12" s="555"/>
      <c r="AB12" s="555"/>
      <c r="AC12" s="555"/>
      <c r="AD12" s="706">
        <f t="shared" si="7"/>
        <v>0</v>
      </c>
      <c r="AE12" s="703">
        <f t="shared" si="8"/>
        <v>0</v>
      </c>
      <c r="AF12" s="704">
        <f t="shared" si="9"/>
        <v>0</v>
      </c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</row>
    <row r="13" spans="1:215" s="2" customFormat="1" ht="19.5" thickBot="1">
      <c r="A13" s="43">
        <v>7</v>
      </c>
      <c r="B13" s="512" t="str">
        <f>'REGISTRO DATOS'!C19</f>
        <v xml:space="preserve">GONZALEZ </v>
      </c>
      <c r="C13" s="512" t="str">
        <f>'REGISTRO DATOS'!D19</f>
        <v>CHAVARRIA</v>
      </c>
      <c r="D13" s="512" t="str">
        <f>'REGISTRO DATOS'!E19</f>
        <v>STEPHANIE</v>
      </c>
      <c r="E13" s="701">
        <f t="shared" si="0"/>
        <v>0</v>
      </c>
      <c r="F13" s="638"/>
      <c r="G13" s="639"/>
      <c r="H13" s="555"/>
      <c r="I13" s="555"/>
      <c r="J13" s="555"/>
      <c r="K13" s="702">
        <f t="shared" si="1"/>
        <v>0</v>
      </c>
      <c r="L13" s="703">
        <f t="shared" si="3"/>
        <v>0</v>
      </c>
      <c r="M13" s="704">
        <f t="shared" si="4"/>
        <v>0</v>
      </c>
      <c r="N13" s="728"/>
      <c r="O13" s="638"/>
      <c r="P13" s="638"/>
      <c r="Q13" s="638"/>
      <c r="R13" s="639"/>
      <c r="S13" s="639"/>
      <c r="T13" s="555"/>
      <c r="U13" s="705">
        <f t="shared" si="2"/>
        <v>0</v>
      </c>
      <c r="V13" s="703">
        <f t="shared" si="5"/>
        <v>0</v>
      </c>
      <c r="W13" s="704">
        <f t="shared" si="6"/>
        <v>0</v>
      </c>
      <c r="X13" s="728"/>
      <c r="Y13" s="555"/>
      <c r="Z13" s="555"/>
      <c r="AA13" s="555"/>
      <c r="AB13" s="555"/>
      <c r="AC13" s="555"/>
      <c r="AD13" s="706">
        <f t="shared" si="7"/>
        <v>0</v>
      </c>
      <c r="AE13" s="703">
        <f t="shared" si="8"/>
        <v>0</v>
      </c>
      <c r="AF13" s="704">
        <f t="shared" si="9"/>
        <v>0</v>
      </c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</row>
    <row r="14" spans="1:215" s="2" customFormat="1" ht="19.5" thickBot="1">
      <c r="A14" s="43">
        <v>8</v>
      </c>
      <c r="B14" s="512">
        <f>'REGISTRO DATOS'!C20</f>
        <v>0</v>
      </c>
      <c r="C14" s="512">
        <f>'REGISTRO DATOS'!D20</f>
        <v>0</v>
      </c>
      <c r="D14" s="512" t="str">
        <f>'REGISTRO DATOS'!E20</f>
        <v>YASCINI</v>
      </c>
      <c r="E14" s="701">
        <f t="shared" si="0"/>
        <v>0</v>
      </c>
      <c r="F14" s="638"/>
      <c r="G14" s="639"/>
      <c r="H14" s="555"/>
      <c r="I14" s="555"/>
      <c r="J14" s="555"/>
      <c r="K14" s="702">
        <f t="shared" si="1"/>
        <v>0</v>
      </c>
      <c r="L14" s="703">
        <f t="shared" si="3"/>
        <v>0</v>
      </c>
      <c r="M14" s="704">
        <f t="shared" si="4"/>
        <v>0</v>
      </c>
      <c r="N14" s="728"/>
      <c r="O14" s="638"/>
      <c r="P14" s="638"/>
      <c r="Q14" s="638"/>
      <c r="R14" s="639"/>
      <c r="S14" s="639"/>
      <c r="T14" s="555"/>
      <c r="U14" s="705">
        <f t="shared" si="2"/>
        <v>0</v>
      </c>
      <c r="V14" s="703">
        <f t="shared" si="5"/>
        <v>0</v>
      </c>
      <c r="W14" s="704">
        <f t="shared" si="6"/>
        <v>0</v>
      </c>
      <c r="X14" s="728"/>
      <c r="Y14" s="555"/>
      <c r="Z14" s="555"/>
      <c r="AA14" s="555"/>
      <c r="AB14" s="555"/>
      <c r="AC14" s="555"/>
      <c r="AD14" s="706">
        <f t="shared" si="7"/>
        <v>0</v>
      </c>
      <c r="AE14" s="703">
        <f t="shared" si="8"/>
        <v>0</v>
      </c>
      <c r="AF14" s="704">
        <f t="shared" si="9"/>
        <v>0</v>
      </c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</row>
    <row r="15" spans="1:215" s="2" customFormat="1" ht="19.5" thickBot="1">
      <c r="A15" s="43">
        <v>9</v>
      </c>
      <c r="B15" s="512" t="str">
        <f>'REGISTRO DATOS'!C21</f>
        <v>CUBILLO</v>
      </c>
      <c r="C15" s="512">
        <f>'REGISTRO DATOS'!D21</f>
        <v>0</v>
      </c>
      <c r="D15" s="512" t="str">
        <f>'REGISTRO DATOS'!E21</f>
        <v xml:space="preserve">DYLAN </v>
      </c>
      <c r="E15" s="701">
        <f t="shared" si="0"/>
        <v>0</v>
      </c>
      <c r="F15" s="638"/>
      <c r="G15" s="639"/>
      <c r="H15" s="555"/>
      <c r="I15" s="555"/>
      <c r="J15" s="555"/>
      <c r="K15" s="702">
        <f t="shared" si="1"/>
        <v>0</v>
      </c>
      <c r="L15" s="703">
        <f t="shared" si="3"/>
        <v>0</v>
      </c>
      <c r="M15" s="704">
        <f t="shared" si="4"/>
        <v>0</v>
      </c>
      <c r="N15" s="728"/>
      <c r="O15" s="638"/>
      <c r="P15" s="638"/>
      <c r="Q15" s="638"/>
      <c r="R15" s="639"/>
      <c r="S15" s="639"/>
      <c r="T15" s="555"/>
      <c r="U15" s="705">
        <f t="shared" si="2"/>
        <v>0</v>
      </c>
      <c r="V15" s="703">
        <f t="shared" si="5"/>
        <v>0</v>
      </c>
      <c r="W15" s="704">
        <f t="shared" si="6"/>
        <v>0</v>
      </c>
      <c r="X15" s="728"/>
      <c r="Y15" s="555"/>
      <c r="Z15" s="555"/>
      <c r="AA15" s="555"/>
      <c r="AB15" s="555"/>
      <c r="AC15" s="555"/>
      <c r="AD15" s="706">
        <f t="shared" si="7"/>
        <v>0</v>
      </c>
      <c r="AE15" s="703">
        <f t="shared" si="8"/>
        <v>0</v>
      </c>
      <c r="AF15" s="704">
        <f t="shared" si="9"/>
        <v>0</v>
      </c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</row>
    <row r="16" spans="1:215" s="2" customFormat="1" ht="19.5" thickBot="1">
      <c r="A16" s="43">
        <v>10</v>
      </c>
      <c r="B16" s="512">
        <f>'REGISTRO DATOS'!C22</f>
        <v>0</v>
      </c>
      <c r="C16" s="512">
        <f>'REGISTRO DATOS'!D22</f>
        <v>0</v>
      </c>
      <c r="D16" s="512" t="str">
        <f>'REGISTRO DATOS'!E22</f>
        <v>KATTYA</v>
      </c>
      <c r="E16" s="701">
        <f t="shared" si="0"/>
        <v>0</v>
      </c>
      <c r="F16" s="638"/>
      <c r="G16" s="639"/>
      <c r="H16" s="555"/>
      <c r="I16" s="555"/>
      <c r="J16" s="555"/>
      <c r="K16" s="702">
        <f t="shared" si="1"/>
        <v>0</v>
      </c>
      <c r="L16" s="703">
        <f t="shared" si="3"/>
        <v>0</v>
      </c>
      <c r="M16" s="704">
        <f t="shared" si="4"/>
        <v>0</v>
      </c>
      <c r="N16" s="728"/>
      <c r="O16" s="638"/>
      <c r="P16" s="638"/>
      <c r="Q16" s="638"/>
      <c r="R16" s="639"/>
      <c r="S16" s="639"/>
      <c r="T16" s="555"/>
      <c r="U16" s="705">
        <f t="shared" si="2"/>
        <v>0</v>
      </c>
      <c r="V16" s="703">
        <f t="shared" si="5"/>
        <v>0</v>
      </c>
      <c r="W16" s="704">
        <f t="shared" si="6"/>
        <v>0</v>
      </c>
      <c r="X16" s="728"/>
      <c r="Y16" s="555"/>
      <c r="Z16" s="555"/>
      <c r="AA16" s="555"/>
      <c r="AB16" s="555"/>
      <c r="AC16" s="555"/>
      <c r="AD16" s="706">
        <f t="shared" si="7"/>
        <v>0</v>
      </c>
      <c r="AE16" s="703">
        <f t="shared" si="8"/>
        <v>0</v>
      </c>
      <c r="AF16" s="704">
        <f t="shared" si="9"/>
        <v>0</v>
      </c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</row>
    <row r="17" spans="1:215" s="2" customFormat="1" ht="19.5" thickBot="1">
      <c r="A17" s="43">
        <v>11</v>
      </c>
      <c r="B17" s="512" t="str">
        <f>'REGISTRO DATOS'!C23</f>
        <v>BRIZUELA</v>
      </c>
      <c r="C17" s="512">
        <f>'REGISTRO DATOS'!D23</f>
        <v>0</v>
      </c>
      <c r="D17" s="512" t="str">
        <f>'REGISTRO DATOS'!E23</f>
        <v>FABIOLA</v>
      </c>
      <c r="E17" s="701">
        <f t="shared" si="0"/>
        <v>0</v>
      </c>
      <c r="F17" s="638"/>
      <c r="G17" s="639"/>
      <c r="H17" s="555"/>
      <c r="I17" s="555"/>
      <c r="J17" s="555"/>
      <c r="K17" s="702">
        <f t="shared" si="1"/>
        <v>0</v>
      </c>
      <c r="L17" s="703">
        <f t="shared" si="3"/>
        <v>0</v>
      </c>
      <c r="M17" s="704">
        <f t="shared" si="4"/>
        <v>0</v>
      </c>
      <c r="N17" s="728"/>
      <c r="O17" s="638"/>
      <c r="P17" s="638"/>
      <c r="Q17" s="638"/>
      <c r="R17" s="639"/>
      <c r="S17" s="639"/>
      <c r="T17" s="555"/>
      <c r="U17" s="705">
        <f t="shared" si="2"/>
        <v>0</v>
      </c>
      <c r="V17" s="703">
        <f t="shared" si="5"/>
        <v>0</v>
      </c>
      <c r="W17" s="704">
        <f t="shared" si="6"/>
        <v>0</v>
      </c>
      <c r="X17" s="728"/>
      <c r="Y17" s="555"/>
      <c r="Z17" s="555"/>
      <c r="AA17" s="555"/>
      <c r="AB17" s="555"/>
      <c r="AC17" s="555"/>
      <c r="AD17" s="706">
        <f t="shared" si="7"/>
        <v>0</v>
      </c>
      <c r="AE17" s="703">
        <f t="shared" si="8"/>
        <v>0</v>
      </c>
      <c r="AF17" s="704">
        <f t="shared" si="9"/>
        <v>0</v>
      </c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</row>
    <row r="18" spans="1:215" s="2" customFormat="1" ht="19.5" thickBot="1">
      <c r="A18" s="43">
        <v>12</v>
      </c>
      <c r="B18" s="512">
        <f>'REGISTRO DATOS'!C24</f>
        <v>0</v>
      </c>
      <c r="C18" s="512">
        <f>'REGISTRO DATOS'!D24</f>
        <v>0</v>
      </c>
      <c r="D18" s="512" t="str">
        <f>'REGISTRO DATOS'!E24</f>
        <v>DARIANA</v>
      </c>
      <c r="E18" s="701">
        <f t="shared" si="0"/>
        <v>0</v>
      </c>
      <c r="F18" s="638"/>
      <c r="G18" s="639"/>
      <c r="H18" s="555"/>
      <c r="I18" s="555"/>
      <c r="J18" s="555"/>
      <c r="K18" s="702">
        <f t="shared" si="1"/>
        <v>0</v>
      </c>
      <c r="L18" s="703">
        <f t="shared" si="3"/>
        <v>0</v>
      </c>
      <c r="M18" s="704">
        <f t="shared" si="4"/>
        <v>0</v>
      </c>
      <c r="N18" s="728"/>
      <c r="O18" s="638"/>
      <c r="P18" s="638"/>
      <c r="Q18" s="638"/>
      <c r="R18" s="639"/>
      <c r="S18" s="639"/>
      <c r="T18" s="555"/>
      <c r="U18" s="705">
        <f t="shared" si="2"/>
        <v>0</v>
      </c>
      <c r="V18" s="703">
        <f t="shared" si="5"/>
        <v>0</v>
      </c>
      <c r="W18" s="704">
        <f t="shared" si="6"/>
        <v>0</v>
      </c>
      <c r="X18" s="728"/>
      <c r="Y18" s="555"/>
      <c r="Z18" s="555"/>
      <c r="AA18" s="555"/>
      <c r="AB18" s="555"/>
      <c r="AC18" s="555"/>
      <c r="AD18" s="706">
        <f t="shared" si="7"/>
        <v>0</v>
      </c>
      <c r="AE18" s="703">
        <f t="shared" si="8"/>
        <v>0</v>
      </c>
      <c r="AF18" s="704">
        <f t="shared" si="9"/>
        <v>0</v>
      </c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</row>
    <row r="19" spans="1:215" s="2" customFormat="1" ht="19.5" thickBot="1">
      <c r="A19" s="43">
        <v>13</v>
      </c>
      <c r="B19" s="512">
        <f>'REGISTRO DATOS'!C25</f>
        <v>0</v>
      </c>
      <c r="C19" s="512">
        <f>'REGISTRO DATOS'!D25</f>
        <v>0</v>
      </c>
      <c r="D19" s="512" t="str">
        <f>'REGISTRO DATOS'!E25</f>
        <v>JENIFER</v>
      </c>
      <c r="E19" s="701">
        <f t="shared" si="0"/>
        <v>0</v>
      </c>
      <c r="F19" s="638"/>
      <c r="G19" s="639"/>
      <c r="H19" s="555"/>
      <c r="I19" s="555"/>
      <c r="J19" s="555"/>
      <c r="K19" s="702">
        <f t="shared" si="1"/>
        <v>0</v>
      </c>
      <c r="L19" s="703">
        <f t="shared" si="3"/>
        <v>0</v>
      </c>
      <c r="M19" s="704">
        <f t="shared" si="4"/>
        <v>0</v>
      </c>
      <c r="N19" s="728"/>
      <c r="O19" s="638"/>
      <c r="P19" s="638"/>
      <c r="Q19" s="638"/>
      <c r="R19" s="639"/>
      <c r="S19" s="639"/>
      <c r="T19" s="555"/>
      <c r="U19" s="705">
        <f t="shared" si="2"/>
        <v>0</v>
      </c>
      <c r="V19" s="703">
        <f t="shared" si="5"/>
        <v>0</v>
      </c>
      <c r="W19" s="704">
        <f t="shared" si="6"/>
        <v>0</v>
      </c>
      <c r="X19" s="728"/>
      <c r="Y19" s="555"/>
      <c r="Z19" s="555"/>
      <c r="AA19" s="555"/>
      <c r="AB19" s="555"/>
      <c r="AC19" s="555"/>
      <c r="AD19" s="706">
        <f t="shared" si="7"/>
        <v>0</v>
      </c>
      <c r="AE19" s="703">
        <f t="shared" si="8"/>
        <v>0</v>
      </c>
      <c r="AF19" s="704">
        <f t="shared" si="9"/>
        <v>0</v>
      </c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</row>
    <row r="20" spans="1:215" s="2" customFormat="1" ht="19.5" thickBot="1">
      <c r="A20" s="43">
        <v>14</v>
      </c>
      <c r="B20" s="512">
        <f>'REGISTRO DATOS'!C26</f>
        <v>0</v>
      </c>
      <c r="C20" s="512">
        <f>'REGISTRO DATOS'!D26</f>
        <v>0</v>
      </c>
      <c r="D20" s="512" t="str">
        <f>'REGISTRO DATOS'!E26</f>
        <v>GABRIELA</v>
      </c>
      <c r="E20" s="701">
        <f t="shared" si="0"/>
        <v>0</v>
      </c>
      <c r="F20" s="638"/>
      <c r="G20" s="639"/>
      <c r="H20" s="555"/>
      <c r="I20" s="555"/>
      <c r="J20" s="555"/>
      <c r="K20" s="702">
        <f t="shared" si="1"/>
        <v>0</v>
      </c>
      <c r="L20" s="703">
        <f t="shared" si="3"/>
        <v>0</v>
      </c>
      <c r="M20" s="704">
        <f t="shared" si="4"/>
        <v>0</v>
      </c>
      <c r="N20" s="728"/>
      <c r="O20" s="638"/>
      <c r="P20" s="638"/>
      <c r="Q20" s="638"/>
      <c r="R20" s="639"/>
      <c r="S20" s="639"/>
      <c r="T20" s="555"/>
      <c r="U20" s="705">
        <f t="shared" si="2"/>
        <v>0</v>
      </c>
      <c r="V20" s="703">
        <f t="shared" si="5"/>
        <v>0</v>
      </c>
      <c r="W20" s="704">
        <f t="shared" si="6"/>
        <v>0</v>
      </c>
      <c r="X20" s="728"/>
      <c r="Y20" s="555"/>
      <c r="Z20" s="555"/>
      <c r="AA20" s="555"/>
      <c r="AB20" s="555"/>
      <c r="AC20" s="555"/>
      <c r="AD20" s="706">
        <f t="shared" si="7"/>
        <v>0</v>
      </c>
      <c r="AE20" s="703">
        <f t="shared" si="8"/>
        <v>0</v>
      </c>
      <c r="AF20" s="704">
        <f t="shared" si="9"/>
        <v>0</v>
      </c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</row>
    <row r="21" spans="1:215" s="2" customFormat="1" ht="19.5" thickBot="1">
      <c r="A21" s="43">
        <v>15</v>
      </c>
      <c r="B21" s="512" t="str">
        <f>'REGISTRO DATOS'!C27</f>
        <v xml:space="preserve">SERRANO </v>
      </c>
      <c r="C21" s="512" t="str">
        <f>'REGISTRO DATOS'!D27</f>
        <v>VILLEGAS</v>
      </c>
      <c r="D21" s="512" t="str">
        <f>'REGISTRO DATOS'!E27</f>
        <v xml:space="preserve">DYLAN </v>
      </c>
      <c r="E21" s="701">
        <f t="shared" si="0"/>
        <v>0</v>
      </c>
      <c r="F21" s="638"/>
      <c r="G21" s="639"/>
      <c r="H21" s="555"/>
      <c r="I21" s="555"/>
      <c r="J21" s="555"/>
      <c r="K21" s="702">
        <f t="shared" si="1"/>
        <v>0</v>
      </c>
      <c r="L21" s="703">
        <f t="shared" si="3"/>
        <v>0</v>
      </c>
      <c r="M21" s="704">
        <f t="shared" si="4"/>
        <v>0</v>
      </c>
      <c r="N21" s="728"/>
      <c r="O21" s="638"/>
      <c r="P21" s="638"/>
      <c r="Q21" s="638"/>
      <c r="R21" s="639"/>
      <c r="S21" s="639"/>
      <c r="T21" s="555"/>
      <c r="U21" s="705">
        <f t="shared" si="2"/>
        <v>0</v>
      </c>
      <c r="V21" s="703">
        <f t="shared" si="5"/>
        <v>0</v>
      </c>
      <c r="W21" s="704">
        <f t="shared" si="6"/>
        <v>0</v>
      </c>
      <c r="X21" s="728"/>
      <c r="Y21" s="555"/>
      <c r="Z21" s="555"/>
      <c r="AA21" s="555"/>
      <c r="AB21" s="555"/>
      <c r="AC21" s="555"/>
      <c r="AD21" s="706">
        <f t="shared" si="7"/>
        <v>0</v>
      </c>
      <c r="AE21" s="703">
        <f t="shared" si="8"/>
        <v>0</v>
      </c>
      <c r="AF21" s="704">
        <f t="shared" si="9"/>
        <v>0</v>
      </c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</row>
    <row r="22" spans="1:215" s="2" customFormat="1" ht="19.5" thickBot="1">
      <c r="A22" s="43">
        <v>16</v>
      </c>
      <c r="B22" s="512">
        <f>'REGISTRO DATOS'!C28</f>
        <v>0</v>
      </c>
      <c r="C22" s="512">
        <f>'REGISTRO DATOS'!D28</f>
        <v>0</v>
      </c>
      <c r="D22" s="512" t="str">
        <f>'REGISTRO DATOS'!E28</f>
        <v>ANA</v>
      </c>
      <c r="E22" s="701">
        <f t="shared" si="0"/>
        <v>0</v>
      </c>
      <c r="F22" s="638"/>
      <c r="G22" s="639"/>
      <c r="H22" s="555"/>
      <c r="I22" s="555"/>
      <c r="J22" s="555"/>
      <c r="K22" s="702">
        <f t="shared" si="1"/>
        <v>0</v>
      </c>
      <c r="L22" s="703">
        <f t="shared" si="3"/>
        <v>0</v>
      </c>
      <c r="M22" s="704">
        <f t="shared" si="4"/>
        <v>0</v>
      </c>
      <c r="N22" s="728"/>
      <c r="O22" s="638"/>
      <c r="P22" s="638"/>
      <c r="Q22" s="638"/>
      <c r="R22" s="639"/>
      <c r="S22" s="639"/>
      <c r="T22" s="555"/>
      <c r="U22" s="705">
        <f t="shared" si="2"/>
        <v>0</v>
      </c>
      <c r="V22" s="703">
        <f t="shared" si="5"/>
        <v>0</v>
      </c>
      <c r="W22" s="704">
        <f t="shared" si="6"/>
        <v>0</v>
      </c>
      <c r="X22" s="728"/>
      <c r="Y22" s="555"/>
      <c r="Z22" s="555"/>
      <c r="AA22" s="555"/>
      <c r="AB22" s="555"/>
      <c r="AC22" s="555"/>
      <c r="AD22" s="706">
        <f t="shared" si="7"/>
        <v>0</v>
      </c>
      <c r="AE22" s="703">
        <f t="shared" si="8"/>
        <v>0</v>
      </c>
      <c r="AF22" s="704">
        <f t="shared" si="9"/>
        <v>0</v>
      </c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</row>
    <row r="23" spans="1:215" s="2" customFormat="1" ht="19.5" thickBot="1">
      <c r="A23" s="43">
        <v>17</v>
      </c>
      <c r="B23" s="512" t="str">
        <f>'REGISTRO DATOS'!C29</f>
        <v>QUIROS</v>
      </c>
      <c r="C23" s="512">
        <f>'REGISTRO DATOS'!D29</f>
        <v>0</v>
      </c>
      <c r="D23" s="512" t="str">
        <f>'REGISTRO DATOS'!E29</f>
        <v>ANDY</v>
      </c>
      <c r="E23" s="701">
        <f t="shared" si="0"/>
        <v>0</v>
      </c>
      <c r="F23" s="638"/>
      <c r="G23" s="639"/>
      <c r="H23" s="555"/>
      <c r="I23" s="555"/>
      <c r="J23" s="555"/>
      <c r="K23" s="702">
        <f t="shared" si="1"/>
        <v>0</v>
      </c>
      <c r="L23" s="703">
        <f t="shared" si="3"/>
        <v>0</v>
      </c>
      <c r="M23" s="704">
        <f t="shared" si="4"/>
        <v>0</v>
      </c>
      <c r="N23" s="728"/>
      <c r="O23" s="638"/>
      <c r="P23" s="638"/>
      <c r="Q23" s="638"/>
      <c r="R23" s="639"/>
      <c r="S23" s="639"/>
      <c r="T23" s="555"/>
      <c r="U23" s="705">
        <f t="shared" si="2"/>
        <v>0</v>
      </c>
      <c r="V23" s="703">
        <f t="shared" si="5"/>
        <v>0</v>
      </c>
      <c r="W23" s="704">
        <f t="shared" si="6"/>
        <v>0</v>
      </c>
      <c r="X23" s="728"/>
      <c r="Y23" s="555"/>
      <c r="Z23" s="555"/>
      <c r="AA23" s="555"/>
      <c r="AB23" s="555"/>
      <c r="AC23" s="555"/>
      <c r="AD23" s="706">
        <f t="shared" si="7"/>
        <v>0</v>
      </c>
      <c r="AE23" s="703">
        <f t="shared" si="8"/>
        <v>0</v>
      </c>
      <c r="AF23" s="704">
        <f t="shared" si="9"/>
        <v>0</v>
      </c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</row>
    <row r="24" spans="1:215" s="2" customFormat="1" ht="19.5" thickBot="1">
      <c r="A24" s="43">
        <v>18</v>
      </c>
      <c r="B24" s="512" t="str">
        <f>'REGISTRO DATOS'!C30</f>
        <v>RIVER</v>
      </c>
      <c r="C24" s="512">
        <f>'REGISTRO DATOS'!D30</f>
        <v>0</v>
      </c>
      <c r="D24" s="512" t="str">
        <f>'REGISTRO DATOS'!E30</f>
        <v>STEPHANIE</v>
      </c>
      <c r="E24" s="701">
        <f t="shared" si="0"/>
        <v>0</v>
      </c>
      <c r="F24" s="638"/>
      <c r="G24" s="639"/>
      <c r="H24" s="555"/>
      <c r="I24" s="555"/>
      <c r="J24" s="555"/>
      <c r="K24" s="702">
        <f t="shared" si="1"/>
        <v>0</v>
      </c>
      <c r="L24" s="703">
        <f t="shared" si="3"/>
        <v>0</v>
      </c>
      <c r="M24" s="704">
        <f t="shared" si="4"/>
        <v>0</v>
      </c>
      <c r="N24" s="728"/>
      <c r="O24" s="638"/>
      <c r="P24" s="638"/>
      <c r="Q24" s="638"/>
      <c r="R24" s="639"/>
      <c r="S24" s="639"/>
      <c r="T24" s="555"/>
      <c r="U24" s="705">
        <f t="shared" si="2"/>
        <v>0</v>
      </c>
      <c r="V24" s="703">
        <f t="shared" si="5"/>
        <v>0</v>
      </c>
      <c r="W24" s="704">
        <f t="shared" si="6"/>
        <v>0</v>
      </c>
      <c r="X24" s="728"/>
      <c r="Y24" s="555"/>
      <c r="Z24" s="555"/>
      <c r="AA24" s="555"/>
      <c r="AB24" s="555"/>
      <c r="AC24" s="555"/>
      <c r="AD24" s="706">
        <f t="shared" si="7"/>
        <v>0</v>
      </c>
      <c r="AE24" s="703">
        <f t="shared" si="8"/>
        <v>0</v>
      </c>
      <c r="AF24" s="704">
        <f t="shared" si="9"/>
        <v>0</v>
      </c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</row>
    <row r="25" spans="1:215" s="2" customFormat="1" ht="19.5" thickBot="1">
      <c r="A25" s="43">
        <v>19</v>
      </c>
      <c r="B25" s="512">
        <f>'REGISTRO DATOS'!C31</f>
        <v>0</v>
      </c>
      <c r="C25" s="512" t="str">
        <f>'REGISTRO DATOS'!D31</f>
        <v>FABIAN</v>
      </c>
      <c r="D25" s="512">
        <f>'REGISTRO DATOS'!E31</f>
        <v>0</v>
      </c>
      <c r="E25" s="701">
        <f t="shared" si="0"/>
        <v>0</v>
      </c>
      <c r="F25" s="638"/>
      <c r="G25" s="639"/>
      <c r="H25" s="555"/>
      <c r="I25" s="555"/>
      <c r="J25" s="555"/>
      <c r="K25" s="702">
        <f t="shared" si="1"/>
        <v>0</v>
      </c>
      <c r="L25" s="703">
        <f t="shared" si="3"/>
        <v>0</v>
      </c>
      <c r="M25" s="704">
        <f t="shared" si="4"/>
        <v>0</v>
      </c>
      <c r="N25" s="728"/>
      <c r="O25" s="638"/>
      <c r="P25" s="638"/>
      <c r="Q25" s="638"/>
      <c r="R25" s="639"/>
      <c r="S25" s="639"/>
      <c r="T25" s="555"/>
      <c r="U25" s="705">
        <f t="shared" si="2"/>
        <v>0</v>
      </c>
      <c r="V25" s="703">
        <f t="shared" si="5"/>
        <v>0</v>
      </c>
      <c r="W25" s="704">
        <f t="shared" si="6"/>
        <v>0</v>
      </c>
      <c r="X25" s="728"/>
      <c r="Y25" s="555"/>
      <c r="Z25" s="555"/>
      <c r="AA25" s="555"/>
      <c r="AB25" s="555"/>
      <c r="AC25" s="555"/>
      <c r="AD25" s="706">
        <f t="shared" si="7"/>
        <v>0</v>
      </c>
      <c r="AE25" s="703">
        <f t="shared" si="8"/>
        <v>0</v>
      </c>
      <c r="AF25" s="704">
        <f t="shared" si="9"/>
        <v>0</v>
      </c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</row>
    <row r="26" spans="1:215" s="2" customFormat="1" ht="19.5" thickBot="1">
      <c r="A26" s="43">
        <v>20</v>
      </c>
      <c r="B26" s="512">
        <f>'REGISTRO DATOS'!C32</f>
        <v>0</v>
      </c>
      <c r="C26" s="512" t="str">
        <f>'REGISTRO DATOS'!D32</f>
        <v>EMILIN</v>
      </c>
      <c r="D26" s="512">
        <f>'REGISTRO DATOS'!E32</f>
        <v>0</v>
      </c>
      <c r="E26" s="701">
        <f t="shared" si="0"/>
        <v>0</v>
      </c>
      <c r="F26" s="638"/>
      <c r="G26" s="639"/>
      <c r="H26" s="555"/>
      <c r="I26" s="555"/>
      <c r="J26" s="555"/>
      <c r="K26" s="702">
        <f t="shared" si="1"/>
        <v>0</v>
      </c>
      <c r="L26" s="703">
        <f t="shared" si="3"/>
        <v>0</v>
      </c>
      <c r="M26" s="704">
        <f t="shared" si="4"/>
        <v>0</v>
      </c>
      <c r="N26" s="728"/>
      <c r="O26" s="638"/>
      <c r="P26" s="638"/>
      <c r="Q26" s="638"/>
      <c r="R26" s="639"/>
      <c r="S26" s="639"/>
      <c r="T26" s="555"/>
      <c r="U26" s="705">
        <f t="shared" si="2"/>
        <v>0</v>
      </c>
      <c r="V26" s="703">
        <f t="shared" si="5"/>
        <v>0</v>
      </c>
      <c r="W26" s="704">
        <f t="shared" si="6"/>
        <v>0</v>
      </c>
      <c r="X26" s="728"/>
      <c r="Y26" s="555"/>
      <c r="Z26" s="555"/>
      <c r="AA26" s="555"/>
      <c r="AB26" s="555"/>
      <c r="AC26" s="555"/>
      <c r="AD26" s="706">
        <f t="shared" si="7"/>
        <v>0</v>
      </c>
      <c r="AE26" s="703">
        <f t="shared" si="8"/>
        <v>0</v>
      </c>
      <c r="AF26" s="704">
        <f t="shared" si="9"/>
        <v>0</v>
      </c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</row>
    <row r="27" spans="1:215" s="2" customFormat="1" ht="19.5" thickBot="1">
      <c r="A27" s="43">
        <v>21</v>
      </c>
      <c r="B27" s="512">
        <f>'REGISTRO DATOS'!C33</f>
        <v>0</v>
      </c>
      <c r="C27" s="512">
        <f>'REGISTRO DATOS'!D33</f>
        <v>0</v>
      </c>
      <c r="D27" s="512">
        <f>'REGISTRO DATOS'!E33</f>
        <v>0</v>
      </c>
      <c r="E27" s="701">
        <f t="shared" si="0"/>
        <v>0</v>
      </c>
      <c r="F27" s="638"/>
      <c r="G27" s="639"/>
      <c r="H27" s="555"/>
      <c r="I27" s="555"/>
      <c r="J27" s="555"/>
      <c r="K27" s="702">
        <f t="shared" si="1"/>
        <v>0</v>
      </c>
      <c r="L27" s="703">
        <f t="shared" si="3"/>
        <v>0</v>
      </c>
      <c r="M27" s="704">
        <f t="shared" si="4"/>
        <v>0</v>
      </c>
      <c r="N27" s="728"/>
      <c r="O27" s="638"/>
      <c r="P27" s="638"/>
      <c r="Q27" s="638"/>
      <c r="R27" s="639"/>
      <c r="S27" s="639"/>
      <c r="T27" s="555"/>
      <c r="U27" s="705">
        <f t="shared" si="2"/>
        <v>0</v>
      </c>
      <c r="V27" s="703">
        <f t="shared" si="5"/>
        <v>0</v>
      </c>
      <c r="W27" s="704">
        <f t="shared" si="6"/>
        <v>0</v>
      </c>
      <c r="X27" s="728"/>
      <c r="Y27" s="555"/>
      <c r="Z27" s="555"/>
      <c r="AA27" s="555"/>
      <c r="AB27" s="555"/>
      <c r="AC27" s="555"/>
      <c r="AD27" s="706">
        <f t="shared" si="7"/>
        <v>0</v>
      </c>
      <c r="AE27" s="703">
        <f t="shared" si="8"/>
        <v>0</v>
      </c>
      <c r="AF27" s="704">
        <f t="shared" si="9"/>
        <v>0</v>
      </c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</row>
    <row r="28" spans="1:215" s="2" customFormat="1" ht="19.5" thickBot="1">
      <c r="A28" s="43">
        <v>22</v>
      </c>
      <c r="B28" s="512">
        <f>'REGISTRO DATOS'!C34</f>
        <v>0</v>
      </c>
      <c r="C28" s="512">
        <f>'REGISTRO DATOS'!D34</f>
        <v>0</v>
      </c>
      <c r="D28" s="512">
        <f>'REGISTRO DATOS'!E34</f>
        <v>0</v>
      </c>
      <c r="E28" s="701">
        <f t="shared" si="0"/>
        <v>0</v>
      </c>
      <c r="F28" s="638"/>
      <c r="G28" s="639"/>
      <c r="H28" s="555"/>
      <c r="I28" s="555"/>
      <c r="J28" s="555"/>
      <c r="K28" s="702">
        <f t="shared" si="1"/>
        <v>0</v>
      </c>
      <c r="L28" s="703">
        <f t="shared" si="3"/>
        <v>0</v>
      </c>
      <c r="M28" s="704">
        <f t="shared" si="4"/>
        <v>0</v>
      </c>
      <c r="N28" s="728"/>
      <c r="O28" s="638"/>
      <c r="P28" s="638"/>
      <c r="Q28" s="638"/>
      <c r="R28" s="639"/>
      <c r="S28" s="639"/>
      <c r="T28" s="555"/>
      <c r="U28" s="705">
        <f t="shared" si="2"/>
        <v>0</v>
      </c>
      <c r="V28" s="703">
        <f t="shared" si="5"/>
        <v>0</v>
      </c>
      <c r="W28" s="704">
        <f t="shared" si="6"/>
        <v>0</v>
      </c>
      <c r="X28" s="728"/>
      <c r="Y28" s="555"/>
      <c r="Z28" s="555"/>
      <c r="AA28" s="555"/>
      <c r="AB28" s="555"/>
      <c r="AC28" s="555"/>
      <c r="AD28" s="706">
        <f t="shared" si="7"/>
        <v>0</v>
      </c>
      <c r="AE28" s="703">
        <f t="shared" si="8"/>
        <v>0</v>
      </c>
      <c r="AF28" s="704">
        <f t="shared" si="9"/>
        <v>0</v>
      </c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</row>
    <row r="29" spans="1:215" s="2" customFormat="1" ht="19.5" thickBot="1">
      <c r="A29" s="43">
        <v>23</v>
      </c>
      <c r="B29" s="512">
        <f>'REGISTRO DATOS'!C35</f>
        <v>0</v>
      </c>
      <c r="C29" s="512">
        <f>'REGISTRO DATOS'!D35</f>
        <v>0</v>
      </c>
      <c r="D29" s="512">
        <f>'REGISTRO DATOS'!E35</f>
        <v>0</v>
      </c>
      <c r="E29" s="701">
        <f t="shared" si="0"/>
        <v>0</v>
      </c>
      <c r="F29" s="638"/>
      <c r="G29" s="639"/>
      <c r="H29" s="555"/>
      <c r="I29" s="555"/>
      <c r="J29" s="555"/>
      <c r="K29" s="702">
        <f t="shared" si="1"/>
        <v>0</v>
      </c>
      <c r="L29" s="703">
        <f t="shared" si="3"/>
        <v>0</v>
      </c>
      <c r="M29" s="704">
        <f t="shared" si="4"/>
        <v>0</v>
      </c>
      <c r="N29" s="728"/>
      <c r="O29" s="638"/>
      <c r="P29" s="638"/>
      <c r="Q29" s="638"/>
      <c r="R29" s="639"/>
      <c r="S29" s="639"/>
      <c r="T29" s="555"/>
      <c r="U29" s="705">
        <f t="shared" si="2"/>
        <v>0</v>
      </c>
      <c r="V29" s="703">
        <f t="shared" si="5"/>
        <v>0</v>
      </c>
      <c r="W29" s="704">
        <f t="shared" si="6"/>
        <v>0</v>
      </c>
      <c r="X29" s="728"/>
      <c r="Y29" s="555"/>
      <c r="Z29" s="555"/>
      <c r="AA29" s="555"/>
      <c r="AB29" s="555"/>
      <c r="AC29" s="555"/>
      <c r="AD29" s="706">
        <f t="shared" si="7"/>
        <v>0</v>
      </c>
      <c r="AE29" s="703">
        <f t="shared" si="8"/>
        <v>0</v>
      </c>
      <c r="AF29" s="704">
        <f t="shared" si="9"/>
        <v>0</v>
      </c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</row>
    <row r="30" spans="1:215" s="2" customFormat="1" ht="19.5" thickBot="1">
      <c r="A30" s="43">
        <v>24</v>
      </c>
      <c r="B30" s="512">
        <f>'REGISTRO DATOS'!C36</f>
        <v>0</v>
      </c>
      <c r="C30" s="512">
        <f>'REGISTRO DATOS'!D36</f>
        <v>0</v>
      </c>
      <c r="D30" s="512">
        <f>'REGISTRO DATOS'!E36</f>
        <v>0</v>
      </c>
      <c r="E30" s="701">
        <f t="shared" si="0"/>
        <v>0</v>
      </c>
      <c r="F30" s="638"/>
      <c r="G30" s="639"/>
      <c r="H30" s="555"/>
      <c r="I30" s="555"/>
      <c r="J30" s="555"/>
      <c r="K30" s="702">
        <f t="shared" si="1"/>
        <v>0</v>
      </c>
      <c r="L30" s="703">
        <f t="shared" si="3"/>
        <v>0</v>
      </c>
      <c r="M30" s="704">
        <f t="shared" si="4"/>
        <v>0</v>
      </c>
      <c r="N30" s="728"/>
      <c r="O30" s="638"/>
      <c r="P30" s="638"/>
      <c r="Q30" s="638"/>
      <c r="R30" s="639"/>
      <c r="S30" s="639"/>
      <c r="T30" s="555"/>
      <c r="U30" s="705">
        <f t="shared" si="2"/>
        <v>0</v>
      </c>
      <c r="V30" s="703">
        <f t="shared" si="5"/>
        <v>0</v>
      </c>
      <c r="W30" s="704">
        <f t="shared" si="6"/>
        <v>0</v>
      </c>
      <c r="X30" s="728"/>
      <c r="Y30" s="555"/>
      <c r="Z30" s="555"/>
      <c r="AA30" s="555"/>
      <c r="AB30" s="555"/>
      <c r="AC30" s="555"/>
      <c r="AD30" s="706">
        <f t="shared" si="7"/>
        <v>0</v>
      </c>
      <c r="AE30" s="703">
        <f t="shared" si="8"/>
        <v>0</v>
      </c>
      <c r="AF30" s="704">
        <f t="shared" si="9"/>
        <v>0</v>
      </c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</row>
    <row r="31" spans="1:215" s="2" customFormat="1" ht="19.5" thickBot="1">
      <c r="A31" s="43">
        <v>25</v>
      </c>
      <c r="B31" s="512">
        <f>'REGISTRO DATOS'!C37</f>
        <v>0</v>
      </c>
      <c r="C31" s="512">
        <f>'REGISTRO DATOS'!D37</f>
        <v>0</v>
      </c>
      <c r="D31" s="512">
        <f>'REGISTRO DATOS'!E37</f>
        <v>0</v>
      </c>
      <c r="E31" s="701">
        <f t="shared" si="0"/>
        <v>0</v>
      </c>
      <c r="F31" s="638"/>
      <c r="G31" s="639"/>
      <c r="H31" s="555"/>
      <c r="I31" s="555"/>
      <c r="J31" s="555"/>
      <c r="K31" s="702">
        <f t="shared" si="1"/>
        <v>0</v>
      </c>
      <c r="L31" s="703">
        <f t="shared" si="3"/>
        <v>0</v>
      </c>
      <c r="M31" s="704">
        <f t="shared" si="4"/>
        <v>0</v>
      </c>
      <c r="N31" s="728"/>
      <c r="O31" s="638"/>
      <c r="P31" s="638"/>
      <c r="Q31" s="638"/>
      <c r="R31" s="639"/>
      <c r="S31" s="639"/>
      <c r="T31" s="555"/>
      <c r="U31" s="705">
        <f t="shared" si="2"/>
        <v>0</v>
      </c>
      <c r="V31" s="703">
        <f t="shared" si="5"/>
        <v>0</v>
      </c>
      <c r="W31" s="704">
        <f t="shared" si="6"/>
        <v>0</v>
      </c>
      <c r="X31" s="728"/>
      <c r="Y31" s="555"/>
      <c r="Z31" s="555"/>
      <c r="AA31" s="555"/>
      <c r="AB31" s="555"/>
      <c r="AC31" s="555"/>
      <c r="AD31" s="706">
        <f t="shared" si="7"/>
        <v>0</v>
      </c>
      <c r="AE31" s="703">
        <f t="shared" si="8"/>
        <v>0</v>
      </c>
      <c r="AF31" s="704">
        <f t="shared" si="9"/>
        <v>0</v>
      </c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</row>
    <row r="32" spans="1:215" s="2" customFormat="1" ht="19.5" thickBot="1">
      <c r="A32" s="43">
        <v>26</v>
      </c>
      <c r="B32" s="512">
        <f>'REGISTRO DATOS'!C38</f>
        <v>0</v>
      </c>
      <c r="C32" s="512">
        <f>'REGISTRO DATOS'!D38</f>
        <v>0</v>
      </c>
      <c r="D32" s="512">
        <f>'REGISTRO DATOS'!E38</f>
        <v>0</v>
      </c>
      <c r="E32" s="701">
        <f t="shared" si="0"/>
        <v>0</v>
      </c>
      <c r="F32" s="638"/>
      <c r="G32" s="639"/>
      <c r="H32" s="555"/>
      <c r="I32" s="555"/>
      <c r="J32" s="555"/>
      <c r="K32" s="702">
        <f t="shared" si="1"/>
        <v>0</v>
      </c>
      <c r="L32" s="703">
        <f t="shared" si="3"/>
        <v>0</v>
      </c>
      <c r="M32" s="704">
        <f t="shared" si="4"/>
        <v>0</v>
      </c>
      <c r="N32" s="728"/>
      <c r="O32" s="638"/>
      <c r="P32" s="638"/>
      <c r="Q32" s="638"/>
      <c r="R32" s="639"/>
      <c r="S32" s="639"/>
      <c r="T32" s="555"/>
      <c r="U32" s="705">
        <f t="shared" si="2"/>
        <v>0</v>
      </c>
      <c r="V32" s="703">
        <f t="shared" si="5"/>
        <v>0</v>
      </c>
      <c r="W32" s="704">
        <f t="shared" si="6"/>
        <v>0</v>
      </c>
      <c r="X32" s="728"/>
      <c r="Y32" s="555"/>
      <c r="Z32" s="555"/>
      <c r="AA32" s="555"/>
      <c r="AB32" s="555"/>
      <c r="AC32" s="555"/>
      <c r="AD32" s="706">
        <f t="shared" si="7"/>
        <v>0</v>
      </c>
      <c r="AE32" s="703">
        <f t="shared" si="8"/>
        <v>0</v>
      </c>
      <c r="AF32" s="704">
        <f t="shared" si="9"/>
        <v>0</v>
      </c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</row>
    <row r="33" spans="1:215" s="2" customFormat="1" ht="19.5" thickBot="1">
      <c r="A33" s="43">
        <v>27</v>
      </c>
      <c r="B33" s="512">
        <f>'REGISTRO DATOS'!C39</f>
        <v>0</v>
      </c>
      <c r="C33" s="512">
        <f>'REGISTRO DATOS'!D39</f>
        <v>0</v>
      </c>
      <c r="D33" s="512">
        <f>'REGISTRO DATOS'!E39</f>
        <v>0</v>
      </c>
      <c r="E33" s="701">
        <f t="shared" si="0"/>
        <v>0</v>
      </c>
      <c r="F33" s="638"/>
      <c r="G33" s="639"/>
      <c r="H33" s="555"/>
      <c r="I33" s="555"/>
      <c r="J33" s="555"/>
      <c r="K33" s="702">
        <f t="shared" si="1"/>
        <v>0</v>
      </c>
      <c r="L33" s="703">
        <f t="shared" si="3"/>
        <v>0</v>
      </c>
      <c r="M33" s="704">
        <f t="shared" si="4"/>
        <v>0</v>
      </c>
      <c r="N33" s="728"/>
      <c r="O33" s="638"/>
      <c r="P33" s="638"/>
      <c r="Q33" s="638"/>
      <c r="R33" s="639"/>
      <c r="S33" s="639"/>
      <c r="T33" s="555"/>
      <c r="U33" s="705">
        <f t="shared" si="2"/>
        <v>0</v>
      </c>
      <c r="V33" s="703">
        <f t="shared" si="5"/>
        <v>0</v>
      </c>
      <c r="W33" s="704">
        <f t="shared" si="6"/>
        <v>0</v>
      </c>
      <c r="X33" s="728"/>
      <c r="Y33" s="555"/>
      <c r="Z33" s="555"/>
      <c r="AA33" s="555"/>
      <c r="AB33" s="555"/>
      <c r="AC33" s="555"/>
      <c r="AD33" s="706">
        <f t="shared" si="7"/>
        <v>0</v>
      </c>
      <c r="AE33" s="703">
        <f t="shared" si="8"/>
        <v>0</v>
      </c>
      <c r="AF33" s="704">
        <f t="shared" si="9"/>
        <v>0</v>
      </c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</row>
    <row r="34" spans="1:215" s="2" customFormat="1" ht="19.5" thickBot="1">
      <c r="A34" s="43">
        <v>28</v>
      </c>
      <c r="B34" s="512">
        <f>'REGISTRO DATOS'!C40</f>
        <v>0</v>
      </c>
      <c r="C34" s="512">
        <f>'REGISTRO DATOS'!D40</f>
        <v>0</v>
      </c>
      <c r="D34" s="512">
        <f>'REGISTRO DATOS'!E40</f>
        <v>0</v>
      </c>
      <c r="E34" s="701">
        <f t="shared" si="0"/>
        <v>0</v>
      </c>
      <c r="F34" s="638"/>
      <c r="G34" s="639"/>
      <c r="H34" s="555"/>
      <c r="I34" s="555"/>
      <c r="J34" s="555"/>
      <c r="K34" s="702">
        <f t="shared" si="1"/>
        <v>0</v>
      </c>
      <c r="L34" s="703">
        <f t="shared" si="3"/>
        <v>0</v>
      </c>
      <c r="M34" s="704">
        <f t="shared" si="4"/>
        <v>0</v>
      </c>
      <c r="N34" s="728"/>
      <c r="O34" s="638"/>
      <c r="P34" s="638"/>
      <c r="Q34" s="638"/>
      <c r="R34" s="639"/>
      <c r="S34" s="639"/>
      <c r="T34" s="555"/>
      <c r="U34" s="705">
        <f t="shared" si="2"/>
        <v>0</v>
      </c>
      <c r="V34" s="703">
        <f t="shared" si="5"/>
        <v>0</v>
      </c>
      <c r="W34" s="704">
        <f t="shared" si="6"/>
        <v>0</v>
      </c>
      <c r="X34" s="728"/>
      <c r="Y34" s="555"/>
      <c r="Z34" s="555"/>
      <c r="AA34" s="555"/>
      <c r="AB34" s="555"/>
      <c r="AC34" s="555"/>
      <c r="AD34" s="706">
        <f t="shared" si="7"/>
        <v>0</v>
      </c>
      <c r="AE34" s="703">
        <f t="shared" si="8"/>
        <v>0</v>
      </c>
      <c r="AF34" s="704">
        <f t="shared" si="9"/>
        <v>0</v>
      </c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</row>
    <row r="35" spans="1:215" s="2" customFormat="1" ht="19.5" thickBot="1">
      <c r="A35" s="43">
        <v>29</v>
      </c>
      <c r="B35" s="512">
        <f>'REGISTRO DATOS'!C41</f>
        <v>0</v>
      </c>
      <c r="C35" s="512">
        <f>'REGISTRO DATOS'!D41</f>
        <v>0</v>
      </c>
      <c r="D35" s="512">
        <f>'REGISTRO DATOS'!E41</f>
        <v>0</v>
      </c>
      <c r="E35" s="701">
        <f t="shared" si="0"/>
        <v>0</v>
      </c>
      <c r="F35" s="638"/>
      <c r="G35" s="639"/>
      <c r="H35" s="555"/>
      <c r="I35" s="555"/>
      <c r="J35" s="555"/>
      <c r="K35" s="702">
        <f t="shared" si="1"/>
        <v>0</v>
      </c>
      <c r="L35" s="703">
        <f t="shared" si="3"/>
        <v>0</v>
      </c>
      <c r="M35" s="704">
        <f t="shared" si="4"/>
        <v>0</v>
      </c>
      <c r="N35" s="728"/>
      <c r="O35" s="638"/>
      <c r="P35" s="638"/>
      <c r="Q35" s="638"/>
      <c r="R35" s="639"/>
      <c r="S35" s="639"/>
      <c r="T35" s="555"/>
      <c r="U35" s="705">
        <f t="shared" si="2"/>
        <v>0</v>
      </c>
      <c r="V35" s="703">
        <f t="shared" si="5"/>
        <v>0</v>
      </c>
      <c r="W35" s="704">
        <f t="shared" si="6"/>
        <v>0</v>
      </c>
      <c r="X35" s="728"/>
      <c r="Y35" s="555"/>
      <c r="Z35" s="555"/>
      <c r="AA35" s="555"/>
      <c r="AB35" s="555"/>
      <c r="AC35" s="555"/>
      <c r="AD35" s="706">
        <f t="shared" si="7"/>
        <v>0</v>
      </c>
      <c r="AE35" s="703">
        <f t="shared" si="8"/>
        <v>0</v>
      </c>
      <c r="AF35" s="704">
        <f t="shared" si="9"/>
        <v>0</v>
      </c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</row>
    <row r="36" spans="1:215" s="2" customFormat="1" ht="19.5" thickBot="1">
      <c r="A36" s="43">
        <v>30</v>
      </c>
      <c r="B36" s="512">
        <f>'REGISTRO DATOS'!C42</f>
        <v>0</v>
      </c>
      <c r="C36" s="512">
        <f>'REGISTRO DATOS'!D42</f>
        <v>0</v>
      </c>
      <c r="D36" s="512">
        <f>'REGISTRO DATOS'!E42</f>
        <v>0</v>
      </c>
      <c r="E36" s="701">
        <f t="shared" si="0"/>
        <v>0</v>
      </c>
      <c r="F36" s="638"/>
      <c r="G36" s="639"/>
      <c r="H36" s="555"/>
      <c r="I36" s="555"/>
      <c r="J36" s="555"/>
      <c r="K36" s="702">
        <f t="shared" si="1"/>
        <v>0</v>
      </c>
      <c r="L36" s="703">
        <f t="shared" si="3"/>
        <v>0</v>
      </c>
      <c r="M36" s="704">
        <f t="shared" si="4"/>
        <v>0</v>
      </c>
      <c r="N36" s="728"/>
      <c r="O36" s="638"/>
      <c r="P36" s="638"/>
      <c r="Q36" s="638"/>
      <c r="R36" s="639"/>
      <c r="S36" s="639"/>
      <c r="T36" s="555"/>
      <c r="U36" s="705">
        <f t="shared" si="2"/>
        <v>0</v>
      </c>
      <c r="V36" s="703">
        <f t="shared" si="5"/>
        <v>0</v>
      </c>
      <c r="W36" s="704">
        <f t="shared" si="6"/>
        <v>0</v>
      </c>
      <c r="X36" s="728"/>
      <c r="Y36" s="555"/>
      <c r="Z36" s="555"/>
      <c r="AA36" s="555"/>
      <c r="AB36" s="555"/>
      <c r="AC36" s="555"/>
      <c r="AD36" s="706">
        <f t="shared" si="7"/>
        <v>0</v>
      </c>
      <c r="AE36" s="703">
        <f t="shared" si="8"/>
        <v>0</v>
      </c>
      <c r="AF36" s="704">
        <f t="shared" si="9"/>
        <v>0</v>
      </c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</row>
    <row r="37" spans="1:215" s="2" customFormat="1" ht="19.5" thickBot="1">
      <c r="A37" s="43">
        <v>31</v>
      </c>
      <c r="B37" s="512">
        <f>'REGISTRO DATOS'!C43</f>
        <v>0</v>
      </c>
      <c r="C37" s="512">
        <f>'REGISTRO DATOS'!D43</f>
        <v>0</v>
      </c>
      <c r="D37" s="512">
        <f>'REGISTRO DATOS'!E43</f>
        <v>0</v>
      </c>
      <c r="E37" s="701">
        <f t="shared" si="0"/>
        <v>0</v>
      </c>
      <c r="F37" s="638"/>
      <c r="G37" s="639"/>
      <c r="H37" s="555"/>
      <c r="I37" s="555"/>
      <c r="J37" s="555"/>
      <c r="K37" s="702">
        <f t="shared" si="1"/>
        <v>0</v>
      </c>
      <c r="L37" s="703">
        <f t="shared" si="3"/>
        <v>0</v>
      </c>
      <c r="M37" s="704">
        <f t="shared" si="4"/>
        <v>0</v>
      </c>
      <c r="N37" s="728"/>
      <c r="O37" s="638"/>
      <c r="P37" s="638"/>
      <c r="Q37" s="638"/>
      <c r="R37" s="639"/>
      <c r="S37" s="639"/>
      <c r="T37" s="555"/>
      <c r="U37" s="705">
        <f t="shared" si="2"/>
        <v>0</v>
      </c>
      <c r="V37" s="703">
        <f t="shared" si="5"/>
        <v>0</v>
      </c>
      <c r="W37" s="704">
        <f t="shared" si="6"/>
        <v>0</v>
      </c>
      <c r="X37" s="728"/>
      <c r="Y37" s="555"/>
      <c r="Z37" s="555"/>
      <c r="AA37" s="555"/>
      <c r="AB37" s="555"/>
      <c r="AC37" s="555"/>
      <c r="AD37" s="706">
        <f t="shared" si="7"/>
        <v>0</v>
      </c>
      <c r="AE37" s="703">
        <f t="shared" si="8"/>
        <v>0</v>
      </c>
      <c r="AF37" s="704">
        <f t="shared" si="9"/>
        <v>0</v>
      </c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</row>
    <row r="38" spans="1:215" s="2" customFormat="1" ht="19.5" thickBot="1">
      <c r="A38" s="43">
        <v>32</v>
      </c>
      <c r="B38" s="512">
        <f>'REGISTRO DATOS'!C44</f>
        <v>0</v>
      </c>
      <c r="C38" s="512">
        <f>'REGISTRO DATOS'!D44</f>
        <v>0</v>
      </c>
      <c r="D38" s="512">
        <f>'REGISTRO DATOS'!E44</f>
        <v>0</v>
      </c>
      <c r="E38" s="701">
        <f t="shared" si="0"/>
        <v>0</v>
      </c>
      <c r="F38" s="638"/>
      <c r="G38" s="639"/>
      <c r="H38" s="555"/>
      <c r="I38" s="555"/>
      <c r="J38" s="555"/>
      <c r="K38" s="702">
        <f t="shared" si="1"/>
        <v>0</v>
      </c>
      <c r="L38" s="703">
        <f t="shared" si="3"/>
        <v>0</v>
      </c>
      <c r="M38" s="704">
        <f t="shared" si="4"/>
        <v>0</v>
      </c>
      <c r="N38" s="728"/>
      <c r="O38" s="638"/>
      <c r="P38" s="638"/>
      <c r="Q38" s="638"/>
      <c r="R38" s="639"/>
      <c r="S38" s="639"/>
      <c r="T38" s="555"/>
      <c r="U38" s="705">
        <f t="shared" si="2"/>
        <v>0</v>
      </c>
      <c r="V38" s="703">
        <f t="shared" si="5"/>
        <v>0</v>
      </c>
      <c r="W38" s="704">
        <f t="shared" si="6"/>
        <v>0</v>
      </c>
      <c r="X38" s="728"/>
      <c r="Y38" s="555"/>
      <c r="Z38" s="555"/>
      <c r="AA38" s="555"/>
      <c r="AB38" s="555"/>
      <c r="AC38" s="555"/>
      <c r="AD38" s="706">
        <f t="shared" si="7"/>
        <v>0</v>
      </c>
      <c r="AE38" s="703">
        <f t="shared" si="8"/>
        <v>0</v>
      </c>
      <c r="AF38" s="704">
        <f t="shared" si="9"/>
        <v>0</v>
      </c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</row>
    <row r="39" spans="1:215" s="2" customFormat="1" ht="19.5" thickBot="1">
      <c r="A39" s="43">
        <v>33</v>
      </c>
      <c r="B39" s="512">
        <f>'REGISTRO DATOS'!C45</f>
        <v>0</v>
      </c>
      <c r="C39" s="512">
        <f>'REGISTRO DATOS'!D45</f>
        <v>0</v>
      </c>
      <c r="D39" s="512">
        <f>'REGISTRO DATOS'!E45</f>
        <v>0</v>
      </c>
      <c r="E39" s="701">
        <f t="shared" si="0"/>
        <v>0</v>
      </c>
      <c r="F39" s="638"/>
      <c r="G39" s="639"/>
      <c r="H39" s="555"/>
      <c r="I39" s="555"/>
      <c r="J39" s="555"/>
      <c r="K39" s="702">
        <f t="shared" si="1"/>
        <v>0</v>
      </c>
      <c r="L39" s="703">
        <f t="shared" si="3"/>
        <v>0</v>
      </c>
      <c r="M39" s="704">
        <f t="shared" si="4"/>
        <v>0</v>
      </c>
      <c r="N39" s="728"/>
      <c r="O39" s="638"/>
      <c r="P39" s="638"/>
      <c r="Q39" s="638"/>
      <c r="R39" s="639"/>
      <c r="S39" s="639"/>
      <c r="T39" s="555"/>
      <c r="U39" s="705">
        <f t="shared" si="2"/>
        <v>0</v>
      </c>
      <c r="V39" s="703">
        <f t="shared" si="5"/>
        <v>0</v>
      </c>
      <c r="W39" s="704">
        <f t="shared" si="6"/>
        <v>0</v>
      </c>
      <c r="X39" s="728"/>
      <c r="Y39" s="555"/>
      <c r="Z39" s="555"/>
      <c r="AA39" s="555"/>
      <c r="AB39" s="555"/>
      <c r="AC39" s="555"/>
      <c r="AD39" s="706">
        <f t="shared" si="7"/>
        <v>0</v>
      </c>
      <c r="AE39" s="703">
        <f t="shared" si="8"/>
        <v>0</v>
      </c>
      <c r="AF39" s="704">
        <f t="shared" si="9"/>
        <v>0</v>
      </c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</row>
    <row r="40" spans="1:215" s="2" customFormat="1" ht="19.5" thickBot="1">
      <c r="A40" s="43">
        <v>34</v>
      </c>
      <c r="B40" s="512">
        <f>'REGISTRO DATOS'!C46</f>
        <v>0</v>
      </c>
      <c r="C40" s="512">
        <f>'REGISTRO DATOS'!D46</f>
        <v>0</v>
      </c>
      <c r="D40" s="512">
        <f>'REGISTRO DATOS'!E46</f>
        <v>0</v>
      </c>
      <c r="E40" s="701">
        <f t="shared" si="0"/>
        <v>0</v>
      </c>
      <c r="F40" s="638"/>
      <c r="G40" s="639"/>
      <c r="H40" s="555"/>
      <c r="I40" s="555"/>
      <c r="J40" s="555"/>
      <c r="K40" s="702">
        <f t="shared" si="1"/>
        <v>0</v>
      </c>
      <c r="L40" s="703">
        <f t="shared" si="3"/>
        <v>0</v>
      </c>
      <c r="M40" s="704">
        <f t="shared" si="4"/>
        <v>0</v>
      </c>
      <c r="N40" s="728"/>
      <c r="O40" s="638"/>
      <c r="P40" s="638"/>
      <c r="Q40" s="638"/>
      <c r="R40" s="639"/>
      <c r="S40" s="639"/>
      <c r="T40" s="555"/>
      <c r="U40" s="705">
        <f t="shared" si="2"/>
        <v>0</v>
      </c>
      <c r="V40" s="703">
        <f t="shared" si="5"/>
        <v>0</v>
      </c>
      <c r="W40" s="704">
        <f t="shared" si="6"/>
        <v>0</v>
      </c>
      <c r="X40" s="728"/>
      <c r="Y40" s="555"/>
      <c r="Z40" s="555"/>
      <c r="AA40" s="555"/>
      <c r="AB40" s="555"/>
      <c r="AC40" s="555"/>
      <c r="AD40" s="706">
        <f t="shared" si="7"/>
        <v>0</v>
      </c>
      <c r="AE40" s="703">
        <f t="shared" si="8"/>
        <v>0</v>
      </c>
      <c r="AF40" s="704">
        <f t="shared" si="9"/>
        <v>0</v>
      </c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</row>
    <row r="41" spans="1:215" s="2" customFormat="1" ht="19.5" thickBot="1">
      <c r="A41" s="43">
        <v>35</v>
      </c>
      <c r="B41" s="512">
        <f>'REGISTRO DATOS'!C47</f>
        <v>0</v>
      </c>
      <c r="C41" s="512">
        <f>'REGISTRO DATOS'!D47</f>
        <v>0</v>
      </c>
      <c r="D41" s="512">
        <f>'REGISTRO DATOS'!E47</f>
        <v>0</v>
      </c>
      <c r="E41" s="701">
        <f t="shared" si="0"/>
        <v>0</v>
      </c>
      <c r="F41" s="638"/>
      <c r="G41" s="639"/>
      <c r="H41" s="555"/>
      <c r="I41" s="555"/>
      <c r="J41" s="555"/>
      <c r="K41" s="702">
        <f t="shared" si="1"/>
        <v>0</v>
      </c>
      <c r="L41" s="703">
        <f t="shared" si="3"/>
        <v>0</v>
      </c>
      <c r="M41" s="704">
        <f t="shared" si="4"/>
        <v>0</v>
      </c>
      <c r="N41" s="728"/>
      <c r="O41" s="638"/>
      <c r="P41" s="638"/>
      <c r="Q41" s="638"/>
      <c r="R41" s="639"/>
      <c r="S41" s="639"/>
      <c r="T41" s="555"/>
      <c r="U41" s="705">
        <f t="shared" si="2"/>
        <v>0</v>
      </c>
      <c r="V41" s="703">
        <f t="shared" si="5"/>
        <v>0</v>
      </c>
      <c r="W41" s="704">
        <f t="shared" si="6"/>
        <v>0</v>
      </c>
      <c r="X41" s="728"/>
      <c r="Y41" s="555"/>
      <c r="Z41" s="555"/>
      <c r="AA41" s="555"/>
      <c r="AB41" s="555"/>
      <c r="AC41" s="555"/>
      <c r="AD41" s="706">
        <f t="shared" si="7"/>
        <v>0</v>
      </c>
      <c r="AE41" s="703">
        <f t="shared" si="8"/>
        <v>0</v>
      </c>
      <c r="AF41" s="704">
        <f t="shared" si="9"/>
        <v>0</v>
      </c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</row>
    <row r="42" spans="1:215" s="2" customFormat="1" ht="19.5" thickBot="1">
      <c r="A42" s="43">
        <v>36</v>
      </c>
      <c r="B42" s="512">
        <f>'REGISTRO DATOS'!C48</f>
        <v>0</v>
      </c>
      <c r="C42" s="512">
        <f>'REGISTRO DATOS'!D48</f>
        <v>0</v>
      </c>
      <c r="D42" s="512">
        <f>'REGISTRO DATOS'!E48</f>
        <v>0</v>
      </c>
      <c r="E42" s="701">
        <f t="shared" si="0"/>
        <v>0</v>
      </c>
      <c r="F42" s="638"/>
      <c r="G42" s="639"/>
      <c r="H42" s="555"/>
      <c r="I42" s="555"/>
      <c r="J42" s="555"/>
      <c r="K42" s="702">
        <f t="shared" si="1"/>
        <v>0</v>
      </c>
      <c r="L42" s="703">
        <f t="shared" si="3"/>
        <v>0</v>
      </c>
      <c r="M42" s="704">
        <f t="shared" si="4"/>
        <v>0</v>
      </c>
      <c r="N42" s="728"/>
      <c r="O42" s="638"/>
      <c r="P42" s="638"/>
      <c r="Q42" s="638"/>
      <c r="R42" s="639"/>
      <c r="S42" s="639"/>
      <c r="T42" s="555"/>
      <c r="U42" s="705">
        <f t="shared" si="2"/>
        <v>0</v>
      </c>
      <c r="V42" s="703">
        <f t="shared" si="5"/>
        <v>0</v>
      </c>
      <c r="W42" s="704">
        <f t="shared" si="6"/>
        <v>0</v>
      </c>
      <c r="X42" s="728"/>
      <c r="Y42" s="555"/>
      <c r="Z42" s="555"/>
      <c r="AA42" s="555"/>
      <c r="AB42" s="555"/>
      <c r="AC42" s="555"/>
      <c r="AD42" s="706">
        <f t="shared" si="7"/>
        <v>0</v>
      </c>
      <c r="AE42" s="703">
        <f t="shared" si="8"/>
        <v>0</v>
      </c>
      <c r="AF42" s="704">
        <f t="shared" si="9"/>
        <v>0</v>
      </c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</row>
    <row r="43" spans="1:215" s="2" customFormat="1" ht="19.5" thickBot="1">
      <c r="A43" s="43">
        <v>37</v>
      </c>
      <c r="B43" s="512">
        <f>'REGISTRO DATOS'!C49</f>
        <v>0</v>
      </c>
      <c r="C43" s="512">
        <f>'REGISTRO DATOS'!D49</f>
        <v>0</v>
      </c>
      <c r="D43" s="512">
        <f>'REGISTRO DATOS'!E49</f>
        <v>0</v>
      </c>
      <c r="E43" s="701">
        <f t="shared" si="0"/>
        <v>0</v>
      </c>
      <c r="F43" s="638"/>
      <c r="G43" s="639"/>
      <c r="H43" s="555"/>
      <c r="I43" s="555"/>
      <c r="J43" s="555"/>
      <c r="K43" s="702">
        <f t="shared" si="1"/>
        <v>0</v>
      </c>
      <c r="L43" s="703">
        <f t="shared" si="3"/>
        <v>0</v>
      </c>
      <c r="M43" s="704">
        <f t="shared" si="4"/>
        <v>0</v>
      </c>
      <c r="N43" s="728"/>
      <c r="O43" s="638"/>
      <c r="P43" s="638"/>
      <c r="Q43" s="638"/>
      <c r="R43" s="639"/>
      <c r="S43" s="639"/>
      <c r="T43" s="555"/>
      <c r="U43" s="705">
        <f t="shared" si="2"/>
        <v>0</v>
      </c>
      <c r="V43" s="703">
        <f t="shared" si="5"/>
        <v>0</v>
      </c>
      <c r="W43" s="704">
        <f t="shared" si="6"/>
        <v>0</v>
      </c>
      <c r="X43" s="728"/>
      <c r="Y43" s="555"/>
      <c r="Z43" s="555"/>
      <c r="AA43" s="555"/>
      <c r="AB43" s="555"/>
      <c r="AC43" s="555"/>
      <c r="AD43" s="706">
        <f t="shared" si="7"/>
        <v>0</v>
      </c>
      <c r="AE43" s="703">
        <f t="shared" si="8"/>
        <v>0</v>
      </c>
      <c r="AF43" s="704">
        <f t="shared" si="9"/>
        <v>0</v>
      </c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</row>
    <row r="44" spans="1:215" s="2" customFormat="1" ht="19.5" thickBot="1">
      <c r="A44" s="43">
        <v>38</v>
      </c>
      <c r="B44" s="512">
        <f>'REGISTRO DATOS'!C50</f>
        <v>0</v>
      </c>
      <c r="C44" s="512">
        <f>'REGISTRO DATOS'!D50</f>
        <v>0</v>
      </c>
      <c r="D44" s="512">
        <f>'REGISTRO DATOS'!E50</f>
        <v>0</v>
      </c>
      <c r="E44" s="701">
        <f t="shared" si="0"/>
        <v>0</v>
      </c>
      <c r="F44" s="638"/>
      <c r="G44" s="639"/>
      <c r="H44" s="555"/>
      <c r="I44" s="555"/>
      <c r="J44" s="555"/>
      <c r="K44" s="702">
        <f t="shared" si="1"/>
        <v>0</v>
      </c>
      <c r="L44" s="703">
        <f t="shared" si="3"/>
        <v>0</v>
      </c>
      <c r="M44" s="704">
        <f t="shared" si="4"/>
        <v>0</v>
      </c>
      <c r="N44" s="728"/>
      <c r="O44" s="638"/>
      <c r="P44" s="638"/>
      <c r="Q44" s="638"/>
      <c r="R44" s="639"/>
      <c r="S44" s="639"/>
      <c r="T44" s="555"/>
      <c r="U44" s="705">
        <f t="shared" si="2"/>
        <v>0</v>
      </c>
      <c r="V44" s="703">
        <f t="shared" si="5"/>
        <v>0</v>
      </c>
      <c r="W44" s="704">
        <f t="shared" si="6"/>
        <v>0</v>
      </c>
      <c r="X44" s="728"/>
      <c r="Y44" s="555"/>
      <c r="Z44" s="555"/>
      <c r="AA44" s="555"/>
      <c r="AB44" s="555"/>
      <c r="AC44" s="555"/>
      <c r="AD44" s="706">
        <f t="shared" si="7"/>
        <v>0</v>
      </c>
      <c r="AE44" s="703">
        <f t="shared" si="8"/>
        <v>0</v>
      </c>
      <c r="AF44" s="704">
        <f t="shared" si="9"/>
        <v>0</v>
      </c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</row>
    <row r="45" spans="1:215" s="2" customFormat="1" ht="19.5" thickBot="1">
      <c r="A45" s="43">
        <v>39</v>
      </c>
      <c r="B45" s="512">
        <f>'REGISTRO DATOS'!C51</f>
        <v>0</v>
      </c>
      <c r="C45" s="512">
        <f>'REGISTRO DATOS'!D51</f>
        <v>0</v>
      </c>
      <c r="D45" s="512">
        <f>'REGISTRO DATOS'!E51</f>
        <v>0</v>
      </c>
      <c r="E45" s="701">
        <f t="shared" si="0"/>
        <v>0</v>
      </c>
      <c r="F45" s="638"/>
      <c r="G45" s="639"/>
      <c r="H45" s="555"/>
      <c r="I45" s="555"/>
      <c r="J45" s="555"/>
      <c r="K45" s="702">
        <f t="shared" si="1"/>
        <v>0</v>
      </c>
      <c r="L45" s="703">
        <f t="shared" si="3"/>
        <v>0</v>
      </c>
      <c r="M45" s="704">
        <f t="shared" si="4"/>
        <v>0</v>
      </c>
      <c r="N45" s="728"/>
      <c r="O45" s="638"/>
      <c r="P45" s="638"/>
      <c r="Q45" s="638"/>
      <c r="R45" s="639"/>
      <c r="S45" s="639"/>
      <c r="T45" s="555"/>
      <c r="U45" s="705">
        <f t="shared" si="2"/>
        <v>0</v>
      </c>
      <c r="V45" s="703">
        <f t="shared" si="5"/>
        <v>0</v>
      </c>
      <c r="W45" s="704">
        <f t="shared" si="6"/>
        <v>0</v>
      </c>
      <c r="X45" s="728"/>
      <c r="Y45" s="555"/>
      <c r="Z45" s="555"/>
      <c r="AA45" s="555"/>
      <c r="AB45" s="555"/>
      <c r="AC45" s="555"/>
      <c r="AD45" s="706">
        <f t="shared" si="7"/>
        <v>0</v>
      </c>
      <c r="AE45" s="703">
        <f t="shared" si="8"/>
        <v>0</v>
      </c>
      <c r="AF45" s="704">
        <f t="shared" si="9"/>
        <v>0</v>
      </c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</row>
    <row r="46" spans="1:215" s="2" customFormat="1" ht="19.5" thickBot="1">
      <c r="A46" s="85">
        <v>40</v>
      </c>
      <c r="B46" s="512">
        <f>'REGISTRO DATOS'!C52</f>
        <v>0</v>
      </c>
      <c r="C46" s="512">
        <f>'REGISTRO DATOS'!D52</f>
        <v>0</v>
      </c>
      <c r="D46" s="512">
        <f>'REGISTRO DATOS'!E52</f>
        <v>0</v>
      </c>
      <c r="E46" s="701">
        <f t="shared" si="0"/>
        <v>0</v>
      </c>
      <c r="F46" s="638"/>
      <c r="G46" s="639"/>
      <c r="H46" s="555"/>
      <c r="I46" s="555"/>
      <c r="J46" s="555"/>
      <c r="K46" s="702">
        <f t="shared" si="1"/>
        <v>0</v>
      </c>
      <c r="L46" s="703">
        <f t="shared" si="3"/>
        <v>0</v>
      </c>
      <c r="M46" s="704">
        <f t="shared" si="4"/>
        <v>0</v>
      </c>
      <c r="N46" s="730"/>
      <c r="O46" s="638"/>
      <c r="P46" s="638"/>
      <c r="Q46" s="638"/>
      <c r="R46" s="639"/>
      <c r="S46" s="639"/>
      <c r="T46" s="555"/>
      <c r="U46" s="705">
        <f t="shared" si="2"/>
        <v>0</v>
      </c>
      <c r="V46" s="703">
        <f t="shared" si="5"/>
        <v>0</v>
      </c>
      <c r="W46" s="704">
        <f t="shared" si="6"/>
        <v>0</v>
      </c>
      <c r="X46" s="730"/>
      <c r="Y46" s="555"/>
      <c r="Z46" s="555"/>
      <c r="AA46" s="555"/>
      <c r="AB46" s="555"/>
      <c r="AC46" s="555"/>
      <c r="AD46" s="706">
        <f t="shared" si="7"/>
        <v>0</v>
      </c>
      <c r="AE46" s="703">
        <f t="shared" si="8"/>
        <v>0</v>
      </c>
      <c r="AF46" s="704">
        <f t="shared" si="9"/>
        <v>0</v>
      </c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</row>
    <row r="47" spans="1:215" s="2" customFormat="1">
      <c r="A47" s="43"/>
      <c r="B47"/>
      <c r="C47"/>
      <c r="D47"/>
      <c r="E47" s="132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</row>
    <row r="48" spans="1:215" s="2" customFormat="1">
      <c r="A48" s="43"/>
      <c r="B48"/>
      <c r="C48"/>
      <c r="D48"/>
      <c r="E48" s="132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</row>
    <row r="145" spans="2:2">
      <c r="B145" t="e">
        <f>'PROYECTO IIS'!EJ3Ç</f>
        <v>#NAME?</v>
      </c>
    </row>
  </sheetData>
  <mergeCells count="5">
    <mergeCell ref="E1:F1"/>
    <mergeCell ref="A2:C4"/>
    <mergeCell ref="F4:J4"/>
    <mergeCell ref="O4:T4"/>
    <mergeCell ref="Y4:AD4"/>
  </mergeCells>
  <conditionalFormatting sqref="F7:M46 O7:W46 Y7:AF46">
    <cfRule type="cellIs" dxfId="173" priority="10" operator="equal">
      <formula>0</formula>
    </cfRule>
  </conditionalFormatting>
  <conditionalFormatting sqref="U8:W46">
    <cfRule type="cellIs" dxfId="172" priority="9" operator="equal">
      <formula>0</formula>
    </cfRule>
  </conditionalFormatting>
  <conditionalFormatting sqref="V7:W46">
    <cfRule type="cellIs" dxfId="171" priority="8" operator="equal">
      <formula>0</formula>
    </cfRule>
  </conditionalFormatting>
  <conditionalFormatting sqref="AE8:AF46">
    <cfRule type="cellIs" dxfId="170" priority="7" operator="equal">
      <formula>0</formula>
    </cfRule>
  </conditionalFormatting>
  <conditionalFormatting sqref="AE7:AF46">
    <cfRule type="cellIs" dxfId="169" priority="6" operator="equal">
      <formula>0</formula>
    </cfRule>
  </conditionalFormatting>
  <conditionalFormatting sqref="M7:M46">
    <cfRule type="cellIs" dxfId="168" priority="5" operator="greaterThan">
      <formula>70</formula>
    </cfRule>
  </conditionalFormatting>
  <conditionalFormatting sqref="W7:W46">
    <cfRule type="cellIs" dxfId="167" priority="4" operator="greaterThan">
      <formula>70</formula>
    </cfRule>
  </conditionalFormatting>
  <conditionalFormatting sqref="AE8:AF46">
    <cfRule type="cellIs" dxfId="166" priority="3" operator="equal">
      <formula>0</formula>
    </cfRule>
  </conditionalFormatting>
  <conditionalFormatting sqref="AE7:AF46">
    <cfRule type="cellIs" dxfId="165" priority="2" operator="equal">
      <formula>0</formula>
    </cfRule>
  </conditionalFormatting>
  <conditionalFormatting sqref="AF7:AF46">
    <cfRule type="cellIs" dxfId="164" priority="1" operator="greaterThan">
      <formula>70</formula>
    </cfRule>
  </conditionalFormatting>
  <pageMargins left="0.7" right="0.7" top="0.75" bottom="0.75" header="0.3" footer="0.3"/>
  <pageSetup paperSize="9" orientation="portrait" horizontalDpi="360" verticalDpi="36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32">
    <tabColor rgb="FFFFFF00"/>
  </sheetPr>
  <dimension ref="A1:HG145"/>
  <sheetViews>
    <sheetView showGridLines="0" topLeftCell="J1" zoomScale="84" zoomScaleNormal="100" workbookViewId="0">
      <selection activeCell="I14" sqref="I14"/>
    </sheetView>
  </sheetViews>
  <sheetFormatPr baseColWidth="10" defaultColWidth="10.85546875" defaultRowHeight="15"/>
  <cols>
    <col min="1" max="1" width="3.85546875" style="43" customWidth="1" collapsed="1"/>
    <col min="2" max="3" width="14.140625" bestFit="1" customWidth="1" collapsed="1"/>
    <col min="4" max="4" width="23.42578125" customWidth="1" collapsed="1"/>
    <col min="5" max="5" width="7.85546875" style="132" bestFit="1" customWidth="1"/>
    <col min="6" max="6" width="5" bestFit="1" customWidth="1"/>
    <col min="7" max="7" width="4" bestFit="1" customWidth="1"/>
    <col min="8" max="8" width="4" bestFit="1" customWidth="1" collapsed="1"/>
    <col min="9" max="9" width="4" customWidth="1"/>
    <col min="10" max="10" width="4" bestFit="1" customWidth="1"/>
    <col min="11" max="11" width="4.7109375" customWidth="1" collapsed="1"/>
    <col min="12" max="12" width="6.28515625" customWidth="1"/>
    <col min="13" max="13" width="5.42578125" customWidth="1"/>
    <col min="14" max="14" width="2.140625" customWidth="1" collapsed="1"/>
    <col min="15" max="15" width="5" bestFit="1" customWidth="1"/>
    <col min="16" max="17" width="5" customWidth="1"/>
    <col min="18" max="18" width="4" bestFit="1" customWidth="1"/>
    <col min="19" max="19" width="4" customWidth="1"/>
    <col min="20" max="20" width="4" bestFit="1" customWidth="1" collapsed="1"/>
    <col min="21" max="21" width="4.7109375" customWidth="1" collapsed="1"/>
    <col min="22" max="22" width="7.140625" customWidth="1"/>
    <col min="23" max="23" width="4.7109375" customWidth="1"/>
    <col min="24" max="24" width="2" customWidth="1" collapsed="1"/>
    <col min="25" max="25" width="5" bestFit="1" customWidth="1" collapsed="1"/>
    <col min="26" max="27" width="5" customWidth="1"/>
    <col min="28" max="28" width="6.85546875" customWidth="1" collapsed="1"/>
    <col min="29" max="29" width="6.85546875" customWidth="1"/>
    <col min="30" max="30" width="4.7109375" customWidth="1" collapsed="1"/>
    <col min="31" max="31" width="6.7109375" customWidth="1"/>
    <col min="32" max="32" width="5.28515625" customWidth="1"/>
    <col min="33" max="175" width="4.7109375" style="2" customWidth="1" collapsed="1"/>
    <col min="176" max="176" width="10.85546875" style="2"/>
    <col min="202" max="202" width="10.85546875" collapsed="1"/>
    <col min="205" max="205" width="10.85546875" collapsed="1"/>
    <col min="208" max="208" width="10.85546875" collapsed="1"/>
    <col min="211" max="211" width="10.85546875" collapsed="1"/>
    <col min="215" max="16384" width="10.85546875" collapsed="1"/>
  </cols>
  <sheetData>
    <row r="1" spans="1:215" s="2" customFormat="1" ht="18.75">
      <c r="A1" s="43"/>
      <c r="B1"/>
      <c r="C1"/>
      <c r="D1"/>
      <c r="E1" s="897"/>
      <c r="F1" s="897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</row>
    <row r="2" spans="1:215" s="2" customFormat="1">
      <c r="A2" s="898" t="s">
        <v>309</v>
      </c>
      <c r="B2" s="898"/>
      <c r="C2" s="898"/>
      <c r="D2"/>
      <c r="E2" s="581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</row>
    <row r="3" spans="1:215" s="2" customFormat="1" ht="19.5" customHeight="1">
      <c r="A3" s="898"/>
      <c r="B3" s="898"/>
      <c r="C3" s="898"/>
      <c r="D3"/>
      <c r="E3" s="581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</row>
    <row r="4" spans="1:215" s="2" customFormat="1" ht="29.25" customHeight="1" thickBot="1">
      <c r="A4" s="898"/>
      <c r="B4" s="898"/>
      <c r="C4" s="898"/>
      <c r="D4" s="720">
        <f>L6+V6+AE6</f>
        <v>0.30000000000000004</v>
      </c>
      <c r="E4" s="691"/>
      <c r="F4" s="899" t="s">
        <v>293</v>
      </c>
      <c r="G4" s="899"/>
      <c r="H4" s="899"/>
      <c r="I4" s="899"/>
      <c r="J4" s="899"/>
      <c r="L4" s="3"/>
      <c r="O4" s="899" t="s">
        <v>294</v>
      </c>
      <c r="P4" s="899"/>
      <c r="Q4" s="899"/>
      <c r="R4" s="899"/>
      <c r="S4" s="899"/>
      <c r="T4" s="899"/>
      <c r="U4" s="692"/>
      <c r="Y4" s="900" t="s">
        <v>295</v>
      </c>
      <c r="Z4" s="900"/>
      <c r="AA4" s="900"/>
      <c r="AB4" s="900"/>
      <c r="AC4" s="900"/>
      <c r="AD4" s="900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</row>
    <row r="5" spans="1:215" s="2" customFormat="1" ht="23.25" customHeight="1" thickBot="1">
      <c r="A5" s="43"/>
      <c r="B5"/>
      <c r="C5"/>
      <c r="D5" s="721">
        <f>K5+U5+AD5</f>
        <v>45</v>
      </c>
      <c r="E5" s="693" t="s">
        <v>296</v>
      </c>
      <c r="F5" s="707">
        <v>1</v>
      </c>
      <c r="G5" s="707">
        <v>3</v>
      </c>
      <c r="H5" s="707">
        <v>3</v>
      </c>
      <c r="I5" s="707">
        <v>5</v>
      </c>
      <c r="J5" s="707"/>
      <c r="K5" s="694">
        <f>SUM(F5:J5)</f>
        <v>12</v>
      </c>
      <c r="L5" s="695" t="s">
        <v>146</v>
      </c>
      <c r="M5" s="696" t="s">
        <v>89</v>
      </c>
      <c r="N5" s="715"/>
      <c r="O5" s="707">
        <v>3</v>
      </c>
      <c r="P5" s="707">
        <v>3</v>
      </c>
      <c r="Q5" s="707">
        <v>3</v>
      </c>
      <c r="R5" s="707">
        <v>3</v>
      </c>
      <c r="S5" s="707">
        <v>3</v>
      </c>
      <c r="T5" s="707">
        <v>3</v>
      </c>
      <c r="U5" s="694">
        <f>SUM(O5:T5)</f>
        <v>18</v>
      </c>
      <c r="V5" s="695" t="s">
        <v>146</v>
      </c>
      <c r="W5" s="696" t="s">
        <v>89</v>
      </c>
      <c r="X5" s="715"/>
      <c r="Y5" s="707">
        <v>3</v>
      </c>
      <c r="Z5" s="707">
        <v>3</v>
      </c>
      <c r="AA5" s="707">
        <v>3</v>
      </c>
      <c r="AB5" s="707">
        <v>3</v>
      </c>
      <c r="AC5" s="708">
        <v>3</v>
      </c>
      <c r="AD5" s="694">
        <f>SUM(Y5:AC5)</f>
        <v>15</v>
      </c>
      <c r="AE5" s="695" t="s">
        <v>146</v>
      </c>
      <c r="AF5" s="696" t="s">
        <v>89</v>
      </c>
      <c r="AG5" s="146">
        <f>K5+U5+AD5</f>
        <v>45</v>
      </c>
      <c r="AH5" s="179"/>
      <c r="AI5" s="179"/>
      <c r="AJ5" s="179"/>
      <c r="AK5" s="179"/>
      <c r="AL5" s="179"/>
      <c r="AM5" s="179"/>
      <c r="AN5" s="179"/>
      <c r="AO5" s="179"/>
      <c r="AP5" s="179"/>
      <c r="AQ5" s="179"/>
      <c r="AR5" s="179"/>
      <c r="AS5" s="179"/>
      <c r="AT5" s="179"/>
      <c r="AU5" s="179"/>
      <c r="AV5" s="179"/>
      <c r="AW5" s="179"/>
      <c r="AX5" s="179"/>
      <c r="AY5" s="179"/>
      <c r="AZ5" s="179"/>
      <c r="BA5" s="179"/>
      <c r="BB5" s="179"/>
      <c r="BC5" s="179"/>
      <c r="BD5" s="179"/>
      <c r="BE5" s="179"/>
      <c r="BF5" s="179"/>
      <c r="BG5" s="179"/>
      <c r="BH5" s="179"/>
      <c r="BI5" s="179"/>
      <c r="BJ5" s="179"/>
      <c r="BK5" s="179"/>
      <c r="BL5" s="179"/>
      <c r="BM5" s="179"/>
      <c r="BN5" s="179"/>
      <c r="BO5" s="179"/>
      <c r="BP5" s="179"/>
      <c r="BQ5" s="179"/>
      <c r="BR5" s="179"/>
      <c r="BS5" s="179"/>
      <c r="BT5" s="179"/>
      <c r="BU5" s="179"/>
      <c r="BV5" s="179"/>
      <c r="BW5" s="179"/>
      <c r="BX5" s="179"/>
      <c r="BY5" s="179"/>
      <c r="BZ5" s="179"/>
      <c r="CA5" s="179"/>
      <c r="CB5" s="179"/>
      <c r="CC5" s="179"/>
      <c r="CD5" s="179"/>
      <c r="CE5" s="179"/>
      <c r="CF5" s="179"/>
      <c r="CG5" s="179"/>
      <c r="CH5" s="179"/>
      <c r="CI5" s="179"/>
      <c r="CJ5" s="179"/>
      <c r="CK5" s="179"/>
      <c r="CL5" s="179"/>
      <c r="CM5" s="179"/>
      <c r="CN5" s="179"/>
      <c r="CO5" s="179"/>
      <c r="CP5" s="179"/>
      <c r="CQ5" s="179"/>
      <c r="CR5" s="179"/>
      <c r="CS5" s="179"/>
      <c r="CT5" s="179"/>
      <c r="CU5" s="179"/>
      <c r="CV5" s="179"/>
      <c r="CW5" s="179"/>
      <c r="CX5" s="179"/>
      <c r="CY5" s="179"/>
      <c r="CZ5" s="179"/>
      <c r="DA5" s="179"/>
      <c r="DB5" s="179"/>
      <c r="DC5" s="179"/>
      <c r="DD5" s="179"/>
      <c r="DE5" s="179"/>
      <c r="DF5" s="179"/>
      <c r="DG5" s="179"/>
      <c r="DH5" s="179"/>
      <c r="DI5" s="179"/>
      <c r="DJ5" s="179"/>
      <c r="DK5" s="179"/>
      <c r="DL5" s="179"/>
      <c r="DM5" s="179"/>
      <c r="DN5" s="179"/>
      <c r="DO5" s="179"/>
      <c r="DP5" s="179"/>
      <c r="DQ5" s="179"/>
      <c r="DR5" s="179"/>
      <c r="DS5" s="179"/>
      <c r="DT5" s="179"/>
      <c r="DU5" s="179"/>
      <c r="DV5" s="179"/>
      <c r="DW5" s="179"/>
      <c r="DX5" s="179"/>
      <c r="DY5" s="179"/>
      <c r="DZ5" s="179"/>
      <c r="EA5" s="179"/>
      <c r="EB5" s="179"/>
      <c r="EC5" s="179"/>
      <c r="ED5" s="179"/>
      <c r="EE5" s="179"/>
      <c r="EF5" s="179"/>
      <c r="EG5" s="179"/>
      <c r="EH5" s="179"/>
      <c r="EI5" s="179"/>
      <c r="EJ5" s="179"/>
      <c r="EK5" s="179"/>
      <c r="EL5" s="179"/>
      <c r="EM5" s="179"/>
      <c r="EN5" s="179"/>
      <c r="EO5" s="179"/>
      <c r="EP5" s="179"/>
      <c r="EQ5" s="179"/>
      <c r="ER5" s="179"/>
      <c r="ES5" s="179"/>
      <c r="ET5" s="179"/>
      <c r="EU5" s="179"/>
      <c r="EV5" s="179"/>
      <c r="EW5" s="179"/>
      <c r="EX5" s="179"/>
      <c r="EY5" s="179"/>
      <c r="EZ5" s="179"/>
      <c r="FA5" s="179"/>
      <c r="FB5" s="179"/>
      <c r="FC5" s="179"/>
      <c r="FD5" s="179"/>
      <c r="FE5" s="179"/>
      <c r="FF5" s="179"/>
      <c r="FG5" s="179"/>
      <c r="FH5" s="179"/>
      <c r="FI5" s="179"/>
      <c r="FJ5" s="179"/>
      <c r="FK5" s="179"/>
      <c r="FL5" s="179"/>
      <c r="FM5" s="179"/>
      <c r="FN5" s="179"/>
      <c r="FO5" s="179"/>
      <c r="FP5" s="179"/>
      <c r="FQ5" s="179"/>
      <c r="FR5" s="179"/>
      <c r="FS5" s="179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</row>
    <row r="6" spans="1:215" s="2" customFormat="1" ht="157.5" customHeight="1" thickBot="1">
      <c r="A6" s="723" t="s">
        <v>37</v>
      </c>
      <c r="B6" s="697" t="s">
        <v>38</v>
      </c>
      <c r="C6" s="697" t="s">
        <v>39</v>
      </c>
      <c r="D6" s="698" t="s">
        <v>36</v>
      </c>
      <c r="E6" s="699" t="s">
        <v>18</v>
      </c>
      <c r="F6" s="709" t="s">
        <v>297</v>
      </c>
      <c r="G6" s="710" t="s">
        <v>298</v>
      </c>
      <c r="H6" s="710" t="s">
        <v>299</v>
      </c>
      <c r="I6" s="710" t="s">
        <v>300</v>
      </c>
      <c r="J6" s="710"/>
      <c r="K6" s="700" t="s">
        <v>183</v>
      </c>
      <c r="L6" s="764">
        <v>0.1</v>
      </c>
      <c r="M6" s="754">
        <f>K5</f>
        <v>12</v>
      </c>
      <c r="N6" s="716"/>
      <c r="O6" s="709" t="s">
        <v>301</v>
      </c>
      <c r="P6" s="710" t="s">
        <v>302</v>
      </c>
      <c r="Q6" s="710" t="s">
        <v>303</v>
      </c>
      <c r="R6" s="710" t="s">
        <v>304</v>
      </c>
      <c r="S6" s="711" t="s">
        <v>305</v>
      </c>
      <c r="T6" s="711" t="s">
        <v>311</v>
      </c>
      <c r="U6" s="700" t="s">
        <v>183</v>
      </c>
      <c r="V6" s="722">
        <v>0.1</v>
      </c>
      <c r="W6" s="754">
        <f>U5</f>
        <v>18</v>
      </c>
      <c r="X6" s="716"/>
      <c r="Y6" s="710" t="s">
        <v>301</v>
      </c>
      <c r="Z6" s="710" t="s">
        <v>302</v>
      </c>
      <c r="AA6" s="711" t="s">
        <v>303</v>
      </c>
      <c r="AB6" s="710" t="s">
        <v>304</v>
      </c>
      <c r="AC6" s="711" t="s">
        <v>305</v>
      </c>
      <c r="AD6" s="700" t="s">
        <v>183</v>
      </c>
      <c r="AE6" s="764">
        <v>0.1</v>
      </c>
      <c r="AF6" s="754">
        <f>AD5</f>
        <v>15</v>
      </c>
      <c r="AG6" s="180"/>
      <c r="AH6" s="180"/>
      <c r="AI6" s="180"/>
      <c r="AJ6" s="180"/>
      <c r="AK6" s="180"/>
      <c r="AL6" s="180"/>
      <c r="AM6" s="180"/>
      <c r="AN6" s="180"/>
      <c r="AO6" s="180"/>
      <c r="AP6" s="180"/>
      <c r="AQ6" s="180"/>
      <c r="AR6" s="180"/>
      <c r="AS6" s="180"/>
      <c r="AT6" s="180"/>
      <c r="AU6" s="180"/>
      <c r="AV6" s="180"/>
      <c r="AW6" s="180"/>
      <c r="AX6" s="180"/>
      <c r="AY6" s="180"/>
      <c r="AZ6" s="180"/>
      <c r="BA6" s="180"/>
      <c r="BB6" s="180"/>
      <c r="BC6" s="180"/>
      <c r="BD6" s="180"/>
      <c r="BE6" s="180"/>
      <c r="BF6" s="180"/>
      <c r="BG6" s="180"/>
      <c r="BH6" s="180"/>
      <c r="BI6" s="180"/>
      <c r="BJ6" s="180"/>
      <c r="BK6" s="180"/>
      <c r="BL6" s="180"/>
      <c r="BM6" s="180"/>
      <c r="BN6" s="180"/>
      <c r="BO6" s="180"/>
      <c r="BP6" s="180"/>
      <c r="BQ6" s="180"/>
      <c r="BR6" s="180"/>
      <c r="BS6" s="180"/>
      <c r="BT6" s="180"/>
      <c r="BU6" s="180"/>
      <c r="BV6" s="180"/>
      <c r="BW6" s="180"/>
      <c r="BX6" s="180"/>
      <c r="BY6" s="180"/>
      <c r="BZ6" s="180"/>
      <c r="CA6" s="180"/>
      <c r="CB6" s="180"/>
      <c r="CC6" s="180"/>
      <c r="CD6" s="180"/>
      <c r="CE6" s="180"/>
      <c r="CF6" s="180"/>
      <c r="CG6" s="180"/>
      <c r="CH6" s="180"/>
      <c r="CI6" s="180"/>
      <c r="CJ6" s="180"/>
      <c r="CK6" s="180"/>
      <c r="CL6" s="180"/>
      <c r="CM6" s="180"/>
      <c r="CN6" s="180"/>
      <c r="CO6" s="180"/>
      <c r="CP6" s="180"/>
      <c r="CQ6" s="180"/>
      <c r="CR6" s="180"/>
      <c r="CS6" s="180"/>
      <c r="CT6" s="180"/>
      <c r="CU6" s="180"/>
      <c r="CV6" s="180"/>
      <c r="CW6" s="180"/>
      <c r="CX6" s="180"/>
      <c r="CY6" s="180"/>
      <c r="CZ6" s="180"/>
      <c r="DA6" s="180"/>
      <c r="DB6" s="180"/>
      <c r="DC6" s="180"/>
      <c r="DD6" s="180"/>
      <c r="DE6" s="180"/>
      <c r="DF6" s="180"/>
      <c r="DG6" s="180"/>
      <c r="DH6" s="180"/>
      <c r="DI6" s="180"/>
      <c r="DJ6" s="180"/>
      <c r="DK6" s="180"/>
      <c r="DL6" s="180"/>
      <c r="DM6" s="180"/>
      <c r="DN6" s="180"/>
      <c r="DO6" s="180"/>
      <c r="DP6" s="180"/>
      <c r="DQ6" s="180"/>
      <c r="DR6" s="180"/>
      <c r="DS6" s="180"/>
      <c r="DT6" s="180"/>
      <c r="DU6" s="180"/>
      <c r="DV6" s="180"/>
      <c r="DW6" s="180"/>
      <c r="DX6" s="180"/>
      <c r="DY6" s="180"/>
      <c r="DZ6" s="180"/>
      <c r="EA6" s="180"/>
      <c r="EB6" s="180"/>
      <c r="EC6" s="180"/>
      <c r="ED6" s="180"/>
      <c r="EE6" s="180"/>
      <c r="EF6" s="180"/>
      <c r="EG6" s="180"/>
      <c r="EH6" s="180"/>
      <c r="EI6" s="180"/>
      <c r="EJ6" s="180"/>
      <c r="EK6" s="180"/>
      <c r="EL6" s="180"/>
      <c r="EM6" s="180"/>
      <c r="EN6" s="180"/>
      <c r="EO6" s="180"/>
      <c r="EP6" s="180"/>
      <c r="EQ6" s="180"/>
      <c r="ER6" s="180"/>
      <c r="ES6" s="180"/>
      <c r="ET6" s="180"/>
      <c r="EU6" s="180"/>
      <c r="EV6" s="180"/>
      <c r="EW6" s="180"/>
      <c r="EX6" s="180"/>
      <c r="EY6" s="180"/>
      <c r="EZ6" s="180"/>
      <c r="FA6" s="180"/>
      <c r="FB6" s="180"/>
      <c r="FC6" s="180"/>
      <c r="FD6" s="180"/>
      <c r="FE6" s="180"/>
      <c r="FF6" s="180"/>
      <c r="FG6" s="180"/>
      <c r="FH6" s="180"/>
      <c r="FI6" s="180"/>
      <c r="FJ6" s="180"/>
      <c r="FK6" s="180"/>
      <c r="FL6" s="180"/>
      <c r="FM6" s="180"/>
      <c r="FN6" s="180"/>
      <c r="FO6" s="180"/>
      <c r="FP6" s="180"/>
      <c r="FQ6" s="180"/>
      <c r="FR6" s="180"/>
      <c r="FS6" s="180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</row>
    <row r="7" spans="1:215" s="2" customFormat="1" ht="19.5" thickBot="1">
      <c r="A7" s="43">
        <v>1</v>
      </c>
      <c r="B7" s="512">
        <f>'REGISTRO DATOS'!C13</f>
        <v>0</v>
      </c>
      <c r="C7" s="512">
        <f>'REGISTRO DATOS'!D13</f>
        <v>0</v>
      </c>
      <c r="D7" s="512" t="str">
        <f>'REGISTRO DATOS'!E13</f>
        <v>MARIANELA</v>
      </c>
      <c r="E7" s="701">
        <f t="shared" ref="E7:E46" si="0">K7+U7+AD7</f>
        <v>45</v>
      </c>
      <c r="F7" s="712">
        <v>3</v>
      </c>
      <c r="G7" s="713">
        <v>3</v>
      </c>
      <c r="H7" s="714">
        <v>3</v>
      </c>
      <c r="I7" s="714">
        <v>3</v>
      </c>
      <c r="J7" s="714"/>
      <c r="K7" s="702">
        <f t="shared" ref="K7:K46" si="1">SUM(F7:J7)</f>
        <v>12</v>
      </c>
      <c r="L7" s="703">
        <f>M7*$L$6</f>
        <v>10</v>
      </c>
      <c r="M7" s="704">
        <f>(K7/$K$5)*100</f>
        <v>100</v>
      </c>
      <c r="N7" s="717"/>
      <c r="O7" s="712">
        <v>3</v>
      </c>
      <c r="P7" s="712">
        <v>3</v>
      </c>
      <c r="Q7" s="712">
        <v>3</v>
      </c>
      <c r="R7" s="713">
        <v>3</v>
      </c>
      <c r="S7" s="713">
        <v>3</v>
      </c>
      <c r="T7" s="714">
        <v>3</v>
      </c>
      <c r="U7" s="705">
        <f t="shared" ref="U7:U46" si="2">SUM(O7:T7)</f>
        <v>18</v>
      </c>
      <c r="V7" s="703">
        <f>W7*$V$6</f>
        <v>10</v>
      </c>
      <c r="W7" s="704">
        <f>(U7/$U$5)*100</f>
        <v>100</v>
      </c>
      <c r="X7" s="717"/>
      <c r="Y7" s="714">
        <v>3</v>
      </c>
      <c r="Z7" s="714">
        <v>3</v>
      </c>
      <c r="AA7" s="714">
        <v>3</v>
      </c>
      <c r="AB7" s="714">
        <v>3</v>
      </c>
      <c r="AC7" s="714">
        <v>3</v>
      </c>
      <c r="AD7" s="706">
        <f>SUM(Y7:AC7)</f>
        <v>15</v>
      </c>
      <c r="AE7" s="703">
        <f>AF7*$AE$6</f>
        <v>10</v>
      </c>
      <c r="AF7" s="704">
        <f>(AD7/$AD$5)*100</f>
        <v>100</v>
      </c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</row>
    <row r="8" spans="1:215" s="2" customFormat="1" ht="19.5" thickBot="1">
      <c r="A8" s="43">
        <v>2</v>
      </c>
      <c r="B8" s="512">
        <f>'REGISTRO DATOS'!C14</f>
        <v>0</v>
      </c>
      <c r="C8" s="512">
        <f>'REGISTRO DATOS'!D14</f>
        <v>0</v>
      </c>
      <c r="D8" s="512" t="str">
        <f>'REGISTRO DATOS'!E14</f>
        <v>GENESIS</v>
      </c>
      <c r="E8" s="701">
        <f t="shared" si="0"/>
        <v>0</v>
      </c>
      <c r="F8" s="638"/>
      <c r="G8" s="639"/>
      <c r="H8" s="555"/>
      <c r="I8" s="555"/>
      <c r="J8" s="555"/>
      <c r="K8" s="702">
        <f t="shared" si="1"/>
        <v>0</v>
      </c>
      <c r="L8" s="703">
        <f t="shared" ref="L8:L46" si="3">M8*$L$6</f>
        <v>0</v>
      </c>
      <c r="M8" s="704">
        <f t="shared" ref="M8:M46" si="4">(K8/$K$5)*100</f>
        <v>0</v>
      </c>
      <c r="N8" s="717"/>
      <c r="O8" s="638"/>
      <c r="P8" s="638"/>
      <c r="Q8" s="638"/>
      <c r="R8" s="639"/>
      <c r="S8" s="639"/>
      <c r="T8" s="555"/>
      <c r="U8" s="705">
        <f t="shared" si="2"/>
        <v>0</v>
      </c>
      <c r="V8" s="703">
        <f t="shared" ref="V8:V46" si="5">W8*$V$6</f>
        <v>0</v>
      </c>
      <c r="W8" s="704">
        <f t="shared" ref="W8:W46" si="6">(U8/$U$5)*100</f>
        <v>0</v>
      </c>
      <c r="X8" s="717"/>
      <c r="Y8" s="555"/>
      <c r="Z8" s="555"/>
      <c r="AA8" s="555"/>
      <c r="AB8" s="555"/>
      <c r="AC8" s="555"/>
      <c r="AD8" s="706">
        <f t="shared" ref="AD8:AD46" si="7">SUM(Y8:AC8)</f>
        <v>0</v>
      </c>
      <c r="AE8" s="703">
        <f t="shared" ref="AE8:AE46" si="8">AF8*$AE$6</f>
        <v>0</v>
      </c>
      <c r="AF8" s="704">
        <f t="shared" ref="AF8:AF46" si="9">(AD8/$AD$5)*100</f>
        <v>0</v>
      </c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</row>
    <row r="9" spans="1:215" s="2" customFormat="1" ht="19.5" thickBot="1">
      <c r="A9" s="43">
        <v>3</v>
      </c>
      <c r="B9" s="512">
        <f>'REGISTRO DATOS'!C15</f>
        <v>0</v>
      </c>
      <c r="C9" s="512">
        <f>'REGISTRO DATOS'!D15</f>
        <v>0</v>
      </c>
      <c r="D9" s="512" t="str">
        <f>'REGISTRO DATOS'!E15</f>
        <v>EILEEN</v>
      </c>
      <c r="E9" s="701">
        <f t="shared" si="0"/>
        <v>0</v>
      </c>
      <c r="F9" s="638"/>
      <c r="G9" s="639"/>
      <c r="H9" s="555"/>
      <c r="I9" s="555"/>
      <c r="J9" s="555"/>
      <c r="K9" s="702">
        <f t="shared" si="1"/>
        <v>0</v>
      </c>
      <c r="L9" s="703">
        <f t="shared" si="3"/>
        <v>0</v>
      </c>
      <c r="M9" s="704">
        <f t="shared" si="4"/>
        <v>0</v>
      </c>
      <c r="N9" s="718"/>
      <c r="O9" s="638"/>
      <c r="P9" s="638"/>
      <c r="Q9" s="638"/>
      <c r="R9" s="639"/>
      <c r="S9" s="639"/>
      <c r="T9" s="555"/>
      <c r="U9" s="705">
        <f t="shared" si="2"/>
        <v>0</v>
      </c>
      <c r="V9" s="703">
        <f t="shared" si="5"/>
        <v>0</v>
      </c>
      <c r="W9" s="704">
        <f t="shared" si="6"/>
        <v>0</v>
      </c>
      <c r="X9" s="718"/>
      <c r="Y9" s="555"/>
      <c r="Z9" s="555"/>
      <c r="AA9" s="555"/>
      <c r="AB9" s="555"/>
      <c r="AC9" s="555"/>
      <c r="AD9" s="706">
        <f t="shared" si="7"/>
        <v>0</v>
      </c>
      <c r="AE9" s="703">
        <f t="shared" si="8"/>
        <v>0</v>
      </c>
      <c r="AF9" s="704">
        <f t="shared" si="9"/>
        <v>0</v>
      </c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</row>
    <row r="10" spans="1:215" s="2" customFormat="1" ht="19.5" thickBot="1">
      <c r="A10" s="43">
        <v>4</v>
      </c>
      <c r="B10" s="512">
        <f>'REGISTRO DATOS'!C16</f>
        <v>0</v>
      </c>
      <c r="C10" s="512">
        <f>'REGISTRO DATOS'!D16</f>
        <v>0</v>
      </c>
      <c r="D10" s="512" t="str">
        <f>'REGISTRO DATOS'!E16</f>
        <v>CINDEL</v>
      </c>
      <c r="E10" s="701">
        <f t="shared" si="0"/>
        <v>0</v>
      </c>
      <c r="F10" s="638"/>
      <c r="G10" s="639"/>
      <c r="H10" s="555"/>
      <c r="I10" s="555"/>
      <c r="J10" s="555"/>
      <c r="K10" s="702">
        <f t="shared" si="1"/>
        <v>0</v>
      </c>
      <c r="L10" s="703">
        <f t="shared" si="3"/>
        <v>0</v>
      </c>
      <c r="M10" s="704">
        <f t="shared" si="4"/>
        <v>0</v>
      </c>
      <c r="N10" s="717"/>
      <c r="O10" s="638"/>
      <c r="P10" s="638"/>
      <c r="Q10" s="638"/>
      <c r="R10" s="639"/>
      <c r="S10" s="639"/>
      <c r="T10" s="555"/>
      <c r="U10" s="705">
        <f t="shared" si="2"/>
        <v>0</v>
      </c>
      <c r="V10" s="703">
        <f t="shared" si="5"/>
        <v>0</v>
      </c>
      <c r="W10" s="704">
        <f t="shared" si="6"/>
        <v>0</v>
      </c>
      <c r="X10" s="717"/>
      <c r="Y10" s="555"/>
      <c r="Z10" s="555"/>
      <c r="AA10" s="555"/>
      <c r="AB10" s="555"/>
      <c r="AC10" s="555"/>
      <c r="AD10" s="706">
        <f t="shared" si="7"/>
        <v>0</v>
      </c>
      <c r="AE10" s="703">
        <f t="shared" si="8"/>
        <v>0</v>
      </c>
      <c r="AF10" s="704">
        <f t="shared" si="9"/>
        <v>0</v>
      </c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</row>
    <row r="11" spans="1:215" s="2" customFormat="1" ht="19.5" thickBot="1">
      <c r="A11" s="43">
        <v>5</v>
      </c>
      <c r="B11" s="512">
        <f>'REGISTRO DATOS'!C17</f>
        <v>0</v>
      </c>
      <c r="C11" s="512">
        <f>'REGISTRO DATOS'!D17</f>
        <v>0</v>
      </c>
      <c r="D11" s="512" t="str">
        <f>'REGISTRO DATOS'!E17</f>
        <v>NANCY</v>
      </c>
      <c r="E11" s="701">
        <f t="shared" si="0"/>
        <v>0</v>
      </c>
      <c r="F11" s="638"/>
      <c r="G11" s="639"/>
      <c r="H11" s="555"/>
      <c r="I11" s="555"/>
      <c r="J11" s="555"/>
      <c r="K11" s="702">
        <f t="shared" si="1"/>
        <v>0</v>
      </c>
      <c r="L11" s="703">
        <f t="shared" si="3"/>
        <v>0</v>
      </c>
      <c r="M11" s="704">
        <f t="shared" si="4"/>
        <v>0</v>
      </c>
      <c r="N11" s="717"/>
      <c r="O11" s="638"/>
      <c r="P11" s="638"/>
      <c r="Q11" s="638"/>
      <c r="R11" s="639"/>
      <c r="S11" s="639"/>
      <c r="T11" s="555"/>
      <c r="U11" s="705">
        <f t="shared" si="2"/>
        <v>0</v>
      </c>
      <c r="V11" s="703">
        <f t="shared" si="5"/>
        <v>0</v>
      </c>
      <c r="W11" s="704">
        <f t="shared" si="6"/>
        <v>0</v>
      </c>
      <c r="X11" s="717"/>
      <c r="Y11" s="555"/>
      <c r="Z11" s="555"/>
      <c r="AA11" s="555"/>
      <c r="AB11" s="555"/>
      <c r="AC11" s="555"/>
      <c r="AD11" s="706">
        <f t="shared" si="7"/>
        <v>0</v>
      </c>
      <c r="AE11" s="703">
        <f t="shared" si="8"/>
        <v>0</v>
      </c>
      <c r="AF11" s="704">
        <f t="shared" si="9"/>
        <v>0</v>
      </c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</row>
    <row r="12" spans="1:215" s="2" customFormat="1" ht="19.5" thickBot="1">
      <c r="A12" s="43">
        <v>6</v>
      </c>
      <c r="B12" s="512">
        <f>'REGISTRO DATOS'!C18</f>
        <v>0</v>
      </c>
      <c r="C12" s="512">
        <f>'REGISTRO DATOS'!D18</f>
        <v>0</v>
      </c>
      <c r="D12" s="512" t="str">
        <f>'REGISTRO DATOS'!E18</f>
        <v>MARIANA</v>
      </c>
      <c r="E12" s="701">
        <f t="shared" si="0"/>
        <v>0</v>
      </c>
      <c r="F12" s="638"/>
      <c r="G12" s="639"/>
      <c r="H12" s="555"/>
      <c r="I12" s="555"/>
      <c r="J12" s="555"/>
      <c r="K12" s="702">
        <f t="shared" si="1"/>
        <v>0</v>
      </c>
      <c r="L12" s="703">
        <f t="shared" si="3"/>
        <v>0</v>
      </c>
      <c r="M12" s="704">
        <f t="shared" si="4"/>
        <v>0</v>
      </c>
      <c r="N12" s="717"/>
      <c r="O12" s="638"/>
      <c r="P12" s="638"/>
      <c r="Q12" s="638"/>
      <c r="R12" s="639"/>
      <c r="S12" s="639"/>
      <c r="T12" s="555"/>
      <c r="U12" s="705">
        <f t="shared" si="2"/>
        <v>0</v>
      </c>
      <c r="V12" s="703">
        <f t="shared" si="5"/>
        <v>0</v>
      </c>
      <c r="W12" s="704">
        <f t="shared" si="6"/>
        <v>0</v>
      </c>
      <c r="X12" s="717"/>
      <c r="Y12" s="555"/>
      <c r="Z12" s="555"/>
      <c r="AA12" s="555"/>
      <c r="AB12" s="555"/>
      <c r="AC12" s="555"/>
      <c r="AD12" s="706">
        <f t="shared" si="7"/>
        <v>0</v>
      </c>
      <c r="AE12" s="703">
        <f t="shared" si="8"/>
        <v>0</v>
      </c>
      <c r="AF12" s="704">
        <f t="shared" si="9"/>
        <v>0</v>
      </c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</row>
    <row r="13" spans="1:215" s="2" customFormat="1" ht="19.5" thickBot="1">
      <c r="A13" s="43">
        <v>7</v>
      </c>
      <c r="B13" s="512" t="str">
        <f>'REGISTRO DATOS'!C19</f>
        <v xml:space="preserve">GONZALEZ </v>
      </c>
      <c r="C13" s="512" t="str">
        <f>'REGISTRO DATOS'!D19</f>
        <v>CHAVARRIA</v>
      </c>
      <c r="D13" s="512" t="str">
        <f>'REGISTRO DATOS'!E19</f>
        <v>STEPHANIE</v>
      </c>
      <c r="E13" s="701">
        <f t="shared" si="0"/>
        <v>0</v>
      </c>
      <c r="F13" s="638"/>
      <c r="G13" s="639"/>
      <c r="H13" s="555"/>
      <c r="I13" s="555"/>
      <c r="J13" s="555"/>
      <c r="K13" s="702">
        <f t="shared" si="1"/>
        <v>0</v>
      </c>
      <c r="L13" s="703">
        <f t="shared" si="3"/>
        <v>0</v>
      </c>
      <c r="M13" s="704">
        <f t="shared" si="4"/>
        <v>0</v>
      </c>
      <c r="N13" s="717"/>
      <c r="O13" s="638"/>
      <c r="P13" s="638"/>
      <c r="Q13" s="638"/>
      <c r="R13" s="639"/>
      <c r="S13" s="639"/>
      <c r="T13" s="555"/>
      <c r="U13" s="705">
        <f t="shared" si="2"/>
        <v>0</v>
      </c>
      <c r="V13" s="703">
        <f t="shared" si="5"/>
        <v>0</v>
      </c>
      <c r="W13" s="704">
        <f t="shared" si="6"/>
        <v>0</v>
      </c>
      <c r="X13" s="717"/>
      <c r="Y13" s="555"/>
      <c r="Z13" s="555"/>
      <c r="AA13" s="555"/>
      <c r="AB13" s="555"/>
      <c r="AC13" s="555"/>
      <c r="AD13" s="706">
        <f t="shared" si="7"/>
        <v>0</v>
      </c>
      <c r="AE13" s="703">
        <f t="shared" si="8"/>
        <v>0</v>
      </c>
      <c r="AF13" s="704">
        <f t="shared" si="9"/>
        <v>0</v>
      </c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</row>
    <row r="14" spans="1:215" s="2" customFormat="1" ht="19.5" thickBot="1">
      <c r="A14" s="43">
        <v>8</v>
      </c>
      <c r="B14" s="512">
        <f>'REGISTRO DATOS'!C20</f>
        <v>0</v>
      </c>
      <c r="C14" s="512">
        <f>'REGISTRO DATOS'!D20</f>
        <v>0</v>
      </c>
      <c r="D14" s="512" t="str">
        <f>'REGISTRO DATOS'!E20</f>
        <v>YASCINI</v>
      </c>
      <c r="E14" s="701">
        <f t="shared" si="0"/>
        <v>0</v>
      </c>
      <c r="F14" s="638"/>
      <c r="G14" s="639"/>
      <c r="H14" s="555"/>
      <c r="I14" s="555"/>
      <c r="J14" s="555"/>
      <c r="K14" s="702">
        <f t="shared" si="1"/>
        <v>0</v>
      </c>
      <c r="L14" s="703">
        <f t="shared" si="3"/>
        <v>0</v>
      </c>
      <c r="M14" s="704">
        <f t="shared" si="4"/>
        <v>0</v>
      </c>
      <c r="N14" s="717"/>
      <c r="O14" s="638"/>
      <c r="P14" s="638"/>
      <c r="Q14" s="638"/>
      <c r="R14" s="639"/>
      <c r="S14" s="639"/>
      <c r="T14" s="555"/>
      <c r="U14" s="705">
        <f t="shared" si="2"/>
        <v>0</v>
      </c>
      <c r="V14" s="703">
        <f t="shared" si="5"/>
        <v>0</v>
      </c>
      <c r="W14" s="704">
        <f t="shared" si="6"/>
        <v>0</v>
      </c>
      <c r="X14" s="717"/>
      <c r="Y14" s="555"/>
      <c r="Z14" s="555"/>
      <c r="AA14" s="555"/>
      <c r="AB14" s="555"/>
      <c r="AC14" s="555"/>
      <c r="AD14" s="706">
        <f t="shared" si="7"/>
        <v>0</v>
      </c>
      <c r="AE14" s="703">
        <f t="shared" si="8"/>
        <v>0</v>
      </c>
      <c r="AF14" s="704">
        <f t="shared" si="9"/>
        <v>0</v>
      </c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</row>
    <row r="15" spans="1:215" s="2" customFormat="1" ht="19.5" thickBot="1">
      <c r="A15" s="43">
        <v>9</v>
      </c>
      <c r="B15" s="512" t="str">
        <f>'REGISTRO DATOS'!C21</f>
        <v>CUBILLO</v>
      </c>
      <c r="C15" s="512">
        <f>'REGISTRO DATOS'!D21</f>
        <v>0</v>
      </c>
      <c r="D15" s="512" t="str">
        <f>'REGISTRO DATOS'!E21</f>
        <v xml:space="preserve">DYLAN </v>
      </c>
      <c r="E15" s="701">
        <f t="shared" si="0"/>
        <v>0</v>
      </c>
      <c r="F15" s="638"/>
      <c r="G15" s="639"/>
      <c r="H15" s="555"/>
      <c r="I15" s="555"/>
      <c r="J15" s="555"/>
      <c r="K15" s="702">
        <f t="shared" si="1"/>
        <v>0</v>
      </c>
      <c r="L15" s="703">
        <f t="shared" si="3"/>
        <v>0</v>
      </c>
      <c r="M15" s="704">
        <f t="shared" si="4"/>
        <v>0</v>
      </c>
      <c r="N15" s="717"/>
      <c r="O15" s="638"/>
      <c r="P15" s="638"/>
      <c r="Q15" s="638"/>
      <c r="R15" s="639"/>
      <c r="S15" s="639"/>
      <c r="T15" s="555"/>
      <c r="U15" s="705">
        <f t="shared" si="2"/>
        <v>0</v>
      </c>
      <c r="V15" s="703">
        <f t="shared" si="5"/>
        <v>0</v>
      </c>
      <c r="W15" s="704">
        <f t="shared" si="6"/>
        <v>0</v>
      </c>
      <c r="X15" s="717"/>
      <c r="Y15" s="555"/>
      <c r="Z15" s="555"/>
      <c r="AA15" s="555"/>
      <c r="AB15" s="555"/>
      <c r="AC15" s="555"/>
      <c r="AD15" s="706">
        <f t="shared" si="7"/>
        <v>0</v>
      </c>
      <c r="AE15" s="703">
        <f t="shared" si="8"/>
        <v>0</v>
      </c>
      <c r="AF15" s="704">
        <f t="shared" si="9"/>
        <v>0</v>
      </c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</row>
    <row r="16" spans="1:215" s="2" customFormat="1" ht="19.5" thickBot="1">
      <c r="A16" s="43">
        <v>10</v>
      </c>
      <c r="B16" s="512">
        <f>'REGISTRO DATOS'!C22</f>
        <v>0</v>
      </c>
      <c r="C16" s="512">
        <f>'REGISTRO DATOS'!D22</f>
        <v>0</v>
      </c>
      <c r="D16" s="512" t="str">
        <f>'REGISTRO DATOS'!E22</f>
        <v>KATTYA</v>
      </c>
      <c r="E16" s="701">
        <f t="shared" si="0"/>
        <v>0</v>
      </c>
      <c r="F16" s="638"/>
      <c r="G16" s="639"/>
      <c r="H16" s="555"/>
      <c r="I16" s="555"/>
      <c r="J16" s="555"/>
      <c r="K16" s="702">
        <f t="shared" si="1"/>
        <v>0</v>
      </c>
      <c r="L16" s="703">
        <f t="shared" si="3"/>
        <v>0</v>
      </c>
      <c r="M16" s="704">
        <f t="shared" si="4"/>
        <v>0</v>
      </c>
      <c r="N16" s="717"/>
      <c r="O16" s="638"/>
      <c r="P16" s="638"/>
      <c r="Q16" s="638"/>
      <c r="R16" s="639"/>
      <c r="S16" s="639"/>
      <c r="T16" s="555"/>
      <c r="U16" s="705">
        <f t="shared" si="2"/>
        <v>0</v>
      </c>
      <c r="V16" s="703">
        <f t="shared" si="5"/>
        <v>0</v>
      </c>
      <c r="W16" s="704">
        <f t="shared" si="6"/>
        <v>0</v>
      </c>
      <c r="X16" s="717"/>
      <c r="Y16" s="555"/>
      <c r="Z16" s="555"/>
      <c r="AA16" s="555"/>
      <c r="AB16" s="555"/>
      <c r="AC16" s="555"/>
      <c r="AD16" s="706">
        <f t="shared" si="7"/>
        <v>0</v>
      </c>
      <c r="AE16" s="703">
        <f t="shared" si="8"/>
        <v>0</v>
      </c>
      <c r="AF16" s="704">
        <f t="shared" si="9"/>
        <v>0</v>
      </c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</row>
    <row r="17" spans="1:215" s="2" customFormat="1" ht="19.5" thickBot="1">
      <c r="A17" s="43">
        <v>11</v>
      </c>
      <c r="B17" s="512" t="str">
        <f>'REGISTRO DATOS'!C23</f>
        <v>BRIZUELA</v>
      </c>
      <c r="C17" s="512">
        <f>'REGISTRO DATOS'!D23</f>
        <v>0</v>
      </c>
      <c r="D17" s="512" t="str">
        <f>'REGISTRO DATOS'!E23</f>
        <v>FABIOLA</v>
      </c>
      <c r="E17" s="701">
        <f t="shared" si="0"/>
        <v>0</v>
      </c>
      <c r="F17" s="638"/>
      <c r="G17" s="639"/>
      <c r="H17" s="555"/>
      <c r="I17" s="555"/>
      <c r="J17" s="555"/>
      <c r="K17" s="702">
        <f t="shared" si="1"/>
        <v>0</v>
      </c>
      <c r="L17" s="703">
        <f t="shared" si="3"/>
        <v>0</v>
      </c>
      <c r="M17" s="704">
        <f t="shared" si="4"/>
        <v>0</v>
      </c>
      <c r="N17" s="717"/>
      <c r="O17" s="638"/>
      <c r="P17" s="638"/>
      <c r="Q17" s="638"/>
      <c r="R17" s="639"/>
      <c r="S17" s="639"/>
      <c r="T17" s="555"/>
      <c r="U17" s="705">
        <f t="shared" si="2"/>
        <v>0</v>
      </c>
      <c r="V17" s="703">
        <f t="shared" si="5"/>
        <v>0</v>
      </c>
      <c r="W17" s="704">
        <f t="shared" si="6"/>
        <v>0</v>
      </c>
      <c r="X17" s="717"/>
      <c r="Y17" s="555"/>
      <c r="Z17" s="555"/>
      <c r="AA17" s="555"/>
      <c r="AB17" s="555"/>
      <c r="AC17" s="555"/>
      <c r="AD17" s="706">
        <f t="shared" si="7"/>
        <v>0</v>
      </c>
      <c r="AE17" s="703">
        <f t="shared" si="8"/>
        <v>0</v>
      </c>
      <c r="AF17" s="704">
        <f t="shared" si="9"/>
        <v>0</v>
      </c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</row>
    <row r="18" spans="1:215" s="2" customFormat="1" ht="19.5" thickBot="1">
      <c r="A18" s="43">
        <v>12</v>
      </c>
      <c r="B18" s="512">
        <f>'REGISTRO DATOS'!C24</f>
        <v>0</v>
      </c>
      <c r="C18" s="512">
        <f>'REGISTRO DATOS'!D24</f>
        <v>0</v>
      </c>
      <c r="D18" s="512" t="str">
        <f>'REGISTRO DATOS'!E24</f>
        <v>DARIANA</v>
      </c>
      <c r="E18" s="701">
        <f t="shared" si="0"/>
        <v>0</v>
      </c>
      <c r="F18" s="638"/>
      <c r="G18" s="639"/>
      <c r="H18" s="555"/>
      <c r="I18" s="555"/>
      <c r="J18" s="555"/>
      <c r="K18" s="702">
        <f t="shared" si="1"/>
        <v>0</v>
      </c>
      <c r="L18" s="703">
        <f t="shared" si="3"/>
        <v>0</v>
      </c>
      <c r="M18" s="704">
        <f t="shared" si="4"/>
        <v>0</v>
      </c>
      <c r="N18" s="717"/>
      <c r="O18" s="638"/>
      <c r="P18" s="638"/>
      <c r="Q18" s="638"/>
      <c r="R18" s="639"/>
      <c r="S18" s="639"/>
      <c r="T18" s="555"/>
      <c r="U18" s="705">
        <f t="shared" si="2"/>
        <v>0</v>
      </c>
      <c r="V18" s="703">
        <f t="shared" si="5"/>
        <v>0</v>
      </c>
      <c r="W18" s="704">
        <f t="shared" si="6"/>
        <v>0</v>
      </c>
      <c r="X18" s="717"/>
      <c r="Y18" s="555"/>
      <c r="Z18" s="555"/>
      <c r="AA18" s="555"/>
      <c r="AB18" s="555"/>
      <c r="AC18" s="555"/>
      <c r="AD18" s="706">
        <f t="shared" si="7"/>
        <v>0</v>
      </c>
      <c r="AE18" s="703">
        <f t="shared" si="8"/>
        <v>0</v>
      </c>
      <c r="AF18" s="704">
        <f t="shared" si="9"/>
        <v>0</v>
      </c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</row>
    <row r="19" spans="1:215" s="2" customFormat="1" ht="19.5" thickBot="1">
      <c r="A19" s="43">
        <v>13</v>
      </c>
      <c r="B19" s="512">
        <f>'REGISTRO DATOS'!C25</f>
        <v>0</v>
      </c>
      <c r="C19" s="512">
        <f>'REGISTRO DATOS'!D25</f>
        <v>0</v>
      </c>
      <c r="D19" s="512" t="str">
        <f>'REGISTRO DATOS'!E25</f>
        <v>JENIFER</v>
      </c>
      <c r="E19" s="701">
        <f t="shared" si="0"/>
        <v>0</v>
      </c>
      <c r="F19" s="638"/>
      <c r="G19" s="639"/>
      <c r="H19" s="555"/>
      <c r="I19" s="555"/>
      <c r="J19" s="555"/>
      <c r="K19" s="702">
        <f t="shared" si="1"/>
        <v>0</v>
      </c>
      <c r="L19" s="703">
        <f t="shared" si="3"/>
        <v>0</v>
      </c>
      <c r="M19" s="704">
        <f t="shared" si="4"/>
        <v>0</v>
      </c>
      <c r="N19" s="717"/>
      <c r="O19" s="638"/>
      <c r="P19" s="638"/>
      <c r="Q19" s="638"/>
      <c r="R19" s="639"/>
      <c r="S19" s="639"/>
      <c r="T19" s="555"/>
      <c r="U19" s="705">
        <f t="shared" si="2"/>
        <v>0</v>
      </c>
      <c r="V19" s="703">
        <f t="shared" si="5"/>
        <v>0</v>
      </c>
      <c r="W19" s="704">
        <f t="shared" si="6"/>
        <v>0</v>
      </c>
      <c r="X19" s="717"/>
      <c r="Y19" s="555"/>
      <c r="Z19" s="555"/>
      <c r="AA19" s="555"/>
      <c r="AB19" s="555"/>
      <c r="AC19" s="555"/>
      <c r="AD19" s="706">
        <f t="shared" si="7"/>
        <v>0</v>
      </c>
      <c r="AE19" s="703">
        <f t="shared" si="8"/>
        <v>0</v>
      </c>
      <c r="AF19" s="704">
        <f t="shared" si="9"/>
        <v>0</v>
      </c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</row>
    <row r="20" spans="1:215" s="2" customFormat="1" ht="19.5" thickBot="1">
      <c r="A20" s="43">
        <v>14</v>
      </c>
      <c r="B20" s="512">
        <f>'REGISTRO DATOS'!C26</f>
        <v>0</v>
      </c>
      <c r="C20" s="512">
        <f>'REGISTRO DATOS'!D26</f>
        <v>0</v>
      </c>
      <c r="D20" s="512" t="str">
        <f>'REGISTRO DATOS'!E26</f>
        <v>GABRIELA</v>
      </c>
      <c r="E20" s="701">
        <f t="shared" si="0"/>
        <v>0</v>
      </c>
      <c r="F20" s="638"/>
      <c r="G20" s="639"/>
      <c r="H20" s="555"/>
      <c r="I20" s="555"/>
      <c r="J20" s="555"/>
      <c r="K20" s="702">
        <f t="shared" si="1"/>
        <v>0</v>
      </c>
      <c r="L20" s="703">
        <f t="shared" si="3"/>
        <v>0</v>
      </c>
      <c r="M20" s="704">
        <f t="shared" si="4"/>
        <v>0</v>
      </c>
      <c r="N20" s="717"/>
      <c r="O20" s="638"/>
      <c r="P20" s="638"/>
      <c r="Q20" s="638"/>
      <c r="R20" s="639"/>
      <c r="S20" s="639"/>
      <c r="T20" s="555"/>
      <c r="U20" s="705">
        <f t="shared" si="2"/>
        <v>0</v>
      </c>
      <c r="V20" s="703">
        <f t="shared" si="5"/>
        <v>0</v>
      </c>
      <c r="W20" s="704">
        <f t="shared" si="6"/>
        <v>0</v>
      </c>
      <c r="X20" s="717"/>
      <c r="Y20" s="555"/>
      <c r="Z20" s="555"/>
      <c r="AA20" s="555"/>
      <c r="AB20" s="555"/>
      <c r="AC20" s="555"/>
      <c r="AD20" s="706">
        <f t="shared" si="7"/>
        <v>0</v>
      </c>
      <c r="AE20" s="703">
        <f t="shared" si="8"/>
        <v>0</v>
      </c>
      <c r="AF20" s="704">
        <f t="shared" si="9"/>
        <v>0</v>
      </c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</row>
    <row r="21" spans="1:215" s="2" customFormat="1" ht="19.5" thickBot="1">
      <c r="A21" s="43">
        <v>15</v>
      </c>
      <c r="B21" s="512" t="str">
        <f>'REGISTRO DATOS'!C27</f>
        <v xml:space="preserve">SERRANO </v>
      </c>
      <c r="C21" s="512" t="str">
        <f>'REGISTRO DATOS'!D27</f>
        <v>VILLEGAS</v>
      </c>
      <c r="D21" s="512" t="str">
        <f>'REGISTRO DATOS'!E27</f>
        <v xml:space="preserve">DYLAN </v>
      </c>
      <c r="E21" s="701">
        <f t="shared" si="0"/>
        <v>0</v>
      </c>
      <c r="F21" s="638"/>
      <c r="G21" s="639"/>
      <c r="H21" s="555"/>
      <c r="I21" s="555"/>
      <c r="J21" s="555"/>
      <c r="K21" s="702">
        <f t="shared" si="1"/>
        <v>0</v>
      </c>
      <c r="L21" s="703">
        <f t="shared" si="3"/>
        <v>0</v>
      </c>
      <c r="M21" s="704">
        <f t="shared" si="4"/>
        <v>0</v>
      </c>
      <c r="N21" s="717"/>
      <c r="O21" s="638"/>
      <c r="P21" s="638"/>
      <c r="Q21" s="638"/>
      <c r="R21" s="639"/>
      <c r="S21" s="639"/>
      <c r="T21" s="555"/>
      <c r="U21" s="705">
        <f t="shared" si="2"/>
        <v>0</v>
      </c>
      <c r="V21" s="703">
        <f t="shared" si="5"/>
        <v>0</v>
      </c>
      <c r="W21" s="704">
        <f t="shared" si="6"/>
        <v>0</v>
      </c>
      <c r="X21" s="717"/>
      <c r="Y21" s="555"/>
      <c r="Z21" s="555"/>
      <c r="AA21" s="555"/>
      <c r="AB21" s="555"/>
      <c r="AC21" s="555"/>
      <c r="AD21" s="706">
        <f t="shared" si="7"/>
        <v>0</v>
      </c>
      <c r="AE21" s="703">
        <f t="shared" si="8"/>
        <v>0</v>
      </c>
      <c r="AF21" s="704">
        <f t="shared" si="9"/>
        <v>0</v>
      </c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</row>
    <row r="22" spans="1:215" s="2" customFormat="1" ht="19.5" thickBot="1">
      <c r="A22" s="43">
        <v>16</v>
      </c>
      <c r="B22" s="512">
        <f>'REGISTRO DATOS'!C28</f>
        <v>0</v>
      </c>
      <c r="C22" s="512">
        <f>'REGISTRO DATOS'!D28</f>
        <v>0</v>
      </c>
      <c r="D22" s="512" t="str">
        <f>'REGISTRO DATOS'!E28</f>
        <v>ANA</v>
      </c>
      <c r="E22" s="701">
        <f t="shared" si="0"/>
        <v>0</v>
      </c>
      <c r="F22" s="638"/>
      <c r="G22" s="639"/>
      <c r="H22" s="555"/>
      <c r="I22" s="555"/>
      <c r="J22" s="555"/>
      <c r="K22" s="702">
        <f t="shared" si="1"/>
        <v>0</v>
      </c>
      <c r="L22" s="703">
        <f t="shared" si="3"/>
        <v>0</v>
      </c>
      <c r="M22" s="704">
        <f t="shared" si="4"/>
        <v>0</v>
      </c>
      <c r="N22" s="717"/>
      <c r="O22" s="638"/>
      <c r="P22" s="638"/>
      <c r="Q22" s="638"/>
      <c r="R22" s="639"/>
      <c r="S22" s="639"/>
      <c r="T22" s="555"/>
      <c r="U22" s="705">
        <f t="shared" si="2"/>
        <v>0</v>
      </c>
      <c r="V22" s="703">
        <f t="shared" si="5"/>
        <v>0</v>
      </c>
      <c r="W22" s="704">
        <f t="shared" si="6"/>
        <v>0</v>
      </c>
      <c r="X22" s="717"/>
      <c r="Y22" s="555"/>
      <c r="Z22" s="555"/>
      <c r="AA22" s="555"/>
      <c r="AB22" s="555"/>
      <c r="AC22" s="555"/>
      <c r="AD22" s="706">
        <f t="shared" si="7"/>
        <v>0</v>
      </c>
      <c r="AE22" s="703">
        <f t="shared" si="8"/>
        <v>0</v>
      </c>
      <c r="AF22" s="704">
        <f t="shared" si="9"/>
        <v>0</v>
      </c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</row>
    <row r="23" spans="1:215" s="2" customFormat="1" ht="19.5" thickBot="1">
      <c r="A23" s="43">
        <v>17</v>
      </c>
      <c r="B23" s="512" t="str">
        <f>'REGISTRO DATOS'!C29</f>
        <v>QUIROS</v>
      </c>
      <c r="C23" s="512">
        <f>'REGISTRO DATOS'!D29</f>
        <v>0</v>
      </c>
      <c r="D23" s="512" t="str">
        <f>'REGISTRO DATOS'!E29</f>
        <v>ANDY</v>
      </c>
      <c r="E23" s="701">
        <f t="shared" si="0"/>
        <v>0</v>
      </c>
      <c r="F23" s="638"/>
      <c r="G23" s="639"/>
      <c r="H23" s="555"/>
      <c r="I23" s="555"/>
      <c r="J23" s="555"/>
      <c r="K23" s="702">
        <f t="shared" si="1"/>
        <v>0</v>
      </c>
      <c r="L23" s="703">
        <f t="shared" si="3"/>
        <v>0</v>
      </c>
      <c r="M23" s="704">
        <f t="shared" si="4"/>
        <v>0</v>
      </c>
      <c r="N23" s="717"/>
      <c r="O23" s="638"/>
      <c r="P23" s="638"/>
      <c r="Q23" s="638"/>
      <c r="R23" s="639"/>
      <c r="S23" s="639"/>
      <c r="T23" s="555"/>
      <c r="U23" s="705">
        <f t="shared" si="2"/>
        <v>0</v>
      </c>
      <c r="V23" s="703">
        <f t="shared" si="5"/>
        <v>0</v>
      </c>
      <c r="W23" s="704">
        <f t="shared" si="6"/>
        <v>0</v>
      </c>
      <c r="X23" s="717"/>
      <c r="Y23" s="555"/>
      <c r="Z23" s="555"/>
      <c r="AA23" s="555"/>
      <c r="AB23" s="555"/>
      <c r="AC23" s="555"/>
      <c r="AD23" s="706">
        <f t="shared" si="7"/>
        <v>0</v>
      </c>
      <c r="AE23" s="703">
        <f t="shared" si="8"/>
        <v>0</v>
      </c>
      <c r="AF23" s="704">
        <f t="shared" si="9"/>
        <v>0</v>
      </c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</row>
    <row r="24" spans="1:215" s="2" customFormat="1" ht="19.5" thickBot="1">
      <c r="A24" s="43">
        <v>18</v>
      </c>
      <c r="B24" s="512" t="str">
        <f>'REGISTRO DATOS'!C30</f>
        <v>RIVER</v>
      </c>
      <c r="C24" s="512">
        <f>'REGISTRO DATOS'!D30</f>
        <v>0</v>
      </c>
      <c r="D24" s="512" t="str">
        <f>'REGISTRO DATOS'!E30</f>
        <v>STEPHANIE</v>
      </c>
      <c r="E24" s="701">
        <f t="shared" si="0"/>
        <v>0</v>
      </c>
      <c r="F24" s="638"/>
      <c r="G24" s="639"/>
      <c r="H24" s="555"/>
      <c r="I24" s="555"/>
      <c r="J24" s="555"/>
      <c r="K24" s="702">
        <f t="shared" si="1"/>
        <v>0</v>
      </c>
      <c r="L24" s="703">
        <f t="shared" si="3"/>
        <v>0</v>
      </c>
      <c r="M24" s="704">
        <f t="shared" si="4"/>
        <v>0</v>
      </c>
      <c r="N24" s="717"/>
      <c r="O24" s="638"/>
      <c r="P24" s="638"/>
      <c r="Q24" s="638"/>
      <c r="R24" s="639"/>
      <c r="S24" s="639"/>
      <c r="T24" s="555"/>
      <c r="U24" s="705">
        <f t="shared" si="2"/>
        <v>0</v>
      </c>
      <c r="V24" s="703">
        <f t="shared" si="5"/>
        <v>0</v>
      </c>
      <c r="W24" s="704">
        <f t="shared" si="6"/>
        <v>0</v>
      </c>
      <c r="X24" s="717"/>
      <c r="Y24" s="555"/>
      <c r="Z24" s="555"/>
      <c r="AA24" s="555"/>
      <c r="AB24" s="555"/>
      <c r="AC24" s="555"/>
      <c r="AD24" s="706">
        <f t="shared" si="7"/>
        <v>0</v>
      </c>
      <c r="AE24" s="703">
        <f t="shared" si="8"/>
        <v>0</v>
      </c>
      <c r="AF24" s="704">
        <f t="shared" si="9"/>
        <v>0</v>
      </c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</row>
    <row r="25" spans="1:215" s="2" customFormat="1" ht="19.5" thickBot="1">
      <c r="A25" s="43">
        <v>19</v>
      </c>
      <c r="B25" s="512">
        <f>'REGISTRO DATOS'!C31</f>
        <v>0</v>
      </c>
      <c r="C25" s="512" t="str">
        <f>'REGISTRO DATOS'!D31</f>
        <v>FABIAN</v>
      </c>
      <c r="D25" s="512">
        <f>'REGISTRO DATOS'!E31</f>
        <v>0</v>
      </c>
      <c r="E25" s="701">
        <f t="shared" si="0"/>
        <v>0</v>
      </c>
      <c r="F25" s="638"/>
      <c r="G25" s="639"/>
      <c r="H25" s="555"/>
      <c r="I25" s="555"/>
      <c r="J25" s="555"/>
      <c r="K25" s="702">
        <f t="shared" si="1"/>
        <v>0</v>
      </c>
      <c r="L25" s="703">
        <f t="shared" si="3"/>
        <v>0</v>
      </c>
      <c r="M25" s="704">
        <f t="shared" si="4"/>
        <v>0</v>
      </c>
      <c r="N25" s="717"/>
      <c r="O25" s="638"/>
      <c r="P25" s="638"/>
      <c r="Q25" s="638"/>
      <c r="R25" s="639"/>
      <c r="S25" s="639"/>
      <c r="T25" s="555"/>
      <c r="U25" s="705">
        <f t="shared" si="2"/>
        <v>0</v>
      </c>
      <c r="V25" s="703">
        <f t="shared" si="5"/>
        <v>0</v>
      </c>
      <c r="W25" s="704">
        <f t="shared" si="6"/>
        <v>0</v>
      </c>
      <c r="X25" s="717"/>
      <c r="Y25" s="555"/>
      <c r="Z25" s="555"/>
      <c r="AA25" s="555"/>
      <c r="AB25" s="555"/>
      <c r="AC25" s="555"/>
      <c r="AD25" s="706">
        <f t="shared" si="7"/>
        <v>0</v>
      </c>
      <c r="AE25" s="703">
        <f t="shared" si="8"/>
        <v>0</v>
      </c>
      <c r="AF25" s="704">
        <f t="shared" si="9"/>
        <v>0</v>
      </c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</row>
    <row r="26" spans="1:215" s="2" customFormat="1" ht="19.5" thickBot="1">
      <c r="A26" s="43">
        <v>20</v>
      </c>
      <c r="B26" s="512">
        <f>'REGISTRO DATOS'!C32</f>
        <v>0</v>
      </c>
      <c r="C26" s="512" t="str">
        <f>'REGISTRO DATOS'!D32</f>
        <v>EMILIN</v>
      </c>
      <c r="D26" s="512">
        <f>'REGISTRO DATOS'!E32</f>
        <v>0</v>
      </c>
      <c r="E26" s="701">
        <f t="shared" si="0"/>
        <v>0</v>
      </c>
      <c r="F26" s="638"/>
      <c r="G26" s="639"/>
      <c r="H26" s="555"/>
      <c r="I26" s="555"/>
      <c r="J26" s="555"/>
      <c r="K26" s="702">
        <f t="shared" si="1"/>
        <v>0</v>
      </c>
      <c r="L26" s="703">
        <f t="shared" si="3"/>
        <v>0</v>
      </c>
      <c r="M26" s="704">
        <f t="shared" si="4"/>
        <v>0</v>
      </c>
      <c r="N26" s="717"/>
      <c r="O26" s="638"/>
      <c r="P26" s="638"/>
      <c r="Q26" s="638"/>
      <c r="R26" s="639"/>
      <c r="S26" s="639"/>
      <c r="T26" s="555"/>
      <c r="U26" s="705">
        <f t="shared" si="2"/>
        <v>0</v>
      </c>
      <c r="V26" s="703">
        <f t="shared" si="5"/>
        <v>0</v>
      </c>
      <c r="W26" s="704">
        <f t="shared" si="6"/>
        <v>0</v>
      </c>
      <c r="X26" s="717"/>
      <c r="Y26" s="555"/>
      <c r="Z26" s="555"/>
      <c r="AA26" s="555"/>
      <c r="AB26" s="555"/>
      <c r="AC26" s="555"/>
      <c r="AD26" s="706">
        <f t="shared" si="7"/>
        <v>0</v>
      </c>
      <c r="AE26" s="703">
        <f t="shared" si="8"/>
        <v>0</v>
      </c>
      <c r="AF26" s="704">
        <f t="shared" si="9"/>
        <v>0</v>
      </c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</row>
    <row r="27" spans="1:215" s="2" customFormat="1" ht="19.5" thickBot="1">
      <c r="A27" s="43">
        <v>21</v>
      </c>
      <c r="B27" s="512">
        <f>'REGISTRO DATOS'!C33</f>
        <v>0</v>
      </c>
      <c r="C27" s="512">
        <f>'REGISTRO DATOS'!D33</f>
        <v>0</v>
      </c>
      <c r="D27" s="512">
        <f>'REGISTRO DATOS'!E33</f>
        <v>0</v>
      </c>
      <c r="E27" s="701">
        <f t="shared" si="0"/>
        <v>0</v>
      </c>
      <c r="F27" s="638"/>
      <c r="G27" s="639"/>
      <c r="H27" s="555"/>
      <c r="I27" s="555"/>
      <c r="J27" s="555"/>
      <c r="K27" s="702">
        <f t="shared" si="1"/>
        <v>0</v>
      </c>
      <c r="L27" s="703">
        <f t="shared" si="3"/>
        <v>0</v>
      </c>
      <c r="M27" s="704">
        <f t="shared" si="4"/>
        <v>0</v>
      </c>
      <c r="N27" s="717"/>
      <c r="O27" s="638"/>
      <c r="P27" s="638"/>
      <c r="Q27" s="638"/>
      <c r="R27" s="639"/>
      <c r="S27" s="639"/>
      <c r="T27" s="555"/>
      <c r="U27" s="705">
        <f t="shared" si="2"/>
        <v>0</v>
      </c>
      <c r="V27" s="703">
        <f t="shared" si="5"/>
        <v>0</v>
      </c>
      <c r="W27" s="704">
        <f t="shared" si="6"/>
        <v>0</v>
      </c>
      <c r="X27" s="717"/>
      <c r="Y27" s="555"/>
      <c r="Z27" s="555"/>
      <c r="AA27" s="555"/>
      <c r="AB27" s="555"/>
      <c r="AC27" s="555"/>
      <c r="AD27" s="706">
        <f t="shared" si="7"/>
        <v>0</v>
      </c>
      <c r="AE27" s="703">
        <f t="shared" si="8"/>
        <v>0</v>
      </c>
      <c r="AF27" s="704">
        <f t="shared" si="9"/>
        <v>0</v>
      </c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</row>
    <row r="28" spans="1:215" s="2" customFormat="1" ht="19.5" thickBot="1">
      <c r="A28" s="43">
        <v>22</v>
      </c>
      <c r="B28" s="512">
        <f>'REGISTRO DATOS'!C34</f>
        <v>0</v>
      </c>
      <c r="C28" s="512">
        <f>'REGISTRO DATOS'!D34</f>
        <v>0</v>
      </c>
      <c r="D28" s="512">
        <f>'REGISTRO DATOS'!E34</f>
        <v>0</v>
      </c>
      <c r="E28" s="701">
        <f t="shared" si="0"/>
        <v>0</v>
      </c>
      <c r="F28" s="638"/>
      <c r="G28" s="639"/>
      <c r="H28" s="555"/>
      <c r="I28" s="555"/>
      <c r="J28" s="555"/>
      <c r="K28" s="702">
        <f t="shared" si="1"/>
        <v>0</v>
      </c>
      <c r="L28" s="703">
        <f t="shared" si="3"/>
        <v>0</v>
      </c>
      <c r="M28" s="704">
        <f t="shared" si="4"/>
        <v>0</v>
      </c>
      <c r="N28" s="717"/>
      <c r="O28" s="638"/>
      <c r="P28" s="638"/>
      <c r="Q28" s="638"/>
      <c r="R28" s="639"/>
      <c r="S28" s="639"/>
      <c r="T28" s="555"/>
      <c r="U28" s="705">
        <f t="shared" si="2"/>
        <v>0</v>
      </c>
      <c r="V28" s="703">
        <f t="shared" si="5"/>
        <v>0</v>
      </c>
      <c r="W28" s="704">
        <f t="shared" si="6"/>
        <v>0</v>
      </c>
      <c r="X28" s="717"/>
      <c r="Y28" s="555"/>
      <c r="Z28" s="555"/>
      <c r="AA28" s="555"/>
      <c r="AB28" s="555"/>
      <c r="AC28" s="555"/>
      <c r="AD28" s="706">
        <f t="shared" si="7"/>
        <v>0</v>
      </c>
      <c r="AE28" s="703">
        <f t="shared" si="8"/>
        <v>0</v>
      </c>
      <c r="AF28" s="704">
        <f t="shared" si="9"/>
        <v>0</v>
      </c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</row>
    <row r="29" spans="1:215" s="2" customFormat="1" ht="19.5" thickBot="1">
      <c r="A29" s="43">
        <v>23</v>
      </c>
      <c r="B29" s="512">
        <f>'REGISTRO DATOS'!C35</f>
        <v>0</v>
      </c>
      <c r="C29" s="512">
        <f>'REGISTRO DATOS'!D35</f>
        <v>0</v>
      </c>
      <c r="D29" s="512">
        <f>'REGISTRO DATOS'!E35</f>
        <v>0</v>
      </c>
      <c r="E29" s="701">
        <f t="shared" si="0"/>
        <v>0</v>
      </c>
      <c r="F29" s="638"/>
      <c r="G29" s="639"/>
      <c r="H29" s="555"/>
      <c r="I29" s="555"/>
      <c r="J29" s="555"/>
      <c r="K29" s="702">
        <f t="shared" si="1"/>
        <v>0</v>
      </c>
      <c r="L29" s="703">
        <f t="shared" si="3"/>
        <v>0</v>
      </c>
      <c r="M29" s="704">
        <f t="shared" si="4"/>
        <v>0</v>
      </c>
      <c r="N29" s="717"/>
      <c r="O29" s="638"/>
      <c r="P29" s="638"/>
      <c r="Q29" s="638"/>
      <c r="R29" s="639"/>
      <c r="S29" s="639"/>
      <c r="T29" s="555"/>
      <c r="U29" s="705">
        <f t="shared" si="2"/>
        <v>0</v>
      </c>
      <c r="V29" s="703">
        <f t="shared" si="5"/>
        <v>0</v>
      </c>
      <c r="W29" s="704">
        <f t="shared" si="6"/>
        <v>0</v>
      </c>
      <c r="X29" s="717"/>
      <c r="Y29" s="555"/>
      <c r="Z29" s="555"/>
      <c r="AA29" s="555"/>
      <c r="AB29" s="555"/>
      <c r="AC29" s="555"/>
      <c r="AD29" s="706">
        <f t="shared" si="7"/>
        <v>0</v>
      </c>
      <c r="AE29" s="703">
        <f t="shared" si="8"/>
        <v>0</v>
      </c>
      <c r="AF29" s="704">
        <f t="shared" si="9"/>
        <v>0</v>
      </c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</row>
    <row r="30" spans="1:215" s="2" customFormat="1" ht="19.5" thickBot="1">
      <c r="A30" s="43">
        <v>24</v>
      </c>
      <c r="B30" s="512">
        <f>'REGISTRO DATOS'!C36</f>
        <v>0</v>
      </c>
      <c r="C30" s="512">
        <f>'REGISTRO DATOS'!D36</f>
        <v>0</v>
      </c>
      <c r="D30" s="512">
        <f>'REGISTRO DATOS'!E36</f>
        <v>0</v>
      </c>
      <c r="E30" s="701">
        <f t="shared" si="0"/>
        <v>0</v>
      </c>
      <c r="F30" s="638"/>
      <c r="G30" s="639"/>
      <c r="H30" s="555"/>
      <c r="I30" s="555"/>
      <c r="J30" s="555"/>
      <c r="K30" s="702">
        <f t="shared" si="1"/>
        <v>0</v>
      </c>
      <c r="L30" s="703">
        <f t="shared" si="3"/>
        <v>0</v>
      </c>
      <c r="M30" s="704">
        <f t="shared" si="4"/>
        <v>0</v>
      </c>
      <c r="N30" s="717"/>
      <c r="O30" s="638"/>
      <c r="P30" s="638"/>
      <c r="Q30" s="638"/>
      <c r="R30" s="639"/>
      <c r="S30" s="639"/>
      <c r="T30" s="555"/>
      <c r="U30" s="705">
        <f t="shared" si="2"/>
        <v>0</v>
      </c>
      <c r="V30" s="703">
        <f t="shared" si="5"/>
        <v>0</v>
      </c>
      <c r="W30" s="704">
        <f t="shared" si="6"/>
        <v>0</v>
      </c>
      <c r="X30" s="717"/>
      <c r="Y30" s="555"/>
      <c r="Z30" s="555"/>
      <c r="AA30" s="555"/>
      <c r="AB30" s="555"/>
      <c r="AC30" s="555"/>
      <c r="AD30" s="706">
        <f t="shared" si="7"/>
        <v>0</v>
      </c>
      <c r="AE30" s="703">
        <f t="shared" si="8"/>
        <v>0</v>
      </c>
      <c r="AF30" s="704">
        <f t="shared" si="9"/>
        <v>0</v>
      </c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</row>
    <row r="31" spans="1:215" s="2" customFormat="1" ht="19.5" thickBot="1">
      <c r="A31" s="43">
        <v>25</v>
      </c>
      <c r="B31" s="512">
        <f>'REGISTRO DATOS'!C37</f>
        <v>0</v>
      </c>
      <c r="C31" s="512">
        <f>'REGISTRO DATOS'!D37</f>
        <v>0</v>
      </c>
      <c r="D31" s="512">
        <f>'REGISTRO DATOS'!E37</f>
        <v>0</v>
      </c>
      <c r="E31" s="701">
        <f t="shared" si="0"/>
        <v>0</v>
      </c>
      <c r="F31" s="638"/>
      <c r="G31" s="639"/>
      <c r="H31" s="555"/>
      <c r="I31" s="555"/>
      <c r="J31" s="555"/>
      <c r="K31" s="702">
        <f t="shared" si="1"/>
        <v>0</v>
      </c>
      <c r="L31" s="703">
        <f t="shared" si="3"/>
        <v>0</v>
      </c>
      <c r="M31" s="704">
        <f t="shared" si="4"/>
        <v>0</v>
      </c>
      <c r="N31" s="717"/>
      <c r="O31" s="638"/>
      <c r="P31" s="638"/>
      <c r="Q31" s="638"/>
      <c r="R31" s="639"/>
      <c r="S31" s="639"/>
      <c r="T31" s="555"/>
      <c r="U31" s="705">
        <f t="shared" si="2"/>
        <v>0</v>
      </c>
      <c r="V31" s="703">
        <f t="shared" si="5"/>
        <v>0</v>
      </c>
      <c r="W31" s="704">
        <f t="shared" si="6"/>
        <v>0</v>
      </c>
      <c r="X31" s="717"/>
      <c r="Y31" s="555"/>
      <c r="Z31" s="555"/>
      <c r="AA31" s="555"/>
      <c r="AB31" s="555"/>
      <c r="AC31" s="555"/>
      <c r="AD31" s="706">
        <f t="shared" si="7"/>
        <v>0</v>
      </c>
      <c r="AE31" s="703">
        <f t="shared" si="8"/>
        <v>0</v>
      </c>
      <c r="AF31" s="704">
        <f t="shared" si="9"/>
        <v>0</v>
      </c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</row>
    <row r="32" spans="1:215" s="2" customFormat="1" ht="19.5" thickBot="1">
      <c r="A32" s="43">
        <v>26</v>
      </c>
      <c r="B32" s="512">
        <f>'REGISTRO DATOS'!C38</f>
        <v>0</v>
      </c>
      <c r="C32" s="512">
        <f>'REGISTRO DATOS'!D38</f>
        <v>0</v>
      </c>
      <c r="D32" s="512">
        <f>'REGISTRO DATOS'!E38</f>
        <v>0</v>
      </c>
      <c r="E32" s="701">
        <f t="shared" si="0"/>
        <v>0</v>
      </c>
      <c r="F32" s="638"/>
      <c r="G32" s="639"/>
      <c r="H32" s="555"/>
      <c r="I32" s="555"/>
      <c r="J32" s="555"/>
      <c r="K32" s="702">
        <f t="shared" si="1"/>
        <v>0</v>
      </c>
      <c r="L32" s="703">
        <f t="shared" si="3"/>
        <v>0</v>
      </c>
      <c r="M32" s="704">
        <f t="shared" si="4"/>
        <v>0</v>
      </c>
      <c r="N32" s="717"/>
      <c r="O32" s="638"/>
      <c r="P32" s="638"/>
      <c r="Q32" s="638"/>
      <c r="R32" s="639"/>
      <c r="S32" s="639"/>
      <c r="T32" s="555"/>
      <c r="U32" s="705">
        <f t="shared" si="2"/>
        <v>0</v>
      </c>
      <c r="V32" s="703">
        <f t="shared" si="5"/>
        <v>0</v>
      </c>
      <c r="W32" s="704">
        <f t="shared" si="6"/>
        <v>0</v>
      </c>
      <c r="X32" s="717"/>
      <c r="Y32" s="555"/>
      <c r="Z32" s="555"/>
      <c r="AA32" s="555"/>
      <c r="AB32" s="555"/>
      <c r="AC32" s="555"/>
      <c r="AD32" s="706">
        <f t="shared" si="7"/>
        <v>0</v>
      </c>
      <c r="AE32" s="703">
        <f t="shared" si="8"/>
        <v>0</v>
      </c>
      <c r="AF32" s="704">
        <f t="shared" si="9"/>
        <v>0</v>
      </c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</row>
    <row r="33" spans="1:215" s="2" customFormat="1" ht="19.5" thickBot="1">
      <c r="A33" s="43">
        <v>27</v>
      </c>
      <c r="B33" s="512">
        <f>'REGISTRO DATOS'!C39</f>
        <v>0</v>
      </c>
      <c r="C33" s="512">
        <f>'REGISTRO DATOS'!D39</f>
        <v>0</v>
      </c>
      <c r="D33" s="512">
        <f>'REGISTRO DATOS'!E39</f>
        <v>0</v>
      </c>
      <c r="E33" s="701">
        <f t="shared" si="0"/>
        <v>0</v>
      </c>
      <c r="F33" s="638"/>
      <c r="G33" s="639"/>
      <c r="H33" s="555"/>
      <c r="I33" s="555"/>
      <c r="J33" s="555"/>
      <c r="K33" s="702">
        <f t="shared" si="1"/>
        <v>0</v>
      </c>
      <c r="L33" s="703">
        <f t="shared" si="3"/>
        <v>0</v>
      </c>
      <c r="M33" s="704">
        <f t="shared" si="4"/>
        <v>0</v>
      </c>
      <c r="N33" s="717"/>
      <c r="O33" s="638"/>
      <c r="P33" s="638"/>
      <c r="Q33" s="638"/>
      <c r="R33" s="639"/>
      <c r="S33" s="639"/>
      <c r="T33" s="555"/>
      <c r="U33" s="705">
        <f t="shared" si="2"/>
        <v>0</v>
      </c>
      <c r="V33" s="703">
        <f t="shared" si="5"/>
        <v>0</v>
      </c>
      <c r="W33" s="704">
        <f t="shared" si="6"/>
        <v>0</v>
      </c>
      <c r="X33" s="717"/>
      <c r="Y33" s="555"/>
      <c r="Z33" s="555"/>
      <c r="AA33" s="555"/>
      <c r="AB33" s="555"/>
      <c r="AC33" s="555"/>
      <c r="AD33" s="706">
        <f t="shared" si="7"/>
        <v>0</v>
      </c>
      <c r="AE33" s="703">
        <f t="shared" si="8"/>
        <v>0</v>
      </c>
      <c r="AF33" s="704">
        <f t="shared" si="9"/>
        <v>0</v>
      </c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</row>
    <row r="34" spans="1:215" s="2" customFormat="1" ht="19.5" thickBot="1">
      <c r="A34" s="43">
        <v>28</v>
      </c>
      <c r="B34" s="512">
        <f>'REGISTRO DATOS'!C40</f>
        <v>0</v>
      </c>
      <c r="C34" s="512">
        <f>'REGISTRO DATOS'!D40</f>
        <v>0</v>
      </c>
      <c r="D34" s="512">
        <f>'REGISTRO DATOS'!E40</f>
        <v>0</v>
      </c>
      <c r="E34" s="701">
        <f t="shared" si="0"/>
        <v>0</v>
      </c>
      <c r="F34" s="638"/>
      <c r="G34" s="639"/>
      <c r="H34" s="555"/>
      <c r="I34" s="555"/>
      <c r="J34" s="555"/>
      <c r="K34" s="702">
        <f t="shared" si="1"/>
        <v>0</v>
      </c>
      <c r="L34" s="703">
        <f t="shared" si="3"/>
        <v>0</v>
      </c>
      <c r="M34" s="704">
        <f t="shared" si="4"/>
        <v>0</v>
      </c>
      <c r="N34" s="717"/>
      <c r="O34" s="638"/>
      <c r="P34" s="638"/>
      <c r="Q34" s="638"/>
      <c r="R34" s="639"/>
      <c r="S34" s="639"/>
      <c r="T34" s="555"/>
      <c r="U34" s="705">
        <f t="shared" si="2"/>
        <v>0</v>
      </c>
      <c r="V34" s="703">
        <f t="shared" si="5"/>
        <v>0</v>
      </c>
      <c r="W34" s="704">
        <f t="shared" si="6"/>
        <v>0</v>
      </c>
      <c r="X34" s="717"/>
      <c r="Y34" s="555"/>
      <c r="Z34" s="555"/>
      <c r="AA34" s="555"/>
      <c r="AB34" s="555"/>
      <c r="AC34" s="555"/>
      <c r="AD34" s="706">
        <f t="shared" si="7"/>
        <v>0</v>
      </c>
      <c r="AE34" s="703">
        <f t="shared" si="8"/>
        <v>0</v>
      </c>
      <c r="AF34" s="704">
        <f t="shared" si="9"/>
        <v>0</v>
      </c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</row>
    <row r="35" spans="1:215" s="2" customFormat="1" ht="19.5" thickBot="1">
      <c r="A35" s="43">
        <v>29</v>
      </c>
      <c r="B35" s="512">
        <f>'REGISTRO DATOS'!C41</f>
        <v>0</v>
      </c>
      <c r="C35" s="512">
        <f>'REGISTRO DATOS'!D41</f>
        <v>0</v>
      </c>
      <c r="D35" s="512">
        <f>'REGISTRO DATOS'!E41</f>
        <v>0</v>
      </c>
      <c r="E35" s="701">
        <f t="shared" si="0"/>
        <v>0</v>
      </c>
      <c r="F35" s="638"/>
      <c r="G35" s="639"/>
      <c r="H35" s="555"/>
      <c r="I35" s="555"/>
      <c r="J35" s="555"/>
      <c r="K35" s="702">
        <f t="shared" si="1"/>
        <v>0</v>
      </c>
      <c r="L35" s="703">
        <f t="shared" si="3"/>
        <v>0</v>
      </c>
      <c r="M35" s="704">
        <f t="shared" si="4"/>
        <v>0</v>
      </c>
      <c r="N35" s="717"/>
      <c r="O35" s="638"/>
      <c r="P35" s="638"/>
      <c r="Q35" s="638"/>
      <c r="R35" s="639"/>
      <c r="S35" s="639"/>
      <c r="T35" s="555"/>
      <c r="U35" s="705">
        <f t="shared" si="2"/>
        <v>0</v>
      </c>
      <c r="V35" s="703">
        <f t="shared" si="5"/>
        <v>0</v>
      </c>
      <c r="W35" s="704">
        <f t="shared" si="6"/>
        <v>0</v>
      </c>
      <c r="X35" s="717"/>
      <c r="Y35" s="555"/>
      <c r="Z35" s="555"/>
      <c r="AA35" s="555"/>
      <c r="AB35" s="555"/>
      <c r="AC35" s="555"/>
      <c r="AD35" s="706">
        <f t="shared" si="7"/>
        <v>0</v>
      </c>
      <c r="AE35" s="703">
        <f t="shared" si="8"/>
        <v>0</v>
      </c>
      <c r="AF35" s="704">
        <f t="shared" si="9"/>
        <v>0</v>
      </c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</row>
    <row r="36" spans="1:215" s="2" customFormat="1" ht="19.5" thickBot="1">
      <c r="A36" s="43">
        <v>30</v>
      </c>
      <c r="B36" s="512">
        <f>'REGISTRO DATOS'!C42</f>
        <v>0</v>
      </c>
      <c r="C36" s="512">
        <f>'REGISTRO DATOS'!D42</f>
        <v>0</v>
      </c>
      <c r="D36" s="512">
        <f>'REGISTRO DATOS'!E42</f>
        <v>0</v>
      </c>
      <c r="E36" s="701">
        <f t="shared" si="0"/>
        <v>0</v>
      </c>
      <c r="F36" s="638"/>
      <c r="G36" s="639"/>
      <c r="H36" s="555"/>
      <c r="I36" s="555"/>
      <c r="J36" s="555"/>
      <c r="K36" s="702">
        <f t="shared" si="1"/>
        <v>0</v>
      </c>
      <c r="L36" s="703">
        <f t="shared" si="3"/>
        <v>0</v>
      </c>
      <c r="M36" s="704">
        <f t="shared" si="4"/>
        <v>0</v>
      </c>
      <c r="N36" s="717"/>
      <c r="O36" s="638"/>
      <c r="P36" s="638"/>
      <c r="Q36" s="638"/>
      <c r="R36" s="639"/>
      <c r="S36" s="639"/>
      <c r="T36" s="555"/>
      <c r="U36" s="705">
        <f t="shared" si="2"/>
        <v>0</v>
      </c>
      <c r="V36" s="703">
        <f t="shared" si="5"/>
        <v>0</v>
      </c>
      <c r="W36" s="704">
        <f t="shared" si="6"/>
        <v>0</v>
      </c>
      <c r="X36" s="717"/>
      <c r="Y36" s="555"/>
      <c r="Z36" s="555"/>
      <c r="AA36" s="555"/>
      <c r="AB36" s="555"/>
      <c r="AC36" s="555"/>
      <c r="AD36" s="706">
        <f t="shared" si="7"/>
        <v>0</v>
      </c>
      <c r="AE36" s="703">
        <f t="shared" si="8"/>
        <v>0</v>
      </c>
      <c r="AF36" s="704">
        <f t="shared" si="9"/>
        <v>0</v>
      </c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</row>
    <row r="37" spans="1:215" s="2" customFormat="1" ht="19.5" thickBot="1">
      <c r="A37" s="43">
        <v>31</v>
      </c>
      <c r="B37" s="512">
        <f>'REGISTRO DATOS'!C43</f>
        <v>0</v>
      </c>
      <c r="C37" s="512">
        <f>'REGISTRO DATOS'!D43</f>
        <v>0</v>
      </c>
      <c r="D37" s="512">
        <f>'REGISTRO DATOS'!E43</f>
        <v>0</v>
      </c>
      <c r="E37" s="701">
        <f t="shared" si="0"/>
        <v>0</v>
      </c>
      <c r="F37" s="638"/>
      <c r="G37" s="639"/>
      <c r="H37" s="555"/>
      <c r="I37" s="555"/>
      <c r="J37" s="555"/>
      <c r="K37" s="702">
        <f t="shared" si="1"/>
        <v>0</v>
      </c>
      <c r="L37" s="703">
        <f t="shared" si="3"/>
        <v>0</v>
      </c>
      <c r="M37" s="704">
        <f t="shared" si="4"/>
        <v>0</v>
      </c>
      <c r="N37" s="717"/>
      <c r="O37" s="638"/>
      <c r="P37" s="638"/>
      <c r="Q37" s="638"/>
      <c r="R37" s="639"/>
      <c r="S37" s="639"/>
      <c r="T37" s="555"/>
      <c r="U37" s="705">
        <f t="shared" si="2"/>
        <v>0</v>
      </c>
      <c r="V37" s="703">
        <f t="shared" si="5"/>
        <v>0</v>
      </c>
      <c r="W37" s="704">
        <f t="shared" si="6"/>
        <v>0</v>
      </c>
      <c r="X37" s="717"/>
      <c r="Y37" s="555"/>
      <c r="Z37" s="555"/>
      <c r="AA37" s="555"/>
      <c r="AB37" s="555"/>
      <c r="AC37" s="555"/>
      <c r="AD37" s="706">
        <f t="shared" si="7"/>
        <v>0</v>
      </c>
      <c r="AE37" s="703">
        <f t="shared" si="8"/>
        <v>0</v>
      </c>
      <c r="AF37" s="704">
        <f t="shared" si="9"/>
        <v>0</v>
      </c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</row>
    <row r="38" spans="1:215" s="2" customFormat="1" ht="19.5" thickBot="1">
      <c r="A38" s="43">
        <v>32</v>
      </c>
      <c r="B38" s="512">
        <f>'REGISTRO DATOS'!C44</f>
        <v>0</v>
      </c>
      <c r="C38" s="512">
        <f>'REGISTRO DATOS'!D44</f>
        <v>0</v>
      </c>
      <c r="D38" s="512">
        <f>'REGISTRO DATOS'!E44</f>
        <v>0</v>
      </c>
      <c r="E38" s="701">
        <f t="shared" si="0"/>
        <v>0</v>
      </c>
      <c r="F38" s="638"/>
      <c r="G38" s="639"/>
      <c r="H38" s="555"/>
      <c r="I38" s="555"/>
      <c r="J38" s="555"/>
      <c r="K38" s="702">
        <f t="shared" si="1"/>
        <v>0</v>
      </c>
      <c r="L38" s="703">
        <f t="shared" si="3"/>
        <v>0</v>
      </c>
      <c r="M38" s="704">
        <f t="shared" si="4"/>
        <v>0</v>
      </c>
      <c r="N38" s="717"/>
      <c r="O38" s="638"/>
      <c r="P38" s="638"/>
      <c r="Q38" s="638"/>
      <c r="R38" s="639"/>
      <c r="S38" s="639"/>
      <c r="T38" s="555"/>
      <c r="U38" s="705">
        <f t="shared" si="2"/>
        <v>0</v>
      </c>
      <c r="V38" s="703">
        <f t="shared" si="5"/>
        <v>0</v>
      </c>
      <c r="W38" s="704">
        <f t="shared" si="6"/>
        <v>0</v>
      </c>
      <c r="X38" s="717"/>
      <c r="Y38" s="555"/>
      <c r="Z38" s="555"/>
      <c r="AA38" s="555"/>
      <c r="AB38" s="555"/>
      <c r="AC38" s="555"/>
      <c r="AD38" s="706">
        <f t="shared" si="7"/>
        <v>0</v>
      </c>
      <c r="AE38" s="703">
        <f t="shared" si="8"/>
        <v>0</v>
      </c>
      <c r="AF38" s="704">
        <f t="shared" si="9"/>
        <v>0</v>
      </c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</row>
    <row r="39" spans="1:215" s="2" customFormat="1" ht="19.5" thickBot="1">
      <c r="A39" s="43">
        <v>33</v>
      </c>
      <c r="B39" s="512">
        <f>'REGISTRO DATOS'!C45</f>
        <v>0</v>
      </c>
      <c r="C39" s="512">
        <f>'REGISTRO DATOS'!D45</f>
        <v>0</v>
      </c>
      <c r="D39" s="512">
        <f>'REGISTRO DATOS'!E45</f>
        <v>0</v>
      </c>
      <c r="E39" s="701">
        <f t="shared" si="0"/>
        <v>0</v>
      </c>
      <c r="F39" s="638"/>
      <c r="G39" s="639"/>
      <c r="H39" s="555"/>
      <c r="I39" s="555"/>
      <c r="J39" s="555"/>
      <c r="K39" s="702">
        <f t="shared" si="1"/>
        <v>0</v>
      </c>
      <c r="L39" s="703">
        <f t="shared" si="3"/>
        <v>0</v>
      </c>
      <c r="M39" s="704">
        <f t="shared" si="4"/>
        <v>0</v>
      </c>
      <c r="N39" s="717"/>
      <c r="O39" s="638"/>
      <c r="P39" s="638"/>
      <c r="Q39" s="638"/>
      <c r="R39" s="639"/>
      <c r="S39" s="639"/>
      <c r="T39" s="555"/>
      <c r="U39" s="705">
        <f t="shared" si="2"/>
        <v>0</v>
      </c>
      <c r="V39" s="703">
        <f t="shared" si="5"/>
        <v>0</v>
      </c>
      <c r="W39" s="704">
        <f t="shared" si="6"/>
        <v>0</v>
      </c>
      <c r="X39" s="717"/>
      <c r="Y39" s="555"/>
      <c r="Z39" s="555"/>
      <c r="AA39" s="555"/>
      <c r="AB39" s="555"/>
      <c r="AC39" s="555"/>
      <c r="AD39" s="706">
        <f t="shared" si="7"/>
        <v>0</v>
      </c>
      <c r="AE39" s="703">
        <f t="shared" si="8"/>
        <v>0</v>
      </c>
      <c r="AF39" s="704">
        <f t="shared" si="9"/>
        <v>0</v>
      </c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</row>
    <row r="40" spans="1:215" s="2" customFormat="1" ht="19.5" thickBot="1">
      <c r="A40" s="43">
        <v>34</v>
      </c>
      <c r="B40" s="512">
        <f>'REGISTRO DATOS'!C46</f>
        <v>0</v>
      </c>
      <c r="C40" s="512">
        <f>'REGISTRO DATOS'!D46</f>
        <v>0</v>
      </c>
      <c r="D40" s="512">
        <f>'REGISTRO DATOS'!E46</f>
        <v>0</v>
      </c>
      <c r="E40" s="701">
        <f t="shared" si="0"/>
        <v>0</v>
      </c>
      <c r="F40" s="638"/>
      <c r="G40" s="639"/>
      <c r="H40" s="555"/>
      <c r="I40" s="555"/>
      <c r="J40" s="555"/>
      <c r="K40" s="702">
        <f t="shared" si="1"/>
        <v>0</v>
      </c>
      <c r="L40" s="703">
        <f t="shared" si="3"/>
        <v>0</v>
      </c>
      <c r="M40" s="704">
        <f t="shared" si="4"/>
        <v>0</v>
      </c>
      <c r="N40" s="717"/>
      <c r="O40" s="638"/>
      <c r="P40" s="638"/>
      <c r="Q40" s="638"/>
      <c r="R40" s="639"/>
      <c r="S40" s="639"/>
      <c r="T40" s="555"/>
      <c r="U40" s="705">
        <f t="shared" si="2"/>
        <v>0</v>
      </c>
      <c r="V40" s="703">
        <f t="shared" si="5"/>
        <v>0</v>
      </c>
      <c r="W40" s="704">
        <f t="shared" si="6"/>
        <v>0</v>
      </c>
      <c r="X40" s="717"/>
      <c r="Y40" s="555"/>
      <c r="Z40" s="555"/>
      <c r="AA40" s="555"/>
      <c r="AB40" s="555"/>
      <c r="AC40" s="555"/>
      <c r="AD40" s="706">
        <f t="shared" si="7"/>
        <v>0</v>
      </c>
      <c r="AE40" s="703">
        <f t="shared" si="8"/>
        <v>0</v>
      </c>
      <c r="AF40" s="704">
        <f t="shared" si="9"/>
        <v>0</v>
      </c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</row>
    <row r="41" spans="1:215" s="2" customFormat="1" ht="19.5" thickBot="1">
      <c r="A41" s="43">
        <v>35</v>
      </c>
      <c r="B41" s="512">
        <f>'REGISTRO DATOS'!C47</f>
        <v>0</v>
      </c>
      <c r="C41" s="512">
        <f>'REGISTRO DATOS'!D47</f>
        <v>0</v>
      </c>
      <c r="D41" s="512">
        <f>'REGISTRO DATOS'!E47</f>
        <v>0</v>
      </c>
      <c r="E41" s="701">
        <f t="shared" si="0"/>
        <v>0</v>
      </c>
      <c r="F41" s="638"/>
      <c r="G41" s="639"/>
      <c r="H41" s="555"/>
      <c r="I41" s="555"/>
      <c r="J41" s="555"/>
      <c r="K41" s="702">
        <f t="shared" si="1"/>
        <v>0</v>
      </c>
      <c r="L41" s="703">
        <f t="shared" si="3"/>
        <v>0</v>
      </c>
      <c r="M41" s="704">
        <f t="shared" si="4"/>
        <v>0</v>
      </c>
      <c r="N41" s="717"/>
      <c r="O41" s="638"/>
      <c r="P41" s="638"/>
      <c r="Q41" s="638"/>
      <c r="R41" s="639"/>
      <c r="S41" s="639"/>
      <c r="T41" s="555"/>
      <c r="U41" s="705">
        <f t="shared" si="2"/>
        <v>0</v>
      </c>
      <c r="V41" s="703">
        <f t="shared" si="5"/>
        <v>0</v>
      </c>
      <c r="W41" s="704">
        <f t="shared" si="6"/>
        <v>0</v>
      </c>
      <c r="X41" s="717"/>
      <c r="Y41" s="555"/>
      <c r="Z41" s="555"/>
      <c r="AA41" s="555"/>
      <c r="AB41" s="555"/>
      <c r="AC41" s="555"/>
      <c r="AD41" s="706">
        <f t="shared" si="7"/>
        <v>0</v>
      </c>
      <c r="AE41" s="703">
        <f t="shared" si="8"/>
        <v>0</v>
      </c>
      <c r="AF41" s="704">
        <f t="shared" si="9"/>
        <v>0</v>
      </c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</row>
    <row r="42" spans="1:215" s="2" customFormat="1" ht="19.5" thickBot="1">
      <c r="A42" s="43">
        <v>36</v>
      </c>
      <c r="B42" s="512">
        <f>'REGISTRO DATOS'!C48</f>
        <v>0</v>
      </c>
      <c r="C42" s="512">
        <f>'REGISTRO DATOS'!D48</f>
        <v>0</v>
      </c>
      <c r="D42" s="512">
        <f>'REGISTRO DATOS'!E48</f>
        <v>0</v>
      </c>
      <c r="E42" s="701">
        <f t="shared" si="0"/>
        <v>0</v>
      </c>
      <c r="F42" s="638"/>
      <c r="G42" s="639"/>
      <c r="H42" s="555"/>
      <c r="I42" s="555"/>
      <c r="J42" s="555"/>
      <c r="K42" s="702">
        <f t="shared" si="1"/>
        <v>0</v>
      </c>
      <c r="L42" s="703">
        <f t="shared" si="3"/>
        <v>0</v>
      </c>
      <c r="M42" s="704">
        <f t="shared" si="4"/>
        <v>0</v>
      </c>
      <c r="N42" s="717"/>
      <c r="O42" s="638"/>
      <c r="P42" s="638"/>
      <c r="Q42" s="638"/>
      <c r="R42" s="639"/>
      <c r="S42" s="639"/>
      <c r="T42" s="555"/>
      <c r="U42" s="705">
        <f t="shared" si="2"/>
        <v>0</v>
      </c>
      <c r="V42" s="703">
        <f t="shared" si="5"/>
        <v>0</v>
      </c>
      <c r="W42" s="704">
        <f t="shared" si="6"/>
        <v>0</v>
      </c>
      <c r="X42" s="717"/>
      <c r="Y42" s="555"/>
      <c r="Z42" s="555"/>
      <c r="AA42" s="555"/>
      <c r="AB42" s="555"/>
      <c r="AC42" s="555"/>
      <c r="AD42" s="706">
        <f t="shared" si="7"/>
        <v>0</v>
      </c>
      <c r="AE42" s="703">
        <f t="shared" si="8"/>
        <v>0</v>
      </c>
      <c r="AF42" s="704">
        <f t="shared" si="9"/>
        <v>0</v>
      </c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</row>
    <row r="43" spans="1:215" s="2" customFormat="1" ht="19.5" thickBot="1">
      <c r="A43" s="43">
        <v>37</v>
      </c>
      <c r="B43" s="512">
        <f>'REGISTRO DATOS'!C49</f>
        <v>0</v>
      </c>
      <c r="C43" s="512">
        <f>'REGISTRO DATOS'!D49</f>
        <v>0</v>
      </c>
      <c r="D43" s="512">
        <f>'REGISTRO DATOS'!E49</f>
        <v>0</v>
      </c>
      <c r="E43" s="701">
        <f t="shared" si="0"/>
        <v>0</v>
      </c>
      <c r="F43" s="638"/>
      <c r="G43" s="639"/>
      <c r="H43" s="555"/>
      <c r="I43" s="555"/>
      <c r="J43" s="555"/>
      <c r="K43" s="702">
        <f t="shared" si="1"/>
        <v>0</v>
      </c>
      <c r="L43" s="703">
        <f t="shared" si="3"/>
        <v>0</v>
      </c>
      <c r="M43" s="704">
        <f t="shared" si="4"/>
        <v>0</v>
      </c>
      <c r="N43" s="717"/>
      <c r="O43" s="638"/>
      <c r="P43" s="638"/>
      <c r="Q43" s="638"/>
      <c r="R43" s="639"/>
      <c r="S43" s="639"/>
      <c r="T43" s="555"/>
      <c r="U43" s="705">
        <f t="shared" si="2"/>
        <v>0</v>
      </c>
      <c r="V43" s="703">
        <f t="shared" si="5"/>
        <v>0</v>
      </c>
      <c r="W43" s="704">
        <f t="shared" si="6"/>
        <v>0</v>
      </c>
      <c r="X43" s="717"/>
      <c r="Y43" s="555"/>
      <c r="Z43" s="555"/>
      <c r="AA43" s="555"/>
      <c r="AB43" s="555"/>
      <c r="AC43" s="555"/>
      <c r="AD43" s="706">
        <f t="shared" si="7"/>
        <v>0</v>
      </c>
      <c r="AE43" s="703">
        <f t="shared" si="8"/>
        <v>0</v>
      </c>
      <c r="AF43" s="704">
        <f t="shared" si="9"/>
        <v>0</v>
      </c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</row>
    <row r="44" spans="1:215" s="2" customFormat="1" ht="19.5" thickBot="1">
      <c r="A44" s="43">
        <v>38</v>
      </c>
      <c r="B44" s="512">
        <f>'REGISTRO DATOS'!C50</f>
        <v>0</v>
      </c>
      <c r="C44" s="512">
        <f>'REGISTRO DATOS'!D50</f>
        <v>0</v>
      </c>
      <c r="D44" s="512">
        <f>'REGISTRO DATOS'!E50</f>
        <v>0</v>
      </c>
      <c r="E44" s="701">
        <f t="shared" si="0"/>
        <v>0</v>
      </c>
      <c r="F44" s="638"/>
      <c r="G44" s="639"/>
      <c r="H44" s="555"/>
      <c r="I44" s="555"/>
      <c r="J44" s="555"/>
      <c r="K44" s="702">
        <f t="shared" si="1"/>
        <v>0</v>
      </c>
      <c r="L44" s="703">
        <f t="shared" si="3"/>
        <v>0</v>
      </c>
      <c r="M44" s="704">
        <f t="shared" si="4"/>
        <v>0</v>
      </c>
      <c r="N44" s="717"/>
      <c r="O44" s="638"/>
      <c r="P44" s="638"/>
      <c r="Q44" s="638"/>
      <c r="R44" s="639"/>
      <c r="S44" s="639"/>
      <c r="T44" s="555"/>
      <c r="U44" s="705">
        <f t="shared" si="2"/>
        <v>0</v>
      </c>
      <c r="V44" s="703">
        <f t="shared" si="5"/>
        <v>0</v>
      </c>
      <c r="W44" s="704">
        <f t="shared" si="6"/>
        <v>0</v>
      </c>
      <c r="X44" s="717"/>
      <c r="Y44" s="555"/>
      <c r="Z44" s="555"/>
      <c r="AA44" s="555"/>
      <c r="AB44" s="555"/>
      <c r="AC44" s="555"/>
      <c r="AD44" s="706">
        <f t="shared" si="7"/>
        <v>0</v>
      </c>
      <c r="AE44" s="703">
        <f t="shared" si="8"/>
        <v>0</v>
      </c>
      <c r="AF44" s="704">
        <f t="shared" si="9"/>
        <v>0</v>
      </c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</row>
    <row r="45" spans="1:215" s="2" customFormat="1" ht="19.5" thickBot="1">
      <c r="A45" s="43">
        <v>39</v>
      </c>
      <c r="B45" s="512">
        <f>'REGISTRO DATOS'!C51</f>
        <v>0</v>
      </c>
      <c r="C45" s="512">
        <f>'REGISTRO DATOS'!D51</f>
        <v>0</v>
      </c>
      <c r="D45" s="512">
        <f>'REGISTRO DATOS'!E51</f>
        <v>0</v>
      </c>
      <c r="E45" s="701">
        <f t="shared" si="0"/>
        <v>0</v>
      </c>
      <c r="F45" s="638"/>
      <c r="G45" s="639"/>
      <c r="H45" s="555"/>
      <c r="I45" s="555"/>
      <c r="J45" s="555"/>
      <c r="K45" s="702">
        <f t="shared" si="1"/>
        <v>0</v>
      </c>
      <c r="L45" s="703">
        <f t="shared" si="3"/>
        <v>0</v>
      </c>
      <c r="M45" s="704">
        <f t="shared" si="4"/>
        <v>0</v>
      </c>
      <c r="N45" s="717"/>
      <c r="O45" s="638"/>
      <c r="P45" s="638"/>
      <c r="Q45" s="638"/>
      <c r="R45" s="639"/>
      <c r="S45" s="639"/>
      <c r="T45" s="555"/>
      <c r="U45" s="705">
        <f t="shared" si="2"/>
        <v>0</v>
      </c>
      <c r="V45" s="703">
        <f t="shared" si="5"/>
        <v>0</v>
      </c>
      <c r="W45" s="704">
        <f t="shared" si="6"/>
        <v>0</v>
      </c>
      <c r="X45" s="717"/>
      <c r="Y45" s="555"/>
      <c r="Z45" s="555"/>
      <c r="AA45" s="555"/>
      <c r="AB45" s="555"/>
      <c r="AC45" s="555"/>
      <c r="AD45" s="706">
        <f t="shared" si="7"/>
        <v>0</v>
      </c>
      <c r="AE45" s="703">
        <f t="shared" si="8"/>
        <v>0</v>
      </c>
      <c r="AF45" s="704">
        <f t="shared" si="9"/>
        <v>0</v>
      </c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</row>
    <row r="46" spans="1:215" s="2" customFormat="1" ht="19.5" thickBot="1">
      <c r="A46" s="85">
        <v>40</v>
      </c>
      <c r="B46" s="512">
        <f>'REGISTRO DATOS'!C52</f>
        <v>0</v>
      </c>
      <c r="C46" s="512">
        <f>'REGISTRO DATOS'!D52</f>
        <v>0</v>
      </c>
      <c r="D46" s="512">
        <f>'REGISTRO DATOS'!E52</f>
        <v>0</v>
      </c>
      <c r="E46" s="701">
        <f t="shared" si="0"/>
        <v>0</v>
      </c>
      <c r="F46" s="638"/>
      <c r="G46" s="639"/>
      <c r="H46" s="555"/>
      <c r="I46" s="555"/>
      <c r="J46" s="555"/>
      <c r="K46" s="702">
        <f t="shared" si="1"/>
        <v>0</v>
      </c>
      <c r="L46" s="703">
        <f t="shared" si="3"/>
        <v>0</v>
      </c>
      <c r="M46" s="704">
        <f t="shared" si="4"/>
        <v>0</v>
      </c>
      <c r="N46" s="719"/>
      <c r="O46" s="638"/>
      <c r="P46" s="638"/>
      <c r="Q46" s="638"/>
      <c r="R46" s="639"/>
      <c r="S46" s="639"/>
      <c r="T46" s="555"/>
      <c r="U46" s="705">
        <f t="shared" si="2"/>
        <v>0</v>
      </c>
      <c r="V46" s="703">
        <f t="shared" si="5"/>
        <v>0</v>
      </c>
      <c r="W46" s="704">
        <f t="shared" si="6"/>
        <v>0</v>
      </c>
      <c r="X46" s="719"/>
      <c r="Y46" s="555"/>
      <c r="Z46" s="555"/>
      <c r="AA46" s="555"/>
      <c r="AB46" s="555"/>
      <c r="AC46" s="555"/>
      <c r="AD46" s="706">
        <f t="shared" si="7"/>
        <v>0</v>
      </c>
      <c r="AE46" s="703">
        <f t="shared" si="8"/>
        <v>0</v>
      </c>
      <c r="AF46" s="704">
        <f t="shared" si="9"/>
        <v>0</v>
      </c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</row>
    <row r="47" spans="1:215" s="2" customFormat="1">
      <c r="A47" s="43"/>
      <c r="B47"/>
      <c r="C47"/>
      <c r="D47"/>
      <c r="E47" s="132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</row>
    <row r="48" spans="1:215" s="2" customFormat="1">
      <c r="A48" s="43"/>
      <c r="B48"/>
      <c r="C48"/>
      <c r="D48"/>
      <c r="E48" s="132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</row>
    <row r="145" spans="2:2">
      <c r="B145" t="e">
        <f>PROYECTO!EJ3Ç</f>
        <v>#NAME?</v>
      </c>
    </row>
  </sheetData>
  <mergeCells count="5">
    <mergeCell ref="E1:F1"/>
    <mergeCell ref="A2:C4"/>
    <mergeCell ref="F4:J4"/>
    <mergeCell ref="O4:T4"/>
    <mergeCell ref="Y4:AD4"/>
  </mergeCells>
  <conditionalFormatting sqref="F7:M46 O7:W46 Y7:AF46">
    <cfRule type="cellIs" dxfId="163" priority="10" operator="equal">
      <formula>0</formula>
    </cfRule>
  </conditionalFormatting>
  <conditionalFormatting sqref="U8:W46">
    <cfRule type="cellIs" dxfId="162" priority="9" operator="equal">
      <formula>0</formula>
    </cfRule>
  </conditionalFormatting>
  <conditionalFormatting sqref="V7:W46">
    <cfRule type="cellIs" dxfId="161" priority="8" operator="equal">
      <formula>0</formula>
    </cfRule>
  </conditionalFormatting>
  <conditionalFormatting sqref="AE8:AF46">
    <cfRule type="cellIs" dxfId="160" priority="7" operator="equal">
      <formula>0</formula>
    </cfRule>
  </conditionalFormatting>
  <conditionalFormatting sqref="AE7:AF46">
    <cfRule type="cellIs" dxfId="159" priority="6" operator="equal">
      <formula>0</formula>
    </cfRule>
  </conditionalFormatting>
  <conditionalFormatting sqref="M7:M46">
    <cfRule type="cellIs" dxfId="158" priority="5" operator="greaterThan">
      <formula>70</formula>
    </cfRule>
  </conditionalFormatting>
  <conditionalFormatting sqref="W7:W46">
    <cfRule type="cellIs" dxfId="157" priority="4" operator="greaterThan">
      <formula>70</formula>
    </cfRule>
  </conditionalFormatting>
  <conditionalFormatting sqref="AE8:AF46">
    <cfRule type="cellIs" dxfId="156" priority="3" operator="equal">
      <formula>0</formula>
    </cfRule>
  </conditionalFormatting>
  <conditionalFormatting sqref="AE7:AF46">
    <cfRule type="cellIs" dxfId="155" priority="2" operator="equal">
      <formula>0</formula>
    </cfRule>
  </conditionalFormatting>
  <conditionalFormatting sqref="AF7:AF46">
    <cfRule type="cellIs" dxfId="154" priority="1" operator="greaterThan">
      <formula>70</formula>
    </cfRule>
  </conditionalFormatting>
  <pageMargins left="0.7" right="0.7" top="0.75" bottom="0.75" header="0.3" footer="0.3"/>
  <pageSetup paperSize="9" orientation="portrait" horizontalDpi="360" verticalDpi="36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0">
    <tabColor rgb="FF9F480D"/>
  </sheetPr>
  <dimension ref="A1:AX108"/>
  <sheetViews>
    <sheetView showGridLines="0" zoomScale="82" zoomScaleNormal="70" workbookViewId="0"/>
  </sheetViews>
  <sheetFormatPr baseColWidth="10" defaultColWidth="0" defaultRowHeight="15" zeroHeight="1"/>
  <cols>
    <col min="1" max="1" width="3.28515625" customWidth="1" collapsed="1"/>
    <col min="2" max="2" width="17.28515625" bestFit="1" customWidth="1" collapsed="1"/>
    <col min="3" max="3" width="18" bestFit="1" customWidth="1" collapsed="1"/>
    <col min="4" max="4" width="32" bestFit="1" customWidth="1" collapsed="1"/>
    <col min="5" max="5" width="0.28515625" customWidth="1" collapsed="1"/>
    <col min="6" max="6" width="0.140625" customWidth="1" collapsed="1"/>
    <col min="7" max="7" width="5.28515625" hidden="1" customWidth="1" collapsed="1"/>
    <col min="8" max="10" width="10.7109375" customWidth="1" collapsed="1"/>
    <col min="11" max="15" width="4.28515625" bestFit="1" customWidth="1" collapsed="1"/>
    <col min="16" max="16" width="4.85546875" customWidth="1" collapsed="1"/>
    <col min="17" max="19" width="4.28515625" bestFit="1" customWidth="1" collapsed="1"/>
    <col min="20" max="20" width="7.5703125" bestFit="1" customWidth="1" collapsed="1"/>
    <col min="21" max="21" width="9.42578125" customWidth="1" collapsed="1"/>
    <col min="22" max="22" width="29.7109375" customWidth="1"/>
    <col min="23" max="23" width="15.28515625" hidden="1" customWidth="1" collapsed="1"/>
    <col min="24" max="24" width="7.28515625" hidden="1" customWidth="1"/>
    <col min="25" max="27" width="11.42578125" hidden="1" customWidth="1"/>
    <col min="28" max="30" width="0" hidden="1" customWidth="1"/>
    <col min="31" max="31" width="10.140625" hidden="1" customWidth="1"/>
    <col min="32" max="50" width="0" hidden="1" customWidth="1"/>
    <col min="51" max="16384" width="11.42578125" hidden="1"/>
  </cols>
  <sheetData>
    <row r="1" spans="1:31" ht="30"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</row>
    <row r="2" spans="1:31" ht="27.75" customHeight="1">
      <c r="A2" s="810"/>
      <c r="B2" s="810"/>
      <c r="C2" s="386" t="s">
        <v>322</v>
      </c>
      <c r="D2" s="387"/>
      <c r="E2" s="387"/>
      <c r="F2" s="387"/>
      <c r="G2" s="387"/>
      <c r="H2" s="387"/>
      <c r="I2" s="210"/>
      <c r="J2" s="210"/>
      <c r="K2" s="210"/>
      <c r="L2" s="210"/>
      <c r="M2" s="210"/>
      <c r="N2" s="210"/>
      <c r="O2" s="211"/>
      <c r="P2" s="211"/>
      <c r="Q2" s="211"/>
      <c r="R2" s="211"/>
      <c r="S2" s="211"/>
      <c r="T2" s="211"/>
    </row>
    <row r="3" spans="1:31" ht="18">
      <c r="A3" s="864" t="s">
        <v>226</v>
      </c>
      <c r="B3" s="864"/>
      <c r="C3" s="864"/>
      <c r="D3" s="864"/>
      <c r="E3" s="796">
        <f>'REGISTRO DATOS'!I3</f>
        <v>0</v>
      </c>
      <c r="F3" s="796"/>
      <c r="G3" s="796"/>
      <c r="H3" s="796"/>
      <c r="I3" s="796"/>
      <c r="J3" s="796"/>
      <c r="K3" s="796"/>
      <c r="L3" s="796"/>
      <c r="M3" s="796"/>
      <c r="N3" s="796"/>
      <c r="O3" s="212"/>
      <c r="P3" s="212"/>
      <c r="Q3" s="212"/>
      <c r="R3" s="212"/>
      <c r="S3" s="212"/>
      <c r="T3" s="212"/>
      <c r="U3" s="212"/>
      <c r="V3" s="212"/>
      <c r="W3" s="86"/>
    </row>
    <row r="4" spans="1:31" ht="18">
      <c r="A4" s="864" t="s">
        <v>215</v>
      </c>
      <c r="B4" s="864"/>
      <c r="C4" s="864"/>
      <c r="D4" s="864"/>
      <c r="E4" s="796" t="str">
        <f>'REGISTRO DATOS'!I4</f>
        <v>COTO</v>
      </c>
      <c r="F4" s="796"/>
      <c r="G4" s="796"/>
      <c r="H4" s="796"/>
      <c r="I4" s="796"/>
      <c r="J4" s="796"/>
      <c r="K4" s="796"/>
      <c r="L4" s="796"/>
      <c r="M4" s="796"/>
      <c r="N4" s="796"/>
      <c r="O4" s="61"/>
      <c r="P4" s="62"/>
      <c r="Q4" s="62"/>
      <c r="R4" s="62"/>
      <c r="S4" s="62"/>
      <c r="T4" s="62"/>
      <c r="U4" s="62"/>
      <c r="V4" s="62"/>
      <c r="W4" s="62"/>
    </row>
    <row r="5" spans="1:31" ht="20.25">
      <c r="A5" s="864" t="s">
        <v>217</v>
      </c>
      <c r="B5" s="864"/>
      <c r="C5" s="864"/>
      <c r="D5" s="864"/>
      <c r="E5" s="796" t="str">
        <f>'REGISTRO DATOS'!I5</f>
        <v>06</v>
      </c>
      <c r="F5" s="796"/>
      <c r="G5" s="796"/>
      <c r="H5" s="796"/>
      <c r="I5" s="796"/>
      <c r="J5" s="796"/>
      <c r="K5" s="388"/>
      <c r="L5" s="388"/>
      <c r="M5" s="388"/>
      <c r="N5" s="388"/>
      <c r="O5" s="62"/>
      <c r="P5" s="866"/>
      <c r="Q5" s="866"/>
      <c r="R5" s="866"/>
      <c r="S5" s="866"/>
      <c r="T5" s="241"/>
      <c r="U5" s="389"/>
      <c r="V5" s="214"/>
      <c r="W5" s="62"/>
    </row>
    <row r="6" spans="1:31" ht="20.25">
      <c r="A6" s="864" t="s">
        <v>227</v>
      </c>
      <c r="B6" s="864"/>
      <c r="C6" s="864"/>
      <c r="D6" s="864"/>
      <c r="E6" s="796">
        <f>'REGISTRO DATOS'!I6</f>
        <v>0</v>
      </c>
      <c r="F6" s="796"/>
      <c r="G6" s="796"/>
      <c r="H6" s="796"/>
      <c r="I6" s="796"/>
      <c r="J6" s="796"/>
      <c r="K6" s="796"/>
      <c r="L6" s="796"/>
      <c r="M6" s="796"/>
      <c r="N6" s="796"/>
      <c r="O6" s="66"/>
      <c r="P6" s="866"/>
      <c r="Q6" s="866"/>
      <c r="R6" s="866"/>
      <c r="S6" s="866"/>
      <c r="T6" s="390"/>
      <c r="U6" s="391"/>
      <c r="V6" s="62"/>
      <c r="W6" s="69"/>
    </row>
    <row r="7" spans="1:31" ht="18.75" customHeight="1">
      <c r="A7" s="864" t="s">
        <v>228</v>
      </c>
      <c r="B7" s="864"/>
      <c r="C7" s="864"/>
      <c r="D7" s="864"/>
      <c r="E7" s="796">
        <f>'REGISTRO DATOS'!I7</f>
        <v>0</v>
      </c>
      <c r="F7" s="796"/>
      <c r="G7" s="796"/>
      <c r="H7" s="796"/>
      <c r="I7" s="796"/>
      <c r="J7" s="796"/>
      <c r="K7" s="796"/>
      <c r="L7" s="796"/>
      <c r="M7" s="796"/>
      <c r="N7" s="796"/>
      <c r="O7" s="73"/>
      <c r="P7" s="73"/>
      <c r="Q7" s="73"/>
      <c r="R7" s="2"/>
      <c r="S7" s="3"/>
      <c r="T7" s="3"/>
      <c r="U7" s="3"/>
      <c r="V7" s="3"/>
      <c r="W7" s="3"/>
    </row>
    <row r="8" spans="1:31" ht="19.5" customHeight="1">
      <c r="A8" s="867" t="s">
        <v>285</v>
      </c>
      <c r="B8" s="868"/>
      <c r="C8" s="868"/>
      <c r="D8" s="868"/>
      <c r="E8" s="796">
        <f>'REGISTRO DATOS'!I8</f>
        <v>0</v>
      </c>
      <c r="F8" s="796"/>
      <c r="G8" s="796"/>
      <c r="H8" s="796"/>
      <c r="I8" s="796"/>
      <c r="J8" s="796"/>
      <c r="K8" s="796"/>
      <c r="L8" s="796"/>
      <c r="M8" s="796"/>
      <c r="N8" s="796"/>
      <c r="O8" s="2"/>
      <c r="P8" s="810"/>
      <c r="Q8" s="810"/>
      <c r="R8" s="810"/>
      <c r="S8" s="810"/>
      <c r="T8" s="810"/>
      <c r="U8" s="810"/>
      <c r="W8" s="119"/>
    </row>
    <row r="9" spans="1:31" ht="19.5" customHeight="1">
      <c r="A9" s="864" t="s">
        <v>27</v>
      </c>
      <c r="B9" s="869"/>
      <c r="C9" s="869"/>
      <c r="D9" s="869"/>
      <c r="E9" s="796">
        <f>'REGISTRO DATOS'!I9</f>
        <v>0</v>
      </c>
      <c r="F9" s="796"/>
      <c r="G9" s="796"/>
      <c r="H9" s="796"/>
      <c r="I9" s="796"/>
      <c r="J9" s="796"/>
      <c r="K9" s="796"/>
      <c r="L9" s="796"/>
      <c r="M9" s="388"/>
      <c r="N9" s="392"/>
      <c r="O9" s="217"/>
      <c r="P9" s="810"/>
      <c r="Q9" s="810"/>
      <c r="R9" s="810"/>
      <c r="S9" s="810"/>
      <c r="T9" s="810"/>
      <c r="U9" s="810"/>
      <c r="V9" s="119"/>
      <c r="W9" s="123"/>
    </row>
    <row r="10" spans="1:31" ht="26.25">
      <c r="A10" s="2"/>
      <c r="B10" s="2"/>
      <c r="C10" s="2"/>
      <c r="D10" s="2"/>
      <c r="E10" s="806"/>
      <c r="F10" s="806"/>
      <c r="G10" s="806"/>
      <c r="H10" s="806"/>
      <c r="I10" s="119"/>
      <c r="J10" s="119"/>
      <c r="K10" s="119"/>
      <c r="L10" s="119"/>
      <c r="M10" s="2"/>
      <c r="N10" s="6"/>
      <c r="O10" s="6"/>
      <c r="P10" s="810"/>
      <c r="Q10" s="810"/>
      <c r="R10" s="810"/>
      <c r="S10" s="810"/>
      <c r="T10" s="810"/>
      <c r="U10" s="810"/>
      <c r="V10" s="219"/>
      <c r="W10" s="124"/>
      <c r="X10" s="2"/>
    </row>
    <row r="11" spans="1:31" ht="25.5" thickBot="1">
      <c r="A11" s="37"/>
      <c r="B11" s="13"/>
      <c r="C11" s="37"/>
      <c r="D11" s="13"/>
      <c r="E11" s="870"/>
      <c r="F11" s="870"/>
      <c r="G11" s="870"/>
      <c r="H11" s="870"/>
      <c r="I11" s="870"/>
      <c r="J11" s="870"/>
      <c r="K11" s="2"/>
      <c r="L11" s="2"/>
      <c r="M11" s="2"/>
      <c r="N11" s="2"/>
      <c r="O11" s="393"/>
      <c r="P11" s="393"/>
      <c r="Q11" s="393"/>
      <c r="R11" s="393"/>
      <c r="S11" s="394"/>
      <c r="T11" s="2"/>
      <c r="U11" s="2"/>
      <c r="V11" s="2"/>
      <c r="W11" s="126"/>
    </row>
    <row r="12" spans="1:31" ht="21" customHeight="1" thickBot="1">
      <c r="A12" s="901" t="s">
        <v>17</v>
      </c>
      <c r="B12" s="902"/>
      <c r="C12" s="902"/>
      <c r="D12" s="902"/>
      <c r="E12" s="905" t="s">
        <v>71</v>
      </c>
      <c r="F12" s="905"/>
      <c r="G12" s="906"/>
      <c r="H12" s="907" t="s">
        <v>319</v>
      </c>
      <c r="I12" s="908"/>
      <c r="J12" s="909"/>
      <c r="K12" s="394"/>
      <c r="L12" s="394"/>
      <c r="M12" s="394"/>
      <c r="N12" s="394"/>
      <c r="O12" s="394"/>
      <c r="P12" s="394"/>
      <c r="Q12" s="394"/>
      <c r="R12" s="394"/>
      <c r="S12" s="394"/>
      <c r="T12" s="394"/>
      <c r="U12" s="11"/>
      <c r="V12" s="11"/>
      <c r="W12" s="111"/>
    </row>
    <row r="13" spans="1:31" ht="22.5" customHeight="1" thickBot="1">
      <c r="A13" s="903"/>
      <c r="B13" s="904"/>
      <c r="C13" s="904"/>
      <c r="D13" s="904"/>
      <c r="E13" s="910" t="s">
        <v>16</v>
      </c>
      <c r="F13" s="739" t="s">
        <v>90</v>
      </c>
      <c r="G13" s="740" t="s">
        <v>89</v>
      </c>
      <c r="H13" s="912" t="s">
        <v>16</v>
      </c>
      <c r="I13" s="741" t="s">
        <v>91</v>
      </c>
      <c r="J13" s="742" t="s">
        <v>89</v>
      </c>
      <c r="K13" s="238"/>
      <c r="L13" s="238"/>
      <c r="M13" s="238"/>
      <c r="N13" s="238"/>
      <c r="O13" s="238"/>
      <c r="P13" s="238"/>
      <c r="Q13" s="238"/>
      <c r="R13" s="238"/>
      <c r="S13" s="238"/>
      <c r="T13" s="238"/>
      <c r="U13" s="239"/>
      <c r="V13" s="240"/>
      <c r="W13" s="235"/>
    </row>
    <row r="14" spans="1:31" ht="21" customHeight="1" thickBot="1">
      <c r="A14" s="743" t="s">
        <v>37</v>
      </c>
      <c r="B14" s="744" t="s">
        <v>38</v>
      </c>
      <c r="C14" s="744" t="s">
        <v>39</v>
      </c>
      <c r="D14" s="745" t="s">
        <v>36</v>
      </c>
      <c r="E14" s="911"/>
      <c r="F14" s="746">
        <v>0</v>
      </c>
      <c r="G14" s="747">
        <v>25</v>
      </c>
      <c r="H14" s="913"/>
      <c r="I14" s="748">
        <v>0.2</v>
      </c>
      <c r="J14" s="747">
        <v>30</v>
      </c>
      <c r="K14" s="238"/>
      <c r="L14" s="238"/>
      <c r="M14" s="238"/>
      <c r="N14" s="238"/>
      <c r="O14" s="238"/>
      <c r="P14" s="238"/>
      <c r="Q14" s="238"/>
      <c r="R14" s="238"/>
      <c r="S14" s="238"/>
      <c r="T14" s="238"/>
      <c r="U14" s="239"/>
      <c r="V14" s="240"/>
      <c r="W14" s="236"/>
    </row>
    <row r="15" spans="1:31" ht="18" customHeight="1" thickBot="1">
      <c r="A15" s="29">
        <v>1</v>
      </c>
      <c r="B15" s="429" t="str">
        <f>IFERROR(IF(VLOOKUP(A15,'REGISTRO DATOS'!B:H,2,0)=0,"",VLOOKUP(A15,'REGISTRO DATOS'!B:H,2,0)),"")</f>
        <v/>
      </c>
      <c r="C15" s="430" t="str">
        <f>IFERROR(IF(VLOOKUP(A15,'REGISTRO DATOS'!B:H,3,0)=0,"",VLOOKUP(A15,'REGISTRO DATOS'!B:H,3,0)),"")</f>
        <v/>
      </c>
      <c r="D15" s="431" t="str">
        <f>IFERROR(IF(VLOOKUP(A15,'REGISTRO DATOS'!B:H,4,0)=0,"",VLOOKUP(A15,'REGISTRO DATOS'!B:H,4,0)),"")</f>
        <v>MARIANELA</v>
      </c>
      <c r="E15" s="164">
        <f>(G15/$G$14)*100</f>
        <v>100</v>
      </c>
      <c r="F15" s="163">
        <f>E15*$F$14</f>
        <v>0</v>
      </c>
      <c r="G15" s="300">
        <v>25</v>
      </c>
      <c r="H15" s="163">
        <f>(J15/$J$14)*100</f>
        <v>0</v>
      </c>
      <c r="I15" s="163">
        <f>H15*$I$14</f>
        <v>0</v>
      </c>
      <c r="J15" s="300"/>
      <c r="K15" s="232"/>
      <c r="L15" s="232"/>
      <c r="M15" s="232"/>
      <c r="N15" s="232"/>
      <c r="O15" s="232"/>
      <c r="P15" s="232"/>
      <c r="Q15" s="232"/>
      <c r="R15" s="232"/>
      <c r="S15" s="232"/>
      <c r="T15" s="232"/>
      <c r="U15" s="237"/>
      <c r="V15" s="233"/>
      <c r="W15" s="234"/>
      <c r="X15" s="43">
        <f>'REGISTRO DATOS'!J13</f>
        <v>0</v>
      </c>
      <c r="AB15" s="786" t="s">
        <v>157</v>
      </c>
      <c r="AC15" s="787"/>
      <c r="AD15" s="787"/>
      <c r="AE15" s="788"/>
    </row>
    <row r="16" spans="1:31" ht="24.75" customHeight="1" thickBot="1">
      <c r="A16" s="7">
        <v>2</v>
      </c>
      <c r="B16" s="429" t="str">
        <f>IFERROR(IF(VLOOKUP(A16,'REGISTRO DATOS'!B:H,2,0)=0,"",VLOOKUP(A16,'REGISTRO DATOS'!B:H,2,0)),"")</f>
        <v/>
      </c>
      <c r="C16" s="430" t="str">
        <f>IFERROR(IF(VLOOKUP(A16,'REGISTRO DATOS'!B:H,3,0)=0,"",VLOOKUP(A16,'REGISTRO DATOS'!B:H,3,0)),"")</f>
        <v/>
      </c>
      <c r="D16" s="431" t="str">
        <f>IFERROR(IF(VLOOKUP(A16,'REGISTRO DATOS'!B:H,4,0)=0,"",VLOOKUP(A16,'REGISTRO DATOS'!B:H,4,0)),"")</f>
        <v>GENESIS</v>
      </c>
      <c r="E16" s="164">
        <f t="shared" ref="E16:E54" si="0">(G16/$G$14)*100</f>
        <v>0</v>
      </c>
      <c r="F16" s="163">
        <f t="shared" ref="F16:F54" si="1">E16*$F$14</f>
        <v>0</v>
      </c>
      <c r="G16" s="300"/>
      <c r="H16" s="163">
        <f t="shared" ref="H16:H54" si="2">(J16/$J$14)*100</f>
        <v>0</v>
      </c>
      <c r="I16" s="163">
        <f t="shared" ref="I16:I54" si="3">H16*$I$14</f>
        <v>0</v>
      </c>
      <c r="J16" s="300"/>
      <c r="K16" s="232"/>
      <c r="L16" s="232"/>
      <c r="M16" s="232"/>
      <c r="N16" s="232"/>
      <c r="O16" s="232"/>
      <c r="P16" s="232"/>
      <c r="Q16" s="232"/>
      <c r="R16" s="232"/>
      <c r="S16" s="232"/>
      <c r="T16" s="232"/>
      <c r="U16" s="237"/>
      <c r="V16" s="233"/>
      <c r="W16" s="234"/>
      <c r="X16" s="43">
        <f>'REGISTRO DATOS'!J14</f>
        <v>0</v>
      </c>
      <c r="AB16" s="793" t="s">
        <v>130</v>
      </c>
      <c r="AC16" s="794"/>
      <c r="AD16" s="786" t="s">
        <v>131</v>
      </c>
      <c r="AE16" s="788"/>
    </row>
    <row r="17" spans="1:32" ht="18" customHeight="1">
      <c r="A17" s="7">
        <v>3</v>
      </c>
      <c r="B17" s="429" t="str">
        <f>IFERROR(IF(VLOOKUP(A17,'REGISTRO DATOS'!B:H,2,0)=0,"",VLOOKUP(A17,'REGISTRO DATOS'!B:H,2,0)),"")</f>
        <v/>
      </c>
      <c r="C17" s="430" t="str">
        <f>IFERROR(IF(VLOOKUP(A17,'REGISTRO DATOS'!B:H,3,0)=0,"",VLOOKUP(A17,'REGISTRO DATOS'!B:H,3,0)),"")</f>
        <v/>
      </c>
      <c r="D17" s="431" t="str">
        <f>IFERROR(IF(VLOOKUP(A17,'REGISTRO DATOS'!B:H,4,0)=0,"",VLOOKUP(A17,'REGISTRO DATOS'!B:H,4,0)),"")</f>
        <v>EILEEN</v>
      </c>
      <c r="E17" s="164">
        <f t="shared" si="0"/>
        <v>0</v>
      </c>
      <c r="F17" s="163">
        <f t="shared" si="1"/>
        <v>0</v>
      </c>
      <c r="G17" s="87"/>
      <c r="H17" s="163">
        <f t="shared" si="2"/>
        <v>0</v>
      </c>
      <c r="I17" s="163">
        <f t="shared" si="3"/>
        <v>0</v>
      </c>
      <c r="J17" s="300"/>
      <c r="K17" s="232"/>
      <c r="L17" s="232"/>
      <c r="M17" s="232"/>
      <c r="N17" s="232"/>
      <c r="O17" s="232"/>
      <c r="P17" s="232"/>
      <c r="Q17" s="232"/>
      <c r="R17" s="232"/>
      <c r="S17" s="232"/>
      <c r="T17" s="232"/>
      <c r="U17" s="237"/>
      <c r="V17" s="233"/>
      <c r="W17" s="234"/>
      <c r="X17" s="43">
        <f>'REGISTRO DATOS'!J15</f>
        <v>0</v>
      </c>
      <c r="AB17" s="198" t="s">
        <v>156</v>
      </c>
      <c r="AC17" s="199" t="s">
        <v>155</v>
      </c>
      <c r="AD17" s="198" t="s">
        <v>156</v>
      </c>
      <c r="AE17" s="199" t="s">
        <v>155</v>
      </c>
    </row>
    <row r="18" spans="1:32" ht="18" customHeight="1" thickBot="1">
      <c r="A18" s="29">
        <v>4</v>
      </c>
      <c r="B18" s="429" t="str">
        <f>IFERROR(IF(VLOOKUP(A18,'REGISTRO DATOS'!B:H,2,0)=0,"",VLOOKUP(A18,'REGISTRO DATOS'!B:H,2,0)),"")</f>
        <v/>
      </c>
      <c r="C18" s="430" t="str">
        <f>IFERROR(IF(VLOOKUP(A18,'REGISTRO DATOS'!B:H,3,0)=0,"",VLOOKUP(A18,'REGISTRO DATOS'!B:H,3,0)),"")</f>
        <v/>
      </c>
      <c r="D18" s="431" t="str">
        <f>IFERROR(IF(VLOOKUP(A18,'REGISTRO DATOS'!B:H,4,0)=0,"",VLOOKUP(A18,'REGISTRO DATOS'!B:H,4,0)),"")</f>
        <v>CINDEL</v>
      </c>
      <c r="E18" s="164">
        <f t="shared" si="0"/>
        <v>0</v>
      </c>
      <c r="F18" s="163">
        <f t="shared" si="1"/>
        <v>0</v>
      </c>
      <c r="G18" s="300"/>
      <c r="H18" s="163">
        <f t="shared" si="2"/>
        <v>0</v>
      </c>
      <c r="I18" s="163">
        <f t="shared" si="3"/>
        <v>0</v>
      </c>
      <c r="J18" s="300"/>
      <c r="K18" s="232"/>
      <c r="L18" s="232"/>
      <c r="M18" s="232"/>
      <c r="N18" s="232"/>
      <c r="O18" s="232"/>
      <c r="P18" s="232"/>
      <c r="Q18" s="232"/>
      <c r="R18" s="232"/>
      <c r="S18" s="232"/>
      <c r="T18" s="232"/>
      <c r="U18" s="237"/>
      <c r="V18" s="233"/>
      <c r="W18" s="234"/>
      <c r="X18" s="43">
        <f>'REGISTRO DATOS'!J16</f>
        <v>0</v>
      </c>
      <c r="AB18" s="200" t="e">
        <f>COUNTIFS(X15:X54,"H",#REF!,"&lt;70")</f>
        <v>#REF!</v>
      </c>
      <c r="AC18" s="201" t="e">
        <f>COUNTIFS(X15:X54,"H",#REF!,"&gt;70")</f>
        <v>#REF!</v>
      </c>
      <c r="AD18" s="200" t="e">
        <f>COUNTIFS(X15:X54,"M",#REF!,"&lt;70")</f>
        <v>#REF!</v>
      </c>
      <c r="AE18" s="201" t="e">
        <f>COUNTIFS(X15:X54,"M",#REF!,"&gt;70")</f>
        <v>#REF!</v>
      </c>
      <c r="AF18" s="43" t="e">
        <f>SUM(AB18:AE18)</f>
        <v>#REF!</v>
      </c>
    </row>
    <row r="19" spans="1:32" ht="18" customHeight="1" thickBot="1">
      <c r="A19" s="7">
        <v>5</v>
      </c>
      <c r="B19" s="429" t="str">
        <f>IFERROR(IF(VLOOKUP(A19,'REGISTRO DATOS'!B:H,2,0)=0,"",VLOOKUP(A19,'REGISTRO DATOS'!B:H,2,0)),"")</f>
        <v/>
      </c>
      <c r="C19" s="430" t="str">
        <f>IFERROR(IF(VLOOKUP(A19,'REGISTRO DATOS'!B:H,3,0)=0,"",VLOOKUP(A19,'REGISTRO DATOS'!B:H,3,0)),"")</f>
        <v/>
      </c>
      <c r="D19" s="431" t="str">
        <f>IFERROR(IF(VLOOKUP(A19,'REGISTRO DATOS'!B:H,4,0)=0,"",VLOOKUP(A19,'REGISTRO DATOS'!B:H,4,0)),"")</f>
        <v>NANCY</v>
      </c>
      <c r="E19" s="164">
        <f t="shared" si="0"/>
        <v>0</v>
      </c>
      <c r="F19" s="163">
        <f t="shared" si="1"/>
        <v>0</v>
      </c>
      <c r="G19" s="411"/>
      <c r="H19" s="163">
        <f t="shared" si="2"/>
        <v>0</v>
      </c>
      <c r="I19" s="163">
        <f t="shared" si="3"/>
        <v>0</v>
      </c>
      <c r="J19" s="300"/>
      <c r="K19" s="232"/>
      <c r="L19" s="232"/>
      <c r="M19" s="232"/>
      <c r="N19" s="232"/>
      <c r="O19" s="232"/>
      <c r="P19" s="232"/>
      <c r="Q19" s="232"/>
      <c r="R19" s="232"/>
      <c r="S19" s="232"/>
      <c r="T19" s="232"/>
      <c r="U19" s="237"/>
      <c r="V19" s="233"/>
      <c r="W19" s="234"/>
      <c r="X19" s="43">
        <f>'REGISTRO DATOS'!J17</f>
        <v>0</v>
      </c>
    </row>
    <row r="20" spans="1:32" ht="18" customHeight="1" thickBot="1">
      <c r="A20" s="7">
        <v>6</v>
      </c>
      <c r="B20" s="429" t="str">
        <f>IFERROR(IF(VLOOKUP(A20,'REGISTRO DATOS'!B:H,2,0)=0,"",VLOOKUP(A20,'REGISTRO DATOS'!B:H,2,0)),"")</f>
        <v/>
      </c>
      <c r="C20" s="430" t="str">
        <f>IFERROR(IF(VLOOKUP(A20,'REGISTRO DATOS'!B:H,3,0)=0,"",VLOOKUP(A20,'REGISTRO DATOS'!B:H,3,0)),"")</f>
        <v/>
      </c>
      <c r="D20" s="431" t="str">
        <f>IFERROR(IF(VLOOKUP(A20,'REGISTRO DATOS'!B:H,4,0)=0,"",VLOOKUP(A20,'REGISTRO DATOS'!B:H,4,0)),"")</f>
        <v>MARIANA</v>
      </c>
      <c r="E20" s="164">
        <f t="shared" si="0"/>
        <v>0</v>
      </c>
      <c r="F20" s="163">
        <f t="shared" si="1"/>
        <v>0</v>
      </c>
      <c r="G20" s="411"/>
      <c r="H20" s="163">
        <f t="shared" si="2"/>
        <v>0</v>
      </c>
      <c r="I20" s="163">
        <f t="shared" si="3"/>
        <v>0</v>
      </c>
      <c r="J20" s="300"/>
      <c r="K20" s="232"/>
      <c r="L20" s="232"/>
      <c r="M20" s="232"/>
      <c r="N20" s="232"/>
      <c r="O20" s="232"/>
      <c r="P20" s="232"/>
      <c r="Q20" s="232"/>
      <c r="R20" s="232"/>
      <c r="S20" s="232"/>
      <c r="T20" s="232"/>
      <c r="U20" s="237"/>
      <c r="V20" s="233"/>
      <c r="W20" s="234"/>
      <c r="X20" s="43">
        <f>'REGISTRO DATOS'!J18</f>
        <v>0</v>
      </c>
      <c r="AB20" s="786" t="s">
        <v>152</v>
      </c>
      <c r="AC20" s="787"/>
      <c r="AD20" s="787"/>
      <c r="AE20" s="788"/>
    </row>
    <row r="21" spans="1:32" ht="18" customHeight="1" thickBot="1">
      <c r="A21" s="29">
        <v>7</v>
      </c>
      <c r="B21" s="429" t="str">
        <f>IFERROR(IF(VLOOKUP(A21,'REGISTRO DATOS'!B:H,2,0)=0,"",VLOOKUP(A21,'REGISTRO DATOS'!B:H,2,0)),"")</f>
        <v xml:space="preserve">GONZALEZ </v>
      </c>
      <c r="C21" s="430" t="str">
        <f>IFERROR(IF(VLOOKUP(A21,'REGISTRO DATOS'!B:H,3,0)=0,"",VLOOKUP(A21,'REGISTRO DATOS'!B:H,3,0)),"")</f>
        <v>CHAVARRIA</v>
      </c>
      <c r="D21" s="431" t="str">
        <f>IFERROR(IF(VLOOKUP(A21,'REGISTRO DATOS'!B:H,4,0)=0,"",VLOOKUP(A21,'REGISTRO DATOS'!B:H,4,0)),"")</f>
        <v>STEPHANIE</v>
      </c>
      <c r="E21" s="164">
        <f t="shared" si="0"/>
        <v>0</v>
      </c>
      <c r="F21" s="163">
        <f t="shared" si="1"/>
        <v>0</v>
      </c>
      <c r="G21" s="436"/>
      <c r="H21" s="163">
        <f t="shared" si="2"/>
        <v>0</v>
      </c>
      <c r="I21" s="163">
        <f t="shared" si="3"/>
        <v>0</v>
      </c>
      <c r="J21" s="300"/>
      <c r="K21" s="232"/>
      <c r="L21" s="232"/>
      <c r="M21" s="232"/>
      <c r="N21" s="232"/>
      <c r="O21" s="232"/>
      <c r="P21" s="232"/>
      <c r="Q21" s="232"/>
      <c r="R21" s="232"/>
      <c r="S21" s="232"/>
      <c r="T21" s="232"/>
      <c r="U21" s="237"/>
      <c r="V21" s="233"/>
      <c r="W21" s="234"/>
      <c r="X21" s="43">
        <f>'REGISTRO DATOS'!J19</f>
        <v>0</v>
      </c>
      <c r="AB21" s="793" t="s">
        <v>130</v>
      </c>
      <c r="AC21" s="794"/>
      <c r="AD21" s="786" t="s">
        <v>131</v>
      </c>
      <c r="AE21" s="788"/>
    </row>
    <row r="22" spans="1:32" ht="18" customHeight="1">
      <c r="A22" s="7">
        <v>8</v>
      </c>
      <c r="B22" s="429" t="str">
        <f>IFERROR(IF(VLOOKUP(A22,'REGISTRO DATOS'!B:H,2,0)=0,"",VLOOKUP(A22,'REGISTRO DATOS'!B:H,2,0)),"")</f>
        <v/>
      </c>
      <c r="C22" s="430" t="str">
        <f>IFERROR(IF(VLOOKUP(A22,'REGISTRO DATOS'!B:H,3,0)=0,"",VLOOKUP(A22,'REGISTRO DATOS'!B:H,3,0)),"")</f>
        <v/>
      </c>
      <c r="D22" s="431" t="str">
        <f>IFERROR(IF(VLOOKUP(A22,'REGISTRO DATOS'!B:H,4,0)=0,"",VLOOKUP(A22,'REGISTRO DATOS'!B:H,4,0)),"")</f>
        <v>YASCINI</v>
      </c>
      <c r="E22" s="164">
        <f t="shared" si="0"/>
        <v>0</v>
      </c>
      <c r="F22" s="163">
        <f t="shared" si="1"/>
        <v>0</v>
      </c>
      <c r="G22" s="436"/>
      <c r="H22" s="163">
        <f t="shared" si="2"/>
        <v>0</v>
      </c>
      <c r="I22" s="163">
        <f t="shared" si="3"/>
        <v>0</v>
      </c>
      <c r="J22" s="300"/>
      <c r="K22" s="232"/>
      <c r="L22" s="232"/>
      <c r="M22" s="232"/>
      <c r="N22" s="232"/>
      <c r="O22" s="232"/>
      <c r="P22" s="232"/>
      <c r="Q22" s="232"/>
      <c r="R22" s="232"/>
      <c r="S22" s="232"/>
      <c r="T22" s="232"/>
      <c r="U22" s="237"/>
      <c r="V22" s="233"/>
      <c r="W22" s="234"/>
      <c r="X22" s="43">
        <f>'REGISTRO DATOS'!J20</f>
        <v>0</v>
      </c>
      <c r="AB22" s="198" t="s">
        <v>156</v>
      </c>
      <c r="AC22" s="199" t="s">
        <v>155</v>
      </c>
      <c r="AD22" s="198" t="s">
        <v>156</v>
      </c>
      <c r="AE22" s="199" t="s">
        <v>155</v>
      </c>
    </row>
    <row r="23" spans="1:32" ht="18" customHeight="1" thickBot="1">
      <c r="A23" s="7">
        <v>9</v>
      </c>
      <c r="B23" s="429" t="str">
        <f>IFERROR(IF(VLOOKUP(A23,'REGISTRO DATOS'!B:H,2,0)=0,"",VLOOKUP(A23,'REGISTRO DATOS'!B:H,2,0)),"")</f>
        <v>CUBILLO</v>
      </c>
      <c r="C23" s="430" t="str">
        <f>IFERROR(IF(VLOOKUP(A23,'REGISTRO DATOS'!B:H,3,0)=0,"",VLOOKUP(A23,'REGISTRO DATOS'!B:H,3,0)),"")</f>
        <v/>
      </c>
      <c r="D23" s="431" t="str">
        <f>IFERROR(IF(VLOOKUP(A23,'REGISTRO DATOS'!B:H,4,0)=0,"",VLOOKUP(A23,'REGISTRO DATOS'!B:H,4,0)),"")</f>
        <v xml:space="preserve">DYLAN </v>
      </c>
      <c r="E23" s="164">
        <f t="shared" si="0"/>
        <v>0</v>
      </c>
      <c r="F23" s="163">
        <f t="shared" si="1"/>
        <v>0</v>
      </c>
      <c r="G23" s="411"/>
      <c r="H23" s="163">
        <f t="shared" si="2"/>
        <v>0</v>
      </c>
      <c r="I23" s="163">
        <f t="shared" si="3"/>
        <v>0</v>
      </c>
      <c r="J23" s="300"/>
      <c r="K23" s="232"/>
      <c r="L23" s="232"/>
      <c r="M23" s="232"/>
      <c r="N23" s="232"/>
      <c r="O23" s="232"/>
      <c r="P23" s="232"/>
      <c r="Q23" s="232"/>
      <c r="R23" s="232"/>
      <c r="S23" s="232"/>
      <c r="T23" s="232"/>
      <c r="U23" s="237"/>
      <c r="V23" s="233"/>
      <c r="W23" s="234"/>
      <c r="X23" s="43">
        <f>'REGISTRO DATOS'!J21</f>
        <v>0</v>
      </c>
      <c r="AB23" s="200" t="e">
        <f>COUNTIFS(X15:X54,"H",#REF!,"&lt;70")</f>
        <v>#REF!</v>
      </c>
      <c r="AC23" s="201" t="e">
        <f>COUNTIFS(X15:X54,"H",#REF!,"&gt;70")</f>
        <v>#REF!</v>
      </c>
      <c r="AD23" s="200" t="e">
        <f>COUNTIFS(X15:X54,"M",#REF!,"&lt;70")</f>
        <v>#REF!</v>
      </c>
      <c r="AE23" s="201" t="e">
        <f>COUNTIFS(X15:X54,"M",#REF!,"&gt;70")</f>
        <v>#REF!</v>
      </c>
      <c r="AF23" s="43" t="e">
        <f>SUM(AB23:AE23)</f>
        <v>#REF!</v>
      </c>
    </row>
    <row r="24" spans="1:32" ht="18" customHeight="1" thickBot="1">
      <c r="A24" s="29">
        <v>10</v>
      </c>
      <c r="B24" s="429" t="str">
        <f>IFERROR(IF(VLOOKUP(A24,'REGISTRO DATOS'!B:H,2,0)=0,"",VLOOKUP(A24,'REGISTRO DATOS'!B:H,2,0)),"")</f>
        <v/>
      </c>
      <c r="C24" s="430" t="str">
        <f>IFERROR(IF(VLOOKUP(A24,'REGISTRO DATOS'!B:H,3,0)=0,"",VLOOKUP(A24,'REGISTRO DATOS'!B:H,3,0)),"")</f>
        <v/>
      </c>
      <c r="D24" s="431" t="str">
        <f>IFERROR(IF(VLOOKUP(A24,'REGISTRO DATOS'!B:H,4,0)=0,"",VLOOKUP(A24,'REGISTRO DATOS'!B:H,4,0)),"")</f>
        <v>KATTYA</v>
      </c>
      <c r="E24" s="164">
        <f t="shared" si="0"/>
        <v>0</v>
      </c>
      <c r="F24" s="163">
        <f t="shared" si="1"/>
        <v>0</v>
      </c>
      <c r="G24" s="411"/>
      <c r="H24" s="163">
        <f t="shared" si="2"/>
        <v>0</v>
      </c>
      <c r="I24" s="163">
        <f t="shared" si="3"/>
        <v>0</v>
      </c>
      <c r="J24" s="300"/>
      <c r="K24" s="232"/>
      <c r="L24" s="232"/>
      <c r="M24" s="232"/>
      <c r="N24" s="232"/>
      <c r="O24" s="232"/>
      <c r="P24" s="232"/>
      <c r="Q24" s="232"/>
      <c r="R24" s="232"/>
      <c r="S24" s="232"/>
      <c r="T24" s="232"/>
      <c r="U24" s="237"/>
      <c r="V24" s="233"/>
      <c r="W24" s="234"/>
      <c r="X24" s="43">
        <f>'REGISTRO DATOS'!J22</f>
        <v>0</v>
      </c>
    </row>
    <row r="25" spans="1:32" ht="18" customHeight="1" thickBot="1">
      <c r="A25" s="7">
        <v>11</v>
      </c>
      <c r="B25" s="429" t="str">
        <f>IFERROR(IF(VLOOKUP(A25,'REGISTRO DATOS'!B:H,2,0)=0,"",VLOOKUP(A25,'REGISTRO DATOS'!B:H,2,0)),"")</f>
        <v>BRIZUELA</v>
      </c>
      <c r="C25" s="430" t="str">
        <f>IFERROR(IF(VLOOKUP(A25,'REGISTRO DATOS'!B:H,3,0)=0,"",VLOOKUP(A25,'REGISTRO DATOS'!B:H,3,0)),"")</f>
        <v/>
      </c>
      <c r="D25" s="431" t="str">
        <f>IFERROR(IF(VLOOKUP(A25,'REGISTRO DATOS'!B:H,4,0)=0,"",VLOOKUP(A25,'REGISTRO DATOS'!B:H,4,0)),"")</f>
        <v>FABIOLA</v>
      </c>
      <c r="E25" s="164">
        <f t="shared" si="0"/>
        <v>0</v>
      </c>
      <c r="F25" s="163">
        <f t="shared" si="1"/>
        <v>0</v>
      </c>
      <c r="G25" s="411"/>
      <c r="H25" s="163">
        <f t="shared" si="2"/>
        <v>0</v>
      </c>
      <c r="I25" s="163">
        <f t="shared" si="3"/>
        <v>0</v>
      </c>
      <c r="J25" s="300"/>
      <c r="K25" s="232"/>
      <c r="L25" s="232"/>
      <c r="M25" s="232"/>
      <c r="N25" s="232"/>
      <c r="O25" s="232"/>
      <c r="P25" s="232"/>
      <c r="Q25" s="232"/>
      <c r="R25" s="232"/>
      <c r="S25" s="232"/>
      <c r="T25" s="232"/>
      <c r="U25" s="237"/>
      <c r="V25" s="233"/>
      <c r="W25" s="234"/>
      <c r="X25" s="43">
        <f>'REGISTRO DATOS'!J23</f>
        <v>0</v>
      </c>
      <c r="AB25" s="786" t="s">
        <v>158</v>
      </c>
      <c r="AC25" s="787"/>
      <c r="AD25" s="787"/>
      <c r="AE25" s="788"/>
    </row>
    <row r="26" spans="1:32" ht="18" customHeight="1" thickBot="1">
      <c r="A26" s="7">
        <v>12</v>
      </c>
      <c r="B26" s="429" t="str">
        <f>IFERROR(IF(VLOOKUP(A26,'REGISTRO DATOS'!B:H,2,0)=0,"",VLOOKUP(A26,'REGISTRO DATOS'!B:H,2,0)),"")</f>
        <v/>
      </c>
      <c r="C26" s="430" t="str">
        <f>IFERROR(IF(VLOOKUP(A26,'REGISTRO DATOS'!B:H,3,0)=0,"",VLOOKUP(A26,'REGISTRO DATOS'!B:H,3,0)),"")</f>
        <v/>
      </c>
      <c r="D26" s="431" t="str">
        <f>IFERROR(IF(VLOOKUP(A26,'REGISTRO DATOS'!B:H,4,0)=0,"",VLOOKUP(A26,'REGISTRO DATOS'!B:H,4,0)),"")</f>
        <v>DARIANA</v>
      </c>
      <c r="E26" s="164">
        <f t="shared" si="0"/>
        <v>0</v>
      </c>
      <c r="F26" s="163">
        <f t="shared" si="1"/>
        <v>0</v>
      </c>
      <c r="G26" s="411"/>
      <c r="H26" s="163">
        <f t="shared" si="2"/>
        <v>0</v>
      </c>
      <c r="I26" s="163">
        <f t="shared" si="3"/>
        <v>0</v>
      </c>
      <c r="J26" s="300"/>
      <c r="K26" s="232"/>
      <c r="L26" s="232"/>
      <c r="M26" s="232"/>
      <c r="N26" s="232"/>
      <c r="O26" s="232"/>
      <c r="P26" s="232"/>
      <c r="Q26" s="232"/>
      <c r="R26" s="232"/>
      <c r="S26" s="232"/>
      <c r="T26" s="232"/>
      <c r="U26" s="237"/>
      <c r="V26" s="233"/>
      <c r="W26" s="234"/>
      <c r="X26" s="43">
        <f>'REGISTRO DATOS'!J24</f>
        <v>0</v>
      </c>
      <c r="AB26" s="793" t="s">
        <v>130</v>
      </c>
      <c r="AC26" s="794"/>
      <c r="AD26" s="786" t="s">
        <v>131</v>
      </c>
      <c r="AE26" s="788"/>
    </row>
    <row r="27" spans="1:32" ht="18" customHeight="1">
      <c r="A27" s="29">
        <v>13</v>
      </c>
      <c r="B27" s="429" t="str">
        <f>IFERROR(IF(VLOOKUP(A27,'REGISTRO DATOS'!B:H,2,0)=0,"",VLOOKUP(A27,'REGISTRO DATOS'!B:H,2,0)),"")</f>
        <v/>
      </c>
      <c r="C27" s="430" t="str">
        <f>IFERROR(IF(VLOOKUP(A27,'REGISTRO DATOS'!B:H,3,0)=0,"",VLOOKUP(A27,'REGISTRO DATOS'!B:H,3,0)),"")</f>
        <v/>
      </c>
      <c r="D27" s="431" t="str">
        <f>IFERROR(IF(VLOOKUP(A27,'REGISTRO DATOS'!B:H,4,0)=0,"",VLOOKUP(A27,'REGISTRO DATOS'!B:H,4,0)),"")</f>
        <v>JENIFER</v>
      </c>
      <c r="E27" s="164">
        <f t="shared" si="0"/>
        <v>0</v>
      </c>
      <c r="F27" s="163">
        <f t="shared" si="1"/>
        <v>0</v>
      </c>
      <c r="G27" s="411"/>
      <c r="H27" s="163">
        <f t="shared" si="2"/>
        <v>0</v>
      </c>
      <c r="I27" s="163">
        <f t="shared" si="3"/>
        <v>0</v>
      </c>
      <c r="J27" s="300"/>
      <c r="K27" s="232"/>
      <c r="L27" s="232"/>
      <c r="M27" s="232"/>
      <c r="N27" s="232"/>
      <c r="O27" s="232"/>
      <c r="P27" s="232"/>
      <c r="Q27" s="232"/>
      <c r="R27" s="232"/>
      <c r="S27" s="232"/>
      <c r="T27" s="232"/>
      <c r="U27" s="237"/>
      <c r="V27" s="233"/>
      <c r="W27" s="234"/>
      <c r="X27" s="43">
        <f>'REGISTRO DATOS'!J25</f>
        <v>0</v>
      </c>
      <c r="AB27" s="198" t="s">
        <v>156</v>
      </c>
      <c r="AC27" s="199" t="s">
        <v>155</v>
      </c>
      <c r="AD27" s="198" t="s">
        <v>156</v>
      </c>
      <c r="AE27" s="199" t="s">
        <v>155</v>
      </c>
    </row>
    <row r="28" spans="1:32" ht="18" customHeight="1" thickBot="1">
      <c r="A28" s="52">
        <v>14</v>
      </c>
      <c r="B28" s="429" t="str">
        <f>IFERROR(IF(VLOOKUP(A28,'REGISTRO DATOS'!B:H,2,0)=0,"",VLOOKUP(A28,'REGISTRO DATOS'!B:H,2,0)),"")</f>
        <v/>
      </c>
      <c r="C28" s="430" t="str">
        <f>IFERROR(IF(VLOOKUP(A28,'REGISTRO DATOS'!B:H,3,0)=0,"",VLOOKUP(A28,'REGISTRO DATOS'!B:H,3,0)),"")</f>
        <v/>
      </c>
      <c r="D28" s="431" t="str">
        <f>IFERROR(IF(VLOOKUP(A28,'REGISTRO DATOS'!B:H,4,0)=0,"",VLOOKUP(A28,'REGISTRO DATOS'!B:H,4,0)),"")</f>
        <v>GABRIELA</v>
      </c>
      <c r="E28" s="164">
        <f t="shared" si="0"/>
        <v>0</v>
      </c>
      <c r="F28" s="163">
        <f t="shared" si="1"/>
        <v>0</v>
      </c>
      <c r="G28" s="411"/>
      <c r="H28" s="163">
        <f t="shared" si="2"/>
        <v>0</v>
      </c>
      <c r="I28" s="163">
        <f t="shared" si="3"/>
        <v>0</v>
      </c>
      <c r="J28" s="300"/>
      <c r="K28" s="232"/>
      <c r="L28" s="232"/>
      <c r="M28" s="232"/>
      <c r="N28" s="232"/>
      <c r="O28" s="232"/>
      <c r="P28" s="232"/>
      <c r="Q28" s="232"/>
      <c r="R28" s="232"/>
      <c r="S28" s="232"/>
      <c r="T28" s="232"/>
      <c r="U28" s="237"/>
      <c r="V28" s="233"/>
      <c r="W28" s="234"/>
      <c r="X28" s="43">
        <f>'REGISTRO DATOS'!J26</f>
        <v>0</v>
      </c>
      <c r="AB28" s="200" t="e">
        <f>COUNTIFS(X15:X54,"H",#REF!,"&lt;70")</f>
        <v>#REF!</v>
      </c>
      <c r="AC28" s="201" t="e">
        <f>COUNTIFS(X15:X54,"H",#REF!,"&gt;70")</f>
        <v>#REF!</v>
      </c>
      <c r="AD28" s="200" t="e">
        <f>COUNTIFS(X15:X54,"M",#REF!,"&lt;70")</f>
        <v>#REF!</v>
      </c>
      <c r="AE28" s="201" t="e">
        <f>COUNTIFS(X15:X54,"M",#REF!,"&gt;70")</f>
        <v>#REF!</v>
      </c>
      <c r="AF28" s="43" t="e">
        <f>SUM(AB28:AE28)</f>
        <v>#REF!</v>
      </c>
    </row>
    <row r="29" spans="1:32" ht="18" customHeight="1">
      <c r="A29" s="7">
        <v>15</v>
      </c>
      <c r="B29" s="429" t="str">
        <f>IFERROR(IF(VLOOKUP(A29,'REGISTRO DATOS'!B:H,2,0)=0,"",VLOOKUP(A29,'REGISTRO DATOS'!B:H,2,0)),"")</f>
        <v xml:space="preserve">SERRANO </v>
      </c>
      <c r="C29" s="430" t="str">
        <f>IFERROR(IF(VLOOKUP(A29,'REGISTRO DATOS'!B:H,3,0)=0,"",VLOOKUP(A29,'REGISTRO DATOS'!B:H,3,0)),"")</f>
        <v>VILLEGAS</v>
      </c>
      <c r="D29" s="431" t="str">
        <f>IFERROR(IF(VLOOKUP(A29,'REGISTRO DATOS'!B:H,4,0)=0,"",VLOOKUP(A29,'REGISTRO DATOS'!B:H,4,0)),"")</f>
        <v xml:space="preserve">DYLAN </v>
      </c>
      <c r="E29" s="164">
        <f t="shared" si="0"/>
        <v>0</v>
      </c>
      <c r="F29" s="163">
        <f t="shared" si="1"/>
        <v>0</v>
      </c>
      <c r="G29" s="411"/>
      <c r="H29" s="163">
        <f t="shared" si="2"/>
        <v>0</v>
      </c>
      <c r="I29" s="163">
        <f t="shared" si="3"/>
        <v>0</v>
      </c>
      <c r="J29" s="300"/>
      <c r="K29" s="232"/>
      <c r="L29" s="232"/>
      <c r="M29" s="232"/>
      <c r="N29" s="232"/>
      <c r="O29" s="232"/>
      <c r="P29" s="232"/>
      <c r="Q29" s="232"/>
      <c r="R29" s="232"/>
      <c r="S29" s="232"/>
      <c r="T29" s="232"/>
      <c r="U29" s="237"/>
      <c r="V29" s="233"/>
      <c r="W29" s="234"/>
      <c r="X29" s="43">
        <f>'REGISTRO DATOS'!J27</f>
        <v>0</v>
      </c>
    </row>
    <row r="30" spans="1:32" ht="18" customHeight="1">
      <c r="A30" s="55">
        <v>16</v>
      </c>
      <c r="B30" s="429" t="str">
        <f>IFERROR(IF(VLOOKUP(A30,'REGISTRO DATOS'!B:H,2,0)=0,"",VLOOKUP(A30,'REGISTRO DATOS'!B:H,2,0)),"")</f>
        <v/>
      </c>
      <c r="C30" s="430" t="str">
        <f>IFERROR(IF(VLOOKUP(A30,'REGISTRO DATOS'!B:H,3,0)=0,"",VLOOKUP(A30,'REGISTRO DATOS'!B:H,3,0)),"")</f>
        <v/>
      </c>
      <c r="D30" s="431" t="str">
        <f>IFERROR(IF(VLOOKUP(A30,'REGISTRO DATOS'!B:H,4,0)=0,"",VLOOKUP(A30,'REGISTRO DATOS'!B:H,4,0)),"")</f>
        <v>ANA</v>
      </c>
      <c r="E30" s="164">
        <f t="shared" si="0"/>
        <v>0</v>
      </c>
      <c r="F30" s="163">
        <f t="shared" si="1"/>
        <v>0</v>
      </c>
      <c r="G30" s="411"/>
      <c r="H30" s="163">
        <f t="shared" si="2"/>
        <v>0</v>
      </c>
      <c r="I30" s="163">
        <f t="shared" si="3"/>
        <v>0</v>
      </c>
      <c r="J30" s="300"/>
      <c r="K30" s="232"/>
      <c r="L30" s="232"/>
      <c r="M30" s="232"/>
      <c r="N30" s="232"/>
      <c r="O30" s="232"/>
      <c r="P30" s="232"/>
      <c r="Q30" s="232"/>
      <c r="R30" s="232"/>
      <c r="S30" s="232"/>
      <c r="T30" s="232"/>
      <c r="U30" s="237"/>
      <c r="V30" s="233"/>
      <c r="W30" s="234"/>
      <c r="X30" s="43">
        <f>'REGISTRO DATOS'!J28</f>
        <v>0</v>
      </c>
    </row>
    <row r="31" spans="1:32" ht="18" customHeight="1">
      <c r="A31" s="7">
        <v>17</v>
      </c>
      <c r="B31" s="429" t="str">
        <f>IFERROR(IF(VLOOKUP(A31,'REGISTRO DATOS'!B:H,2,0)=0,"",VLOOKUP(A31,'REGISTRO DATOS'!B:H,2,0)),"")</f>
        <v>QUIROS</v>
      </c>
      <c r="C31" s="430" t="str">
        <f>IFERROR(IF(VLOOKUP(A31,'REGISTRO DATOS'!B:H,3,0)=0,"",VLOOKUP(A31,'REGISTRO DATOS'!B:H,3,0)),"")</f>
        <v/>
      </c>
      <c r="D31" s="431" t="str">
        <f>IFERROR(IF(VLOOKUP(A31,'REGISTRO DATOS'!B:H,4,0)=0,"",VLOOKUP(A31,'REGISTRO DATOS'!B:H,4,0)),"")</f>
        <v>ANDY</v>
      </c>
      <c r="E31" s="164">
        <f t="shared" si="0"/>
        <v>0</v>
      </c>
      <c r="F31" s="163">
        <f t="shared" si="1"/>
        <v>0</v>
      </c>
      <c r="G31" s="411"/>
      <c r="H31" s="163">
        <f t="shared" si="2"/>
        <v>0</v>
      </c>
      <c r="I31" s="163">
        <f t="shared" si="3"/>
        <v>0</v>
      </c>
      <c r="J31" s="300"/>
      <c r="K31" s="232"/>
      <c r="L31" s="232"/>
      <c r="M31" s="232"/>
      <c r="N31" s="232"/>
      <c r="O31" s="232"/>
      <c r="P31" s="232"/>
      <c r="Q31" s="232"/>
      <c r="R31" s="232"/>
      <c r="S31" s="232"/>
      <c r="T31" s="232"/>
      <c r="U31" s="237"/>
      <c r="V31" s="233"/>
      <c r="W31" s="234"/>
      <c r="X31" s="43">
        <f>'REGISTRO DATOS'!J29</f>
        <v>0</v>
      </c>
    </row>
    <row r="32" spans="1:32" ht="18" customHeight="1">
      <c r="A32" s="52">
        <v>18</v>
      </c>
      <c r="B32" s="429" t="str">
        <f>IFERROR(IF(VLOOKUP(A32,'REGISTRO DATOS'!B:H,2,0)=0,"",VLOOKUP(A32,'REGISTRO DATOS'!B:H,2,0)),"")</f>
        <v>RIVER</v>
      </c>
      <c r="C32" s="430" t="str">
        <f>IFERROR(IF(VLOOKUP(A32,'REGISTRO DATOS'!B:H,3,0)=0,"",VLOOKUP(A32,'REGISTRO DATOS'!B:H,3,0)),"")</f>
        <v/>
      </c>
      <c r="D32" s="431" t="str">
        <f>IFERROR(IF(VLOOKUP(A32,'REGISTRO DATOS'!B:H,4,0)=0,"",VLOOKUP(A32,'REGISTRO DATOS'!B:H,4,0)),"")</f>
        <v>STEPHANIE</v>
      </c>
      <c r="E32" s="164">
        <f t="shared" si="0"/>
        <v>0</v>
      </c>
      <c r="F32" s="163">
        <f t="shared" si="1"/>
        <v>0</v>
      </c>
      <c r="G32" s="411"/>
      <c r="H32" s="163">
        <f t="shared" si="2"/>
        <v>0</v>
      </c>
      <c r="I32" s="163">
        <f t="shared" si="3"/>
        <v>0</v>
      </c>
      <c r="J32" s="300"/>
      <c r="K32" s="232"/>
      <c r="L32" s="232"/>
      <c r="M32" s="232"/>
      <c r="N32" s="232"/>
      <c r="O32" s="232"/>
      <c r="P32" s="232"/>
      <c r="Q32" s="232"/>
      <c r="R32" s="232"/>
      <c r="S32" s="232"/>
      <c r="T32" s="232"/>
      <c r="U32" s="237"/>
      <c r="V32" s="233"/>
      <c r="W32" s="234"/>
      <c r="X32" s="43">
        <f>'REGISTRO DATOS'!J30</f>
        <v>0</v>
      </c>
    </row>
    <row r="33" spans="1:24" ht="18" customHeight="1">
      <c r="A33" s="29">
        <v>19</v>
      </c>
      <c r="B33" s="429" t="str">
        <f>IFERROR(IF(VLOOKUP(A33,'REGISTRO DATOS'!B:H,2,0)=0,"",VLOOKUP(A33,'REGISTRO DATOS'!B:H,2,0)),"")</f>
        <v/>
      </c>
      <c r="C33" s="430" t="str">
        <f>IFERROR(IF(VLOOKUP(A33,'REGISTRO DATOS'!B:H,3,0)=0,"",VLOOKUP(A33,'REGISTRO DATOS'!B:H,3,0)),"")</f>
        <v>FABIAN</v>
      </c>
      <c r="D33" s="431" t="str">
        <f>IFERROR(IF(VLOOKUP(A33,'REGISTRO DATOS'!B:H,4,0)=0,"",VLOOKUP(A33,'REGISTRO DATOS'!B:H,4,0)),"")</f>
        <v/>
      </c>
      <c r="E33" s="164">
        <f t="shared" si="0"/>
        <v>0</v>
      </c>
      <c r="F33" s="163">
        <f t="shared" si="1"/>
        <v>0</v>
      </c>
      <c r="G33" s="411"/>
      <c r="H33" s="163">
        <f t="shared" si="2"/>
        <v>0</v>
      </c>
      <c r="I33" s="163">
        <f t="shared" si="3"/>
        <v>0</v>
      </c>
      <c r="J33" s="300"/>
      <c r="K33" s="232"/>
      <c r="L33" s="232"/>
      <c r="M33" s="232"/>
      <c r="N33" s="232"/>
      <c r="O33" s="232"/>
      <c r="P33" s="232"/>
      <c r="Q33" s="232"/>
      <c r="R33" s="232"/>
      <c r="S33" s="232"/>
      <c r="T33" s="232"/>
      <c r="U33" s="237"/>
      <c r="V33" s="233"/>
      <c r="W33" s="234"/>
      <c r="X33" s="43">
        <f>'REGISTRO DATOS'!J31</f>
        <v>0</v>
      </c>
    </row>
    <row r="34" spans="1:24" ht="18" customHeight="1">
      <c r="A34" s="52">
        <v>20</v>
      </c>
      <c r="B34" s="429" t="str">
        <f>IFERROR(IF(VLOOKUP(A34,'REGISTRO DATOS'!B:H,2,0)=0,"",VLOOKUP(A34,'REGISTRO DATOS'!B:H,2,0)),"")</f>
        <v/>
      </c>
      <c r="C34" s="430" t="str">
        <f>IFERROR(IF(VLOOKUP(A34,'REGISTRO DATOS'!B:H,3,0)=0,"",VLOOKUP(A34,'REGISTRO DATOS'!B:H,3,0)),"")</f>
        <v>EMILIN</v>
      </c>
      <c r="D34" s="431" t="str">
        <f>IFERROR(IF(VLOOKUP(A34,'REGISTRO DATOS'!B:H,4,0)=0,"",VLOOKUP(A34,'REGISTRO DATOS'!B:H,4,0)),"")</f>
        <v/>
      </c>
      <c r="E34" s="164">
        <f t="shared" si="0"/>
        <v>0</v>
      </c>
      <c r="F34" s="163">
        <f t="shared" si="1"/>
        <v>0</v>
      </c>
      <c r="G34" s="411"/>
      <c r="H34" s="163">
        <f t="shared" si="2"/>
        <v>0</v>
      </c>
      <c r="I34" s="163">
        <f t="shared" si="3"/>
        <v>0</v>
      </c>
      <c r="J34" s="300"/>
      <c r="K34" s="232"/>
      <c r="L34" s="232"/>
      <c r="M34" s="232"/>
      <c r="N34" s="232"/>
      <c r="O34" s="232"/>
      <c r="P34" s="232"/>
      <c r="Q34" s="232"/>
      <c r="R34" s="232"/>
      <c r="S34" s="232"/>
      <c r="T34" s="232"/>
      <c r="U34" s="237"/>
      <c r="V34" s="233"/>
      <c r="W34" s="234"/>
      <c r="X34" s="43">
        <f>'REGISTRO DATOS'!J32</f>
        <v>0</v>
      </c>
    </row>
    <row r="35" spans="1:24" ht="18" customHeight="1">
      <c r="A35" s="7">
        <v>21</v>
      </c>
      <c r="B35" s="429" t="str">
        <f>IFERROR(IF(VLOOKUP(A35,'REGISTRO DATOS'!B:H,2,0)=0,"",VLOOKUP(A35,'REGISTRO DATOS'!B:H,2,0)),"")</f>
        <v/>
      </c>
      <c r="C35" s="430" t="str">
        <f>IFERROR(IF(VLOOKUP(A35,'REGISTRO DATOS'!B:H,3,0)=0,"",VLOOKUP(A35,'REGISTRO DATOS'!B:H,3,0)),"")</f>
        <v/>
      </c>
      <c r="D35" s="431" t="str">
        <f>IFERROR(IF(VLOOKUP(A35,'REGISTRO DATOS'!B:H,4,0)=0,"",VLOOKUP(A35,'REGISTRO DATOS'!B:H,4,0)),"")</f>
        <v/>
      </c>
      <c r="E35" s="164">
        <f t="shared" si="0"/>
        <v>0</v>
      </c>
      <c r="F35" s="163">
        <f t="shared" si="1"/>
        <v>0</v>
      </c>
      <c r="G35" s="411"/>
      <c r="H35" s="163">
        <f t="shared" si="2"/>
        <v>0</v>
      </c>
      <c r="I35" s="163">
        <f t="shared" si="3"/>
        <v>0</v>
      </c>
      <c r="J35" s="300"/>
      <c r="K35" s="232"/>
      <c r="L35" s="232"/>
      <c r="M35" s="232"/>
      <c r="N35" s="232"/>
      <c r="O35" s="232"/>
      <c r="P35" s="232"/>
      <c r="Q35" s="232"/>
      <c r="R35" s="232"/>
      <c r="S35" s="232"/>
      <c r="T35" s="232"/>
      <c r="U35" s="237"/>
      <c r="V35" s="233"/>
      <c r="W35" s="234"/>
      <c r="X35" s="43">
        <f>'REGISTRO DATOS'!J33</f>
        <v>0</v>
      </c>
    </row>
    <row r="36" spans="1:24" ht="18" customHeight="1">
      <c r="A36" s="55">
        <v>22</v>
      </c>
      <c r="B36" s="429" t="str">
        <f>IFERROR(IF(VLOOKUP(A36,'REGISTRO DATOS'!B:H,2,0)=0,"",VLOOKUP(A36,'REGISTRO DATOS'!B:H,2,0)),"")</f>
        <v/>
      </c>
      <c r="C36" s="430" t="str">
        <f>IFERROR(IF(VLOOKUP(A36,'REGISTRO DATOS'!B:H,3,0)=0,"",VLOOKUP(A36,'REGISTRO DATOS'!B:H,3,0)),"")</f>
        <v/>
      </c>
      <c r="D36" s="431" t="str">
        <f>IFERROR(IF(VLOOKUP(A36,'REGISTRO DATOS'!B:H,4,0)=0,"",VLOOKUP(A36,'REGISTRO DATOS'!B:H,4,0)),"")</f>
        <v/>
      </c>
      <c r="E36" s="164">
        <f t="shared" si="0"/>
        <v>0</v>
      </c>
      <c r="F36" s="163">
        <f t="shared" si="1"/>
        <v>0</v>
      </c>
      <c r="G36" s="411"/>
      <c r="H36" s="163">
        <f t="shared" si="2"/>
        <v>0</v>
      </c>
      <c r="I36" s="163">
        <f t="shared" si="3"/>
        <v>0</v>
      </c>
      <c r="J36" s="300"/>
      <c r="K36" s="232"/>
      <c r="L36" s="232"/>
      <c r="M36" s="232"/>
      <c r="N36" s="232"/>
      <c r="O36" s="232"/>
      <c r="P36" s="232"/>
      <c r="Q36" s="232"/>
      <c r="R36" s="232"/>
      <c r="S36" s="232"/>
      <c r="T36" s="232"/>
      <c r="U36" s="237"/>
      <c r="V36" s="233"/>
      <c r="W36" s="234"/>
      <c r="X36" s="43">
        <f>'REGISTRO DATOS'!J34</f>
        <v>0</v>
      </c>
    </row>
    <row r="37" spans="1:24" ht="18" customHeight="1">
      <c r="A37" s="7">
        <v>23</v>
      </c>
      <c r="B37" s="429" t="str">
        <f>IFERROR(IF(VLOOKUP(A37,'REGISTRO DATOS'!B:H,2,0)=0,"",VLOOKUP(A37,'REGISTRO DATOS'!B:H,2,0)),"")</f>
        <v/>
      </c>
      <c r="C37" s="430" t="str">
        <f>IFERROR(IF(VLOOKUP(A37,'REGISTRO DATOS'!B:H,3,0)=0,"",VLOOKUP(A37,'REGISTRO DATOS'!B:H,3,0)),"")</f>
        <v/>
      </c>
      <c r="D37" s="431" t="str">
        <f>IFERROR(IF(VLOOKUP(A37,'REGISTRO DATOS'!B:H,4,0)=0,"",VLOOKUP(A37,'REGISTRO DATOS'!B:H,4,0)),"")</f>
        <v/>
      </c>
      <c r="E37" s="164">
        <f t="shared" si="0"/>
        <v>0</v>
      </c>
      <c r="F37" s="163">
        <f t="shared" si="1"/>
        <v>0</v>
      </c>
      <c r="G37" s="411"/>
      <c r="H37" s="163">
        <f t="shared" si="2"/>
        <v>0</v>
      </c>
      <c r="I37" s="163">
        <f t="shared" si="3"/>
        <v>0</v>
      </c>
      <c r="J37" s="300"/>
      <c r="K37" s="232"/>
      <c r="L37" s="232"/>
      <c r="M37" s="232"/>
      <c r="N37" s="232"/>
      <c r="O37" s="232"/>
      <c r="P37" s="232"/>
      <c r="Q37" s="232"/>
      <c r="R37" s="232"/>
      <c r="S37" s="232"/>
      <c r="T37" s="232"/>
      <c r="U37" s="237"/>
      <c r="V37" s="233"/>
      <c r="W37" s="234"/>
      <c r="X37" s="43">
        <f>'REGISTRO DATOS'!J35</f>
        <v>0</v>
      </c>
    </row>
    <row r="38" spans="1:24" ht="18" customHeight="1">
      <c r="A38" s="52">
        <v>24</v>
      </c>
      <c r="B38" s="429" t="str">
        <f>IFERROR(IF(VLOOKUP(A38,'REGISTRO DATOS'!B:H,2,0)=0,"",VLOOKUP(A38,'REGISTRO DATOS'!B:H,2,0)),"")</f>
        <v/>
      </c>
      <c r="C38" s="430" t="str">
        <f>IFERROR(IF(VLOOKUP(A38,'REGISTRO DATOS'!B:H,3,0)=0,"",VLOOKUP(A38,'REGISTRO DATOS'!B:H,3,0)),"")</f>
        <v/>
      </c>
      <c r="D38" s="431" t="str">
        <f>IFERROR(IF(VLOOKUP(A38,'REGISTRO DATOS'!B:H,4,0)=0,"",VLOOKUP(A38,'REGISTRO DATOS'!B:H,4,0)),"")</f>
        <v/>
      </c>
      <c r="E38" s="164">
        <f t="shared" si="0"/>
        <v>0</v>
      </c>
      <c r="F38" s="163">
        <f t="shared" si="1"/>
        <v>0</v>
      </c>
      <c r="G38" s="411"/>
      <c r="H38" s="163">
        <f t="shared" si="2"/>
        <v>0</v>
      </c>
      <c r="I38" s="163">
        <f t="shared" si="3"/>
        <v>0</v>
      </c>
      <c r="J38" s="300"/>
      <c r="K38" s="232"/>
      <c r="L38" s="232"/>
      <c r="M38" s="232"/>
      <c r="N38" s="232"/>
      <c r="O38" s="232"/>
      <c r="P38" s="232"/>
      <c r="Q38" s="232"/>
      <c r="R38" s="232"/>
      <c r="S38" s="232"/>
      <c r="T38" s="232"/>
      <c r="U38" s="237"/>
      <c r="V38" s="233"/>
      <c r="W38" s="234"/>
      <c r="X38" s="43">
        <f>'REGISTRO DATOS'!J36</f>
        <v>0</v>
      </c>
    </row>
    <row r="39" spans="1:24" ht="18" customHeight="1">
      <c r="A39" s="29">
        <v>25</v>
      </c>
      <c r="B39" s="429" t="str">
        <f>IFERROR(IF(VLOOKUP(A39,'REGISTRO DATOS'!B:H,2,0)=0,"",VLOOKUP(A39,'REGISTRO DATOS'!B:H,2,0)),"")</f>
        <v/>
      </c>
      <c r="C39" s="430" t="str">
        <f>IFERROR(IF(VLOOKUP(A39,'REGISTRO DATOS'!B:H,3,0)=0,"",VLOOKUP(A39,'REGISTRO DATOS'!B:H,3,0)),"")</f>
        <v/>
      </c>
      <c r="D39" s="431" t="str">
        <f>IFERROR(IF(VLOOKUP(A39,'REGISTRO DATOS'!B:H,4,0)=0,"",VLOOKUP(A39,'REGISTRO DATOS'!B:H,4,0)),"")</f>
        <v/>
      </c>
      <c r="E39" s="164">
        <f t="shared" si="0"/>
        <v>0</v>
      </c>
      <c r="F39" s="163">
        <f t="shared" si="1"/>
        <v>0</v>
      </c>
      <c r="G39" s="411"/>
      <c r="H39" s="163">
        <f t="shared" si="2"/>
        <v>0</v>
      </c>
      <c r="I39" s="163">
        <f t="shared" si="3"/>
        <v>0</v>
      </c>
      <c r="J39" s="300"/>
      <c r="K39" s="232"/>
      <c r="L39" s="232"/>
      <c r="M39" s="232"/>
      <c r="N39" s="232"/>
      <c r="O39" s="232"/>
      <c r="P39" s="232"/>
      <c r="Q39" s="232"/>
      <c r="R39" s="232"/>
      <c r="S39" s="232"/>
      <c r="T39" s="232"/>
      <c r="U39" s="237"/>
      <c r="V39" s="233"/>
      <c r="W39" s="234"/>
      <c r="X39" s="43">
        <f>'REGISTRO DATOS'!J37</f>
        <v>0</v>
      </c>
    </row>
    <row r="40" spans="1:24" ht="18" customHeight="1">
      <c r="A40" s="52">
        <v>26</v>
      </c>
      <c r="B40" s="429" t="str">
        <f>IFERROR(IF(VLOOKUP(A40,'REGISTRO DATOS'!B:H,2,0)=0,"",VLOOKUP(A40,'REGISTRO DATOS'!B:H,2,0)),"")</f>
        <v/>
      </c>
      <c r="C40" s="430" t="str">
        <f>IFERROR(IF(VLOOKUP(A40,'REGISTRO DATOS'!B:H,3,0)=0,"",VLOOKUP(A40,'REGISTRO DATOS'!B:H,3,0)),"")</f>
        <v/>
      </c>
      <c r="D40" s="431" t="str">
        <f>IFERROR(IF(VLOOKUP(A40,'REGISTRO DATOS'!B:H,4,0)=0,"",VLOOKUP(A40,'REGISTRO DATOS'!B:H,4,0)),"")</f>
        <v/>
      </c>
      <c r="E40" s="164">
        <f t="shared" si="0"/>
        <v>0</v>
      </c>
      <c r="F40" s="163">
        <f t="shared" si="1"/>
        <v>0</v>
      </c>
      <c r="G40" s="411"/>
      <c r="H40" s="163">
        <f t="shared" si="2"/>
        <v>0</v>
      </c>
      <c r="I40" s="163">
        <f t="shared" si="3"/>
        <v>0</v>
      </c>
      <c r="J40" s="300"/>
      <c r="K40" s="232"/>
      <c r="L40" s="232"/>
      <c r="M40" s="232"/>
      <c r="N40" s="232"/>
      <c r="O40" s="232"/>
      <c r="P40" s="232"/>
      <c r="Q40" s="232"/>
      <c r="R40" s="232"/>
      <c r="S40" s="232"/>
      <c r="T40" s="232"/>
      <c r="U40" s="237"/>
      <c r="V40" s="233"/>
      <c r="W40" s="234"/>
      <c r="X40" s="43">
        <f>'REGISTRO DATOS'!J38</f>
        <v>0</v>
      </c>
    </row>
    <row r="41" spans="1:24" ht="18" customHeight="1">
      <c r="A41" s="7">
        <v>27</v>
      </c>
      <c r="B41" s="429" t="str">
        <f>IFERROR(IF(VLOOKUP(A41,'REGISTRO DATOS'!B:H,2,0)=0,"",VLOOKUP(A41,'REGISTRO DATOS'!B:H,2,0)),"")</f>
        <v/>
      </c>
      <c r="C41" s="430" t="str">
        <f>IFERROR(IF(VLOOKUP(A41,'REGISTRO DATOS'!B:H,3,0)=0,"",VLOOKUP(A41,'REGISTRO DATOS'!B:H,3,0)),"")</f>
        <v/>
      </c>
      <c r="D41" s="431" t="str">
        <f>IFERROR(IF(VLOOKUP(A41,'REGISTRO DATOS'!B:H,4,0)=0,"",VLOOKUP(A41,'REGISTRO DATOS'!B:H,4,0)),"")</f>
        <v/>
      </c>
      <c r="E41" s="164">
        <f t="shared" si="0"/>
        <v>0</v>
      </c>
      <c r="F41" s="163">
        <f t="shared" si="1"/>
        <v>0</v>
      </c>
      <c r="G41" s="411"/>
      <c r="H41" s="163">
        <f t="shared" si="2"/>
        <v>0</v>
      </c>
      <c r="I41" s="163">
        <f t="shared" si="3"/>
        <v>0</v>
      </c>
      <c r="J41" s="300"/>
      <c r="K41" s="232"/>
      <c r="L41" s="232"/>
      <c r="M41" s="232"/>
      <c r="N41" s="232"/>
      <c r="O41" s="232"/>
      <c r="P41" s="232"/>
      <c r="Q41" s="232"/>
      <c r="R41" s="232"/>
      <c r="S41" s="232"/>
      <c r="T41" s="232"/>
      <c r="U41" s="237"/>
      <c r="V41" s="233"/>
      <c r="W41" s="234"/>
      <c r="X41" s="43">
        <f>'REGISTRO DATOS'!J39</f>
        <v>0</v>
      </c>
    </row>
    <row r="42" spans="1:24" ht="18" customHeight="1">
      <c r="A42" s="55">
        <v>28</v>
      </c>
      <c r="B42" s="429" t="str">
        <f>IFERROR(IF(VLOOKUP(A42,'REGISTRO DATOS'!B:H,2,0)=0,"",VLOOKUP(A42,'REGISTRO DATOS'!B:H,2,0)),"")</f>
        <v/>
      </c>
      <c r="C42" s="430" t="str">
        <f>IFERROR(IF(VLOOKUP(A42,'REGISTRO DATOS'!B:H,3,0)=0,"",VLOOKUP(A42,'REGISTRO DATOS'!B:H,3,0)),"")</f>
        <v/>
      </c>
      <c r="D42" s="431" t="str">
        <f>IFERROR(IF(VLOOKUP(A42,'REGISTRO DATOS'!B:H,4,0)=0,"",VLOOKUP(A42,'REGISTRO DATOS'!B:H,4,0)),"")</f>
        <v/>
      </c>
      <c r="E42" s="164">
        <f t="shared" si="0"/>
        <v>0</v>
      </c>
      <c r="F42" s="163">
        <f t="shared" si="1"/>
        <v>0</v>
      </c>
      <c r="G42" s="411"/>
      <c r="H42" s="163">
        <f t="shared" si="2"/>
        <v>0</v>
      </c>
      <c r="I42" s="163">
        <f t="shared" si="3"/>
        <v>0</v>
      </c>
      <c r="J42" s="300"/>
      <c r="K42" s="232"/>
      <c r="L42" s="232"/>
      <c r="M42" s="232"/>
      <c r="N42" s="232"/>
      <c r="O42" s="232"/>
      <c r="P42" s="232"/>
      <c r="Q42" s="232"/>
      <c r="R42" s="232"/>
      <c r="S42" s="232"/>
      <c r="T42" s="232"/>
      <c r="U42" s="237"/>
      <c r="V42" s="233"/>
      <c r="W42" s="234"/>
      <c r="X42" s="43">
        <f>'REGISTRO DATOS'!J40</f>
        <v>0</v>
      </c>
    </row>
    <row r="43" spans="1:24" ht="18" customHeight="1">
      <c r="A43" s="7">
        <v>29</v>
      </c>
      <c r="B43" s="429" t="str">
        <f>IFERROR(IF(VLOOKUP(A43,'REGISTRO DATOS'!B:H,2,0)=0,"",VLOOKUP(A43,'REGISTRO DATOS'!B:H,2,0)),"")</f>
        <v/>
      </c>
      <c r="C43" s="430" t="str">
        <f>IFERROR(IF(VLOOKUP(A43,'REGISTRO DATOS'!B:H,3,0)=0,"",VLOOKUP(A43,'REGISTRO DATOS'!B:H,3,0)),"")</f>
        <v/>
      </c>
      <c r="D43" s="431" t="str">
        <f>IFERROR(IF(VLOOKUP(A43,'REGISTRO DATOS'!B:H,4,0)=0,"",VLOOKUP(A43,'REGISTRO DATOS'!B:H,4,0)),"")</f>
        <v/>
      </c>
      <c r="E43" s="164">
        <f t="shared" si="0"/>
        <v>0</v>
      </c>
      <c r="F43" s="163">
        <f t="shared" si="1"/>
        <v>0</v>
      </c>
      <c r="G43" s="411"/>
      <c r="H43" s="163">
        <f t="shared" si="2"/>
        <v>0</v>
      </c>
      <c r="I43" s="163">
        <f t="shared" si="3"/>
        <v>0</v>
      </c>
      <c r="J43" s="300"/>
      <c r="K43" s="232"/>
      <c r="L43" s="232"/>
      <c r="M43" s="232"/>
      <c r="N43" s="232"/>
      <c r="O43" s="232"/>
      <c r="P43" s="232"/>
      <c r="Q43" s="232"/>
      <c r="R43" s="232"/>
      <c r="S43" s="232"/>
      <c r="T43" s="232"/>
      <c r="U43" s="237"/>
      <c r="V43" s="233"/>
      <c r="W43" s="234"/>
      <c r="X43" s="43">
        <f>'REGISTRO DATOS'!J41</f>
        <v>0</v>
      </c>
    </row>
    <row r="44" spans="1:24" ht="18" customHeight="1">
      <c r="A44" s="52">
        <v>30</v>
      </c>
      <c r="B44" s="429" t="str">
        <f>IFERROR(IF(VLOOKUP(A44,'REGISTRO DATOS'!B:H,2,0)=0,"",VLOOKUP(A44,'REGISTRO DATOS'!B:H,2,0)),"")</f>
        <v/>
      </c>
      <c r="C44" s="430" t="str">
        <f>IFERROR(IF(VLOOKUP(A44,'REGISTRO DATOS'!B:H,3,0)=0,"",VLOOKUP(A44,'REGISTRO DATOS'!B:H,3,0)),"")</f>
        <v/>
      </c>
      <c r="D44" s="431" t="str">
        <f>IFERROR(IF(VLOOKUP(A44,'REGISTRO DATOS'!B:H,4,0)=0,"",VLOOKUP(A44,'REGISTRO DATOS'!B:H,4,0)),"")</f>
        <v/>
      </c>
      <c r="E44" s="164">
        <f t="shared" si="0"/>
        <v>0</v>
      </c>
      <c r="F44" s="163">
        <f t="shared" si="1"/>
        <v>0</v>
      </c>
      <c r="G44" s="411"/>
      <c r="H44" s="163">
        <f t="shared" si="2"/>
        <v>0</v>
      </c>
      <c r="I44" s="163">
        <f t="shared" si="3"/>
        <v>0</v>
      </c>
      <c r="J44" s="300"/>
      <c r="K44" s="232"/>
      <c r="L44" s="232"/>
      <c r="M44" s="232"/>
      <c r="N44" s="232"/>
      <c r="O44" s="232"/>
      <c r="P44" s="232"/>
      <c r="Q44" s="232"/>
      <c r="R44" s="232"/>
      <c r="S44" s="232"/>
      <c r="T44" s="232"/>
      <c r="U44" s="237"/>
      <c r="V44" s="233"/>
      <c r="W44" s="234"/>
      <c r="X44" s="43">
        <f>'REGISTRO DATOS'!J42</f>
        <v>0</v>
      </c>
    </row>
    <row r="45" spans="1:24" ht="18" customHeight="1">
      <c r="A45" s="29">
        <v>31</v>
      </c>
      <c r="B45" s="429" t="str">
        <f>IFERROR(IF(VLOOKUP(A45,'REGISTRO DATOS'!B:H,2,0)=0,"",VLOOKUP(A45,'REGISTRO DATOS'!B:H,2,0)),"")</f>
        <v/>
      </c>
      <c r="C45" s="430" t="str">
        <f>IFERROR(IF(VLOOKUP(A45,'REGISTRO DATOS'!B:H,3,0)=0,"",VLOOKUP(A45,'REGISTRO DATOS'!B:H,3,0)),"")</f>
        <v/>
      </c>
      <c r="D45" s="431" t="str">
        <f>IFERROR(IF(VLOOKUP(A45,'REGISTRO DATOS'!B:H,4,0)=0,"",VLOOKUP(A45,'REGISTRO DATOS'!B:H,4,0)),"")</f>
        <v/>
      </c>
      <c r="E45" s="164">
        <f t="shared" si="0"/>
        <v>0</v>
      </c>
      <c r="F45" s="163">
        <f t="shared" si="1"/>
        <v>0</v>
      </c>
      <c r="G45" s="411"/>
      <c r="H45" s="163">
        <f t="shared" si="2"/>
        <v>0</v>
      </c>
      <c r="I45" s="163">
        <f t="shared" si="3"/>
        <v>0</v>
      </c>
      <c r="J45" s="300"/>
      <c r="K45" s="232"/>
      <c r="L45" s="232"/>
      <c r="M45" s="232"/>
      <c r="N45" s="232"/>
      <c r="O45" s="232"/>
      <c r="P45" s="232"/>
      <c r="Q45" s="232"/>
      <c r="R45" s="232"/>
      <c r="S45" s="232"/>
      <c r="T45" s="232"/>
      <c r="U45" s="237"/>
      <c r="V45" s="233"/>
      <c r="W45" s="234"/>
      <c r="X45" s="43">
        <f>'REGISTRO DATOS'!J43</f>
        <v>0</v>
      </c>
    </row>
    <row r="46" spans="1:24" ht="18" customHeight="1">
      <c r="A46" s="7">
        <v>32</v>
      </c>
      <c r="B46" s="429" t="str">
        <f>IFERROR(IF(VLOOKUP(A46,'REGISTRO DATOS'!B:H,2,0)=0,"",VLOOKUP(A46,'REGISTRO DATOS'!B:H,2,0)),"")</f>
        <v/>
      </c>
      <c r="C46" s="430" t="str">
        <f>IFERROR(IF(VLOOKUP(A46,'REGISTRO DATOS'!B:H,3,0)=0,"",VLOOKUP(A46,'REGISTRO DATOS'!B:H,3,0)),"")</f>
        <v/>
      </c>
      <c r="D46" s="431" t="str">
        <f>IFERROR(IF(VLOOKUP(A46,'REGISTRO DATOS'!B:H,4,0)=0,"",VLOOKUP(A46,'REGISTRO DATOS'!B:H,4,0)),"")</f>
        <v/>
      </c>
      <c r="E46" s="164">
        <f t="shared" si="0"/>
        <v>0</v>
      </c>
      <c r="F46" s="163">
        <f t="shared" si="1"/>
        <v>0</v>
      </c>
      <c r="G46" s="411"/>
      <c r="H46" s="163">
        <f t="shared" si="2"/>
        <v>0</v>
      </c>
      <c r="I46" s="163">
        <f t="shared" si="3"/>
        <v>0</v>
      </c>
      <c r="J46" s="300"/>
      <c r="K46" s="232"/>
      <c r="L46" s="232"/>
      <c r="M46" s="232"/>
      <c r="N46" s="232"/>
      <c r="O46" s="232"/>
      <c r="P46" s="232"/>
      <c r="Q46" s="232"/>
      <c r="R46" s="232"/>
      <c r="S46" s="232"/>
      <c r="T46" s="232"/>
      <c r="U46" s="237"/>
      <c r="V46" s="233"/>
      <c r="W46" s="234"/>
      <c r="X46" s="43">
        <f>'REGISTRO DATOS'!J44</f>
        <v>0</v>
      </c>
    </row>
    <row r="47" spans="1:24" ht="18" customHeight="1">
      <c r="A47" s="7">
        <v>33</v>
      </c>
      <c r="B47" s="429" t="str">
        <f>IFERROR(IF(VLOOKUP(A47,'REGISTRO DATOS'!B:H,2,0)=0,"",VLOOKUP(A47,'REGISTRO DATOS'!B:H,2,0)),"")</f>
        <v/>
      </c>
      <c r="C47" s="430" t="str">
        <f>IFERROR(IF(VLOOKUP(A47,'REGISTRO DATOS'!B:H,3,0)=0,"",VLOOKUP(A47,'REGISTRO DATOS'!B:H,3,0)),"")</f>
        <v/>
      </c>
      <c r="D47" s="431" t="str">
        <f>IFERROR(IF(VLOOKUP(A47,'REGISTRO DATOS'!B:H,4,0)=0,"",VLOOKUP(A47,'REGISTRO DATOS'!B:H,4,0)),"")</f>
        <v/>
      </c>
      <c r="E47" s="164">
        <f t="shared" si="0"/>
        <v>0</v>
      </c>
      <c r="F47" s="163">
        <f t="shared" si="1"/>
        <v>0</v>
      </c>
      <c r="G47" s="411"/>
      <c r="H47" s="163">
        <f t="shared" si="2"/>
        <v>0</v>
      </c>
      <c r="I47" s="163">
        <f t="shared" si="3"/>
        <v>0</v>
      </c>
      <c r="J47" s="300"/>
      <c r="K47" s="232"/>
      <c r="L47" s="232"/>
      <c r="M47" s="232"/>
      <c r="N47" s="232"/>
      <c r="O47" s="232"/>
      <c r="P47" s="232"/>
      <c r="Q47" s="232"/>
      <c r="R47" s="232"/>
      <c r="S47" s="232"/>
      <c r="T47" s="232"/>
      <c r="U47" s="237"/>
      <c r="V47" s="233"/>
      <c r="W47" s="234"/>
      <c r="X47" s="43">
        <f>'REGISTRO DATOS'!J45</f>
        <v>0</v>
      </c>
    </row>
    <row r="48" spans="1:24" ht="18" customHeight="1">
      <c r="A48" s="55">
        <v>34</v>
      </c>
      <c r="B48" s="429" t="str">
        <f>IFERROR(IF(VLOOKUP(A48,'REGISTRO DATOS'!B:H,2,0)=0,"",VLOOKUP(A48,'REGISTRO DATOS'!B:H,2,0)),"")</f>
        <v/>
      </c>
      <c r="C48" s="430" t="str">
        <f>IFERROR(IF(VLOOKUP(A48,'REGISTRO DATOS'!B:H,3,0)=0,"",VLOOKUP(A48,'REGISTRO DATOS'!B:H,3,0)),"")</f>
        <v/>
      </c>
      <c r="D48" s="431" t="str">
        <f>IFERROR(IF(VLOOKUP(A48,'REGISTRO DATOS'!B:H,4,0)=0,"",VLOOKUP(A48,'REGISTRO DATOS'!B:H,4,0)),"")</f>
        <v/>
      </c>
      <c r="E48" s="164">
        <f t="shared" si="0"/>
        <v>0</v>
      </c>
      <c r="F48" s="163">
        <f t="shared" si="1"/>
        <v>0</v>
      </c>
      <c r="G48" s="411"/>
      <c r="H48" s="163">
        <f t="shared" si="2"/>
        <v>0</v>
      </c>
      <c r="I48" s="163">
        <f t="shared" si="3"/>
        <v>0</v>
      </c>
      <c r="J48" s="300"/>
      <c r="K48" s="232"/>
      <c r="L48" s="232"/>
      <c r="M48" s="232"/>
      <c r="N48" s="232"/>
      <c r="O48" s="232"/>
      <c r="P48" s="232"/>
      <c r="Q48" s="232"/>
      <c r="R48" s="232"/>
      <c r="S48" s="232"/>
      <c r="T48" s="232"/>
      <c r="U48" s="237"/>
      <c r="V48" s="233"/>
      <c r="W48" s="234"/>
      <c r="X48" s="43">
        <f>'REGISTRO DATOS'!J46</f>
        <v>0</v>
      </c>
    </row>
    <row r="49" spans="1:24" ht="18" customHeight="1">
      <c r="A49" s="7">
        <v>35</v>
      </c>
      <c r="B49" s="429" t="str">
        <f>IFERROR(IF(VLOOKUP(A49,'REGISTRO DATOS'!B:H,2,0)=0,"",VLOOKUP(A49,'REGISTRO DATOS'!B:H,2,0)),"")</f>
        <v/>
      </c>
      <c r="C49" s="430" t="str">
        <f>IFERROR(IF(VLOOKUP(A49,'REGISTRO DATOS'!B:H,3,0)=0,"",VLOOKUP(A49,'REGISTRO DATOS'!B:H,3,0)),"")</f>
        <v/>
      </c>
      <c r="D49" s="431" t="str">
        <f>IFERROR(IF(VLOOKUP(A49,'REGISTRO DATOS'!B:H,4,0)=0,"",VLOOKUP(A49,'REGISTRO DATOS'!B:H,4,0)),"")</f>
        <v/>
      </c>
      <c r="E49" s="164">
        <f t="shared" si="0"/>
        <v>0</v>
      </c>
      <c r="F49" s="163">
        <f t="shared" si="1"/>
        <v>0</v>
      </c>
      <c r="G49" s="411"/>
      <c r="H49" s="163">
        <f t="shared" si="2"/>
        <v>0</v>
      </c>
      <c r="I49" s="163">
        <f t="shared" si="3"/>
        <v>0</v>
      </c>
      <c r="J49" s="300"/>
      <c r="K49" s="232"/>
      <c r="L49" s="232"/>
      <c r="M49" s="232"/>
      <c r="N49" s="232"/>
      <c r="O49" s="232"/>
      <c r="P49" s="232"/>
      <c r="Q49" s="232"/>
      <c r="R49" s="232"/>
      <c r="S49" s="232"/>
      <c r="T49" s="232"/>
      <c r="U49" s="237"/>
      <c r="V49" s="233"/>
      <c r="W49" s="234"/>
      <c r="X49" s="43">
        <f>'REGISTRO DATOS'!J47</f>
        <v>0</v>
      </c>
    </row>
    <row r="50" spans="1:24" ht="18" customHeight="1">
      <c r="A50" s="52">
        <v>36</v>
      </c>
      <c r="B50" s="429" t="str">
        <f>IFERROR(IF(VLOOKUP(A50,'REGISTRO DATOS'!B:H,2,0)=0,"",VLOOKUP(A50,'REGISTRO DATOS'!B:H,2,0)),"")</f>
        <v/>
      </c>
      <c r="C50" s="430" t="str">
        <f>IFERROR(IF(VLOOKUP(A50,'REGISTRO DATOS'!B:H,3,0)=0,"",VLOOKUP(A50,'REGISTRO DATOS'!B:H,3,0)),"")</f>
        <v/>
      </c>
      <c r="D50" s="431" t="str">
        <f>IFERROR(IF(VLOOKUP(A50,'REGISTRO DATOS'!B:H,4,0)=0,"",VLOOKUP(A50,'REGISTRO DATOS'!B:H,4,0)),"")</f>
        <v/>
      </c>
      <c r="E50" s="164">
        <f t="shared" si="0"/>
        <v>0</v>
      </c>
      <c r="F50" s="163">
        <f t="shared" si="1"/>
        <v>0</v>
      </c>
      <c r="G50" s="411"/>
      <c r="H50" s="163">
        <f t="shared" si="2"/>
        <v>0</v>
      </c>
      <c r="I50" s="163">
        <f t="shared" si="3"/>
        <v>0</v>
      </c>
      <c r="J50" s="300"/>
      <c r="K50" s="232"/>
      <c r="L50" s="232"/>
      <c r="M50" s="232"/>
      <c r="N50" s="232"/>
      <c r="O50" s="232"/>
      <c r="P50" s="232"/>
      <c r="Q50" s="232"/>
      <c r="R50" s="232"/>
      <c r="S50" s="232"/>
      <c r="T50" s="232"/>
      <c r="U50" s="237"/>
      <c r="V50" s="233"/>
      <c r="W50" s="234"/>
      <c r="X50" s="43">
        <f>'REGISTRO DATOS'!J48</f>
        <v>0</v>
      </c>
    </row>
    <row r="51" spans="1:24" ht="18" customHeight="1">
      <c r="A51" s="29">
        <v>37</v>
      </c>
      <c r="B51" s="429" t="str">
        <f>IFERROR(IF(VLOOKUP(A51,'REGISTRO DATOS'!B:H,2,0)=0,"",VLOOKUP(A51,'REGISTRO DATOS'!B:H,2,0)),"")</f>
        <v/>
      </c>
      <c r="C51" s="430" t="str">
        <f>IFERROR(IF(VLOOKUP(A51,'REGISTRO DATOS'!B:H,3,0)=0,"",VLOOKUP(A51,'REGISTRO DATOS'!B:H,3,0)),"")</f>
        <v/>
      </c>
      <c r="D51" s="431" t="str">
        <f>IFERROR(IF(VLOOKUP(A51,'REGISTRO DATOS'!B:H,4,0)=0,"",VLOOKUP(A51,'REGISTRO DATOS'!B:H,4,0)),"")</f>
        <v/>
      </c>
      <c r="E51" s="164">
        <f t="shared" si="0"/>
        <v>0</v>
      </c>
      <c r="F51" s="163">
        <f t="shared" si="1"/>
        <v>0</v>
      </c>
      <c r="G51" s="411"/>
      <c r="H51" s="163">
        <f t="shared" si="2"/>
        <v>0</v>
      </c>
      <c r="I51" s="163">
        <f t="shared" si="3"/>
        <v>0</v>
      </c>
      <c r="J51" s="300"/>
      <c r="K51" s="232"/>
      <c r="L51" s="232"/>
      <c r="M51" s="232"/>
      <c r="N51" s="232"/>
      <c r="O51" s="232"/>
      <c r="P51" s="232"/>
      <c r="Q51" s="232"/>
      <c r="R51" s="232"/>
      <c r="S51" s="232"/>
      <c r="T51" s="232"/>
      <c r="U51" s="237"/>
      <c r="V51" s="233"/>
      <c r="W51" s="234"/>
      <c r="X51" s="43">
        <f>'REGISTRO DATOS'!J49</f>
        <v>0</v>
      </c>
    </row>
    <row r="52" spans="1:24" ht="18" customHeight="1">
      <c r="A52" s="52">
        <v>38</v>
      </c>
      <c r="B52" s="429" t="str">
        <f>IFERROR(IF(VLOOKUP(A52,'REGISTRO DATOS'!B:H,2,0)=0,"",VLOOKUP(A52,'REGISTRO DATOS'!B:H,2,0)),"")</f>
        <v/>
      </c>
      <c r="C52" s="430" t="str">
        <f>IFERROR(IF(VLOOKUP(A52,'REGISTRO DATOS'!B:H,3,0)=0,"",VLOOKUP(A52,'REGISTRO DATOS'!B:H,3,0)),"")</f>
        <v/>
      </c>
      <c r="D52" s="431" t="str">
        <f>IFERROR(IF(VLOOKUP(A52,'REGISTRO DATOS'!B:H,4,0)=0,"",VLOOKUP(A52,'REGISTRO DATOS'!B:H,4,0)),"")</f>
        <v/>
      </c>
      <c r="E52" s="164">
        <f t="shared" si="0"/>
        <v>0</v>
      </c>
      <c r="F52" s="163">
        <f t="shared" si="1"/>
        <v>0</v>
      </c>
      <c r="G52" s="411"/>
      <c r="H52" s="163">
        <f t="shared" si="2"/>
        <v>0</v>
      </c>
      <c r="I52" s="163">
        <f t="shared" si="3"/>
        <v>0</v>
      </c>
      <c r="J52" s="300"/>
      <c r="K52" s="232"/>
      <c r="L52" s="232"/>
      <c r="M52" s="232"/>
      <c r="N52" s="232"/>
      <c r="O52" s="232"/>
      <c r="P52" s="232"/>
      <c r="Q52" s="232"/>
      <c r="R52" s="232"/>
      <c r="S52" s="232"/>
      <c r="T52" s="232"/>
      <c r="U52" s="237"/>
      <c r="V52" s="233"/>
      <c r="W52" s="234"/>
      <c r="X52" s="43">
        <f>'REGISTRO DATOS'!J50</f>
        <v>0</v>
      </c>
    </row>
    <row r="53" spans="1:24" ht="18" customHeight="1">
      <c r="A53" s="7">
        <v>39</v>
      </c>
      <c r="B53" s="429" t="str">
        <f>IFERROR(IF(VLOOKUP(A53,'REGISTRO DATOS'!B:H,2,0)=0,"",VLOOKUP(A53,'REGISTRO DATOS'!B:H,2,0)),"")</f>
        <v/>
      </c>
      <c r="C53" s="430" t="str">
        <f>IFERROR(IF(VLOOKUP(A53,'REGISTRO DATOS'!B:H,3,0)=0,"",VLOOKUP(A53,'REGISTRO DATOS'!B:H,3,0)),"")</f>
        <v/>
      </c>
      <c r="D53" s="431" t="str">
        <f>IFERROR(IF(VLOOKUP(A53,'REGISTRO DATOS'!B:H,4,0)=0,"",VLOOKUP(A53,'REGISTRO DATOS'!B:H,4,0)),"")</f>
        <v/>
      </c>
      <c r="E53" s="164">
        <f t="shared" si="0"/>
        <v>0</v>
      </c>
      <c r="F53" s="163">
        <f t="shared" si="1"/>
        <v>0</v>
      </c>
      <c r="G53" s="411"/>
      <c r="H53" s="163">
        <f t="shared" si="2"/>
        <v>0</v>
      </c>
      <c r="I53" s="163">
        <f t="shared" si="3"/>
        <v>0</v>
      </c>
      <c r="J53" s="300"/>
      <c r="K53" s="232"/>
      <c r="L53" s="232"/>
      <c r="M53" s="232"/>
      <c r="N53" s="232"/>
      <c r="O53" s="232"/>
      <c r="P53" s="232"/>
      <c r="Q53" s="232"/>
      <c r="R53" s="232"/>
      <c r="S53" s="232"/>
      <c r="T53" s="232"/>
      <c r="U53" s="237"/>
      <c r="V53" s="233"/>
      <c r="W53" s="234"/>
      <c r="X53" s="43">
        <f>'REGISTRO DATOS'!J51</f>
        <v>0</v>
      </c>
    </row>
    <row r="54" spans="1:24" ht="18" customHeight="1">
      <c r="A54" s="432">
        <v>40</v>
      </c>
      <c r="B54" s="433" t="str">
        <f>IFERROR(IF(VLOOKUP(A54,'REGISTRO DATOS'!B:H,2,0)=0,"",VLOOKUP(A54,'REGISTRO DATOS'!B:H,2,0)),"")</f>
        <v/>
      </c>
      <c r="C54" s="434" t="str">
        <f>IFERROR(IF(VLOOKUP(A54,'REGISTRO DATOS'!B:H,3,0)=0,"",VLOOKUP(A54,'REGISTRO DATOS'!B:H,3,0)),"")</f>
        <v/>
      </c>
      <c r="D54" s="435" t="str">
        <f>IFERROR(IF(VLOOKUP(A54,'REGISTRO DATOS'!B:H,4,0)=0,"",VLOOKUP(A54,'REGISTRO DATOS'!B:H,4,0)),"")</f>
        <v/>
      </c>
      <c r="E54" s="164">
        <f t="shared" si="0"/>
        <v>0</v>
      </c>
      <c r="F54" s="163">
        <f t="shared" si="1"/>
        <v>0</v>
      </c>
      <c r="G54" s="411"/>
      <c r="H54" s="163">
        <f t="shared" si="2"/>
        <v>0</v>
      </c>
      <c r="I54" s="163">
        <f t="shared" si="3"/>
        <v>0</v>
      </c>
      <c r="J54" s="300"/>
      <c r="K54" s="232"/>
      <c r="L54" s="232"/>
      <c r="M54" s="232"/>
      <c r="N54" s="232"/>
      <c r="O54" s="232"/>
      <c r="P54" s="232"/>
      <c r="Q54" s="232"/>
      <c r="R54" s="232"/>
      <c r="S54" s="232"/>
      <c r="T54" s="232"/>
      <c r="U54" s="237"/>
      <c r="V54" s="233"/>
      <c r="W54" s="234"/>
      <c r="X54" s="43">
        <f>'REGISTRO DATOS'!J52</f>
        <v>0</v>
      </c>
    </row>
    <row r="55" spans="1:24" ht="18" customHeight="1">
      <c r="A55" s="223"/>
      <c r="B55" s="223"/>
      <c r="C55" s="223"/>
      <c r="D55" s="223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</row>
    <row r="56" spans="1:24" ht="18" hidden="1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</row>
    <row r="57" spans="1:24" ht="18" hidden="1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</row>
    <row r="58" spans="1:24" ht="18" hidden="1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</row>
    <row r="59" spans="1:24" ht="18" hidden="1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</row>
    <row r="60" spans="1:24" ht="18" hidden="1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</row>
    <row r="61" spans="1:24" ht="17.25" hidden="1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</row>
    <row r="62" spans="1:24" ht="17.25" hidden="1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</row>
    <row r="63" spans="1:24" ht="17.25" hidden="1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</row>
    <row r="64" spans="1:24" ht="15" hidden="1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</row>
    <row r="65" spans="1:23" ht="15.75" hidden="1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</row>
    <row r="66" spans="1:23" ht="15" hidden="1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</row>
    <row r="67" spans="1:23" ht="15.75" hidden="1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</row>
    <row r="68" spans="1:23" ht="15" hidden="1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</row>
    <row r="69" spans="1:23" ht="15.75" hidden="1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</row>
    <row r="70" spans="1:23" ht="15" hidden="1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</row>
    <row r="71" spans="1:23" ht="15.75" hidden="1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</row>
    <row r="72" spans="1:23" ht="15" hidden="1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</row>
    <row r="73" spans="1:23" ht="15.75" hidden="1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</row>
    <row r="74" spans="1:23" ht="15" hidden="1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</row>
    <row r="75" spans="1:23" ht="15.75" hidden="1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</row>
    <row r="76" spans="1:23" ht="15" hidden="1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</row>
    <row r="77" spans="1:23" ht="15.75" hidden="1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</row>
    <row r="78" spans="1:23" ht="15" hidden="1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</row>
    <row r="79" spans="1:23" ht="15.75" hidden="1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</row>
    <row r="80" spans="1:23" hidden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</row>
    <row r="81" spans="1:23" hidden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</row>
    <row r="82" spans="1:23" hidden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</row>
    <row r="83" spans="1:23" hidden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</row>
    <row r="84" spans="1:23" hidden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</row>
    <row r="85" spans="1:23" hidden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</row>
    <row r="86" spans="1:23" hidden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</row>
    <row r="87" spans="1:23" hidden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</row>
    <row r="88" spans="1:23" hidden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</row>
    <row r="89" spans="1:23" hidden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</row>
    <row r="90" spans="1:23" hidden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</row>
    <row r="91" spans="1:23" hidden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</row>
    <row r="92" spans="1:23" hidden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</row>
    <row r="93" spans="1:23" hidden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</row>
    <row r="94" spans="1:23" hidden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</row>
    <row r="95" spans="1:23" hidden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</row>
    <row r="96" spans="1:23" hidden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</row>
    <row r="97" spans="1:23" hidden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</row>
    <row r="98" spans="1:23" hidden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</row>
    <row r="99" spans="1:23" hidden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</row>
    <row r="100" spans="1:23" hidden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</row>
    <row r="101" spans="1:23" hidden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</row>
    <row r="102" spans="1:23" hidden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</row>
    <row r="103" spans="1:23" hidden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</row>
    <row r="104" spans="1:23" hidden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</row>
    <row r="105" spans="1:23" hidden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</row>
    <row r="106" spans="1:23" hidden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</row>
    <row r="107" spans="1:23" hidden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</row>
    <row r="108" spans="1:23" hidden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</row>
  </sheetData>
  <dataConsolidate/>
  <mergeCells count="36">
    <mergeCell ref="AB25:AE25"/>
    <mergeCell ref="AB26:AC26"/>
    <mergeCell ref="AD26:AE26"/>
    <mergeCell ref="AB15:AE15"/>
    <mergeCell ref="AB16:AC16"/>
    <mergeCell ref="AD16:AE16"/>
    <mergeCell ref="AB20:AE20"/>
    <mergeCell ref="AB21:AC21"/>
    <mergeCell ref="AD21:AE21"/>
    <mergeCell ref="E10:H10"/>
    <mergeCell ref="P10:U10"/>
    <mergeCell ref="E11:J11"/>
    <mergeCell ref="A12:D13"/>
    <mergeCell ref="E12:G12"/>
    <mergeCell ref="H12:J12"/>
    <mergeCell ref="E13:E14"/>
    <mergeCell ref="H13:H14"/>
    <mergeCell ref="A8:D8"/>
    <mergeCell ref="E8:N8"/>
    <mergeCell ref="P8:U8"/>
    <mergeCell ref="A9:D9"/>
    <mergeCell ref="E9:L9"/>
    <mergeCell ref="P9:U9"/>
    <mergeCell ref="P5:S5"/>
    <mergeCell ref="A6:D6"/>
    <mergeCell ref="E6:N6"/>
    <mergeCell ref="P6:S6"/>
    <mergeCell ref="A7:D7"/>
    <mergeCell ref="E7:N7"/>
    <mergeCell ref="A5:D5"/>
    <mergeCell ref="E5:J5"/>
    <mergeCell ref="A2:B2"/>
    <mergeCell ref="A3:D3"/>
    <mergeCell ref="E3:N3"/>
    <mergeCell ref="A4:D4"/>
    <mergeCell ref="E4:N4"/>
  </mergeCells>
  <conditionalFormatting sqref="E15:E54">
    <cfRule type="cellIs" dxfId="153" priority="17" operator="lessThan">
      <formula>70</formula>
    </cfRule>
    <cfRule type="cellIs" dxfId="152" priority="18" operator="greaterThan">
      <formula>69</formula>
    </cfRule>
  </conditionalFormatting>
  <conditionalFormatting sqref="H15:H54">
    <cfRule type="cellIs" dxfId="151" priority="15" operator="lessThan">
      <formula>70</formula>
    </cfRule>
    <cfRule type="cellIs" dxfId="150" priority="16" operator="greaterThan">
      <formula>69</formula>
    </cfRule>
  </conditionalFormatting>
  <conditionalFormatting sqref="G17">
    <cfRule type="cellIs" dxfId="149" priority="14" operator="equal">
      <formula>1</formula>
    </cfRule>
  </conditionalFormatting>
  <conditionalFormatting sqref="G17">
    <cfRule type="cellIs" dxfId="148" priority="13" operator="equal">
      <formula>1</formula>
    </cfRule>
  </conditionalFormatting>
  <conditionalFormatting sqref="G17">
    <cfRule type="cellIs" dxfId="147" priority="12" operator="equal">
      <formula>1</formula>
    </cfRule>
  </conditionalFormatting>
  <conditionalFormatting sqref="G17">
    <cfRule type="cellIs" dxfId="146" priority="11" operator="equal">
      <formula>1</formula>
    </cfRule>
  </conditionalFormatting>
  <conditionalFormatting sqref="G17">
    <cfRule type="cellIs" dxfId="145" priority="8" operator="equal">
      <formula>3</formula>
    </cfRule>
    <cfRule type="cellIs" dxfId="144" priority="9" operator="equal">
      <formula>2</formula>
    </cfRule>
    <cfRule type="cellIs" dxfId="143" priority="10" operator="equal">
      <formula>1</formula>
    </cfRule>
  </conditionalFormatting>
  <dataValidations count="1">
    <dataValidation type="list" allowBlank="1" showInputMessage="1" showErrorMessage="1" sqref="W55:W63" xr:uid="{00000000-0002-0000-0D00-000000000000}">
      <formula1>$W$9:$W$10</formula1>
    </dataValidation>
  </dataValidations>
  <pageMargins left="0.7" right="0.7" top="0.75" bottom="0.75" header="0.3" footer="0.3"/>
  <pageSetup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8">
    <tabColor rgb="FF9F480D"/>
  </sheetPr>
  <dimension ref="A1:AA109"/>
  <sheetViews>
    <sheetView showGridLines="0" showRowColHeaders="0" zoomScale="76" zoomScaleNormal="70" workbookViewId="0">
      <selection activeCell="AA16" sqref="AA16"/>
    </sheetView>
  </sheetViews>
  <sheetFormatPr baseColWidth="10" defaultRowHeight="15"/>
  <cols>
    <col min="1" max="1" width="3.28515625" customWidth="1" collapsed="1"/>
    <col min="2" max="2" width="17.28515625" bestFit="1" customWidth="1" collapsed="1"/>
    <col min="3" max="3" width="18" bestFit="1" customWidth="1" collapsed="1"/>
    <col min="4" max="4" width="32" bestFit="1" customWidth="1" collapsed="1"/>
    <col min="5" max="5" width="3.5703125" customWidth="1" collapsed="1"/>
    <col min="6" max="6" width="4.140625" bestFit="1" customWidth="1" collapsed="1"/>
    <col min="7" max="7" width="2.85546875" bestFit="1" customWidth="1" collapsed="1"/>
    <col min="8" max="8" width="3.85546875" bestFit="1" customWidth="1" collapsed="1"/>
    <col min="9" max="9" width="2.85546875" customWidth="1" collapsed="1"/>
    <col min="10" max="10" width="3.85546875" bestFit="1" customWidth="1" collapsed="1"/>
    <col min="11" max="11" width="3.140625" customWidth="1" collapsed="1"/>
    <col min="12" max="12" width="3.42578125" customWidth="1" collapsed="1"/>
    <col min="13" max="13" width="2.85546875" bestFit="1" customWidth="1" collapsed="1"/>
    <col min="14" max="19" width="4.28515625" bestFit="1" customWidth="1" collapsed="1"/>
    <col min="20" max="20" width="4.85546875" customWidth="1" collapsed="1"/>
    <col min="21" max="23" width="4.28515625" bestFit="1" customWidth="1" collapsed="1"/>
    <col min="24" max="24" width="7.5703125" bestFit="1" customWidth="1" collapsed="1"/>
    <col min="25" max="25" width="9.42578125" customWidth="1" collapsed="1"/>
    <col min="26" max="26" width="38.28515625" bestFit="1" customWidth="1"/>
    <col min="27" max="27" width="15.28515625" customWidth="1" collapsed="1"/>
  </cols>
  <sheetData>
    <row r="1" spans="1:27" ht="30">
      <c r="A1" s="2"/>
      <c r="B1" s="2"/>
      <c r="C1" s="2"/>
      <c r="D1" s="437"/>
      <c r="E1" s="438"/>
      <c r="F1" s="438"/>
      <c r="G1" s="438"/>
      <c r="H1" s="438"/>
      <c r="I1" s="438"/>
      <c r="J1" s="438"/>
      <c r="K1" s="438"/>
      <c r="L1" s="438"/>
      <c r="M1" s="438"/>
      <c r="N1" s="438"/>
      <c r="O1" s="438"/>
      <c r="P1" s="438"/>
      <c r="Q1" s="438"/>
      <c r="R1" s="438"/>
      <c r="S1" s="438"/>
      <c r="T1" s="438"/>
      <c r="U1" s="438"/>
      <c r="V1" s="438"/>
      <c r="W1" s="438"/>
      <c r="X1" s="438"/>
      <c r="Y1" s="438"/>
      <c r="Z1" s="206"/>
      <c r="AA1" s="206"/>
    </row>
    <row r="2" spans="1:27" ht="27.75" customHeight="1">
      <c r="A2" s="810"/>
      <c r="B2" s="810"/>
      <c r="C2" s="206"/>
      <c r="D2" s="439" t="s">
        <v>266</v>
      </c>
      <c r="E2" s="439"/>
      <c r="F2" s="439"/>
      <c r="G2" s="439"/>
      <c r="H2" s="439"/>
      <c r="I2" s="439"/>
      <c r="J2" s="439"/>
      <c r="K2" s="439"/>
      <c r="L2" s="439"/>
      <c r="M2" s="439"/>
      <c r="N2" s="440"/>
      <c r="O2" s="440"/>
      <c r="P2" s="441"/>
      <c r="Q2" s="441"/>
      <c r="R2" s="441"/>
      <c r="S2" s="442"/>
      <c r="T2" s="442"/>
      <c r="U2" s="443"/>
      <c r="V2" s="443"/>
      <c r="W2" s="443"/>
      <c r="X2" s="443"/>
      <c r="Y2" s="437"/>
      <c r="Z2" s="2"/>
    </row>
    <row r="3" spans="1:27" ht="18">
      <c r="A3" s="864" t="s">
        <v>226</v>
      </c>
      <c r="B3" s="864"/>
      <c r="C3" s="864"/>
      <c r="D3" s="864"/>
      <c r="E3" s="796">
        <f>'REGISTRO DATOS'!I3</f>
        <v>0</v>
      </c>
      <c r="F3" s="796"/>
      <c r="G3" s="796"/>
      <c r="H3" s="796"/>
      <c r="I3" s="796"/>
      <c r="J3" s="796"/>
      <c r="K3" s="796"/>
      <c r="L3" s="796"/>
      <c r="M3" s="796"/>
      <c r="N3" s="796"/>
      <c r="O3" s="796"/>
      <c r="P3" s="796"/>
      <c r="Q3" s="796"/>
      <c r="R3" s="796"/>
      <c r="S3" s="212"/>
      <c r="T3" s="212"/>
      <c r="U3" s="212"/>
      <c r="V3" s="212"/>
      <c r="W3" s="212"/>
      <c r="X3" s="212"/>
      <c r="Y3" s="212"/>
      <c r="Z3" s="212"/>
      <c r="AA3" s="212"/>
    </row>
    <row r="4" spans="1:27" ht="18">
      <c r="A4" s="864" t="s">
        <v>215</v>
      </c>
      <c r="B4" s="864"/>
      <c r="C4" s="864"/>
      <c r="D4" s="864"/>
      <c r="E4" s="796" t="str">
        <f>'REGISTRO DATOS'!I4</f>
        <v>COTO</v>
      </c>
      <c r="F4" s="796"/>
      <c r="G4" s="796"/>
      <c r="H4" s="796"/>
      <c r="I4" s="796"/>
      <c r="J4" s="796"/>
      <c r="K4" s="796"/>
      <c r="L4" s="796"/>
      <c r="M4" s="796"/>
      <c r="N4" s="796"/>
      <c r="O4" s="796"/>
      <c r="P4" s="796"/>
      <c r="Q4" s="796"/>
      <c r="R4" s="796"/>
      <c r="S4" s="61"/>
      <c r="T4" s="62"/>
      <c r="U4" s="62"/>
      <c r="V4" s="62"/>
      <c r="W4" s="62"/>
      <c r="X4" s="62"/>
      <c r="Y4" s="62"/>
      <c r="Z4" s="62"/>
      <c r="AA4" s="62"/>
    </row>
    <row r="5" spans="1:27" ht="20.25">
      <c r="A5" s="864" t="s">
        <v>217</v>
      </c>
      <c r="B5" s="864"/>
      <c r="C5" s="864"/>
      <c r="D5" s="864"/>
      <c r="E5" s="796" t="str">
        <f>'REGISTRO DATOS'!I5</f>
        <v>06</v>
      </c>
      <c r="F5" s="796"/>
      <c r="G5" s="796"/>
      <c r="H5" s="796"/>
      <c r="I5" s="796"/>
      <c r="J5" s="796"/>
      <c r="K5" s="796"/>
      <c r="L5" s="796"/>
      <c r="M5" s="388"/>
      <c r="N5" s="388"/>
      <c r="O5" s="388"/>
      <c r="P5" s="388"/>
      <c r="Q5" s="388"/>
      <c r="R5" s="388"/>
      <c r="S5" s="62"/>
      <c r="T5" s="914" t="s">
        <v>1</v>
      </c>
      <c r="U5" s="914"/>
      <c r="V5" s="914"/>
      <c r="W5" s="914"/>
      <c r="X5" s="270">
        <f>'REGISTRO DATOS'!I10</f>
        <v>0</v>
      </c>
      <c r="Y5" s="213"/>
      <c r="Z5" s="214"/>
      <c r="AA5" s="62"/>
    </row>
    <row r="6" spans="1:27" ht="20.25">
      <c r="A6" s="864" t="s">
        <v>227</v>
      </c>
      <c r="B6" s="864"/>
      <c r="C6" s="864"/>
      <c r="D6" s="864"/>
      <c r="E6" s="796">
        <f>'REGISTRO DATOS'!I6</f>
        <v>0</v>
      </c>
      <c r="F6" s="796"/>
      <c r="G6" s="796"/>
      <c r="H6" s="796"/>
      <c r="I6" s="796"/>
      <c r="J6" s="796"/>
      <c r="K6" s="796"/>
      <c r="L6" s="796"/>
      <c r="M6" s="796"/>
      <c r="N6" s="796"/>
      <c r="O6" s="796"/>
      <c r="P6" s="796"/>
      <c r="Q6" s="796"/>
      <c r="R6" s="796"/>
      <c r="S6" s="66"/>
      <c r="T6" s="915" t="s">
        <v>232</v>
      </c>
      <c r="U6" s="915"/>
      <c r="V6" s="915"/>
      <c r="W6" s="915"/>
      <c r="X6" s="215">
        <f>40-COUNTIF(B16:B55,"")</f>
        <v>6</v>
      </c>
      <c r="Y6" s="216"/>
      <c r="Z6" s="62"/>
      <c r="AA6" s="69"/>
    </row>
    <row r="7" spans="1:27" ht="18.75" customHeight="1">
      <c r="A7" s="864" t="s">
        <v>228</v>
      </c>
      <c r="B7" s="864"/>
      <c r="C7" s="864"/>
      <c r="D7" s="864"/>
      <c r="E7" s="796">
        <f>'REGISTRO DATOS'!I7</f>
        <v>0</v>
      </c>
      <c r="F7" s="796"/>
      <c r="G7" s="796"/>
      <c r="H7" s="796"/>
      <c r="I7" s="796"/>
      <c r="J7" s="796"/>
      <c r="K7" s="796"/>
      <c r="L7" s="796"/>
      <c r="M7" s="796"/>
      <c r="N7" s="796"/>
      <c r="O7" s="796"/>
      <c r="P7" s="796"/>
      <c r="Q7" s="796"/>
      <c r="R7" s="796"/>
      <c r="S7" s="73"/>
      <c r="T7" s="444">
        <f>'Indicadores + Descripción IIS'!E10</f>
        <v>0</v>
      </c>
      <c r="U7" s="73"/>
      <c r="V7" s="2"/>
      <c r="W7" s="3"/>
      <c r="X7" s="3"/>
      <c r="Y7" s="3"/>
      <c r="Z7" s="3"/>
      <c r="AA7" s="3"/>
    </row>
    <row r="8" spans="1:27" ht="19.5" customHeight="1">
      <c r="A8" s="867" t="s">
        <v>227</v>
      </c>
      <c r="B8" s="868"/>
      <c r="C8" s="868"/>
      <c r="D8" s="868"/>
      <c r="E8" s="796">
        <f>'REGISTRO DATOS'!I8</f>
        <v>0</v>
      </c>
      <c r="F8" s="796"/>
      <c r="G8" s="796"/>
      <c r="H8" s="796"/>
      <c r="I8" s="796"/>
      <c r="J8" s="796"/>
      <c r="K8" s="796"/>
      <c r="L8" s="796"/>
      <c r="M8" s="796"/>
      <c r="N8" s="796"/>
      <c r="O8" s="796"/>
      <c r="P8" s="796"/>
      <c r="Q8" s="796"/>
      <c r="R8" s="796"/>
      <c r="S8" s="2"/>
      <c r="T8" s="810"/>
      <c r="U8" s="810"/>
      <c r="V8" s="810"/>
      <c r="W8" s="810"/>
      <c r="X8" s="810"/>
      <c r="Y8" s="810"/>
      <c r="Z8" s="2"/>
      <c r="AA8" s="119"/>
    </row>
    <row r="9" spans="1:27" ht="19.5" customHeight="1">
      <c r="A9" s="864" t="s">
        <v>27</v>
      </c>
      <c r="B9" s="869"/>
      <c r="C9" s="869"/>
      <c r="D9" s="869"/>
      <c r="E9" s="796">
        <f>'REGISTRO DATOS'!I9</f>
        <v>0</v>
      </c>
      <c r="F9" s="796"/>
      <c r="G9" s="796"/>
      <c r="H9" s="796"/>
      <c r="I9" s="796"/>
      <c r="J9" s="796"/>
      <c r="K9" s="796"/>
      <c r="L9" s="796"/>
      <c r="M9" s="796"/>
      <c r="N9" s="796"/>
      <c r="O9" s="796"/>
      <c r="P9" s="796"/>
      <c r="Q9" s="388"/>
      <c r="R9" s="392"/>
      <c r="S9" s="217"/>
      <c r="T9" s="810"/>
      <c r="U9" s="810"/>
      <c r="V9" s="810"/>
      <c r="W9" s="810"/>
      <c r="X9" s="810"/>
      <c r="Y9" s="810"/>
      <c r="Z9" s="119"/>
      <c r="AA9" s="123"/>
    </row>
    <row r="10" spans="1:27" ht="16.5" customHeight="1">
      <c r="A10" s="2"/>
      <c r="B10" s="2"/>
      <c r="C10" s="2"/>
      <c r="D10" s="2"/>
      <c r="E10" s="806"/>
      <c r="F10" s="806"/>
      <c r="G10" s="806"/>
      <c r="H10" s="806"/>
      <c r="I10" s="119"/>
      <c r="J10" s="119"/>
      <c r="K10" s="119"/>
      <c r="L10" s="119"/>
      <c r="M10" s="119"/>
      <c r="N10" s="119"/>
      <c r="O10" s="119"/>
      <c r="P10" s="119"/>
      <c r="Q10" s="2"/>
      <c r="R10" s="6"/>
      <c r="S10" s="6"/>
      <c r="T10" s="810"/>
      <c r="U10" s="810"/>
      <c r="V10" s="810"/>
      <c r="W10" s="810"/>
      <c r="X10" s="810"/>
      <c r="Y10" s="810"/>
      <c r="Z10" s="219"/>
      <c r="AA10" s="124"/>
    </row>
    <row r="11" spans="1:27" ht="11.25" customHeight="1" thickBot="1">
      <c r="A11" s="2"/>
      <c r="B11" s="918"/>
      <c r="C11" s="918"/>
      <c r="D11" s="2"/>
      <c r="E11" s="826"/>
      <c r="F11" s="826"/>
      <c r="G11" s="826"/>
      <c r="H11" s="826"/>
      <c r="I11" s="119"/>
      <c r="J11" s="119"/>
      <c r="K11" s="119"/>
      <c r="L11" s="119"/>
      <c r="M11" s="119"/>
      <c r="N11" s="119"/>
      <c r="O11" s="119"/>
      <c r="P11" s="119"/>
      <c r="Q11" s="2"/>
      <c r="R11" s="34"/>
      <c r="S11" s="34"/>
      <c r="T11" s="810"/>
      <c r="U11" s="810"/>
      <c r="V11" s="810"/>
      <c r="W11" s="810"/>
      <c r="X11" s="810"/>
      <c r="Y11" s="810"/>
      <c r="Z11" s="11"/>
      <c r="AA11" s="125"/>
    </row>
    <row r="12" spans="1:27" ht="27" thickBot="1">
      <c r="A12" s="37"/>
      <c r="B12" s="13"/>
      <c r="C12" s="37"/>
      <c r="D12" s="13"/>
      <c r="E12" s="916" t="s">
        <v>214</v>
      </c>
      <c r="F12" s="917"/>
      <c r="G12" s="917"/>
      <c r="H12" s="917"/>
      <c r="I12" s="917"/>
      <c r="J12" s="917"/>
      <c r="K12" s="917"/>
      <c r="L12" s="917"/>
      <c r="M12" s="917"/>
      <c r="N12" s="917"/>
      <c r="O12" s="917"/>
      <c r="P12" s="917"/>
      <c r="Q12" s="917"/>
      <c r="R12" s="917"/>
      <c r="S12" s="917"/>
      <c r="T12" s="917"/>
      <c r="U12" s="917"/>
      <c r="V12" s="917"/>
      <c r="W12" s="917"/>
      <c r="X12" s="445">
        <f>'Indicadores + Descripción IIS'!E8</f>
        <v>0</v>
      </c>
      <c r="Y12" s="446"/>
      <c r="Z12" s="2"/>
      <c r="AA12" s="126"/>
    </row>
    <row r="13" spans="1:27" ht="21" customHeight="1" thickBot="1">
      <c r="A13" s="921" t="s">
        <v>17</v>
      </c>
      <c r="B13" s="922"/>
      <c r="C13" s="922"/>
      <c r="D13" s="923"/>
      <c r="E13" s="927" t="s">
        <v>196</v>
      </c>
      <c r="F13" s="928"/>
      <c r="G13" s="928"/>
      <c r="H13" s="928"/>
      <c r="I13" s="928"/>
      <c r="J13" s="928"/>
      <c r="K13" s="928"/>
      <c r="L13" s="928"/>
      <c r="M13" s="928"/>
      <c r="N13" s="928"/>
      <c r="O13" s="928"/>
      <c r="P13" s="928"/>
      <c r="Q13" s="928"/>
      <c r="R13" s="928"/>
      <c r="S13" s="928"/>
      <c r="T13" s="928"/>
      <c r="U13" s="928"/>
      <c r="V13" s="928"/>
      <c r="W13" s="928"/>
      <c r="X13" s="929"/>
      <c r="Y13" s="11"/>
      <c r="Z13" s="11"/>
      <c r="AA13" s="111"/>
    </row>
    <row r="14" spans="1:27" ht="22.5" customHeight="1" thickBot="1">
      <c r="A14" s="924"/>
      <c r="B14" s="925"/>
      <c r="C14" s="925"/>
      <c r="D14" s="926"/>
      <c r="E14" s="930">
        <v>1</v>
      </c>
      <c r="F14" s="919">
        <v>2</v>
      </c>
      <c r="G14" s="919">
        <v>3</v>
      </c>
      <c r="H14" s="919">
        <v>4</v>
      </c>
      <c r="I14" s="919">
        <v>5</v>
      </c>
      <c r="J14" s="919">
        <v>6</v>
      </c>
      <c r="K14" s="919">
        <v>7</v>
      </c>
      <c r="L14" s="919">
        <v>8</v>
      </c>
      <c r="M14" s="919">
        <v>9</v>
      </c>
      <c r="N14" s="919">
        <v>10</v>
      </c>
      <c r="O14" s="919">
        <v>11</v>
      </c>
      <c r="P14" s="919">
        <v>12</v>
      </c>
      <c r="Q14" s="919">
        <v>13</v>
      </c>
      <c r="R14" s="919">
        <v>14</v>
      </c>
      <c r="S14" s="919">
        <v>15</v>
      </c>
      <c r="T14" s="919">
        <v>16</v>
      </c>
      <c r="U14" s="919">
        <v>17</v>
      </c>
      <c r="V14" s="919">
        <v>18</v>
      </c>
      <c r="W14" s="919">
        <v>19</v>
      </c>
      <c r="X14" s="936">
        <v>20</v>
      </c>
      <c r="Y14" s="932" t="s">
        <v>92</v>
      </c>
      <c r="Z14" s="934" t="s">
        <v>88</v>
      </c>
      <c r="AA14" s="447" t="s">
        <v>69</v>
      </c>
    </row>
    <row r="15" spans="1:27" ht="21" customHeight="1" thickBot="1">
      <c r="A15" s="448" t="s">
        <v>37</v>
      </c>
      <c r="B15" s="449" t="s">
        <v>38</v>
      </c>
      <c r="C15" s="449" t="s">
        <v>39</v>
      </c>
      <c r="D15" s="450" t="s">
        <v>36</v>
      </c>
      <c r="E15" s="931"/>
      <c r="F15" s="920"/>
      <c r="G15" s="920"/>
      <c r="H15" s="920"/>
      <c r="I15" s="920"/>
      <c r="J15" s="920"/>
      <c r="K15" s="920"/>
      <c r="L15" s="920"/>
      <c r="M15" s="920"/>
      <c r="N15" s="920"/>
      <c r="O15" s="920"/>
      <c r="P15" s="920"/>
      <c r="Q15" s="920"/>
      <c r="R15" s="920"/>
      <c r="S15" s="920"/>
      <c r="T15" s="920"/>
      <c r="U15" s="920"/>
      <c r="V15" s="920"/>
      <c r="W15" s="920"/>
      <c r="X15" s="937"/>
      <c r="Y15" s="933"/>
      <c r="Z15" s="935"/>
      <c r="AA15" s="570">
        <v>0.6</v>
      </c>
    </row>
    <row r="16" spans="1:27" ht="18" customHeight="1">
      <c r="A16" s="29">
        <v>1</v>
      </c>
      <c r="B16" s="429" t="str">
        <f>IFERROR(IF(VLOOKUP(A16,'REGISTRO DATOS'!B:H,2,0)=0,"",VLOOKUP(A16,'REGISTRO DATOS'!B:H,2,0)),"")</f>
        <v/>
      </c>
      <c r="C16" s="430" t="str">
        <f>IFERROR(IF(VLOOKUP(A16,'REGISTRO DATOS'!B:H,3,0)=0,"",VLOOKUP(A16,'REGISTRO DATOS'!B:H,3,0)),"")</f>
        <v/>
      </c>
      <c r="D16" s="430" t="str">
        <f>IFERROR(IF(VLOOKUP(A16,'REGISTRO DATOS'!B:H,4,0)=0,"",VLOOKUP(A16,'REGISTRO DATOS'!B:H,4,0)),"")</f>
        <v>MARIANELA</v>
      </c>
      <c r="E16" s="117" t="s">
        <v>68</v>
      </c>
      <c r="F16" s="117" t="s">
        <v>68</v>
      </c>
      <c r="G16" s="117" t="s">
        <v>68</v>
      </c>
      <c r="H16" s="117" t="s">
        <v>68</v>
      </c>
      <c r="I16" s="117" t="s">
        <v>68</v>
      </c>
      <c r="J16" s="117" t="s">
        <v>68</v>
      </c>
      <c r="K16" s="117" t="s">
        <v>68</v>
      </c>
      <c r="L16" s="117" t="s">
        <v>68</v>
      </c>
      <c r="M16" s="117" t="s">
        <v>68</v>
      </c>
      <c r="N16" s="117" t="s">
        <v>68</v>
      </c>
      <c r="O16" s="117" t="s">
        <v>68</v>
      </c>
      <c r="P16" s="117" t="s">
        <v>68</v>
      </c>
      <c r="Q16" s="117" t="s">
        <v>68</v>
      </c>
      <c r="R16" s="117" t="s">
        <v>68</v>
      </c>
      <c r="S16" s="117" t="s">
        <v>68</v>
      </c>
      <c r="T16" s="117" t="s">
        <v>68</v>
      </c>
      <c r="U16" s="117" t="s">
        <v>68</v>
      </c>
      <c r="V16" s="117" t="s">
        <v>68</v>
      </c>
      <c r="W16" s="117" t="s">
        <v>68</v>
      </c>
      <c r="X16" s="117" t="s">
        <v>68</v>
      </c>
      <c r="Y16" s="121" t="e">
        <f>(SUM(E16:X16)/$T$7)*100</f>
        <v>#DIV/0!</v>
      </c>
      <c r="Z16" s="451" t="e">
        <f t="shared" ref="Z16:Z55" si="0">IF(Y16&lt;60,"Debe mejorar su trabajo.",IF(Y16&lt;80,"Trabajo Regular.",IF(Y16&lt;90,"Excelente trabajo,sigue así.",IF(Y16&lt;101,"Desempeño Impresionante"))))</f>
        <v>#DIV/0!</v>
      </c>
      <c r="AA16" s="272" t="e">
        <f>(Y16*$AA$15)</f>
        <v>#DIV/0!</v>
      </c>
    </row>
    <row r="17" spans="1:27" ht="24.75" customHeight="1">
      <c r="A17" s="7">
        <v>2</v>
      </c>
      <c r="B17" s="429" t="str">
        <f>IFERROR(IF(VLOOKUP(A17,'REGISTRO DATOS'!B:H,2,0)=0,"",VLOOKUP(A17,'REGISTRO DATOS'!B:H,2,0)),"")</f>
        <v/>
      </c>
      <c r="C17" s="430" t="str">
        <f>IFERROR(IF(VLOOKUP(A17,'REGISTRO DATOS'!B:H,3,0)=0,"",VLOOKUP(A17,'REGISTRO DATOS'!B:H,3,0)),"")</f>
        <v/>
      </c>
      <c r="D17" s="430" t="str">
        <f>IFERROR(IF(VLOOKUP(A17,'REGISTRO DATOS'!B:H,4,0)=0,"",VLOOKUP(A17,'REGISTRO DATOS'!B:H,4,0)),"")</f>
        <v>GENESIS</v>
      </c>
      <c r="E17" s="117" t="s">
        <v>68</v>
      </c>
      <c r="F17" s="117" t="s">
        <v>68</v>
      </c>
      <c r="G17" s="117" t="s">
        <v>68</v>
      </c>
      <c r="H17" s="117" t="s">
        <v>68</v>
      </c>
      <c r="I17" s="117" t="s">
        <v>68</v>
      </c>
      <c r="J17" s="117" t="s">
        <v>68</v>
      </c>
      <c r="K17" s="117" t="s">
        <v>68</v>
      </c>
      <c r="L17" s="117" t="s">
        <v>68</v>
      </c>
      <c r="M17" s="117" t="s">
        <v>68</v>
      </c>
      <c r="N17" s="117" t="s">
        <v>68</v>
      </c>
      <c r="O17" s="117" t="s">
        <v>68</v>
      </c>
      <c r="P17" s="117" t="s">
        <v>68</v>
      </c>
      <c r="Q17" s="117" t="s">
        <v>68</v>
      </c>
      <c r="R17" s="117" t="s">
        <v>68</v>
      </c>
      <c r="S17" s="117" t="s">
        <v>68</v>
      </c>
      <c r="T17" s="117" t="s">
        <v>68</v>
      </c>
      <c r="U17" s="117" t="s">
        <v>68</v>
      </c>
      <c r="V17" s="87" t="s">
        <v>68</v>
      </c>
      <c r="W17" s="87" t="s">
        <v>68</v>
      </c>
      <c r="X17" s="87" t="s">
        <v>68</v>
      </c>
      <c r="Y17" s="121" t="e">
        <f t="shared" ref="Y17:Y20" si="1">(SUM(E17:X17)/$T$7)*100</f>
        <v>#DIV/0!</v>
      </c>
      <c r="Z17" s="452" t="e">
        <f t="shared" si="0"/>
        <v>#DIV/0!</v>
      </c>
      <c r="AA17" s="163" t="e">
        <f t="shared" ref="AA17:AA55" si="2">(Y17*$AA$15)</f>
        <v>#DIV/0!</v>
      </c>
    </row>
    <row r="18" spans="1:27" ht="18" customHeight="1">
      <c r="A18" s="7">
        <v>3</v>
      </c>
      <c r="B18" s="429" t="str">
        <f>IFERROR(IF(VLOOKUP(A18,'REGISTRO DATOS'!B:H,2,0)=0,"",VLOOKUP(A18,'REGISTRO DATOS'!B:H,2,0)),"")</f>
        <v/>
      </c>
      <c r="C18" s="430" t="str">
        <f>IFERROR(IF(VLOOKUP(A18,'REGISTRO DATOS'!B:H,3,0)=0,"",VLOOKUP(A18,'REGISTRO DATOS'!B:H,3,0)),"")</f>
        <v/>
      </c>
      <c r="D18" s="430" t="str">
        <f>IFERROR(IF(VLOOKUP(A18,'REGISTRO DATOS'!B:H,4,0)=0,"",VLOOKUP(A18,'REGISTRO DATOS'!B:H,4,0)),"")</f>
        <v>EILEEN</v>
      </c>
      <c r="E18" s="117" t="s">
        <v>68</v>
      </c>
      <c r="F18" s="117" t="s">
        <v>68</v>
      </c>
      <c r="G18" s="117" t="s">
        <v>68</v>
      </c>
      <c r="H18" s="117" t="s">
        <v>68</v>
      </c>
      <c r="I18" s="117" t="s">
        <v>68</v>
      </c>
      <c r="J18" s="117" t="s">
        <v>68</v>
      </c>
      <c r="K18" s="117" t="s">
        <v>68</v>
      </c>
      <c r="L18" s="117" t="s">
        <v>68</v>
      </c>
      <c r="M18" s="117" t="s">
        <v>68</v>
      </c>
      <c r="N18" s="117" t="s">
        <v>68</v>
      </c>
      <c r="O18" s="117" t="s">
        <v>68</v>
      </c>
      <c r="P18" s="117" t="s">
        <v>68</v>
      </c>
      <c r="Q18" s="117" t="s">
        <v>68</v>
      </c>
      <c r="R18" s="117" t="s">
        <v>68</v>
      </c>
      <c r="S18" s="117" t="s">
        <v>68</v>
      </c>
      <c r="T18" s="117" t="s">
        <v>68</v>
      </c>
      <c r="U18" s="117" t="s">
        <v>68</v>
      </c>
      <c r="V18" s="87" t="s">
        <v>68</v>
      </c>
      <c r="W18" s="87" t="s">
        <v>68</v>
      </c>
      <c r="X18" s="87" t="s">
        <v>68</v>
      </c>
      <c r="Y18" s="121" t="e">
        <f t="shared" si="1"/>
        <v>#DIV/0!</v>
      </c>
      <c r="Z18" s="452" t="e">
        <f t="shared" si="0"/>
        <v>#DIV/0!</v>
      </c>
      <c r="AA18" s="163" t="e">
        <f t="shared" si="2"/>
        <v>#DIV/0!</v>
      </c>
    </row>
    <row r="19" spans="1:27" ht="18" customHeight="1">
      <c r="A19" s="29">
        <v>4</v>
      </c>
      <c r="B19" s="429" t="str">
        <f>IFERROR(IF(VLOOKUP(A19,'REGISTRO DATOS'!B:H,2,0)=0,"",VLOOKUP(A19,'REGISTRO DATOS'!B:H,2,0)),"")</f>
        <v/>
      </c>
      <c r="C19" s="430" t="str">
        <f>IFERROR(IF(VLOOKUP(A19,'REGISTRO DATOS'!B:H,3,0)=0,"",VLOOKUP(A19,'REGISTRO DATOS'!B:H,3,0)),"")</f>
        <v/>
      </c>
      <c r="D19" s="430" t="str">
        <f>IFERROR(IF(VLOOKUP(A19,'REGISTRO DATOS'!B:H,4,0)=0,"",VLOOKUP(A19,'REGISTRO DATOS'!B:H,4,0)),"")</f>
        <v>CINDEL</v>
      </c>
      <c r="E19" s="117" t="s">
        <v>68</v>
      </c>
      <c r="F19" s="117" t="s">
        <v>68</v>
      </c>
      <c r="G19" s="117" t="s">
        <v>68</v>
      </c>
      <c r="H19" s="117" t="s">
        <v>68</v>
      </c>
      <c r="I19" s="117" t="s">
        <v>68</v>
      </c>
      <c r="J19" s="117" t="s">
        <v>68</v>
      </c>
      <c r="K19" s="117" t="s">
        <v>68</v>
      </c>
      <c r="L19" s="117" t="s">
        <v>68</v>
      </c>
      <c r="M19" s="117" t="s">
        <v>68</v>
      </c>
      <c r="N19" s="117" t="s">
        <v>68</v>
      </c>
      <c r="O19" s="117" t="s">
        <v>68</v>
      </c>
      <c r="P19" s="117" t="s">
        <v>68</v>
      </c>
      <c r="Q19" s="117" t="s">
        <v>68</v>
      </c>
      <c r="R19" s="117" t="s">
        <v>68</v>
      </c>
      <c r="S19" s="117" t="s">
        <v>68</v>
      </c>
      <c r="T19" s="117" t="s">
        <v>68</v>
      </c>
      <c r="U19" s="117" t="s">
        <v>68</v>
      </c>
      <c r="V19" s="87" t="s">
        <v>68</v>
      </c>
      <c r="W19" s="87" t="s">
        <v>68</v>
      </c>
      <c r="X19" s="87" t="s">
        <v>68</v>
      </c>
      <c r="Y19" s="121" t="e">
        <f t="shared" si="1"/>
        <v>#DIV/0!</v>
      </c>
      <c r="Z19" s="452" t="e">
        <f t="shared" si="0"/>
        <v>#DIV/0!</v>
      </c>
      <c r="AA19" s="163" t="e">
        <f t="shared" si="2"/>
        <v>#DIV/0!</v>
      </c>
    </row>
    <row r="20" spans="1:27" ht="18" customHeight="1">
      <c r="A20" s="7">
        <v>5</v>
      </c>
      <c r="B20" s="429" t="str">
        <f>IFERROR(IF(VLOOKUP(A20,'REGISTRO DATOS'!B:H,2,0)=0,"",VLOOKUP(A20,'REGISTRO DATOS'!B:H,2,0)),"")</f>
        <v/>
      </c>
      <c r="C20" s="430" t="str">
        <f>IFERROR(IF(VLOOKUP(A20,'REGISTRO DATOS'!B:H,3,0)=0,"",VLOOKUP(A20,'REGISTRO DATOS'!B:H,3,0)),"")</f>
        <v/>
      </c>
      <c r="D20" s="430" t="str">
        <f>IFERROR(IF(VLOOKUP(A20,'REGISTRO DATOS'!B:H,4,0)=0,"",VLOOKUP(A20,'REGISTRO DATOS'!B:H,4,0)),"")</f>
        <v>NANCY</v>
      </c>
      <c r="E20" s="117" t="s">
        <v>68</v>
      </c>
      <c r="F20" s="117" t="s">
        <v>68</v>
      </c>
      <c r="G20" s="117" t="s">
        <v>68</v>
      </c>
      <c r="H20" s="117" t="s">
        <v>68</v>
      </c>
      <c r="I20" s="117" t="s">
        <v>68</v>
      </c>
      <c r="J20" s="117" t="s">
        <v>68</v>
      </c>
      <c r="K20" s="117" t="s">
        <v>68</v>
      </c>
      <c r="L20" s="117" t="s">
        <v>68</v>
      </c>
      <c r="M20" s="117" t="s">
        <v>68</v>
      </c>
      <c r="N20" s="117" t="s">
        <v>68</v>
      </c>
      <c r="O20" s="117" t="s">
        <v>68</v>
      </c>
      <c r="P20" s="117" t="s">
        <v>68</v>
      </c>
      <c r="Q20" s="117" t="s">
        <v>68</v>
      </c>
      <c r="R20" s="117" t="s">
        <v>68</v>
      </c>
      <c r="S20" s="117" t="s">
        <v>68</v>
      </c>
      <c r="T20" s="117" t="s">
        <v>68</v>
      </c>
      <c r="U20" s="117" t="s">
        <v>68</v>
      </c>
      <c r="V20" s="87" t="s">
        <v>68</v>
      </c>
      <c r="W20" s="87" t="s">
        <v>68</v>
      </c>
      <c r="X20" s="87" t="s">
        <v>68</v>
      </c>
      <c r="Y20" s="121" t="e">
        <f t="shared" si="1"/>
        <v>#DIV/0!</v>
      </c>
      <c r="Z20" s="452" t="e">
        <f t="shared" si="0"/>
        <v>#DIV/0!</v>
      </c>
      <c r="AA20" s="165" t="e">
        <f t="shared" si="2"/>
        <v>#DIV/0!</v>
      </c>
    </row>
    <row r="21" spans="1:27" ht="18" customHeight="1">
      <c r="A21" s="7">
        <v>6</v>
      </c>
      <c r="B21" s="429" t="str">
        <f>IFERROR(IF(VLOOKUP(A21,'REGISTRO DATOS'!B:H,2,0)=0,"",VLOOKUP(A21,'REGISTRO DATOS'!B:H,2,0)),"")</f>
        <v/>
      </c>
      <c r="C21" s="430" t="str">
        <f>IFERROR(IF(VLOOKUP(A21,'REGISTRO DATOS'!B:H,3,0)=0,"",VLOOKUP(A21,'REGISTRO DATOS'!B:H,3,0)),"")</f>
        <v/>
      </c>
      <c r="D21" s="430" t="str">
        <f>IFERROR(IF(VLOOKUP(A21,'REGISTRO DATOS'!B:H,4,0)=0,"",VLOOKUP(A21,'REGISTRO DATOS'!B:H,4,0)),"")</f>
        <v>MARIANA</v>
      </c>
      <c r="E21" s="117" t="s">
        <v>68</v>
      </c>
      <c r="F21" s="117" t="s">
        <v>68</v>
      </c>
      <c r="G21" s="117" t="s">
        <v>68</v>
      </c>
      <c r="H21" s="117" t="s">
        <v>68</v>
      </c>
      <c r="I21" s="117" t="s">
        <v>68</v>
      </c>
      <c r="J21" s="117" t="s">
        <v>68</v>
      </c>
      <c r="K21" s="117" t="s">
        <v>68</v>
      </c>
      <c r="L21" s="117" t="s">
        <v>68</v>
      </c>
      <c r="M21" s="117" t="s">
        <v>68</v>
      </c>
      <c r="N21" s="117" t="s">
        <v>68</v>
      </c>
      <c r="O21" s="117" t="s">
        <v>68</v>
      </c>
      <c r="P21" s="117" t="s">
        <v>68</v>
      </c>
      <c r="Q21" s="117" t="s">
        <v>68</v>
      </c>
      <c r="R21" s="117" t="s">
        <v>68</v>
      </c>
      <c r="S21" s="117" t="s">
        <v>68</v>
      </c>
      <c r="T21" s="117" t="s">
        <v>68</v>
      </c>
      <c r="U21" s="117" t="s">
        <v>68</v>
      </c>
      <c r="V21" s="87" t="s">
        <v>68</v>
      </c>
      <c r="W21" s="87" t="s">
        <v>68</v>
      </c>
      <c r="X21" s="87" t="s">
        <v>68</v>
      </c>
      <c r="Y21" s="121" t="e">
        <f t="shared" ref="Y21:Y55" si="3">(SUM(E21:X21)/$T$7)*100</f>
        <v>#DIV/0!</v>
      </c>
      <c r="Z21" s="452" t="e">
        <f t="shared" si="0"/>
        <v>#DIV/0!</v>
      </c>
      <c r="AA21" s="165" t="e">
        <f t="shared" si="2"/>
        <v>#DIV/0!</v>
      </c>
    </row>
    <row r="22" spans="1:27" ht="18" customHeight="1">
      <c r="A22" s="29">
        <v>7</v>
      </c>
      <c r="B22" s="429" t="str">
        <f>IFERROR(IF(VLOOKUP(A22,'REGISTRO DATOS'!B:H,2,0)=0,"",VLOOKUP(A22,'REGISTRO DATOS'!B:H,2,0)),"")</f>
        <v xml:space="preserve">GONZALEZ </v>
      </c>
      <c r="C22" s="430" t="str">
        <f>IFERROR(IF(VLOOKUP(A22,'REGISTRO DATOS'!B:H,3,0)=0,"",VLOOKUP(A22,'REGISTRO DATOS'!B:H,3,0)),"")</f>
        <v>CHAVARRIA</v>
      </c>
      <c r="D22" s="430" t="str">
        <f>IFERROR(IF(VLOOKUP(A22,'REGISTRO DATOS'!B:H,4,0)=0,"",VLOOKUP(A22,'REGISTRO DATOS'!B:H,4,0)),"")</f>
        <v>STEPHANIE</v>
      </c>
      <c r="E22" s="117" t="s">
        <v>68</v>
      </c>
      <c r="F22" s="117" t="s">
        <v>68</v>
      </c>
      <c r="G22" s="117" t="s">
        <v>68</v>
      </c>
      <c r="H22" s="117" t="s">
        <v>68</v>
      </c>
      <c r="I22" s="117" t="s">
        <v>68</v>
      </c>
      <c r="J22" s="117" t="s">
        <v>68</v>
      </c>
      <c r="K22" s="117" t="s">
        <v>68</v>
      </c>
      <c r="L22" s="117" t="s">
        <v>68</v>
      </c>
      <c r="M22" s="117" t="s">
        <v>68</v>
      </c>
      <c r="N22" s="117" t="s">
        <v>68</v>
      </c>
      <c r="O22" s="117" t="s">
        <v>68</v>
      </c>
      <c r="P22" s="117" t="s">
        <v>68</v>
      </c>
      <c r="Q22" s="117" t="s">
        <v>68</v>
      </c>
      <c r="R22" s="117" t="s">
        <v>68</v>
      </c>
      <c r="S22" s="117" t="s">
        <v>68</v>
      </c>
      <c r="T22" s="117" t="s">
        <v>68</v>
      </c>
      <c r="U22" s="117" t="s">
        <v>68</v>
      </c>
      <c r="V22" s="87" t="s">
        <v>68</v>
      </c>
      <c r="W22" s="87" t="s">
        <v>68</v>
      </c>
      <c r="X22" s="87" t="s">
        <v>68</v>
      </c>
      <c r="Y22" s="121" t="e">
        <f t="shared" si="3"/>
        <v>#DIV/0!</v>
      </c>
      <c r="Z22" s="452" t="e">
        <f t="shared" si="0"/>
        <v>#DIV/0!</v>
      </c>
      <c r="AA22" s="165" t="e">
        <f t="shared" si="2"/>
        <v>#DIV/0!</v>
      </c>
    </row>
    <row r="23" spans="1:27" ht="18" customHeight="1">
      <c r="A23" s="7">
        <v>8</v>
      </c>
      <c r="B23" s="429" t="str">
        <f>IFERROR(IF(VLOOKUP(A23,'REGISTRO DATOS'!B:H,2,0)=0,"",VLOOKUP(A23,'REGISTRO DATOS'!B:H,2,0)),"")</f>
        <v/>
      </c>
      <c r="C23" s="430" t="str">
        <f>IFERROR(IF(VLOOKUP(A23,'REGISTRO DATOS'!B:H,3,0)=0,"",VLOOKUP(A23,'REGISTRO DATOS'!B:H,3,0)),"")</f>
        <v/>
      </c>
      <c r="D23" s="430" t="str">
        <f>IFERROR(IF(VLOOKUP(A23,'REGISTRO DATOS'!B:H,4,0)=0,"",VLOOKUP(A23,'REGISTRO DATOS'!B:H,4,0)),"")</f>
        <v>YASCINI</v>
      </c>
      <c r="E23" s="117" t="s">
        <v>68</v>
      </c>
      <c r="F23" s="117" t="s">
        <v>68</v>
      </c>
      <c r="G23" s="117" t="s">
        <v>68</v>
      </c>
      <c r="H23" s="117" t="s">
        <v>68</v>
      </c>
      <c r="I23" s="117" t="s">
        <v>68</v>
      </c>
      <c r="J23" s="117" t="s">
        <v>68</v>
      </c>
      <c r="K23" s="117" t="s">
        <v>68</v>
      </c>
      <c r="L23" s="117" t="s">
        <v>68</v>
      </c>
      <c r="M23" s="117" t="s">
        <v>68</v>
      </c>
      <c r="N23" s="117" t="s">
        <v>68</v>
      </c>
      <c r="O23" s="117" t="s">
        <v>68</v>
      </c>
      <c r="P23" s="117" t="s">
        <v>68</v>
      </c>
      <c r="Q23" s="117" t="s">
        <v>68</v>
      </c>
      <c r="R23" s="117" t="s">
        <v>68</v>
      </c>
      <c r="S23" s="117" t="s">
        <v>68</v>
      </c>
      <c r="T23" s="117" t="s">
        <v>68</v>
      </c>
      <c r="U23" s="117" t="s">
        <v>68</v>
      </c>
      <c r="V23" s="87" t="s">
        <v>68</v>
      </c>
      <c r="W23" s="87" t="s">
        <v>68</v>
      </c>
      <c r="X23" s="87" t="s">
        <v>68</v>
      </c>
      <c r="Y23" s="121" t="e">
        <f t="shared" si="3"/>
        <v>#DIV/0!</v>
      </c>
      <c r="Z23" s="452" t="e">
        <f t="shared" si="0"/>
        <v>#DIV/0!</v>
      </c>
      <c r="AA23" s="165" t="e">
        <f t="shared" si="2"/>
        <v>#DIV/0!</v>
      </c>
    </row>
    <row r="24" spans="1:27" ht="18" customHeight="1">
      <c r="A24" s="7">
        <v>9</v>
      </c>
      <c r="B24" s="429" t="str">
        <f>IFERROR(IF(VLOOKUP(A24,'REGISTRO DATOS'!B:H,2,0)=0,"",VLOOKUP(A24,'REGISTRO DATOS'!B:H,2,0)),"")</f>
        <v>CUBILLO</v>
      </c>
      <c r="C24" s="430" t="str">
        <f>IFERROR(IF(VLOOKUP(A24,'REGISTRO DATOS'!B:H,3,0)=0,"",VLOOKUP(A24,'REGISTRO DATOS'!B:H,3,0)),"")</f>
        <v/>
      </c>
      <c r="D24" s="430" t="str">
        <f>IFERROR(IF(VLOOKUP(A24,'REGISTRO DATOS'!B:H,4,0)=0,"",VLOOKUP(A24,'REGISTRO DATOS'!B:H,4,0)),"")</f>
        <v xml:space="preserve">DYLAN </v>
      </c>
      <c r="E24" s="117" t="s">
        <v>68</v>
      </c>
      <c r="F24" s="117" t="s">
        <v>68</v>
      </c>
      <c r="G24" s="117" t="s">
        <v>68</v>
      </c>
      <c r="H24" s="117" t="s">
        <v>68</v>
      </c>
      <c r="I24" s="117" t="s">
        <v>68</v>
      </c>
      <c r="J24" s="117" t="s">
        <v>68</v>
      </c>
      <c r="K24" s="117" t="s">
        <v>68</v>
      </c>
      <c r="L24" s="117" t="s">
        <v>68</v>
      </c>
      <c r="M24" s="117" t="s">
        <v>68</v>
      </c>
      <c r="N24" s="117" t="s">
        <v>68</v>
      </c>
      <c r="O24" s="117" t="s">
        <v>68</v>
      </c>
      <c r="P24" s="117" t="s">
        <v>68</v>
      </c>
      <c r="Q24" s="117" t="s">
        <v>68</v>
      </c>
      <c r="R24" s="117" t="s">
        <v>68</v>
      </c>
      <c r="S24" s="117" t="s">
        <v>68</v>
      </c>
      <c r="T24" s="117" t="s">
        <v>68</v>
      </c>
      <c r="U24" s="117" t="s">
        <v>68</v>
      </c>
      <c r="V24" s="87" t="s">
        <v>68</v>
      </c>
      <c r="W24" s="87" t="s">
        <v>68</v>
      </c>
      <c r="X24" s="87" t="s">
        <v>68</v>
      </c>
      <c r="Y24" s="121" t="e">
        <f t="shared" si="3"/>
        <v>#DIV/0!</v>
      </c>
      <c r="Z24" s="452" t="e">
        <f t="shared" si="0"/>
        <v>#DIV/0!</v>
      </c>
      <c r="AA24" s="165" t="e">
        <f t="shared" si="2"/>
        <v>#DIV/0!</v>
      </c>
    </row>
    <row r="25" spans="1:27" ht="18" customHeight="1">
      <c r="A25" s="29">
        <v>10</v>
      </c>
      <c r="B25" s="429" t="str">
        <f>IFERROR(IF(VLOOKUP(A25,'REGISTRO DATOS'!B:H,2,0)=0,"",VLOOKUP(A25,'REGISTRO DATOS'!B:H,2,0)),"")</f>
        <v/>
      </c>
      <c r="C25" s="430" t="str">
        <f>IFERROR(IF(VLOOKUP(A25,'REGISTRO DATOS'!B:H,3,0)=0,"",VLOOKUP(A25,'REGISTRO DATOS'!B:H,3,0)),"")</f>
        <v/>
      </c>
      <c r="D25" s="430" t="str">
        <f>IFERROR(IF(VLOOKUP(A25,'REGISTRO DATOS'!B:H,4,0)=0,"",VLOOKUP(A25,'REGISTRO DATOS'!B:H,4,0)),"")</f>
        <v>KATTYA</v>
      </c>
      <c r="E25" s="117" t="s">
        <v>68</v>
      </c>
      <c r="F25" s="117" t="s">
        <v>68</v>
      </c>
      <c r="G25" s="117" t="s">
        <v>68</v>
      </c>
      <c r="H25" s="117" t="s">
        <v>68</v>
      </c>
      <c r="I25" s="117" t="s">
        <v>68</v>
      </c>
      <c r="J25" s="117" t="s">
        <v>68</v>
      </c>
      <c r="K25" s="117" t="s">
        <v>68</v>
      </c>
      <c r="L25" s="117" t="s">
        <v>68</v>
      </c>
      <c r="M25" s="117" t="s">
        <v>68</v>
      </c>
      <c r="N25" s="117" t="s">
        <v>68</v>
      </c>
      <c r="O25" s="117" t="s">
        <v>68</v>
      </c>
      <c r="P25" s="117" t="s">
        <v>68</v>
      </c>
      <c r="Q25" s="117" t="s">
        <v>68</v>
      </c>
      <c r="R25" s="117" t="s">
        <v>68</v>
      </c>
      <c r="S25" s="117" t="s">
        <v>68</v>
      </c>
      <c r="T25" s="117" t="s">
        <v>68</v>
      </c>
      <c r="U25" s="117" t="s">
        <v>68</v>
      </c>
      <c r="V25" s="87" t="s">
        <v>68</v>
      </c>
      <c r="W25" s="87" t="s">
        <v>68</v>
      </c>
      <c r="X25" s="87" t="s">
        <v>68</v>
      </c>
      <c r="Y25" s="121" t="e">
        <f t="shared" si="3"/>
        <v>#DIV/0!</v>
      </c>
      <c r="Z25" s="452" t="e">
        <f t="shared" si="0"/>
        <v>#DIV/0!</v>
      </c>
      <c r="AA25" s="165" t="e">
        <f t="shared" si="2"/>
        <v>#DIV/0!</v>
      </c>
    </row>
    <row r="26" spans="1:27" ht="18" customHeight="1">
      <c r="A26" s="7">
        <v>11</v>
      </c>
      <c r="B26" s="429" t="str">
        <f>IFERROR(IF(VLOOKUP(A26,'REGISTRO DATOS'!B:H,2,0)=0,"",VLOOKUP(A26,'REGISTRO DATOS'!B:H,2,0)),"")</f>
        <v>BRIZUELA</v>
      </c>
      <c r="C26" s="430" t="str">
        <f>IFERROR(IF(VLOOKUP(A26,'REGISTRO DATOS'!B:H,3,0)=0,"",VLOOKUP(A26,'REGISTRO DATOS'!B:H,3,0)),"")</f>
        <v/>
      </c>
      <c r="D26" s="430" t="str">
        <f>IFERROR(IF(VLOOKUP(A26,'REGISTRO DATOS'!B:H,4,0)=0,"",VLOOKUP(A26,'REGISTRO DATOS'!B:H,4,0)),"")</f>
        <v>FABIOLA</v>
      </c>
      <c r="E26" s="117" t="s">
        <v>68</v>
      </c>
      <c r="F26" s="117" t="s">
        <v>68</v>
      </c>
      <c r="G26" s="117" t="s">
        <v>68</v>
      </c>
      <c r="H26" s="117" t="s">
        <v>68</v>
      </c>
      <c r="I26" s="117" t="s">
        <v>68</v>
      </c>
      <c r="J26" s="117" t="s">
        <v>68</v>
      </c>
      <c r="K26" s="117" t="s">
        <v>68</v>
      </c>
      <c r="L26" s="117" t="s">
        <v>68</v>
      </c>
      <c r="M26" s="117" t="s">
        <v>68</v>
      </c>
      <c r="N26" s="117" t="s">
        <v>68</v>
      </c>
      <c r="O26" s="117" t="s">
        <v>68</v>
      </c>
      <c r="P26" s="117" t="s">
        <v>68</v>
      </c>
      <c r="Q26" s="117" t="s">
        <v>68</v>
      </c>
      <c r="R26" s="117" t="s">
        <v>68</v>
      </c>
      <c r="S26" s="117" t="s">
        <v>68</v>
      </c>
      <c r="T26" s="117" t="s">
        <v>68</v>
      </c>
      <c r="U26" s="117" t="s">
        <v>68</v>
      </c>
      <c r="V26" s="87" t="s">
        <v>68</v>
      </c>
      <c r="W26" s="87" t="s">
        <v>68</v>
      </c>
      <c r="X26" s="87" t="s">
        <v>68</v>
      </c>
      <c r="Y26" s="121" t="e">
        <f t="shared" si="3"/>
        <v>#DIV/0!</v>
      </c>
      <c r="Z26" s="452" t="e">
        <f t="shared" si="0"/>
        <v>#DIV/0!</v>
      </c>
      <c r="AA26" s="165" t="e">
        <f t="shared" si="2"/>
        <v>#DIV/0!</v>
      </c>
    </row>
    <row r="27" spans="1:27" ht="18" customHeight="1">
      <c r="A27" s="7">
        <v>12</v>
      </c>
      <c r="B27" s="429" t="str">
        <f>IFERROR(IF(VLOOKUP(A27,'REGISTRO DATOS'!B:H,2,0)=0,"",VLOOKUP(A27,'REGISTRO DATOS'!B:H,2,0)),"")</f>
        <v/>
      </c>
      <c r="C27" s="430" t="str">
        <f>IFERROR(IF(VLOOKUP(A27,'REGISTRO DATOS'!B:H,3,0)=0,"",VLOOKUP(A27,'REGISTRO DATOS'!B:H,3,0)),"")</f>
        <v/>
      </c>
      <c r="D27" s="430" t="str">
        <f>IFERROR(IF(VLOOKUP(A27,'REGISTRO DATOS'!B:H,4,0)=0,"",VLOOKUP(A27,'REGISTRO DATOS'!B:H,4,0)),"")</f>
        <v>DARIANA</v>
      </c>
      <c r="E27" s="117" t="s">
        <v>68</v>
      </c>
      <c r="F27" s="117" t="s">
        <v>68</v>
      </c>
      <c r="G27" s="117" t="s">
        <v>68</v>
      </c>
      <c r="H27" s="117" t="s">
        <v>68</v>
      </c>
      <c r="I27" s="117" t="s">
        <v>68</v>
      </c>
      <c r="J27" s="117" t="s">
        <v>68</v>
      </c>
      <c r="K27" s="117" t="s">
        <v>68</v>
      </c>
      <c r="L27" s="117" t="s">
        <v>68</v>
      </c>
      <c r="M27" s="117" t="s">
        <v>68</v>
      </c>
      <c r="N27" s="117" t="s">
        <v>68</v>
      </c>
      <c r="O27" s="117" t="s">
        <v>68</v>
      </c>
      <c r="P27" s="117" t="s">
        <v>68</v>
      </c>
      <c r="Q27" s="117" t="s">
        <v>68</v>
      </c>
      <c r="R27" s="117" t="s">
        <v>68</v>
      </c>
      <c r="S27" s="117" t="s">
        <v>68</v>
      </c>
      <c r="T27" s="117" t="s">
        <v>68</v>
      </c>
      <c r="U27" s="117" t="s">
        <v>68</v>
      </c>
      <c r="V27" s="87" t="s">
        <v>68</v>
      </c>
      <c r="W27" s="87" t="s">
        <v>68</v>
      </c>
      <c r="X27" s="87" t="s">
        <v>68</v>
      </c>
      <c r="Y27" s="121" t="e">
        <f t="shared" si="3"/>
        <v>#DIV/0!</v>
      </c>
      <c r="Z27" s="452" t="e">
        <f t="shared" si="0"/>
        <v>#DIV/0!</v>
      </c>
      <c r="AA27" s="165" t="e">
        <f t="shared" si="2"/>
        <v>#DIV/0!</v>
      </c>
    </row>
    <row r="28" spans="1:27" ht="18" customHeight="1">
      <c r="A28" s="29">
        <v>13</v>
      </c>
      <c r="B28" s="429" t="str">
        <f>IFERROR(IF(VLOOKUP(A28,'REGISTRO DATOS'!B:H,2,0)=0,"",VLOOKUP(A28,'REGISTRO DATOS'!B:H,2,0)),"")</f>
        <v/>
      </c>
      <c r="C28" s="430" t="str">
        <f>IFERROR(IF(VLOOKUP(A28,'REGISTRO DATOS'!B:H,3,0)=0,"",VLOOKUP(A28,'REGISTRO DATOS'!B:H,3,0)),"")</f>
        <v/>
      </c>
      <c r="D28" s="430" t="str">
        <f>IFERROR(IF(VLOOKUP(A28,'REGISTRO DATOS'!B:H,4,0)=0,"",VLOOKUP(A28,'REGISTRO DATOS'!B:H,4,0)),"")</f>
        <v>JENIFER</v>
      </c>
      <c r="E28" s="117" t="s">
        <v>68</v>
      </c>
      <c r="F28" s="117" t="s">
        <v>68</v>
      </c>
      <c r="G28" s="117" t="s">
        <v>68</v>
      </c>
      <c r="H28" s="117" t="s">
        <v>68</v>
      </c>
      <c r="I28" s="117" t="s">
        <v>68</v>
      </c>
      <c r="J28" s="117" t="s">
        <v>68</v>
      </c>
      <c r="K28" s="117" t="s">
        <v>68</v>
      </c>
      <c r="L28" s="117" t="s">
        <v>68</v>
      </c>
      <c r="M28" s="117" t="s">
        <v>68</v>
      </c>
      <c r="N28" s="117" t="s">
        <v>68</v>
      </c>
      <c r="O28" s="117" t="s">
        <v>68</v>
      </c>
      <c r="P28" s="117" t="s">
        <v>68</v>
      </c>
      <c r="Q28" s="117" t="s">
        <v>68</v>
      </c>
      <c r="R28" s="117" t="s">
        <v>68</v>
      </c>
      <c r="S28" s="117" t="s">
        <v>68</v>
      </c>
      <c r="T28" s="117" t="s">
        <v>68</v>
      </c>
      <c r="U28" s="117" t="s">
        <v>68</v>
      </c>
      <c r="V28" s="87" t="s">
        <v>68</v>
      </c>
      <c r="W28" s="87" t="s">
        <v>68</v>
      </c>
      <c r="X28" s="87" t="s">
        <v>68</v>
      </c>
      <c r="Y28" s="121" t="e">
        <f t="shared" si="3"/>
        <v>#DIV/0!</v>
      </c>
      <c r="Z28" s="452" t="e">
        <f t="shared" si="0"/>
        <v>#DIV/0!</v>
      </c>
      <c r="AA28" s="165" t="e">
        <f t="shared" si="2"/>
        <v>#DIV/0!</v>
      </c>
    </row>
    <row r="29" spans="1:27" ht="18" customHeight="1">
      <c r="A29" s="52">
        <v>14</v>
      </c>
      <c r="B29" s="429" t="str">
        <f>IFERROR(IF(VLOOKUP(A29,'REGISTRO DATOS'!B:H,2,0)=0,"",VLOOKUP(A29,'REGISTRO DATOS'!B:H,2,0)),"")</f>
        <v/>
      </c>
      <c r="C29" s="430" t="str">
        <f>IFERROR(IF(VLOOKUP(A29,'REGISTRO DATOS'!B:H,3,0)=0,"",VLOOKUP(A29,'REGISTRO DATOS'!B:H,3,0)),"")</f>
        <v/>
      </c>
      <c r="D29" s="430" t="str">
        <f>IFERROR(IF(VLOOKUP(A29,'REGISTRO DATOS'!B:H,4,0)=0,"",VLOOKUP(A29,'REGISTRO DATOS'!B:H,4,0)),"")</f>
        <v>GABRIELA</v>
      </c>
      <c r="E29" s="117" t="s">
        <v>68</v>
      </c>
      <c r="F29" s="117" t="s">
        <v>68</v>
      </c>
      <c r="G29" s="117" t="s">
        <v>68</v>
      </c>
      <c r="H29" s="117" t="s">
        <v>68</v>
      </c>
      <c r="I29" s="117" t="s">
        <v>68</v>
      </c>
      <c r="J29" s="117" t="s">
        <v>68</v>
      </c>
      <c r="K29" s="117" t="s">
        <v>68</v>
      </c>
      <c r="L29" s="117" t="s">
        <v>68</v>
      </c>
      <c r="M29" s="117" t="s">
        <v>68</v>
      </c>
      <c r="N29" s="117" t="s">
        <v>68</v>
      </c>
      <c r="O29" s="117" t="s">
        <v>68</v>
      </c>
      <c r="P29" s="117" t="s">
        <v>68</v>
      </c>
      <c r="Q29" s="117" t="s">
        <v>68</v>
      </c>
      <c r="R29" s="117" t="s">
        <v>68</v>
      </c>
      <c r="S29" s="117" t="s">
        <v>68</v>
      </c>
      <c r="T29" s="117" t="s">
        <v>68</v>
      </c>
      <c r="U29" s="117" t="s">
        <v>68</v>
      </c>
      <c r="V29" s="87" t="s">
        <v>68</v>
      </c>
      <c r="W29" s="87" t="s">
        <v>68</v>
      </c>
      <c r="X29" s="87" t="s">
        <v>68</v>
      </c>
      <c r="Y29" s="121" t="e">
        <f t="shared" si="3"/>
        <v>#DIV/0!</v>
      </c>
      <c r="Z29" s="452" t="e">
        <f t="shared" si="0"/>
        <v>#DIV/0!</v>
      </c>
      <c r="AA29" s="165" t="e">
        <f t="shared" si="2"/>
        <v>#DIV/0!</v>
      </c>
    </row>
    <row r="30" spans="1:27" ht="18" customHeight="1">
      <c r="A30" s="7">
        <v>15</v>
      </c>
      <c r="B30" s="429" t="str">
        <f>IFERROR(IF(VLOOKUP(A30,'REGISTRO DATOS'!B:H,2,0)=0,"",VLOOKUP(A30,'REGISTRO DATOS'!B:H,2,0)),"")</f>
        <v xml:space="preserve">SERRANO </v>
      </c>
      <c r="C30" s="430" t="str">
        <f>IFERROR(IF(VLOOKUP(A30,'REGISTRO DATOS'!B:H,3,0)=0,"",VLOOKUP(A30,'REGISTRO DATOS'!B:H,3,0)),"")</f>
        <v>VILLEGAS</v>
      </c>
      <c r="D30" s="430" t="str">
        <f>IFERROR(IF(VLOOKUP(A30,'REGISTRO DATOS'!B:H,4,0)=0,"",VLOOKUP(A30,'REGISTRO DATOS'!B:H,4,0)),"")</f>
        <v xml:space="preserve">DYLAN </v>
      </c>
      <c r="E30" s="117" t="s">
        <v>68</v>
      </c>
      <c r="F30" s="117" t="s">
        <v>68</v>
      </c>
      <c r="G30" s="117" t="s">
        <v>68</v>
      </c>
      <c r="H30" s="117" t="s">
        <v>68</v>
      </c>
      <c r="I30" s="117" t="s">
        <v>68</v>
      </c>
      <c r="J30" s="117" t="s">
        <v>68</v>
      </c>
      <c r="K30" s="117" t="s">
        <v>68</v>
      </c>
      <c r="L30" s="117" t="s">
        <v>68</v>
      </c>
      <c r="M30" s="117" t="s">
        <v>68</v>
      </c>
      <c r="N30" s="117" t="s">
        <v>68</v>
      </c>
      <c r="O30" s="117" t="s">
        <v>68</v>
      </c>
      <c r="P30" s="117" t="s">
        <v>68</v>
      </c>
      <c r="Q30" s="117" t="s">
        <v>68</v>
      </c>
      <c r="R30" s="117" t="s">
        <v>68</v>
      </c>
      <c r="S30" s="117" t="s">
        <v>68</v>
      </c>
      <c r="T30" s="117" t="s">
        <v>68</v>
      </c>
      <c r="U30" s="117" t="s">
        <v>68</v>
      </c>
      <c r="V30" s="87" t="s">
        <v>68</v>
      </c>
      <c r="W30" s="87" t="s">
        <v>68</v>
      </c>
      <c r="X30" s="87" t="s">
        <v>68</v>
      </c>
      <c r="Y30" s="121" t="e">
        <f t="shared" si="3"/>
        <v>#DIV/0!</v>
      </c>
      <c r="Z30" s="452" t="e">
        <f t="shared" si="0"/>
        <v>#DIV/0!</v>
      </c>
      <c r="AA30" s="165" t="e">
        <f t="shared" si="2"/>
        <v>#DIV/0!</v>
      </c>
    </row>
    <row r="31" spans="1:27" ht="18" customHeight="1">
      <c r="A31" s="55">
        <v>16</v>
      </c>
      <c r="B31" s="429" t="str">
        <f>IFERROR(IF(VLOOKUP(A31,'REGISTRO DATOS'!B:H,2,0)=0,"",VLOOKUP(A31,'REGISTRO DATOS'!B:H,2,0)),"")</f>
        <v/>
      </c>
      <c r="C31" s="430" t="str">
        <f>IFERROR(IF(VLOOKUP(A31,'REGISTRO DATOS'!B:H,3,0)=0,"",VLOOKUP(A31,'REGISTRO DATOS'!B:H,3,0)),"")</f>
        <v/>
      </c>
      <c r="D31" s="430" t="str">
        <f>IFERROR(IF(VLOOKUP(A31,'REGISTRO DATOS'!B:H,4,0)=0,"",VLOOKUP(A31,'REGISTRO DATOS'!B:H,4,0)),"")</f>
        <v>ANA</v>
      </c>
      <c r="E31" s="117" t="s">
        <v>68</v>
      </c>
      <c r="F31" s="117" t="s">
        <v>68</v>
      </c>
      <c r="G31" s="117" t="s">
        <v>68</v>
      </c>
      <c r="H31" s="117" t="s">
        <v>68</v>
      </c>
      <c r="I31" s="117" t="s">
        <v>68</v>
      </c>
      <c r="J31" s="117" t="s">
        <v>68</v>
      </c>
      <c r="K31" s="117" t="s">
        <v>68</v>
      </c>
      <c r="L31" s="117" t="s">
        <v>68</v>
      </c>
      <c r="M31" s="117" t="s">
        <v>68</v>
      </c>
      <c r="N31" s="117" t="s">
        <v>68</v>
      </c>
      <c r="O31" s="117" t="s">
        <v>68</v>
      </c>
      <c r="P31" s="117" t="s">
        <v>68</v>
      </c>
      <c r="Q31" s="117" t="s">
        <v>68</v>
      </c>
      <c r="R31" s="117" t="s">
        <v>68</v>
      </c>
      <c r="S31" s="117" t="s">
        <v>68</v>
      </c>
      <c r="T31" s="117" t="s">
        <v>68</v>
      </c>
      <c r="U31" s="117" t="s">
        <v>68</v>
      </c>
      <c r="V31" s="87" t="s">
        <v>68</v>
      </c>
      <c r="W31" s="87" t="s">
        <v>68</v>
      </c>
      <c r="X31" s="87" t="s">
        <v>68</v>
      </c>
      <c r="Y31" s="121" t="e">
        <f t="shared" si="3"/>
        <v>#DIV/0!</v>
      </c>
      <c r="Z31" s="452" t="e">
        <f t="shared" si="0"/>
        <v>#DIV/0!</v>
      </c>
      <c r="AA31" s="165" t="e">
        <f t="shared" si="2"/>
        <v>#DIV/0!</v>
      </c>
    </row>
    <row r="32" spans="1:27" ht="18" customHeight="1">
      <c r="A32" s="7">
        <v>17</v>
      </c>
      <c r="B32" s="429" t="str">
        <f>IFERROR(IF(VLOOKUP(A32,'REGISTRO DATOS'!B:H,2,0)=0,"",VLOOKUP(A32,'REGISTRO DATOS'!B:H,2,0)),"")</f>
        <v>QUIROS</v>
      </c>
      <c r="C32" s="430" t="str">
        <f>IFERROR(IF(VLOOKUP(A32,'REGISTRO DATOS'!B:H,3,0)=0,"",VLOOKUP(A32,'REGISTRO DATOS'!B:H,3,0)),"")</f>
        <v/>
      </c>
      <c r="D32" s="430" t="str">
        <f>IFERROR(IF(VLOOKUP(A32,'REGISTRO DATOS'!B:H,4,0)=0,"",VLOOKUP(A32,'REGISTRO DATOS'!B:H,4,0)),"")</f>
        <v>ANDY</v>
      </c>
      <c r="E32" s="117" t="s">
        <v>68</v>
      </c>
      <c r="F32" s="117" t="s">
        <v>68</v>
      </c>
      <c r="G32" s="117" t="s">
        <v>68</v>
      </c>
      <c r="H32" s="117" t="s">
        <v>68</v>
      </c>
      <c r="I32" s="117" t="s">
        <v>68</v>
      </c>
      <c r="J32" s="117" t="s">
        <v>68</v>
      </c>
      <c r="K32" s="117" t="s">
        <v>68</v>
      </c>
      <c r="L32" s="117" t="s">
        <v>68</v>
      </c>
      <c r="M32" s="117" t="s">
        <v>68</v>
      </c>
      <c r="N32" s="117" t="s">
        <v>68</v>
      </c>
      <c r="O32" s="117" t="s">
        <v>68</v>
      </c>
      <c r="P32" s="117" t="s">
        <v>68</v>
      </c>
      <c r="Q32" s="117" t="s">
        <v>68</v>
      </c>
      <c r="R32" s="117" t="s">
        <v>68</v>
      </c>
      <c r="S32" s="117" t="s">
        <v>68</v>
      </c>
      <c r="T32" s="117" t="s">
        <v>68</v>
      </c>
      <c r="U32" s="117" t="s">
        <v>68</v>
      </c>
      <c r="V32" s="87" t="s">
        <v>68</v>
      </c>
      <c r="W32" s="87" t="s">
        <v>68</v>
      </c>
      <c r="X32" s="87" t="s">
        <v>68</v>
      </c>
      <c r="Y32" s="121" t="e">
        <f t="shared" si="3"/>
        <v>#DIV/0!</v>
      </c>
      <c r="Z32" s="452" t="e">
        <f t="shared" si="0"/>
        <v>#DIV/0!</v>
      </c>
      <c r="AA32" s="165" t="e">
        <f t="shared" si="2"/>
        <v>#DIV/0!</v>
      </c>
    </row>
    <row r="33" spans="1:27" ht="18" customHeight="1">
      <c r="A33" s="52">
        <v>18</v>
      </c>
      <c r="B33" s="429" t="str">
        <f>IFERROR(IF(VLOOKUP(A33,'REGISTRO DATOS'!B:H,2,0)=0,"",VLOOKUP(A33,'REGISTRO DATOS'!B:H,2,0)),"")</f>
        <v>RIVER</v>
      </c>
      <c r="C33" s="430" t="str">
        <f>IFERROR(IF(VLOOKUP(A33,'REGISTRO DATOS'!B:H,3,0)=0,"",VLOOKUP(A33,'REGISTRO DATOS'!B:H,3,0)),"")</f>
        <v/>
      </c>
      <c r="D33" s="430" t="str">
        <f>IFERROR(IF(VLOOKUP(A33,'REGISTRO DATOS'!B:H,4,0)=0,"",VLOOKUP(A33,'REGISTRO DATOS'!B:H,4,0)),"")</f>
        <v>STEPHANIE</v>
      </c>
      <c r="E33" s="117" t="s">
        <v>68</v>
      </c>
      <c r="F33" s="117" t="s">
        <v>68</v>
      </c>
      <c r="G33" s="117" t="s">
        <v>68</v>
      </c>
      <c r="H33" s="117" t="s">
        <v>68</v>
      </c>
      <c r="I33" s="117" t="s">
        <v>68</v>
      </c>
      <c r="J33" s="117" t="s">
        <v>68</v>
      </c>
      <c r="K33" s="117" t="s">
        <v>68</v>
      </c>
      <c r="L33" s="117" t="s">
        <v>68</v>
      </c>
      <c r="M33" s="117" t="s">
        <v>68</v>
      </c>
      <c r="N33" s="117" t="s">
        <v>68</v>
      </c>
      <c r="O33" s="117" t="s">
        <v>68</v>
      </c>
      <c r="P33" s="117" t="s">
        <v>68</v>
      </c>
      <c r="Q33" s="117" t="s">
        <v>68</v>
      </c>
      <c r="R33" s="117" t="s">
        <v>68</v>
      </c>
      <c r="S33" s="117" t="s">
        <v>68</v>
      </c>
      <c r="T33" s="117" t="s">
        <v>68</v>
      </c>
      <c r="U33" s="117" t="s">
        <v>68</v>
      </c>
      <c r="V33" s="87" t="s">
        <v>68</v>
      </c>
      <c r="W33" s="87" t="s">
        <v>68</v>
      </c>
      <c r="X33" s="87" t="s">
        <v>68</v>
      </c>
      <c r="Y33" s="121" t="e">
        <f t="shared" si="3"/>
        <v>#DIV/0!</v>
      </c>
      <c r="Z33" s="452" t="e">
        <f t="shared" si="0"/>
        <v>#DIV/0!</v>
      </c>
      <c r="AA33" s="165" t="e">
        <f t="shared" si="2"/>
        <v>#DIV/0!</v>
      </c>
    </row>
    <row r="34" spans="1:27" ht="18" customHeight="1">
      <c r="A34" s="29">
        <v>19</v>
      </c>
      <c r="B34" s="429" t="str">
        <f>IFERROR(IF(VLOOKUP(A34,'REGISTRO DATOS'!B:H,2,0)=0,"",VLOOKUP(A34,'REGISTRO DATOS'!B:H,2,0)),"")</f>
        <v/>
      </c>
      <c r="C34" s="430" t="str">
        <f>IFERROR(IF(VLOOKUP(A34,'REGISTRO DATOS'!B:H,3,0)=0,"",VLOOKUP(A34,'REGISTRO DATOS'!B:H,3,0)),"")</f>
        <v>FABIAN</v>
      </c>
      <c r="D34" s="430" t="str">
        <f>IFERROR(IF(VLOOKUP(A34,'REGISTRO DATOS'!B:H,4,0)=0,"",VLOOKUP(A34,'REGISTRO DATOS'!B:H,4,0)),"")</f>
        <v/>
      </c>
      <c r="E34" s="117" t="s">
        <v>68</v>
      </c>
      <c r="F34" s="117" t="s">
        <v>68</v>
      </c>
      <c r="G34" s="117" t="s">
        <v>68</v>
      </c>
      <c r="H34" s="117" t="s">
        <v>68</v>
      </c>
      <c r="I34" s="117" t="s">
        <v>68</v>
      </c>
      <c r="J34" s="117" t="s">
        <v>68</v>
      </c>
      <c r="K34" s="117" t="s">
        <v>68</v>
      </c>
      <c r="L34" s="117" t="s">
        <v>68</v>
      </c>
      <c r="M34" s="117" t="s">
        <v>68</v>
      </c>
      <c r="N34" s="117" t="s">
        <v>68</v>
      </c>
      <c r="O34" s="117" t="s">
        <v>68</v>
      </c>
      <c r="P34" s="117" t="s">
        <v>68</v>
      </c>
      <c r="Q34" s="117" t="s">
        <v>68</v>
      </c>
      <c r="R34" s="117" t="s">
        <v>68</v>
      </c>
      <c r="S34" s="117" t="s">
        <v>68</v>
      </c>
      <c r="T34" s="117" t="s">
        <v>68</v>
      </c>
      <c r="U34" s="117" t="s">
        <v>68</v>
      </c>
      <c r="V34" s="87" t="s">
        <v>68</v>
      </c>
      <c r="W34" s="87" t="s">
        <v>68</v>
      </c>
      <c r="X34" s="87" t="s">
        <v>68</v>
      </c>
      <c r="Y34" s="121" t="e">
        <f t="shared" si="3"/>
        <v>#DIV/0!</v>
      </c>
      <c r="Z34" s="452" t="e">
        <f t="shared" si="0"/>
        <v>#DIV/0!</v>
      </c>
      <c r="AA34" s="165" t="e">
        <f t="shared" si="2"/>
        <v>#DIV/0!</v>
      </c>
    </row>
    <row r="35" spans="1:27" ht="18" customHeight="1">
      <c r="A35" s="52">
        <v>20</v>
      </c>
      <c r="B35" s="429" t="str">
        <f>IFERROR(IF(VLOOKUP(A35,'REGISTRO DATOS'!B:H,2,0)=0,"",VLOOKUP(A35,'REGISTRO DATOS'!B:H,2,0)),"")</f>
        <v/>
      </c>
      <c r="C35" s="430" t="str">
        <f>IFERROR(IF(VLOOKUP(A35,'REGISTRO DATOS'!B:H,3,0)=0,"",VLOOKUP(A35,'REGISTRO DATOS'!B:H,3,0)),"")</f>
        <v>EMILIN</v>
      </c>
      <c r="D35" s="430" t="str">
        <f>IFERROR(IF(VLOOKUP(A35,'REGISTRO DATOS'!B:H,4,0)=0,"",VLOOKUP(A35,'REGISTRO DATOS'!B:H,4,0)),"")</f>
        <v/>
      </c>
      <c r="E35" s="117" t="s">
        <v>68</v>
      </c>
      <c r="F35" s="117" t="s">
        <v>68</v>
      </c>
      <c r="G35" s="117" t="s">
        <v>68</v>
      </c>
      <c r="H35" s="117" t="s">
        <v>68</v>
      </c>
      <c r="I35" s="117" t="s">
        <v>68</v>
      </c>
      <c r="J35" s="117" t="s">
        <v>68</v>
      </c>
      <c r="K35" s="117" t="s">
        <v>68</v>
      </c>
      <c r="L35" s="117" t="s">
        <v>68</v>
      </c>
      <c r="M35" s="117" t="s">
        <v>68</v>
      </c>
      <c r="N35" s="117" t="s">
        <v>68</v>
      </c>
      <c r="O35" s="117" t="s">
        <v>68</v>
      </c>
      <c r="P35" s="117" t="s">
        <v>68</v>
      </c>
      <c r="Q35" s="117" t="s">
        <v>68</v>
      </c>
      <c r="R35" s="117" t="s">
        <v>68</v>
      </c>
      <c r="S35" s="117" t="s">
        <v>68</v>
      </c>
      <c r="T35" s="117" t="s">
        <v>68</v>
      </c>
      <c r="U35" s="117" t="s">
        <v>68</v>
      </c>
      <c r="V35" s="87" t="s">
        <v>68</v>
      </c>
      <c r="W35" s="87" t="s">
        <v>68</v>
      </c>
      <c r="X35" s="87" t="s">
        <v>68</v>
      </c>
      <c r="Y35" s="121" t="e">
        <f t="shared" si="3"/>
        <v>#DIV/0!</v>
      </c>
      <c r="Z35" s="452" t="e">
        <f t="shared" si="0"/>
        <v>#DIV/0!</v>
      </c>
      <c r="AA35" s="165" t="e">
        <f t="shared" si="2"/>
        <v>#DIV/0!</v>
      </c>
    </row>
    <row r="36" spans="1:27" ht="18" customHeight="1">
      <c r="A36" s="7">
        <v>21</v>
      </c>
      <c r="B36" s="429" t="str">
        <f>IFERROR(IF(VLOOKUP(A36,'REGISTRO DATOS'!B:H,2,0)=0,"",VLOOKUP(A36,'REGISTRO DATOS'!B:H,2,0)),"")</f>
        <v/>
      </c>
      <c r="C36" s="430" t="str">
        <f>IFERROR(IF(VLOOKUP(A36,'REGISTRO DATOS'!B:H,3,0)=0,"",VLOOKUP(A36,'REGISTRO DATOS'!B:H,3,0)),"")</f>
        <v/>
      </c>
      <c r="D36" s="430" t="str">
        <f>IFERROR(IF(VLOOKUP(A36,'REGISTRO DATOS'!B:H,4,0)=0,"",VLOOKUP(A36,'REGISTRO DATOS'!B:H,4,0)),"")</f>
        <v/>
      </c>
      <c r="E36" s="117" t="s">
        <v>68</v>
      </c>
      <c r="F36" s="117" t="s">
        <v>68</v>
      </c>
      <c r="G36" s="117" t="s">
        <v>68</v>
      </c>
      <c r="H36" s="117" t="s">
        <v>68</v>
      </c>
      <c r="I36" s="117" t="s">
        <v>68</v>
      </c>
      <c r="J36" s="117" t="s">
        <v>68</v>
      </c>
      <c r="K36" s="117" t="s">
        <v>68</v>
      </c>
      <c r="L36" s="117" t="s">
        <v>68</v>
      </c>
      <c r="M36" s="117" t="s">
        <v>68</v>
      </c>
      <c r="N36" s="117" t="s">
        <v>68</v>
      </c>
      <c r="O36" s="117" t="s">
        <v>68</v>
      </c>
      <c r="P36" s="117" t="s">
        <v>68</v>
      </c>
      <c r="Q36" s="117" t="s">
        <v>68</v>
      </c>
      <c r="R36" s="117" t="s">
        <v>68</v>
      </c>
      <c r="S36" s="117" t="s">
        <v>68</v>
      </c>
      <c r="T36" s="117" t="s">
        <v>68</v>
      </c>
      <c r="U36" s="117" t="s">
        <v>68</v>
      </c>
      <c r="V36" s="87" t="s">
        <v>68</v>
      </c>
      <c r="W36" s="87" t="s">
        <v>68</v>
      </c>
      <c r="X36" s="87" t="s">
        <v>68</v>
      </c>
      <c r="Y36" s="121" t="e">
        <f t="shared" si="3"/>
        <v>#DIV/0!</v>
      </c>
      <c r="Z36" s="452" t="e">
        <f t="shared" si="0"/>
        <v>#DIV/0!</v>
      </c>
      <c r="AA36" s="165" t="e">
        <f t="shared" si="2"/>
        <v>#DIV/0!</v>
      </c>
    </row>
    <row r="37" spans="1:27" ht="18" customHeight="1">
      <c r="A37" s="55">
        <v>22</v>
      </c>
      <c r="B37" s="429" t="str">
        <f>IFERROR(IF(VLOOKUP(A37,'REGISTRO DATOS'!B:H,2,0)=0,"",VLOOKUP(A37,'REGISTRO DATOS'!B:H,2,0)),"")</f>
        <v/>
      </c>
      <c r="C37" s="430" t="str">
        <f>IFERROR(IF(VLOOKUP(A37,'REGISTRO DATOS'!B:H,3,0)=0,"",VLOOKUP(A37,'REGISTRO DATOS'!B:H,3,0)),"")</f>
        <v/>
      </c>
      <c r="D37" s="430" t="str">
        <f>IFERROR(IF(VLOOKUP(A37,'REGISTRO DATOS'!B:H,4,0)=0,"",VLOOKUP(A37,'REGISTRO DATOS'!B:H,4,0)),"")</f>
        <v/>
      </c>
      <c r="E37" s="117" t="s">
        <v>68</v>
      </c>
      <c r="F37" s="117" t="s">
        <v>68</v>
      </c>
      <c r="G37" s="117" t="s">
        <v>68</v>
      </c>
      <c r="H37" s="117" t="s">
        <v>68</v>
      </c>
      <c r="I37" s="117" t="s">
        <v>68</v>
      </c>
      <c r="J37" s="117" t="s">
        <v>68</v>
      </c>
      <c r="K37" s="117" t="s">
        <v>68</v>
      </c>
      <c r="L37" s="117" t="s">
        <v>68</v>
      </c>
      <c r="M37" s="117" t="s">
        <v>68</v>
      </c>
      <c r="N37" s="117" t="s">
        <v>68</v>
      </c>
      <c r="O37" s="117" t="s">
        <v>68</v>
      </c>
      <c r="P37" s="117" t="s">
        <v>68</v>
      </c>
      <c r="Q37" s="117" t="s">
        <v>68</v>
      </c>
      <c r="R37" s="117" t="s">
        <v>68</v>
      </c>
      <c r="S37" s="117" t="s">
        <v>68</v>
      </c>
      <c r="T37" s="117" t="s">
        <v>68</v>
      </c>
      <c r="U37" s="117" t="s">
        <v>68</v>
      </c>
      <c r="V37" s="87" t="s">
        <v>68</v>
      </c>
      <c r="W37" s="87" t="s">
        <v>68</v>
      </c>
      <c r="X37" s="87" t="s">
        <v>68</v>
      </c>
      <c r="Y37" s="121" t="e">
        <f t="shared" si="3"/>
        <v>#DIV/0!</v>
      </c>
      <c r="Z37" s="452" t="e">
        <f t="shared" si="0"/>
        <v>#DIV/0!</v>
      </c>
      <c r="AA37" s="165" t="e">
        <f t="shared" si="2"/>
        <v>#DIV/0!</v>
      </c>
    </row>
    <row r="38" spans="1:27" ht="18" customHeight="1">
      <c r="A38" s="7">
        <v>23</v>
      </c>
      <c r="B38" s="429" t="str">
        <f>IFERROR(IF(VLOOKUP(A38,'REGISTRO DATOS'!B:H,2,0)=0,"",VLOOKUP(A38,'REGISTRO DATOS'!B:H,2,0)),"")</f>
        <v/>
      </c>
      <c r="C38" s="430" t="str">
        <f>IFERROR(IF(VLOOKUP(A38,'REGISTRO DATOS'!B:H,3,0)=0,"",VLOOKUP(A38,'REGISTRO DATOS'!B:H,3,0)),"")</f>
        <v/>
      </c>
      <c r="D38" s="430" t="str">
        <f>IFERROR(IF(VLOOKUP(A38,'REGISTRO DATOS'!B:H,4,0)=0,"",VLOOKUP(A38,'REGISTRO DATOS'!B:H,4,0)),"")</f>
        <v/>
      </c>
      <c r="E38" s="117" t="s">
        <v>68</v>
      </c>
      <c r="F38" s="117" t="s">
        <v>68</v>
      </c>
      <c r="G38" s="117" t="s">
        <v>68</v>
      </c>
      <c r="H38" s="117" t="s">
        <v>68</v>
      </c>
      <c r="I38" s="117" t="s">
        <v>68</v>
      </c>
      <c r="J38" s="117" t="s">
        <v>68</v>
      </c>
      <c r="K38" s="117" t="s">
        <v>68</v>
      </c>
      <c r="L38" s="117" t="s">
        <v>68</v>
      </c>
      <c r="M38" s="117" t="s">
        <v>68</v>
      </c>
      <c r="N38" s="117" t="s">
        <v>68</v>
      </c>
      <c r="O38" s="117" t="s">
        <v>68</v>
      </c>
      <c r="P38" s="117" t="s">
        <v>68</v>
      </c>
      <c r="Q38" s="117" t="s">
        <v>68</v>
      </c>
      <c r="R38" s="117" t="s">
        <v>68</v>
      </c>
      <c r="S38" s="117" t="s">
        <v>68</v>
      </c>
      <c r="T38" s="117" t="s">
        <v>68</v>
      </c>
      <c r="U38" s="117" t="s">
        <v>68</v>
      </c>
      <c r="V38" s="87" t="s">
        <v>68</v>
      </c>
      <c r="W38" s="87" t="s">
        <v>68</v>
      </c>
      <c r="X38" s="87" t="s">
        <v>68</v>
      </c>
      <c r="Y38" s="121" t="e">
        <f t="shared" si="3"/>
        <v>#DIV/0!</v>
      </c>
      <c r="Z38" s="452" t="e">
        <f t="shared" si="0"/>
        <v>#DIV/0!</v>
      </c>
      <c r="AA38" s="165" t="e">
        <f t="shared" si="2"/>
        <v>#DIV/0!</v>
      </c>
    </row>
    <row r="39" spans="1:27" ht="18" customHeight="1">
      <c r="A39" s="52">
        <v>24</v>
      </c>
      <c r="B39" s="429" t="str">
        <f>IFERROR(IF(VLOOKUP(A39,'REGISTRO DATOS'!B:H,2,0)=0,"",VLOOKUP(A39,'REGISTRO DATOS'!B:H,2,0)),"")</f>
        <v/>
      </c>
      <c r="C39" s="430" t="str">
        <f>IFERROR(IF(VLOOKUP(A39,'REGISTRO DATOS'!B:H,3,0)=0,"",VLOOKUP(A39,'REGISTRO DATOS'!B:H,3,0)),"")</f>
        <v/>
      </c>
      <c r="D39" s="430" t="str">
        <f>IFERROR(IF(VLOOKUP(A39,'REGISTRO DATOS'!B:H,4,0)=0,"",VLOOKUP(A39,'REGISTRO DATOS'!B:H,4,0)),"")</f>
        <v/>
      </c>
      <c r="E39" s="117" t="s">
        <v>68</v>
      </c>
      <c r="F39" s="117" t="s">
        <v>68</v>
      </c>
      <c r="G39" s="117" t="s">
        <v>68</v>
      </c>
      <c r="H39" s="117" t="s">
        <v>68</v>
      </c>
      <c r="I39" s="117" t="s">
        <v>68</v>
      </c>
      <c r="J39" s="117" t="s">
        <v>68</v>
      </c>
      <c r="K39" s="117" t="s">
        <v>68</v>
      </c>
      <c r="L39" s="117" t="s">
        <v>68</v>
      </c>
      <c r="M39" s="117" t="s">
        <v>68</v>
      </c>
      <c r="N39" s="117" t="s">
        <v>68</v>
      </c>
      <c r="O39" s="117" t="s">
        <v>68</v>
      </c>
      <c r="P39" s="117" t="s">
        <v>68</v>
      </c>
      <c r="Q39" s="117" t="s">
        <v>68</v>
      </c>
      <c r="R39" s="117" t="s">
        <v>68</v>
      </c>
      <c r="S39" s="117" t="s">
        <v>68</v>
      </c>
      <c r="T39" s="117" t="s">
        <v>68</v>
      </c>
      <c r="U39" s="117" t="s">
        <v>68</v>
      </c>
      <c r="V39" s="87" t="s">
        <v>68</v>
      </c>
      <c r="W39" s="87" t="s">
        <v>68</v>
      </c>
      <c r="X39" s="87" t="s">
        <v>68</v>
      </c>
      <c r="Y39" s="121" t="e">
        <f t="shared" si="3"/>
        <v>#DIV/0!</v>
      </c>
      <c r="Z39" s="452" t="e">
        <f t="shared" si="0"/>
        <v>#DIV/0!</v>
      </c>
      <c r="AA39" s="165" t="e">
        <f t="shared" si="2"/>
        <v>#DIV/0!</v>
      </c>
    </row>
    <row r="40" spans="1:27" ht="18" customHeight="1">
      <c r="A40" s="29">
        <v>25</v>
      </c>
      <c r="B40" s="429" t="str">
        <f>IFERROR(IF(VLOOKUP(A40,'REGISTRO DATOS'!B:H,2,0)=0,"",VLOOKUP(A40,'REGISTRO DATOS'!B:H,2,0)),"")</f>
        <v/>
      </c>
      <c r="C40" s="430" t="str">
        <f>IFERROR(IF(VLOOKUP(A40,'REGISTRO DATOS'!B:H,3,0)=0,"",VLOOKUP(A40,'REGISTRO DATOS'!B:H,3,0)),"")</f>
        <v/>
      </c>
      <c r="D40" s="430" t="str">
        <f>IFERROR(IF(VLOOKUP(A40,'REGISTRO DATOS'!B:H,4,0)=0,"",VLOOKUP(A40,'REGISTRO DATOS'!B:H,4,0)),"")</f>
        <v/>
      </c>
      <c r="E40" s="117" t="s">
        <v>68</v>
      </c>
      <c r="F40" s="117" t="s">
        <v>68</v>
      </c>
      <c r="G40" s="117" t="s">
        <v>68</v>
      </c>
      <c r="H40" s="117" t="s">
        <v>68</v>
      </c>
      <c r="I40" s="117" t="s">
        <v>68</v>
      </c>
      <c r="J40" s="117" t="s">
        <v>68</v>
      </c>
      <c r="K40" s="117" t="s">
        <v>68</v>
      </c>
      <c r="L40" s="117" t="s">
        <v>68</v>
      </c>
      <c r="M40" s="117" t="s">
        <v>68</v>
      </c>
      <c r="N40" s="117" t="s">
        <v>68</v>
      </c>
      <c r="O40" s="117" t="s">
        <v>68</v>
      </c>
      <c r="P40" s="117" t="s">
        <v>68</v>
      </c>
      <c r="Q40" s="117" t="s">
        <v>68</v>
      </c>
      <c r="R40" s="117" t="s">
        <v>68</v>
      </c>
      <c r="S40" s="117" t="s">
        <v>68</v>
      </c>
      <c r="T40" s="117" t="s">
        <v>68</v>
      </c>
      <c r="U40" s="117" t="s">
        <v>68</v>
      </c>
      <c r="V40" s="87" t="s">
        <v>68</v>
      </c>
      <c r="W40" s="87" t="s">
        <v>68</v>
      </c>
      <c r="X40" s="87" t="s">
        <v>68</v>
      </c>
      <c r="Y40" s="121" t="e">
        <f t="shared" si="3"/>
        <v>#DIV/0!</v>
      </c>
      <c r="Z40" s="452" t="e">
        <f t="shared" si="0"/>
        <v>#DIV/0!</v>
      </c>
      <c r="AA40" s="165" t="e">
        <f t="shared" si="2"/>
        <v>#DIV/0!</v>
      </c>
    </row>
    <row r="41" spans="1:27" ht="18" customHeight="1">
      <c r="A41" s="52">
        <v>26</v>
      </c>
      <c r="B41" s="429" t="str">
        <f>IFERROR(IF(VLOOKUP(A41,'REGISTRO DATOS'!B:H,2,0)=0,"",VLOOKUP(A41,'REGISTRO DATOS'!B:H,2,0)),"")</f>
        <v/>
      </c>
      <c r="C41" s="430" t="str">
        <f>IFERROR(IF(VLOOKUP(A41,'REGISTRO DATOS'!B:H,3,0)=0,"",VLOOKUP(A41,'REGISTRO DATOS'!B:H,3,0)),"")</f>
        <v/>
      </c>
      <c r="D41" s="430" t="str">
        <f>IFERROR(IF(VLOOKUP(A41,'REGISTRO DATOS'!B:H,4,0)=0,"",VLOOKUP(A41,'REGISTRO DATOS'!B:H,4,0)),"")</f>
        <v/>
      </c>
      <c r="E41" s="117" t="s">
        <v>68</v>
      </c>
      <c r="F41" s="117" t="s">
        <v>68</v>
      </c>
      <c r="G41" s="117" t="s">
        <v>68</v>
      </c>
      <c r="H41" s="117" t="s">
        <v>68</v>
      </c>
      <c r="I41" s="117"/>
      <c r="J41" s="117" t="s">
        <v>68</v>
      </c>
      <c r="K41" s="117" t="s">
        <v>68</v>
      </c>
      <c r="L41" s="117" t="s">
        <v>68</v>
      </c>
      <c r="M41" s="117" t="s">
        <v>68</v>
      </c>
      <c r="N41" s="117" t="s">
        <v>68</v>
      </c>
      <c r="O41" s="117" t="s">
        <v>68</v>
      </c>
      <c r="P41" s="117" t="s">
        <v>68</v>
      </c>
      <c r="Q41" s="117" t="s">
        <v>68</v>
      </c>
      <c r="R41" s="117" t="s">
        <v>68</v>
      </c>
      <c r="S41" s="117" t="s">
        <v>68</v>
      </c>
      <c r="T41" s="117" t="s">
        <v>68</v>
      </c>
      <c r="U41" s="117" t="s">
        <v>68</v>
      </c>
      <c r="V41" s="87" t="s">
        <v>68</v>
      </c>
      <c r="W41" s="87" t="s">
        <v>68</v>
      </c>
      <c r="X41" s="87" t="s">
        <v>68</v>
      </c>
      <c r="Y41" s="121" t="e">
        <f t="shared" si="3"/>
        <v>#DIV/0!</v>
      </c>
      <c r="Z41" s="452" t="e">
        <f t="shared" si="0"/>
        <v>#DIV/0!</v>
      </c>
      <c r="AA41" s="165" t="e">
        <f t="shared" si="2"/>
        <v>#DIV/0!</v>
      </c>
    </row>
    <row r="42" spans="1:27" ht="18" customHeight="1">
      <c r="A42" s="7">
        <v>27</v>
      </c>
      <c r="B42" s="429" t="str">
        <f>IFERROR(IF(VLOOKUP(A42,'REGISTRO DATOS'!B:H,2,0)=0,"",VLOOKUP(A42,'REGISTRO DATOS'!B:H,2,0)),"")</f>
        <v/>
      </c>
      <c r="C42" s="430" t="str">
        <f>IFERROR(IF(VLOOKUP(A42,'REGISTRO DATOS'!B:H,3,0)=0,"",VLOOKUP(A42,'REGISTRO DATOS'!B:H,3,0)),"")</f>
        <v/>
      </c>
      <c r="D42" s="430" t="str">
        <f>IFERROR(IF(VLOOKUP(A42,'REGISTRO DATOS'!B:H,4,0)=0,"",VLOOKUP(A42,'REGISTRO DATOS'!B:H,4,0)),"")</f>
        <v/>
      </c>
      <c r="E42" s="117" t="s">
        <v>68</v>
      </c>
      <c r="F42" s="117" t="s">
        <v>68</v>
      </c>
      <c r="G42" s="117" t="s">
        <v>68</v>
      </c>
      <c r="H42" s="117" t="s">
        <v>68</v>
      </c>
      <c r="I42" s="117" t="s">
        <v>68</v>
      </c>
      <c r="J42" s="117" t="s">
        <v>68</v>
      </c>
      <c r="K42" s="117" t="s">
        <v>68</v>
      </c>
      <c r="L42" s="117" t="s">
        <v>68</v>
      </c>
      <c r="M42" s="117" t="s">
        <v>68</v>
      </c>
      <c r="N42" s="117" t="s">
        <v>68</v>
      </c>
      <c r="O42" s="117" t="s">
        <v>68</v>
      </c>
      <c r="P42" s="117" t="s">
        <v>68</v>
      </c>
      <c r="Q42" s="117" t="s">
        <v>68</v>
      </c>
      <c r="R42" s="117" t="s">
        <v>68</v>
      </c>
      <c r="S42" s="117" t="s">
        <v>68</v>
      </c>
      <c r="T42" s="117" t="s">
        <v>68</v>
      </c>
      <c r="U42" s="117" t="s">
        <v>68</v>
      </c>
      <c r="V42" s="87" t="s">
        <v>68</v>
      </c>
      <c r="W42" s="87" t="s">
        <v>68</v>
      </c>
      <c r="X42" s="87" t="s">
        <v>68</v>
      </c>
      <c r="Y42" s="121" t="e">
        <f t="shared" si="3"/>
        <v>#DIV/0!</v>
      </c>
      <c r="Z42" s="452" t="e">
        <f t="shared" si="0"/>
        <v>#DIV/0!</v>
      </c>
      <c r="AA42" s="165" t="e">
        <f t="shared" si="2"/>
        <v>#DIV/0!</v>
      </c>
    </row>
    <row r="43" spans="1:27" ht="18" customHeight="1">
      <c r="A43" s="55">
        <v>28</v>
      </c>
      <c r="B43" s="429" t="str">
        <f>IFERROR(IF(VLOOKUP(A43,'REGISTRO DATOS'!B:H,2,0)=0,"",VLOOKUP(A43,'REGISTRO DATOS'!B:H,2,0)),"")</f>
        <v/>
      </c>
      <c r="C43" s="430" t="str">
        <f>IFERROR(IF(VLOOKUP(A43,'REGISTRO DATOS'!B:H,3,0)=0,"",VLOOKUP(A43,'REGISTRO DATOS'!B:H,3,0)),"")</f>
        <v/>
      </c>
      <c r="D43" s="430" t="str">
        <f>IFERROR(IF(VLOOKUP(A43,'REGISTRO DATOS'!B:H,4,0)=0,"",VLOOKUP(A43,'REGISTRO DATOS'!B:H,4,0)),"")</f>
        <v/>
      </c>
      <c r="E43" s="117" t="s">
        <v>68</v>
      </c>
      <c r="F43" s="117" t="s">
        <v>68</v>
      </c>
      <c r="G43" s="117" t="s">
        <v>68</v>
      </c>
      <c r="H43" s="117" t="s">
        <v>68</v>
      </c>
      <c r="I43" s="117" t="s">
        <v>68</v>
      </c>
      <c r="J43" s="117" t="s">
        <v>68</v>
      </c>
      <c r="K43" s="117" t="s">
        <v>68</v>
      </c>
      <c r="L43" s="117" t="s">
        <v>68</v>
      </c>
      <c r="M43" s="117" t="s">
        <v>68</v>
      </c>
      <c r="N43" s="117" t="s">
        <v>68</v>
      </c>
      <c r="O43" s="117" t="s">
        <v>68</v>
      </c>
      <c r="P43" s="117" t="s">
        <v>68</v>
      </c>
      <c r="Q43" s="117" t="s">
        <v>68</v>
      </c>
      <c r="R43" s="117" t="s">
        <v>68</v>
      </c>
      <c r="S43" s="117" t="s">
        <v>68</v>
      </c>
      <c r="T43" s="117" t="s">
        <v>68</v>
      </c>
      <c r="U43" s="117" t="s">
        <v>68</v>
      </c>
      <c r="V43" s="87" t="s">
        <v>68</v>
      </c>
      <c r="W43" s="87" t="s">
        <v>68</v>
      </c>
      <c r="X43" s="87" t="s">
        <v>68</v>
      </c>
      <c r="Y43" s="121" t="e">
        <f t="shared" si="3"/>
        <v>#DIV/0!</v>
      </c>
      <c r="Z43" s="452" t="e">
        <f t="shared" si="0"/>
        <v>#DIV/0!</v>
      </c>
      <c r="AA43" s="165" t="e">
        <f t="shared" si="2"/>
        <v>#DIV/0!</v>
      </c>
    </row>
    <row r="44" spans="1:27" ht="18" customHeight="1">
      <c r="A44" s="7">
        <v>29</v>
      </c>
      <c r="B44" s="429" t="str">
        <f>IFERROR(IF(VLOOKUP(A44,'REGISTRO DATOS'!B:H,2,0)=0,"",VLOOKUP(A44,'REGISTRO DATOS'!B:H,2,0)),"")</f>
        <v/>
      </c>
      <c r="C44" s="430" t="str">
        <f>IFERROR(IF(VLOOKUP(A44,'REGISTRO DATOS'!B:H,3,0)=0,"",VLOOKUP(A44,'REGISTRO DATOS'!B:H,3,0)),"")</f>
        <v/>
      </c>
      <c r="D44" s="430" t="str">
        <f>IFERROR(IF(VLOOKUP(A44,'REGISTRO DATOS'!B:H,4,0)=0,"",VLOOKUP(A44,'REGISTRO DATOS'!B:H,4,0)),"")</f>
        <v/>
      </c>
      <c r="E44" s="117" t="s">
        <v>68</v>
      </c>
      <c r="F44" s="117" t="s">
        <v>68</v>
      </c>
      <c r="G44" s="117" t="s">
        <v>68</v>
      </c>
      <c r="H44" s="117" t="s">
        <v>68</v>
      </c>
      <c r="I44" s="117" t="s">
        <v>68</v>
      </c>
      <c r="J44" s="117" t="s">
        <v>68</v>
      </c>
      <c r="K44" s="117" t="s">
        <v>68</v>
      </c>
      <c r="L44" s="117" t="s">
        <v>68</v>
      </c>
      <c r="M44" s="117" t="s">
        <v>68</v>
      </c>
      <c r="N44" s="117" t="s">
        <v>68</v>
      </c>
      <c r="O44" s="117" t="s">
        <v>68</v>
      </c>
      <c r="P44" s="117" t="s">
        <v>68</v>
      </c>
      <c r="Q44" s="117" t="s">
        <v>68</v>
      </c>
      <c r="R44" s="117" t="s">
        <v>68</v>
      </c>
      <c r="S44" s="117" t="s">
        <v>68</v>
      </c>
      <c r="T44" s="117" t="s">
        <v>68</v>
      </c>
      <c r="U44" s="117" t="s">
        <v>68</v>
      </c>
      <c r="V44" s="87" t="s">
        <v>68</v>
      </c>
      <c r="W44" s="87" t="s">
        <v>68</v>
      </c>
      <c r="X44" s="87" t="s">
        <v>68</v>
      </c>
      <c r="Y44" s="121" t="e">
        <f t="shared" si="3"/>
        <v>#DIV/0!</v>
      </c>
      <c r="Z44" s="452" t="e">
        <f t="shared" si="0"/>
        <v>#DIV/0!</v>
      </c>
      <c r="AA44" s="165" t="e">
        <f t="shared" si="2"/>
        <v>#DIV/0!</v>
      </c>
    </row>
    <row r="45" spans="1:27" ht="18" customHeight="1">
      <c r="A45" s="52">
        <v>30</v>
      </c>
      <c r="B45" s="429" t="str">
        <f>IFERROR(IF(VLOOKUP(A45,'REGISTRO DATOS'!B:H,2,0)=0,"",VLOOKUP(A45,'REGISTRO DATOS'!B:H,2,0)),"")</f>
        <v/>
      </c>
      <c r="C45" s="430" t="str">
        <f>IFERROR(IF(VLOOKUP(A45,'REGISTRO DATOS'!B:H,3,0)=0,"",VLOOKUP(A45,'REGISTRO DATOS'!B:H,3,0)),"")</f>
        <v/>
      </c>
      <c r="D45" s="430" t="str">
        <f>IFERROR(IF(VLOOKUP(A45,'REGISTRO DATOS'!B:H,4,0)=0,"",VLOOKUP(A45,'REGISTRO DATOS'!B:H,4,0)),"")</f>
        <v/>
      </c>
      <c r="E45" s="117" t="s">
        <v>68</v>
      </c>
      <c r="F45" s="117" t="s">
        <v>68</v>
      </c>
      <c r="G45" s="117" t="s">
        <v>68</v>
      </c>
      <c r="H45" s="117" t="s">
        <v>68</v>
      </c>
      <c r="I45" s="117" t="s">
        <v>68</v>
      </c>
      <c r="J45" s="117" t="s">
        <v>68</v>
      </c>
      <c r="K45" s="117" t="s">
        <v>68</v>
      </c>
      <c r="L45" s="117" t="s">
        <v>68</v>
      </c>
      <c r="M45" s="117" t="s">
        <v>68</v>
      </c>
      <c r="N45" s="117" t="s">
        <v>68</v>
      </c>
      <c r="O45" s="117" t="s">
        <v>68</v>
      </c>
      <c r="P45" s="117" t="s">
        <v>68</v>
      </c>
      <c r="Q45" s="117" t="s">
        <v>68</v>
      </c>
      <c r="R45" s="117" t="s">
        <v>68</v>
      </c>
      <c r="S45" s="117" t="s">
        <v>68</v>
      </c>
      <c r="T45" s="117" t="s">
        <v>68</v>
      </c>
      <c r="U45" s="117" t="s">
        <v>68</v>
      </c>
      <c r="V45" s="87" t="s">
        <v>68</v>
      </c>
      <c r="W45" s="87" t="s">
        <v>68</v>
      </c>
      <c r="X45" s="87" t="s">
        <v>68</v>
      </c>
      <c r="Y45" s="121" t="e">
        <f t="shared" si="3"/>
        <v>#DIV/0!</v>
      </c>
      <c r="Z45" s="452" t="e">
        <f t="shared" si="0"/>
        <v>#DIV/0!</v>
      </c>
      <c r="AA45" s="165" t="e">
        <f t="shared" si="2"/>
        <v>#DIV/0!</v>
      </c>
    </row>
    <row r="46" spans="1:27" ht="18" customHeight="1">
      <c r="A46" s="29">
        <v>31</v>
      </c>
      <c r="B46" s="429" t="str">
        <f>IFERROR(IF(VLOOKUP(A46,'REGISTRO DATOS'!B:H,2,0)=0,"",VLOOKUP(A46,'REGISTRO DATOS'!B:H,2,0)),"")</f>
        <v/>
      </c>
      <c r="C46" s="430" t="str">
        <f>IFERROR(IF(VLOOKUP(A46,'REGISTRO DATOS'!B:H,3,0)=0,"",VLOOKUP(A46,'REGISTRO DATOS'!B:H,3,0)),"")</f>
        <v/>
      </c>
      <c r="D46" s="430" t="str">
        <f>IFERROR(IF(VLOOKUP(A46,'REGISTRO DATOS'!B:H,4,0)=0,"",VLOOKUP(A46,'REGISTRO DATOS'!B:H,4,0)),"")</f>
        <v/>
      </c>
      <c r="E46" s="117" t="s">
        <v>68</v>
      </c>
      <c r="F46" s="117" t="s">
        <v>68</v>
      </c>
      <c r="G46" s="117" t="s">
        <v>68</v>
      </c>
      <c r="H46" s="117" t="s">
        <v>68</v>
      </c>
      <c r="I46" s="117" t="s">
        <v>68</v>
      </c>
      <c r="J46" s="117" t="s">
        <v>68</v>
      </c>
      <c r="K46" s="117" t="s">
        <v>68</v>
      </c>
      <c r="L46" s="117" t="s">
        <v>68</v>
      </c>
      <c r="M46" s="117" t="s">
        <v>68</v>
      </c>
      <c r="N46" s="117" t="s">
        <v>68</v>
      </c>
      <c r="O46" s="117" t="s">
        <v>68</v>
      </c>
      <c r="P46" s="117" t="s">
        <v>68</v>
      </c>
      <c r="Q46" s="117" t="s">
        <v>68</v>
      </c>
      <c r="R46" s="117" t="s">
        <v>68</v>
      </c>
      <c r="S46" s="117" t="s">
        <v>68</v>
      </c>
      <c r="T46" s="117" t="s">
        <v>68</v>
      </c>
      <c r="U46" s="117" t="s">
        <v>68</v>
      </c>
      <c r="V46" s="87" t="s">
        <v>68</v>
      </c>
      <c r="W46" s="87" t="s">
        <v>68</v>
      </c>
      <c r="X46" s="87" t="s">
        <v>68</v>
      </c>
      <c r="Y46" s="121" t="e">
        <f t="shared" si="3"/>
        <v>#DIV/0!</v>
      </c>
      <c r="Z46" s="452" t="e">
        <f t="shared" si="0"/>
        <v>#DIV/0!</v>
      </c>
      <c r="AA46" s="165" t="e">
        <f t="shared" si="2"/>
        <v>#DIV/0!</v>
      </c>
    </row>
    <row r="47" spans="1:27" ht="18" customHeight="1">
      <c r="A47" s="7">
        <v>32</v>
      </c>
      <c r="B47" s="429" t="str">
        <f>IFERROR(IF(VLOOKUP(A47,'REGISTRO DATOS'!B:H,2,0)=0,"",VLOOKUP(A47,'REGISTRO DATOS'!B:H,2,0)),"")</f>
        <v/>
      </c>
      <c r="C47" s="430" t="str">
        <f>IFERROR(IF(VLOOKUP(A47,'REGISTRO DATOS'!B:H,3,0)=0,"",VLOOKUP(A47,'REGISTRO DATOS'!B:H,3,0)),"")</f>
        <v/>
      </c>
      <c r="D47" s="430" t="str">
        <f>IFERROR(IF(VLOOKUP(A47,'REGISTRO DATOS'!B:H,4,0)=0,"",VLOOKUP(A47,'REGISTRO DATOS'!B:H,4,0)),"")</f>
        <v/>
      </c>
      <c r="E47" s="117" t="s">
        <v>68</v>
      </c>
      <c r="F47" s="117" t="s">
        <v>68</v>
      </c>
      <c r="G47" s="117" t="s">
        <v>68</v>
      </c>
      <c r="H47" s="117" t="s">
        <v>68</v>
      </c>
      <c r="I47" s="117" t="s">
        <v>68</v>
      </c>
      <c r="J47" s="117" t="s">
        <v>68</v>
      </c>
      <c r="K47" s="117" t="s">
        <v>68</v>
      </c>
      <c r="L47" s="117" t="s">
        <v>68</v>
      </c>
      <c r="M47" s="117" t="s">
        <v>68</v>
      </c>
      <c r="N47" s="117" t="s">
        <v>68</v>
      </c>
      <c r="O47" s="117" t="s">
        <v>68</v>
      </c>
      <c r="P47" s="117" t="s">
        <v>68</v>
      </c>
      <c r="Q47" s="117" t="s">
        <v>68</v>
      </c>
      <c r="R47" s="117" t="s">
        <v>68</v>
      </c>
      <c r="S47" s="117" t="s">
        <v>68</v>
      </c>
      <c r="T47" s="117" t="s">
        <v>68</v>
      </c>
      <c r="U47" s="117" t="s">
        <v>68</v>
      </c>
      <c r="V47" s="87" t="s">
        <v>68</v>
      </c>
      <c r="W47" s="87" t="s">
        <v>68</v>
      </c>
      <c r="X47" s="87" t="s">
        <v>68</v>
      </c>
      <c r="Y47" s="121" t="e">
        <f t="shared" si="3"/>
        <v>#DIV/0!</v>
      </c>
      <c r="Z47" s="452" t="e">
        <f t="shared" si="0"/>
        <v>#DIV/0!</v>
      </c>
      <c r="AA47" s="165" t="e">
        <f t="shared" si="2"/>
        <v>#DIV/0!</v>
      </c>
    </row>
    <row r="48" spans="1:27" ht="18" customHeight="1">
      <c r="A48" s="7">
        <v>33</v>
      </c>
      <c r="B48" s="429" t="str">
        <f>IFERROR(IF(VLOOKUP(A48,'REGISTRO DATOS'!B:H,2,0)=0,"",VLOOKUP(A48,'REGISTRO DATOS'!B:H,2,0)),"")</f>
        <v/>
      </c>
      <c r="C48" s="430" t="str">
        <f>IFERROR(IF(VLOOKUP(A48,'REGISTRO DATOS'!B:H,3,0)=0,"",VLOOKUP(A48,'REGISTRO DATOS'!B:H,3,0)),"")</f>
        <v/>
      </c>
      <c r="D48" s="430" t="str">
        <f>IFERROR(IF(VLOOKUP(A48,'REGISTRO DATOS'!B:H,4,0)=0,"",VLOOKUP(A48,'REGISTRO DATOS'!B:H,4,0)),"")</f>
        <v/>
      </c>
      <c r="E48" s="117" t="s">
        <v>68</v>
      </c>
      <c r="F48" s="117" t="s">
        <v>68</v>
      </c>
      <c r="G48" s="117" t="s">
        <v>68</v>
      </c>
      <c r="H48" s="117" t="s">
        <v>68</v>
      </c>
      <c r="I48" s="117" t="s">
        <v>68</v>
      </c>
      <c r="J48" s="117" t="s">
        <v>68</v>
      </c>
      <c r="K48" s="117" t="s">
        <v>68</v>
      </c>
      <c r="L48" s="117" t="s">
        <v>68</v>
      </c>
      <c r="M48" s="117" t="s">
        <v>68</v>
      </c>
      <c r="N48" s="117" t="s">
        <v>68</v>
      </c>
      <c r="O48" s="117" t="s">
        <v>68</v>
      </c>
      <c r="P48" s="117" t="s">
        <v>68</v>
      </c>
      <c r="Q48" s="117" t="s">
        <v>68</v>
      </c>
      <c r="R48" s="117" t="s">
        <v>68</v>
      </c>
      <c r="S48" s="117" t="s">
        <v>68</v>
      </c>
      <c r="T48" s="117" t="s">
        <v>68</v>
      </c>
      <c r="U48" s="117" t="s">
        <v>68</v>
      </c>
      <c r="V48" s="87" t="s">
        <v>68</v>
      </c>
      <c r="W48" s="87" t="s">
        <v>68</v>
      </c>
      <c r="X48" s="87" t="s">
        <v>68</v>
      </c>
      <c r="Y48" s="121" t="e">
        <f t="shared" si="3"/>
        <v>#DIV/0!</v>
      </c>
      <c r="Z48" s="452" t="e">
        <f t="shared" si="0"/>
        <v>#DIV/0!</v>
      </c>
      <c r="AA48" s="165" t="e">
        <f t="shared" si="2"/>
        <v>#DIV/0!</v>
      </c>
    </row>
    <row r="49" spans="1:27" ht="18" customHeight="1">
      <c r="A49" s="55">
        <v>34</v>
      </c>
      <c r="B49" s="429" t="str">
        <f>IFERROR(IF(VLOOKUP(A49,'REGISTRO DATOS'!B:H,2,0)=0,"",VLOOKUP(A49,'REGISTRO DATOS'!B:H,2,0)),"")</f>
        <v/>
      </c>
      <c r="C49" s="430" t="str">
        <f>IFERROR(IF(VLOOKUP(A49,'REGISTRO DATOS'!B:H,3,0)=0,"",VLOOKUP(A49,'REGISTRO DATOS'!B:H,3,0)),"")</f>
        <v/>
      </c>
      <c r="D49" s="430" t="str">
        <f>IFERROR(IF(VLOOKUP(A49,'REGISTRO DATOS'!B:H,4,0)=0,"",VLOOKUP(A49,'REGISTRO DATOS'!B:H,4,0)),"")</f>
        <v/>
      </c>
      <c r="E49" s="117" t="s">
        <v>68</v>
      </c>
      <c r="F49" s="117" t="s">
        <v>68</v>
      </c>
      <c r="G49" s="117" t="s">
        <v>68</v>
      </c>
      <c r="H49" s="117" t="s">
        <v>68</v>
      </c>
      <c r="I49" s="117" t="s">
        <v>68</v>
      </c>
      <c r="J49" s="117" t="s">
        <v>68</v>
      </c>
      <c r="K49" s="117" t="s">
        <v>68</v>
      </c>
      <c r="L49" s="117" t="s">
        <v>68</v>
      </c>
      <c r="M49" s="117" t="s">
        <v>68</v>
      </c>
      <c r="N49" s="117" t="s">
        <v>68</v>
      </c>
      <c r="O49" s="117" t="s">
        <v>68</v>
      </c>
      <c r="P49" s="117" t="s">
        <v>68</v>
      </c>
      <c r="Q49" s="117" t="s">
        <v>68</v>
      </c>
      <c r="R49" s="117" t="s">
        <v>68</v>
      </c>
      <c r="S49" s="117" t="s">
        <v>68</v>
      </c>
      <c r="T49" s="117" t="s">
        <v>68</v>
      </c>
      <c r="U49" s="117" t="s">
        <v>68</v>
      </c>
      <c r="V49" s="87" t="s">
        <v>68</v>
      </c>
      <c r="W49" s="87" t="s">
        <v>68</v>
      </c>
      <c r="X49" s="87" t="s">
        <v>68</v>
      </c>
      <c r="Y49" s="121" t="e">
        <f t="shared" si="3"/>
        <v>#DIV/0!</v>
      </c>
      <c r="Z49" s="452" t="e">
        <f t="shared" si="0"/>
        <v>#DIV/0!</v>
      </c>
      <c r="AA49" s="165" t="e">
        <f t="shared" si="2"/>
        <v>#DIV/0!</v>
      </c>
    </row>
    <row r="50" spans="1:27" ht="18" customHeight="1">
      <c r="A50" s="7">
        <v>35</v>
      </c>
      <c r="B50" s="429" t="str">
        <f>IFERROR(IF(VLOOKUP(A50,'REGISTRO DATOS'!B:H,2,0)=0,"",VLOOKUP(A50,'REGISTRO DATOS'!B:H,2,0)),"")</f>
        <v/>
      </c>
      <c r="C50" s="430" t="str">
        <f>IFERROR(IF(VLOOKUP(A50,'REGISTRO DATOS'!B:H,3,0)=0,"",VLOOKUP(A50,'REGISTRO DATOS'!B:H,3,0)),"")</f>
        <v/>
      </c>
      <c r="D50" s="430" t="str">
        <f>IFERROR(IF(VLOOKUP(A50,'REGISTRO DATOS'!B:H,4,0)=0,"",VLOOKUP(A50,'REGISTRO DATOS'!B:H,4,0)),"")</f>
        <v/>
      </c>
      <c r="E50" s="117" t="s">
        <v>68</v>
      </c>
      <c r="F50" s="117" t="s">
        <v>68</v>
      </c>
      <c r="G50" s="117" t="s">
        <v>68</v>
      </c>
      <c r="H50" s="117" t="s">
        <v>68</v>
      </c>
      <c r="I50" s="117" t="s">
        <v>68</v>
      </c>
      <c r="J50" s="117" t="s">
        <v>68</v>
      </c>
      <c r="K50" s="117" t="s">
        <v>68</v>
      </c>
      <c r="L50" s="117" t="s">
        <v>68</v>
      </c>
      <c r="M50" s="117" t="s">
        <v>68</v>
      </c>
      <c r="N50" s="117" t="s">
        <v>68</v>
      </c>
      <c r="O50" s="117" t="s">
        <v>68</v>
      </c>
      <c r="P50" s="117" t="s">
        <v>68</v>
      </c>
      <c r="Q50" s="117" t="s">
        <v>68</v>
      </c>
      <c r="R50" s="117" t="s">
        <v>68</v>
      </c>
      <c r="S50" s="117" t="s">
        <v>68</v>
      </c>
      <c r="T50" s="117" t="s">
        <v>68</v>
      </c>
      <c r="U50" s="117" t="s">
        <v>68</v>
      </c>
      <c r="V50" s="87" t="s">
        <v>68</v>
      </c>
      <c r="W50" s="87" t="s">
        <v>68</v>
      </c>
      <c r="X50" s="87" t="s">
        <v>68</v>
      </c>
      <c r="Y50" s="121" t="e">
        <f t="shared" si="3"/>
        <v>#DIV/0!</v>
      </c>
      <c r="Z50" s="452" t="e">
        <f t="shared" si="0"/>
        <v>#DIV/0!</v>
      </c>
      <c r="AA50" s="165" t="e">
        <f t="shared" si="2"/>
        <v>#DIV/0!</v>
      </c>
    </row>
    <row r="51" spans="1:27" ht="18" customHeight="1">
      <c r="A51" s="52">
        <v>36</v>
      </c>
      <c r="B51" s="429" t="str">
        <f>IFERROR(IF(VLOOKUP(A51,'REGISTRO DATOS'!B:H,2,0)=0,"",VLOOKUP(A51,'REGISTRO DATOS'!B:H,2,0)),"")</f>
        <v/>
      </c>
      <c r="C51" s="430" t="str">
        <f>IFERROR(IF(VLOOKUP(A51,'REGISTRO DATOS'!B:H,3,0)=0,"",VLOOKUP(A51,'REGISTRO DATOS'!B:H,3,0)),"")</f>
        <v/>
      </c>
      <c r="D51" s="430" t="str">
        <f>IFERROR(IF(VLOOKUP(A51,'REGISTRO DATOS'!B:H,4,0)=0,"",VLOOKUP(A51,'REGISTRO DATOS'!B:H,4,0)),"")</f>
        <v/>
      </c>
      <c r="E51" s="117" t="s">
        <v>68</v>
      </c>
      <c r="F51" s="117" t="s">
        <v>68</v>
      </c>
      <c r="G51" s="117" t="s">
        <v>68</v>
      </c>
      <c r="H51" s="117" t="s">
        <v>68</v>
      </c>
      <c r="I51" s="117" t="s">
        <v>68</v>
      </c>
      <c r="J51" s="117" t="s">
        <v>68</v>
      </c>
      <c r="K51" s="117" t="s">
        <v>68</v>
      </c>
      <c r="L51" s="117" t="s">
        <v>68</v>
      </c>
      <c r="M51" s="117" t="s">
        <v>68</v>
      </c>
      <c r="N51" s="117" t="s">
        <v>68</v>
      </c>
      <c r="O51" s="117" t="s">
        <v>68</v>
      </c>
      <c r="P51" s="117" t="s">
        <v>68</v>
      </c>
      <c r="Q51" s="117" t="s">
        <v>68</v>
      </c>
      <c r="R51" s="117" t="s">
        <v>68</v>
      </c>
      <c r="S51" s="117" t="s">
        <v>68</v>
      </c>
      <c r="T51" s="117" t="s">
        <v>68</v>
      </c>
      <c r="U51" s="117" t="s">
        <v>68</v>
      </c>
      <c r="V51" s="87" t="s">
        <v>68</v>
      </c>
      <c r="W51" s="87" t="s">
        <v>68</v>
      </c>
      <c r="X51" s="87" t="s">
        <v>68</v>
      </c>
      <c r="Y51" s="121" t="e">
        <f t="shared" si="3"/>
        <v>#DIV/0!</v>
      </c>
      <c r="Z51" s="452" t="e">
        <f t="shared" si="0"/>
        <v>#DIV/0!</v>
      </c>
      <c r="AA51" s="165" t="e">
        <f t="shared" si="2"/>
        <v>#DIV/0!</v>
      </c>
    </row>
    <row r="52" spans="1:27" ht="18" customHeight="1">
      <c r="A52" s="29">
        <v>37</v>
      </c>
      <c r="B52" s="429" t="str">
        <f>IFERROR(IF(VLOOKUP(A52,'REGISTRO DATOS'!B:H,2,0)=0,"",VLOOKUP(A52,'REGISTRO DATOS'!B:H,2,0)),"")</f>
        <v/>
      </c>
      <c r="C52" s="430" t="str">
        <f>IFERROR(IF(VLOOKUP(A52,'REGISTRO DATOS'!B:H,3,0)=0,"",VLOOKUP(A52,'REGISTRO DATOS'!B:H,3,0)),"")</f>
        <v/>
      </c>
      <c r="D52" s="430" t="str">
        <f>IFERROR(IF(VLOOKUP(A52,'REGISTRO DATOS'!B:H,4,0)=0,"",VLOOKUP(A52,'REGISTRO DATOS'!B:H,4,0)),"")</f>
        <v/>
      </c>
      <c r="E52" s="117" t="s">
        <v>68</v>
      </c>
      <c r="F52" s="117" t="s">
        <v>68</v>
      </c>
      <c r="G52" s="117" t="s">
        <v>68</v>
      </c>
      <c r="H52" s="117" t="s">
        <v>68</v>
      </c>
      <c r="I52" s="117" t="s">
        <v>68</v>
      </c>
      <c r="J52" s="117" t="s">
        <v>68</v>
      </c>
      <c r="K52" s="117" t="s">
        <v>68</v>
      </c>
      <c r="L52" s="117" t="s">
        <v>68</v>
      </c>
      <c r="M52" s="117" t="s">
        <v>68</v>
      </c>
      <c r="N52" s="117" t="s">
        <v>68</v>
      </c>
      <c r="O52" s="117" t="s">
        <v>68</v>
      </c>
      <c r="P52" s="117" t="s">
        <v>68</v>
      </c>
      <c r="Q52" s="117" t="s">
        <v>68</v>
      </c>
      <c r="R52" s="117" t="s">
        <v>68</v>
      </c>
      <c r="S52" s="117" t="s">
        <v>68</v>
      </c>
      <c r="T52" s="117" t="s">
        <v>68</v>
      </c>
      <c r="U52" s="117" t="s">
        <v>68</v>
      </c>
      <c r="V52" s="87" t="s">
        <v>68</v>
      </c>
      <c r="W52" s="87" t="s">
        <v>68</v>
      </c>
      <c r="X52" s="87" t="s">
        <v>68</v>
      </c>
      <c r="Y52" s="121" t="e">
        <f t="shared" si="3"/>
        <v>#DIV/0!</v>
      </c>
      <c r="Z52" s="452" t="e">
        <f t="shared" si="0"/>
        <v>#DIV/0!</v>
      </c>
      <c r="AA52" s="165" t="e">
        <f t="shared" si="2"/>
        <v>#DIV/0!</v>
      </c>
    </row>
    <row r="53" spans="1:27" ht="18" customHeight="1">
      <c r="A53" s="52">
        <v>38</v>
      </c>
      <c r="B53" s="429" t="str">
        <f>IFERROR(IF(VLOOKUP(A53,'REGISTRO DATOS'!B:H,2,0)=0,"",VLOOKUP(A53,'REGISTRO DATOS'!B:H,2,0)),"")</f>
        <v/>
      </c>
      <c r="C53" s="430" t="str">
        <f>IFERROR(IF(VLOOKUP(A53,'REGISTRO DATOS'!B:H,3,0)=0,"",VLOOKUP(A53,'REGISTRO DATOS'!B:H,3,0)),"")</f>
        <v/>
      </c>
      <c r="D53" s="430" t="str">
        <f>IFERROR(IF(VLOOKUP(A53,'REGISTRO DATOS'!B:H,4,0)=0,"",VLOOKUP(A53,'REGISTRO DATOS'!B:H,4,0)),"")</f>
        <v/>
      </c>
      <c r="E53" s="117" t="s">
        <v>68</v>
      </c>
      <c r="F53" s="117" t="s">
        <v>68</v>
      </c>
      <c r="G53" s="117" t="s">
        <v>68</v>
      </c>
      <c r="H53" s="117" t="s">
        <v>68</v>
      </c>
      <c r="I53" s="117" t="s">
        <v>68</v>
      </c>
      <c r="J53" s="117" t="s">
        <v>68</v>
      </c>
      <c r="K53" s="117" t="s">
        <v>68</v>
      </c>
      <c r="L53" s="117" t="s">
        <v>68</v>
      </c>
      <c r="M53" s="117" t="s">
        <v>68</v>
      </c>
      <c r="N53" s="117" t="s">
        <v>68</v>
      </c>
      <c r="O53" s="117" t="s">
        <v>68</v>
      </c>
      <c r="P53" s="117" t="s">
        <v>68</v>
      </c>
      <c r="Q53" s="117" t="s">
        <v>68</v>
      </c>
      <c r="R53" s="117" t="s">
        <v>68</v>
      </c>
      <c r="S53" s="117" t="s">
        <v>68</v>
      </c>
      <c r="T53" s="117" t="s">
        <v>68</v>
      </c>
      <c r="U53" s="117" t="s">
        <v>68</v>
      </c>
      <c r="V53" s="87" t="s">
        <v>68</v>
      </c>
      <c r="W53" s="87" t="s">
        <v>68</v>
      </c>
      <c r="X53" s="87" t="s">
        <v>68</v>
      </c>
      <c r="Y53" s="121" t="e">
        <f t="shared" si="3"/>
        <v>#DIV/0!</v>
      </c>
      <c r="Z53" s="452" t="e">
        <f t="shared" si="0"/>
        <v>#DIV/0!</v>
      </c>
      <c r="AA53" s="165" t="e">
        <f t="shared" si="2"/>
        <v>#DIV/0!</v>
      </c>
    </row>
    <row r="54" spans="1:27" ht="18" customHeight="1">
      <c r="A54" s="7">
        <v>39</v>
      </c>
      <c r="B54" s="429" t="str">
        <f>IFERROR(IF(VLOOKUP(A54,'REGISTRO DATOS'!B:H,2,0)=0,"",VLOOKUP(A54,'REGISTRO DATOS'!B:H,2,0)),"")</f>
        <v/>
      </c>
      <c r="C54" s="430" t="str">
        <f>IFERROR(IF(VLOOKUP(A54,'REGISTRO DATOS'!B:H,3,0)=0,"",VLOOKUP(A54,'REGISTRO DATOS'!B:H,3,0)),"")</f>
        <v/>
      </c>
      <c r="D54" s="430" t="str">
        <f>IFERROR(IF(VLOOKUP(A54,'REGISTRO DATOS'!B:H,4,0)=0,"",VLOOKUP(A54,'REGISTRO DATOS'!B:H,4,0)),"")</f>
        <v/>
      </c>
      <c r="E54" s="117" t="s">
        <v>68</v>
      </c>
      <c r="F54" s="117" t="s">
        <v>68</v>
      </c>
      <c r="G54" s="117" t="s">
        <v>68</v>
      </c>
      <c r="H54" s="117" t="s">
        <v>68</v>
      </c>
      <c r="I54" s="117" t="s">
        <v>68</v>
      </c>
      <c r="J54" s="117" t="s">
        <v>68</v>
      </c>
      <c r="K54" s="117" t="s">
        <v>68</v>
      </c>
      <c r="L54" s="117" t="s">
        <v>68</v>
      </c>
      <c r="M54" s="117" t="s">
        <v>68</v>
      </c>
      <c r="N54" s="117" t="s">
        <v>68</v>
      </c>
      <c r="O54" s="117" t="s">
        <v>68</v>
      </c>
      <c r="P54" s="117" t="s">
        <v>68</v>
      </c>
      <c r="Q54" s="117" t="s">
        <v>68</v>
      </c>
      <c r="R54" s="117" t="s">
        <v>68</v>
      </c>
      <c r="S54" s="117" t="s">
        <v>68</v>
      </c>
      <c r="T54" s="117" t="s">
        <v>68</v>
      </c>
      <c r="U54" s="117" t="s">
        <v>68</v>
      </c>
      <c r="V54" s="87" t="s">
        <v>68</v>
      </c>
      <c r="W54" s="87" t="s">
        <v>68</v>
      </c>
      <c r="X54" s="87" t="s">
        <v>68</v>
      </c>
      <c r="Y54" s="121" t="e">
        <f t="shared" si="3"/>
        <v>#DIV/0!</v>
      </c>
      <c r="Z54" s="452" t="e">
        <f t="shared" si="0"/>
        <v>#DIV/0!</v>
      </c>
      <c r="AA54" s="165" t="e">
        <f t="shared" si="2"/>
        <v>#DIV/0!</v>
      </c>
    </row>
    <row r="55" spans="1:27" ht="18" customHeight="1">
      <c r="A55" s="432">
        <v>40</v>
      </c>
      <c r="B55" s="433" t="str">
        <f>IFERROR(IF(VLOOKUP(A55,'REGISTRO DATOS'!B:H,2,0)=0,"",VLOOKUP(A55,'REGISTRO DATOS'!B:H,2,0)),"")</f>
        <v/>
      </c>
      <c r="C55" s="434" t="str">
        <f>IFERROR(IF(VLOOKUP(A55,'REGISTRO DATOS'!B:H,3,0)=0,"",VLOOKUP(A55,'REGISTRO DATOS'!B:H,3,0)),"")</f>
        <v/>
      </c>
      <c r="D55" s="434" t="str">
        <f>IFERROR(IF(VLOOKUP(A55,'REGISTRO DATOS'!B:H,4,0)=0,"",VLOOKUP(A55,'REGISTRO DATOS'!B:H,4,0)),"")</f>
        <v/>
      </c>
      <c r="E55" s="117" t="s">
        <v>68</v>
      </c>
      <c r="F55" s="117" t="s">
        <v>68</v>
      </c>
      <c r="G55" s="117" t="s">
        <v>68</v>
      </c>
      <c r="H55" s="117" t="s">
        <v>68</v>
      </c>
      <c r="I55" s="117" t="s">
        <v>68</v>
      </c>
      <c r="J55" s="117" t="s">
        <v>68</v>
      </c>
      <c r="K55" s="117" t="s">
        <v>68</v>
      </c>
      <c r="L55" s="117" t="s">
        <v>68</v>
      </c>
      <c r="M55" s="117" t="s">
        <v>68</v>
      </c>
      <c r="N55" s="117" t="s">
        <v>68</v>
      </c>
      <c r="O55" s="117" t="s">
        <v>68</v>
      </c>
      <c r="P55" s="117" t="s">
        <v>68</v>
      </c>
      <c r="Q55" s="117" t="s">
        <v>68</v>
      </c>
      <c r="R55" s="117" t="s">
        <v>68</v>
      </c>
      <c r="S55" s="117" t="s">
        <v>68</v>
      </c>
      <c r="T55" s="117" t="s">
        <v>68</v>
      </c>
      <c r="U55" s="117" t="s">
        <v>68</v>
      </c>
      <c r="V55" s="122" t="s">
        <v>68</v>
      </c>
      <c r="W55" s="122" t="s">
        <v>68</v>
      </c>
      <c r="X55" s="122" t="s">
        <v>68</v>
      </c>
      <c r="Y55" s="121" t="e">
        <f t="shared" si="3"/>
        <v>#DIV/0!</v>
      </c>
      <c r="Z55" s="452" t="e">
        <f t="shared" si="0"/>
        <v>#DIV/0!</v>
      </c>
      <c r="AA55" s="165" t="e">
        <f t="shared" si="2"/>
        <v>#DIV/0!</v>
      </c>
    </row>
    <row r="56" spans="1:27" ht="18" customHeight="1">
      <c r="A56" s="223"/>
      <c r="B56" s="223"/>
      <c r="C56" s="223"/>
      <c r="D56" s="223"/>
      <c r="E56" s="223"/>
      <c r="F56" s="223"/>
      <c r="G56" s="223"/>
      <c r="H56" s="223"/>
      <c r="I56" s="223"/>
      <c r="J56" s="223"/>
      <c r="K56" s="223"/>
      <c r="L56" s="223"/>
      <c r="M56" s="223"/>
      <c r="N56" s="223"/>
      <c r="O56" s="223"/>
      <c r="P56" s="223"/>
      <c r="Q56" s="223"/>
      <c r="R56" s="223"/>
      <c r="S56" s="223"/>
      <c r="T56" s="223"/>
      <c r="U56" s="223"/>
      <c r="V56" s="223"/>
      <c r="W56" s="223"/>
      <c r="X56" s="223"/>
      <c r="Y56" s="223"/>
      <c r="Z56" s="223"/>
      <c r="AA56" s="2"/>
    </row>
    <row r="57" spans="1:27" ht="18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 ht="18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spans="1:27" ht="18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spans="1:27" ht="18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</row>
    <row r="61" spans="1:27" ht="18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</row>
    <row r="62" spans="1:27" ht="17.2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</row>
    <row r="63" spans="1:27" ht="17.2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</row>
    <row r="64" spans="1:27" ht="17.2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</row>
    <row r="65" spans="1:27" ht="1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1:27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1:27" ht="1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</row>
    <row r="68" spans="1:27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</row>
    <row r="69" spans="1:27" ht="1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</row>
    <row r="70" spans="1:27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</row>
    <row r="71" spans="1:27" ht="1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</row>
    <row r="72" spans="1:27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</row>
    <row r="73" spans="1:27" ht="1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</row>
    <row r="74" spans="1:27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</row>
    <row r="75" spans="1:27" ht="1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</row>
    <row r="76" spans="1:27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</row>
    <row r="77" spans="1:27" ht="1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</row>
    <row r="78" spans="1:27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</row>
    <row r="79" spans="1:27" ht="1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</row>
    <row r="80" spans="1:27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</row>
    <row r="81" spans="1:27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</row>
    <row r="82" spans="1:27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</row>
    <row r="83" spans="1:27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</row>
    <row r="84" spans="1:27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</row>
    <row r="85" spans="1:27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</row>
    <row r="86" spans="1:27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</row>
    <row r="87" spans="1:27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</row>
    <row r="88" spans="1:27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</row>
    <row r="89" spans="1:27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</row>
    <row r="90" spans="1:27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</row>
    <row r="91" spans="1:27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</row>
    <row r="92" spans="1:27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</row>
    <row r="93" spans="1:27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</row>
    <row r="94" spans="1:27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</row>
    <row r="95" spans="1:27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</row>
    <row r="96" spans="1:27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</row>
    <row r="97" spans="1:27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</row>
    <row r="98" spans="1:27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</row>
    <row r="99" spans="1:27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</row>
    <row r="100" spans="1:27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</row>
    <row r="101" spans="1:27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</row>
    <row r="102" spans="1:27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</row>
    <row r="103" spans="1:27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</row>
    <row r="104" spans="1:27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</row>
    <row r="105" spans="1:27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</row>
    <row r="106" spans="1:27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</row>
    <row r="107" spans="1:27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</row>
    <row r="108" spans="1:27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</row>
    <row r="109" spans="1:27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</row>
  </sheetData>
  <dataConsolidate/>
  <mergeCells count="49">
    <mergeCell ref="Y14:Y15"/>
    <mergeCell ref="Z14:Z15"/>
    <mergeCell ref="S14:S15"/>
    <mergeCell ref="T14:T15"/>
    <mergeCell ref="U14:U15"/>
    <mergeCell ref="V14:V15"/>
    <mergeCell ref="W14:W15"/>
    <mergeCell ref="X14:X15"/>
    <mergeCell ref="R14:R15"/>
    <mergeCell ref="A13:D14"/>
    <mergeCell ref="E13:X13"/>
    <mergeCell ref="E14:E15"/>
    <mergeCell ref="F14:F15"/>
    <mergeCell ref="G14:G15"/>
    <mergeCell ref="H14:H15"/>
    <mergeCell ref="I14:I15"/>
    <mergeCell ref="J14:J15"/>
    <mergeCell ref="K14:K15"/>
    <mergeCell ref="L14:L15"/>
    <mergeCell ref="M14:M15"/>
    <mergeCell ref="N14:N15"/>
    <mergeCell ref="O14:O15"/>
    <mergeCell ref="P14:P15"/>
    <mergeCell ref="Q14:Q15"/>
    <mergeCell ref="E12:W12"/>
    <mergeCell ref="A8:D8"/>
    <mergeCell ref="E8:R8"/>
    <mergeCell ref="T8:Y8"/>
    <mergeCell ref="A9:D9"/>
    <mergeCell ref="E9:P9"/>
    <mergeCell ref="T9:Y9"/>
    <mergeCell ref="E10:H10"/>
    <mergeCell ref="T10:Y10"/>
    <mergeCell ref="B11:C11"/>
    <mergeCell ref="E11:H11"/>
    <mergeCell ref="T11:Y11"/>
    <mergeCell ref="T5:W5"/>
    <mergeCell ref="A6:D6"/>
    <mergeCell ref="E6:R6"/>
    <mergeCell ref="T6:W6"/>
    <mergeCell ref="A7:D7"/>
    <mergeCell ref="E7:R7"/>
    <mergeCell ref="A5:D5"/>
    <mergeCell ref="E5:L5"/>
    <mergeCell ref="A2:B2"/>
    <mergeCell ref="A3:D3"/>
    <mergeCell ref="E3:R3"/>
    <mergeCell ref="A4:D4"/>
    <mergeCell ref="E4:R4"/>
  </mergeCells>
  <conditionalFormatting sqref="Y16:Y55">
    <cfRule type="cellIs" dxfId="142" priority="45" operator="greaterThan">
      <formula>67</formula>
    </cfRule>
    <cfRule type="cellIs" dxfId="141" priority="46" operator="between">
      <formula>34</formula>
      <formula>67</formula>
    </cfRule>
    <cfRule type="cellIs" dxfId="140" priority="47" operator="lessThan">
      <formula>34</formula>
    </cfRule>
  </conditionalFormatting>
  <conditionalFormatting sqref="V16:X55">
    <cfRule type="cellIs" dxfId="139" priority="44" operator="equal">
      <formula>1</formula>
    </cfRule>
  </conditionalFormatting>
  <conditionalFormatting sqref="V16:X55">
    <cfRule type="cellIs" dxfId="138" priority="43" operator="equal">
      <formula>1</formula>
    </cfRule>
  </conditionalFormatting>
  <conditionalFormatting sqref="V16:X55">
    <cfRule type="cellIs" dxfId="137" priority="42" operator="equal">
      <formula>1</formula>
    </cfRule>
  </conditionalFormatting>
  <conditionalFormatting sqref="X16:X55">
    <cfRule type="cellIs" dxfId="136" priority="41" operator="equal">
      <formula>1</formula>
    </cfRule>
  </conditionalFormatting>
  <conditionalFormatting sqref="V16:V55 W21:X21 W16:X16">
    <cfRule type="cellIs" dxfId="135" priority="40" operator="equal">
      <formula>1</formula>
    </cfRule>
  </conditionalFormatting>
  <conditionalFormatting sqref="V16:X55">
    <cfRule type="cellIs" dxfId="134" priority="37" operator="equal">
      <formula>3</formula>
    </cfRule>
    <cfRule type="cellIs" dxfId="133" priority="38" operator="equal">
      <formula>2</formula>
    </cfRule>
    <cfRule type="cellIs" dxfId="132" priority="39" operator="equal">
      <formula>1</formula>
    </cfRule>
  </conditionalFormatting>
  <conditionalFormatting sqref="Z16:Z55">
    <cfRule type="cellIs" dxfId="131" priority="36" operator="equal">
      <formula>1</formula>
    </cfRule>
  </conditionalFormatting>
  <conditionalFormatting sqref="Z16:Z55">
    <cfRule type="cellIs" dxfId="130" priority="33" operator="equal">
      <formula>3</formula>
    </cfRule>
    <cfRule type="cellIs" dxfId="129" priority="34" operator="equal">
      <formula>2</formula>
    </cfRule>
    <cfRule type="cellIs" dxfId="128" priority="35" operator="equal">
      <formula>1</formula>
    </cfRule>
  </conditionalFormatting>
  <conditionalFormatting sqref="V16:X16">
    <cfRule type="cellIs" dxfId="127" priority="27" operator="equal">
      <formula>1</formula>
    </cfRule>
  </conditionalFormatting>
  <conditionalFormatting sqref="E16:U55">
    <cfRule type="cellIs" dxfId="126" priority="7" operator="equal">
      <formula>1</formula>
    </cfRule>
  </conditionalFormatting>
  <conditionalFormatting sqref="E16:U55">
    <cfRule type="cellIs" dxfId="125" priority="6" operator="equal">
      <formula>1</formula>
    </cfRule>
  </conditionalFormatting>
  <conditionalFormatting sqref="E16:U55">
    <cfRule type="cellIs" dxfId="124" priority="1" operator="equal">
      <formula>1</formula>
    </cfRule>
  </conditionalFormatting>
  <conditionalFormatting sqref="E16:U55">
    <cfRule type="cellIs" dxfId="123" priority="9" operator="equal">
      <formula>1</formula>
    </cfRule>
  </conditionalFormatting>
  <conditionalFormatting sqref="E16:U55">
    <cfRule type="cellIs" dxfId="122" priority="8" operator="equal">
      <formula>1</formula>
    </cfRule>
  </conditionalFormatting>
  <conditionalFormatting sqref="E16:U55">
    <cfRule type="cellIs" dxfId="121" priority="5" operator="equal">
      <formula>1</formula>
    </cfRule>
  </conditionalFormatting>
  <conditionalFormatting sqref="E16:U55">
    <cfRule type="cellIs" dxfId="120" priority="2" operator="equal">
      <formula>3</formula>
    </cfRule>
    <cfRule type="cellIs" dxfId="119" priority="3" operator="equal">
      <formula>2</formula>
    </cfRule>
    <cfRule type="cellIs" dxfId="118" priority="4" operator="equal">
      <formula>1</formula>
    </cfRule>
  </conditionalFormatting>
  <dataValidations disablePrompts="1" count="1">
    <dataValidation type="list" allowBlank="1" showInputMessage="1" showErrorMessage="1" sqref="AA56:AA64" xr:uid="{00000000-0002-0000-0E00-000000000000}">
      <formula1>$AA$9:$AA$11</formula1>
    </dataValidation>
  </dataValidations>
  <pageMargins left="0.7" right="0.7" top="0.75" bottom="0.75" header="0.3" footer="0.3"/>
  <pageSetup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>
    <tabColor theme="4" tint="-0.249977111117893"/>
  </sheetPr>
  <dimension ref="A1:AX109"/>
  <sheetViews>
    <sheetView showGridLines="0" showRowColHeaders="0" zoomScale="76" zoomScaleNormal="70" workbookViewId="0"/>
  </sheetViews>
  <sheetFormatPr baseColWidth="10" defaultColWidth="0" defaultRowHeight="15" zeroHeight="1"/>
  <cols>
    <col min="1" max="1" width="3.28515625" customWidth="1" collapsed="1"/>
    <col min="2" max="2" width="17.28515625" bestFit="1" customWidth="1" collapsed="1"/>
    <col min="3" max="3" width="18" bestFit="1" customWidth="1" collapsed="1"/>
    <col min="4" max="4" width="32" bestFit="1" customWidth="1" collapsed="1"/>
    <col min="5" max="5" width="3.5703125" customWidth="1" collapsed="1"/>
    <col min="6" max="6" width="4.28515625" bestFit="1" customWidth="1" collapsed="1"/>
    <col min="7" max="7" width="3.28515625" bestFit="1" customWidth="1" collapsed="1"/>
    <col min="8" max="8" width="4" bestFit="1" customWidth="1" collapsed="1"/>
    <col min="9" max="9" width="3.42578125" customWidth="1" collapsed="1"/>
    <col min="10" max="10" width="4" bestFit="1" customWidth="1" collapsed="1"/>
    <col min="11" max="11" width="3.140625" customWidth="1" collapsed="1"/>
    <col min="12" max="12" width="3.42578125" customWidth="1" collapsed="1"/>
    <col min="13" max="13" width="3.28515625" bestFit="1" customWidth="1" collapsed="1"/>
    <col min="14" max="19" width="5" bestFit="1" customWidth="1" collapsed="1"/>
    <col min="20" max="20" width="4.85546875" customWidth="1" collapsed="1"/>
    <col min="21" max="23" width="5" bestFit="1" customWidth="1" collapsed="1"/>
    <col min="24" max="24" width="7.7109375" bestFit="1" customWidth="1" collapsed="1"/>
    <col min="25" max="25" width="9.42578125" customWidth="1" collapsed="1"/>
    <col min="26" max="26" width="38.28515625" bestFit="1" customWidth="1"/>
    <col min="27" max="27" width="18.85546875" customWidth="1" collapsed="1"/>
    <col min="28" max="28" width="11.42578125" customWidth="1"/>
    <col min="29" max="30" width="0" hidden="1" customWidth="1"/>
    <col min="31" max="31" width="0" style="2" hidden="1" customWidth="1"/>
    <col min="32" max="50" width="0" hidden="1" customWidth="1"/>
    <col min="51" max="16384" width="11.42578125" hidden="1"/>
  </cols>
  <sheetData>
    <row r="1" spans="1:30" ht="30">
      <c r="A1" s="2"/>
      <c r="B1" s="2"/>
      <c r="C1" s="2"/>
      <c r="D1" s="2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"/>
      <c r="AC1" s="2"/>
      <c r="AD1" s="2"/>
    </row>
    <row r="2" spans="1:30" ht="27.75" customHeight="1">
      <c r="A2" s="810"/>
      <c r="B2" s="810"/>
      <c r="C2" s="206"/>
      <c r="D2" s="453" t="s">
        <v>234</v>
      </c>
      <c r="E2" s="453"/>
      <c r="F2" s="453"/>
      <c r="G2" s="453"/>
      <c r="H2" s="453"/>
      <c r="I2" s="453"/>
      <c r="J2" s="453"/>
      <c r="K2" s="453"/>
      <c r="L2" s="453"/>
      <c r="M2" s="453"/>
      <c r="N2" s="454"/>
      <c r="O2" s="454"/>
      <c r="P2" s="455"/>
      <c r="Q2" s="455"/>
      <c r="R2" s="455"/>
      <c r="S2" s="456"/>
      <c r="T2" s="456"/>
      <c r="U2" s="211"/>
      <c r="V2" s="211"/>
      <c r="W2" s="211"/>
      <c r="X2" s="211"/>
      <c r="Y2" s="2"/>
      <c r="Z2" s="2"/>
      <c r="AA2" s="2"/>
      <c r="AB2" s="2"/>
      <c r="AC2" s="2"/>
      <c r="AD2" s="2"/>
    </row>
    <row r="3" spans="1:30" ht="18">
      <c r="A3" s="864" t="s">
        <v>226</v>
      </c>
      <c r="B3" s="864"/>
      <c r="C3" s="864"/>
      <c r="D3" s="864"/>
      <c r="E3" s="796">
        <f>'REGISTRO DATOS'!I3</f>
        <v>0</v>
      </c>
      <c r="F3" s="796"/>
      <c r="G3" s="796"/>
      <c r="H3" s="796"/>
      <c r="I3" s="796"/>
      <c r="J3" s="796"/>
      <c r="K3" s="796"/>
      <c r="L3" s="796"/>
      <c r="M3" s="796"/>
      <c r="N3" s="796"/>
      <c r="O3" s="796"/>
      <c r="P3" s="796"/>
      <c r="Q3" s="796"/>
      <c r="R3" s="796"/>
      <c r="S3" s="212"/>
      <c r="T3" s="212"/>
      <c r="U3" s="212"/>
      <c r="V3" s="212"/>
      <c r="W3" s="212"/>
      <c r="X3" s="212"/>
      <c r="Y3" s="212"/>
      <c r="Z3" s="212"/>
      <c r="AA3" s="212"/>
      <c r="AB3" s="2"/>
      <c r="AC3" s="2"/>
      <c r="AD3" s="2"/>
    </row>
    <row r="4" spans="1:30" ht="18">
      <c r="A4" s="864" t="s">
        <v>215</v>
      </c>
      <c r="B4" s="864"/>
      <c r="C4" s="864"/>
      <c r="D4" s="864"/>
      <c r="E4" s="796" t="str">
        <f>'REGISTRO DATOS'!I4</f>
        <v>COTO</v>
      </c>
      <c r="F4" s="796"/>
      <c r="G4" s="796"/>
      <c r="H4" s="796"/>
      <c r="I4" s="796"/>
      <c r="J4" s="796"/>
      <c r="K4" s="796"/>
      <c r="L4" s="796"/>
      <c r="M4" s="796"/>
      <c r="N4" s="796"/>
      <c r="O4" s="796"/>
      <c r="P4" s="796"/>
      <c r="Q4" s="796"/>
      <c r="R4" s="796"/>
      <c r="S4" s="61"/>
      <c r="T4" s="62"/>
      <c r="U4" s="62"/>
      <c r="V4" s="62"/>
      <c r="W4" s="62"/>
      <c r="X4" s="62"/>
      <c r="Y4" s="62"/>
      <c r="Z4" s="62"/>
      <c r="AA4" s="62"/>
      <c r="AB4" s="2"/>
      <c r="AC4" s="2"/>
      <c r="AD4" s="2"/>
    </row>
    <row r="5" spans="1:30" ht="20.25">
      <c r="A5" s="864" t="s">
        <v>217</v>
      </c>
      <c r="B5" s="864"/>
      <c r="C5" s="864"/>
      <c r="D5" s="864"/>
      <c r="E5" s="796" t="str">
        <f>'REGISTRO DATOS'!I5</f>
        <v>06</v>
      </c>
      <c r="F5" s="796"/>
      <c r="G5" s="796"/>
      <c r="H5" s="796"/>
      <c r="I5" s="796"/>
      <c r="J5" s="796"/>
      <c r="K5" s="796"/>
      <c r="L5" s="796"/>
      <c r="M5" s="388"/>
      <c r="N5" s="388"/>
      <c r="O5" s="388"/>
      <c r="P5" s="388"/>
      <c r="Q5" s="388"/>
      <c r="R5" s="388"/>
      <c r="S5" s="62"/>
      <c r="T5" s="914" t="s">
        <v>1</v>
      </c>
      <c r="U5" s="914"/>
      <c r="V5" s="914"/>
      <c r="W5" s="914"/>
      <c r="X5" s="270">
        <f>'REGISTRO DATOS'!I10</f>
        <v>0</v>
      </c>
      <c r="Y5" s="213"/>
      <c r="Z5" s="214"/>
      <c r="AA5" s="62"/>
      <c r="AB5" s="2"/>
      <c r="AC5" s="2"/>
      <c r="AD5" s="2"/>
    </row>
    <row r="6" spans="1:30" ht="20.25">
      <c r="A6" s="864" t="s">
        <v>227</v>
      </c>
      <c r="B6" s="864"/>
      <c r="C6" s="864"/>
      <c r="D6" s="864"/>
      <c r="E6" s="796">
        <f>'REGISTRO DATOS'!I6</f>
        <v>0</v>
      </c>
      <c r="F6" s="796"/>
      <c r="G6" s="796"/>
      <c r="H6" s="796"/>
      <c r="I6" s="796"/>
      <c r="J6" s="796"/>
      <c r="K6" s="796"/>
      <c r="L6" s="796"/>
      <c r="M6" s="796"/>
      <c r="N6" s="796"/>
      <c r="O6" s="796"/>
      <c r="P6" s="796"/>
      <c r="Q6" s="796"/>
      <c r="R6" s="796"/>
      <c r="S6" s="66"/>
      <c r="T6" s="915" t="s">
        <v>232</v>
      </c>
      <c r="U6" s="915"/>
      <c r="V6" s="915"/>
      <c r="W6" s="915"/>
      <c r="X6" s="215">
        <f>40-COUNTIF(B16:B55,"")</f>
        <v>6</v>
      </c>
      <c r="Y6" s="216"/>
      <c r="Z6" s="62"/>
      <c r="AA6" s="69"/>
      <c r="AB6" s="2"/>
      <c r="AC6" s="2"/>
      <c r="AD6" s="2"/>
    </row>
    <row r="7" spans="1:30" ht="18.75" customHeight="1">
      <c r="A7" s="864" t="s">
        <v>228</v>
      </c>
      <c r="B7" s="864"/>
      <c r="C7" s="864"/>
      <c r="D7" s="864"/>
      <c r="E7" s="796">
        <f>'REGISTRO DATOS'!I7</f>
        <v>0</v>
      </c>
      <c r="F7" s="796"/>
      <c r="G7" s="796"/>
      <c r="H7" s="796"/>
      <c r="I7" s="796"/>
      <c r="J7" s="796"/>
      <c r="K7" s="796"/>
      <c r="L7" s="796"/>
      <c r="M7" s="796"/>
      <c r="N7" s="796"/>
      <c r="O7" s="796"/>
      <c r="P7" s="796"/>
      <c r="Q7" s="796"/>
      <c r="R7" s="796"/>
      <c r="S7" s="73"/>
      <c r="T7" s="444">
        <f>'Indicadores + Descripción'!E10</f>
        <v>3</v>
      </c>
      <c r="U7" s="73"/>
      <c r="V7" s="2"/>
      <c r="W7" s="3"/>
      <c r="X7" s="3"/>
      <c r="Y7" s="3"/>
      <c r="Z7" s="3"/>
      <c r="AA7" s="3"/>
      <c r="AB7" s="2"/>
      <c r="AC7" s="2"/>
      <c r="AD7" s="2"/>
    </row>
    <row r="8" spans="1:30" ht="19.5" customHeight="1">
      <c r="A8" s="867" t="s">
        <v>285</v>
      </c>
      <c r="B8" s="868"/>
      <c r="C8" s="868"/>
      <c r="D8" s="868"/>
      <c r="E8" s="796">
        <f>'REGISTRO DATOS'!I8</f>
        <v>0</v>
      </c>
      <c r="F8" s="796"/>
      <c r="G8" s="796"/>
      <c r="H8" s="796"/>
      <c r="I8" s="796"/>
      <c r="J8" s="796"/>
      <c r="K8" s="796"/>
      <c r="L8" s="796"/>
      <c r="M8" s="796"/>
      <c r="N8" s="796"/>
      <c r="O8" s="796"/>
      <c r="P8" s="796"/>
      <c r="Q8" s="796"/>
      <c r="R8" s="796"/>
      <c r="S8" s="2"/>
      <c r="T8" s="810"/>
      <c r="U8" s="810"/>
      <c r="V8" s="810"/>
      <c r="W8" s="810"/>
      <c r="X8" s="810"/>
      <c r="Y8" s="810"/>
      <c r="Z8" s="2"/>
      <c r="AA8" s="119"/>
      <c r="AB8" s="2"/>
      <c r="AC8" s="2"/>
      <c r="AD8" s="2"/>
    </row>
    <row r="9" spans="1:30" ht="19.5" customHeight="1">
      <c r="A9" s="864" t="s">
        <v>27</v>
      </c>
      <c r="B9" s="869"/>
      <c r="C9" s="869"/>
      <c r="D9" s="869"/>
      <c r="E9" s="796">
        <f>'REGISTRO DATOS'!I9</f>
        <v>0</v>
      </c>
      <c r="F9" s="796"/>
      <c r="G9" s="796"/>
      <c r="H9" s="796"/>
      <c r="I9" s="796"/>
      <c r="J9" s="796"/>
      <c r="K9" s="796"/>
      <c r="L9" s="796"/>
      <c r="M9" s="796"/>
      <c r="N9" s="796"/>
      <c r="O9" s="796"/>
      <c r="P9" s="796"/>
      <c r="Q9" s="388"/>
      <c r="R9" s="392"/>
      <c r="S9" s="217"/>
      <c r="T9" s="810"/>
      <c r="U9" s="810"/>
      <c r="V9" s="810"/>
      <c r="W9" s="810"/>
      <c r="X9" s="810"/>
      <c r="Y9" s="810"/>
      <c r="Z9" s="119"/>
      <c r="AA9" s="123"/>
      <c r="AB9" s="2"/>
      <c r="AC9" s="2"/>
      <c r="AD9" s="2"/>
    </row>
    <row r="10" spans="1:30" ht="11.25" customHeight="1">
      <c r="A10" s="2"/>
      <c r="B10" s="2"/>
      <c r="C10" s="2"/>
      <c r="D10" s="2"/>
      <c r="E10" s="806"/>
      <c r="F10" s="806"/>
      <c r="G10" s="806"/>
      <c r="H10" s="806"/>
      <c r="I10" s="119"/>
      <c r="J10" s="119"/>
      <c r="K10" s="119"/>
      <c r="L10" s="119"/>
      <c r="M10" s="119"/>
      <c r="N10" s="119"/>
      <c r="O10" s="119"/>
      <c r="P10" s="119"/>
      <c r="Q10" s="2"/>
      <c r="R10" s="6"/>
      <c r="S10" s="6"/>
      <c r="T10" s="810"/>
      <c r="U10" s="810"/>
      <c r="V10" s="810"/>
      <c r="W10" s="810"/>
      <c r="X10" s="810"/>
      <c r="Y10" s="810"/>
      <c r="Z10" s="219"/>
      <c r="AA10" s="124"/>
      <c r="AB10" s="2"/>
      <c r="AC10" s="2"/>
      <c r="AD10" s="2"/>
    </row>
    <row r="11" spans="1:30" ht="6" customHeight="1">
      <c r="A11" s="2"/>
      <c r="B11" s="918"/>
      <c r="C11" s="918"/>
      <c r="D11" s="2"/>
      <c r="E11" s="826"/>
      <c r="F11" s="826"/>
      <c r="G11" s="826"/>
      <c r="H11" s="826"/>
      <c r="I11" s="119"/>
      <c r="J11" s="119"/>
      <c r="K11" s="119"/>
      <c r="L11" s="119"/>
      <c r="M11" s="119"/>
      <c r="N11" s="119"/>
      <c r="O11" s="119"/>
      <c r="P11" s="119"/>
      <c r="Q11" s="2"/>
      <c r="R11" s="34"/>
      <c r="S11" s="34"/>
      <c r="T11" s="810"/>
      <c r="U11" s="810"/>
      <c r="V11" s="810"/>
      <c r="W11" s="810"/>
      <c r="X11" s="810"/>
      <c r="Y11" s="810"/>
      <c r="Z11" s="11"/>
      <c r="AA11" s="125"/>
      <c r="AB11" s="2"/>
      <c r="AC11" s="2"/>
      <c r="AD11" s="2"/>
    </row>
    <row r="12" spans="1:30" ht="27" thickBot="1">
      <c r="A12" s="37"/>
      <c r="B12" s="13"/>
      <c r="C12" s="37"/>
      <c r="D12" s="13"/>
      <c r="E12" s="953" t="s">
        <v>229</v>
      </c>
      <c r="F12" s="953"/>
      <c r="G12" s="953"/>
      <c r="H12" s="953"/>
      <c r="I12" s="953"/>
      <c r="J12" s="953"/>
      <c r="K12" s="953"/>
      <c r="L12" s="953"/>
      <c r="M12" s="953"/>
      <c r="N12" s="953"/>
      <c r="O12" s="953"/>
      <c r="P12" s="953"/>
      <c r="Q12" s="953"/>
      <c r="R12" s="953"/>
      <c r="S12" s="953"/>
      <c r="T12" s="953"/>
      <c r="U12" s="953"/>
      <c r="V12" s="953"/>
      <c r="W12" s="953"/>
      <c r="X12" s="457">
        <f>'Indicadores + Descripción'!E8</f>
        <v>1</v>
      </c>
      <c r="Y12" s="458" t="str">
        <f>IF(Z16=FALSE,"REVISAR LOS INDICADORES ASIGNADOS","")</f>
        <v/>
      </c>
      <c r="Z12" s="221"/>
      <c r="AA12" s="126"/>
      <c r="AB12" s="2"/>
      <c r="AC12" s="2"/>
      <c r="AD12" s="2"/>
    </row>
    <row r="13" spans="1:30" ht="21" customHeight="1" thickBot="1">
      <c r="A13" s="938" t="s">
        <v>17</v>
      </c>
      <c r="B13" s="939"/>
      <c r="C13" s="939"/>
      <c r="D13" s="939"/>
      <c r="E13" s="942" t="s">
        <v>225</v>
      </c>
      <c r="F13" s="943"/>
      <c r="G13" s="943"/>
      <c r="H13" s="943"/>
      <c r="I13" s="943"/>
      <c r="J13" s="943"/>
      <c r="K13" s="943"/>
      <c r="L13" s="943"/>
      <c r="M13" s="943"/>
      <c r="N13" s="943"/>
      <c r="O13" s="943"/>
      <c r="P13" s="943"/>
      <c r="Q13" s="943"/>
      <c r="R13" s="943"/>
      <c r="S13" s="943"/>
      <c r="T13" s="943"/>
      <c r="U13" s="943"/>
      <c r="V13" s="943"/>
      <c r="W13" s="943"/>
      <c r="X13" s="944"/>
      <c r="Y13" s="459"/>
      <c r="Z13" s="459"/>
      <c r="AA13" s="460"/>
      <c r="AB13" s="273"/>
      <c r="AC13" s="2"/>
      <c r="AD13" s="2"/>
    </row>
    <row r="14" spans="1:30" ht="23.25" customHeight="1" thickBot="1">
      <c r="A14" s="940"/>
      <c r="B14" s="941"/>
      <c r="C14" s="941"/>
      <c r="D14" s="941"/>
      <c r="E14" s="945">
        <v>1</v>
      </c>
      <c r="F14" s="947">
        <v>2</v>
      </c>
      <c r="G14" s="947">
        <v>3</v>
      </c>
      <c r="H14" s="947">
        <v>4</v>
      </c>
      <c r="I14" s="947">
        <v>5</v>
      </c>
      <c r="J14" s="947">
        <v>6</v>
      </c>
      <c r="K14" s="947">
        <v>7</v>
      </c>
      <c r="L14" s="947">
        <v>8</v>
      </c>
      <c r="M14" s="947">
        <v>9</v>
      </c>
      <c r="N14" s="947">
        <v>10</v>
      </c>
      <c r="O14" s="947">
        <v>11</v>
      </c>
      <c r="P14" s="947">
        <v>12</v>
      </c>
      <c r="Q14" s="947">
        <v>13</v>
      </c>
      <c r="R14" s="947">
        <v>14</v>
      </c>
      <c r="S14" s="947">
        <v>15</v>
      </c>
      <c r="T14" s="947">
        <v>16</v>
      </c>
      <c r="U14" s="947">
        <v>17</v>
      </c>
      <c r="V14" s="947">
        <v>18</v>
      </c>
      <c r="W14" s="947">
        <v>19</v>
      </c>
      <c r="X14" s="954">
        <v>20</v>
      </c>
      <c r="Y14" s="949" t="s">
        <v>230</v>
      </c>
      <c r="Z14" s="951" t="s">
        <v>231</v>
      </c>
      <c r="AA14" s="461" t="s">
        <v>233</v>
      </c>
      <c r="AB14" s="273"/>
      <c r="AC14" s="2"/>
      <c r="AD14" s="2"/>
    </row>
    <row r="15" spans="1:30" ht="21" customHeight="1" thickBot="1">
      <c r="A15" s="462" t="s">
        <v>37</v>
      </c>
      <c r="B15" s="463" t="s">
        <v>38</v>
      </c>
      <c r="C15" s="463" t="s">
        <v>39</v>
      </c>
      <c r="D15" s="464" t="s">
        <v>36</v>
      </c>
      <c r="E15" s="946"/>
      <c r="F15" s="948"/>
      <c r="G15" s="948"/>
      <c r="H15" s="948"/>
      <c r="I15" s="948"/>
      <c r="J15" s="948"/>
      <c r="K15" s="948"/>
      <c r="L15" s="948"/>
      <c r="M15" s="948"/>
      <c r="N15" s="948"/>
      <c r="O15" s="948"/>
      <c r="P15" s="948"/>
      <c r="Q15" s="948"/>
      <c r="R15" s="948"/>
      <c r="S15" s="948"/>
      <c r="T15" s="948"/>
      <c r="U15" s="948"/>
      <c r="V15" s="948"/>
      <c r="W15" s="948"/>
      <c r="X15" s="955"/>
      <c r="Y15" s="950"/>
      <c r="Z15" s="952"/>
      <c r="AA15" s="571">
        <v>0.6</v>
      </c>
      <c r="AB15" s="273"/>
      <c r="AC15" s="2"/>
      <c r="AD15" s="2"/>
    </row>
    <row r="16" spans="1:30" ht="18" customHeight="1">
      <c r="A16" s="465">
        <v>1</v>
      </c>
      <c r="B16" s="466" t="str">
        <f>IFERROR(IF(VLOOKUP(A16,'REGISTRO DATOS'!B:H,2,0)=0,"",VLOOKUP(A16,'REGISTRO DATOS'!B:H,2,0)),"")</f>
        <v/>
      </c>
      <c r="C16" s="467" t="str">
        <f>IFERROR(IF(VLOOKUP(A16,'REGISTRO DATOS'!B:H,3,0)=0,"",VLOOKUP(A16,'REGISTRO DATOS'!B:H,3,0)),"")</f>
        <v/>
      </c>
      <c r="D16" s="467" t="str">
        <f>IFERROR(IF(VLOOKUP(A16,'REGISTRO DATOS'!B:H,4,0)=0,"",VLOOKUP(A16,'REGISTRO DATOS'!B:H,4,0)),"")</f>
        <v>MARIANELA</v>
      </c>
      <c r="E16" s="274">
        <v>3</v>
      </c>
      <c r="F16" s="274" t="s">
        <v>68</v>
      </c>
      <c r="G16" s="274" t="s">
        <v>68</v>
      </c>
      <c r="H16" s="274" t="s">
        <v>68</v>
      </c>
      <c r="I16" s="274" t="s">
        <v>68</v>
      </c>
      <c r="J16" s="274" t="s">
        <v>68</v>
      </c>
      <c r="K16" s="274" t="s">
        <v>68</v>
      </c>
      <c r="L16" s="274" t="s">
        <v>68</v>
      </c>
      <c r="M16" s="274" t="s">
        <v>68</v>
      </c>
      <c r="N16" s="274" t="s">
        <v>68</v>
      </c>
      <c r="O16" s="274" t="s">
        <v>68</v>
      </c>
      <c r="P16" s="274" t="s">
        <v>68</v>
      </c>
      <c r="Q16" s="274" t="s">
        <v>68</v>
      </c>
      <c r="R16" s="274" t="s">
        <v>68</v>
      </c>
      <c r="S16" s="274" t="s">
        <v>68</v>
      </c>
      <c r="T16" s="274" t="s">
        <v>68</v>
      </c>
      <c r="U16" s="274" t="s">
        <v>68</v>
      </c>
      <c r="V16" s="274" t="s">
        <v>68</v>
      </c>
      <c r="W16" s="274" t="s">
        <v>68</v>
      </c>
      <c r="X16" s="274" t="s">
        <v>68</v>
      </c>
      <c r="Y16" s="275">
        <f>(SUM(E16:X16)/$T$7)*100</f>
        <v>100</v>
      </c>
      <c r="Z16" s="472" t="str">
        <f t="shared" ref="Z16:Z55" si="0">IF(Y16&lt;60,"Debe mejorar su trabajo.",IF(Y16&lt;80,"Trabajo Regular.",IF(Y16&lt;90,"Excelente trabajo,sigue así.",IF(Y16&lt;101,"Desempeño Impresionante"))))</f>
        <v>Desempeño Impresionante</v>
      </c>
      <c r="AA16" s="277">
        <f>(Y16*$AA$15)</f>
        <v>60</v>
      </c>
      <c r="AB16" s="273"/>
      <c r="AC16" s="2"/>
      <c r="AD16" s="2"/>
    </row>
    <row r="17" spans="1:30" ht="24.75" customHeight="1">
      <c r="A17" s="468">
        <v>2</v>
      </c>
      <c r="B17" s="466" t="str">
        <f>IFERROR(IF(VLOOKUP(A17,'REGISTRO DATOS'!B:H,2,0)=0,"",VLOOKUP(A17,'REGISTRO DATOS'!B:H,2,0)),"")</f>
        <v/>
      </c>
      <c r="C17" s="467" t="str">
        <f>IFERROR(IF(VLOOKUP(A17,'REGISTRO DATOS'!B:H,3,0)=0,"",VLOOKUP(A17,'REGISTRO DATOS'!B:H,3,0)),"")</f>
        <v/>
      </c>
      <c r="D17" s="467" t="str">
        <f>IFERROR(IF(VLOOKUP(A17,'REGISTRO DATOS'!B:H,4,0)=0,"",VLOOKUP(A17,'REGISTRO DATOS'!B:H,4,0)),"")</f>
        <v>GENESIS</v>
      </c>
      <c r="E17" s="274" t="s">
        <v>68</v>
      </c>
      <c r="F17" s="274" t="s">
        <v>68</v>
      </c>
      <c r="G17" s="274" t="s">
        <v>68</v>
      </c>
      <c r="H17" s="274" t="s">
        <v>68</v>
      </c>
      <c r="I17" s="274" t="s">
        <v>68</v>
      </c>
      <c r="J17" s="274" t="s">
        <v>68</v>
      </c>
      <c r="K17" s="274" t="s">
        <v>68</v>
      </c>
      <c r="L17" s="274" t="s">
        <v>68</v>
      </c>
      <c r="M17" s="274" t="s">
        <v>68</v>
      </c>
      <c r="N17" s="274" t="s">
        <v>68</v>
      </c>
      <c r="O17" s="274" t="s">
        <v>68</v>
      </c>
      <c r="P17" s="274" t="s">
        <v>68</v>
      </c>
      <c r="Q17" s="274" t="s">
        <v>68</v>
      </c>
      <c r="R17" s="274" t="s">
        <v>68</v>
      </c>
      <c r="S17" s="274" t="s">
        <v>68</v>
      </c>
      <c r="T17" s="274" t="s">
        <v>68</v>
      </c>
      <c r="U17" s="274" t="s">
        <v>68</v>
      </c>
      <c r="V17" s="274" t="s">
        <v>68</v>
      </c>
      <c r="W17" s="274" t="s">
        <v>68</v>
      </c>
      <c r="X17" s="274" t="s">
        <v>68</v>
      </c>
      <c r="Y17" s="275">
        <f t="shared" ref="Y17:Y55" si="1">(SUM(E17:X17)/$T$7)*100</f>
        <v>0</v>
      </c>
      <c r="Z17" s="473" t="str">
        <f t="shared" si="0"/>
        <v>Debe mejorar su trabajo.</v>
      </c>
      <c r="AA17" s="278">
        <f t="shared" ref="AA17:AA55" si="2">(Y17*$AA$15)</f>
        <v>0</v>
      </c>
      <c r="AB17" s="273"/>
      <c r="AC17" s="2"/>
      <c r="AD17" s="2"/>
    </row>
    <row r="18" spans="1:30" ht="18" customHeight="1">
      <c r="A18" s="468">
        <v>3</v>
      </c>
      <c r="B18" s="466" t="str">
        <f>IFERROR(IF(VLOOKUP(A18,'REGISTRO DATOS'!B:H,2,0)=0,"",VLOOKUP(A18,'REGISTRO DATOS'!B:H,2,0)),"")</f>
        <v/>
      </c>
      <c r="C18" s="467" t="str">
        <f>IFERROR(IF(VLOOKUP(A18,'REGISTRO DATOS'!B:H,3,0)=0,"",VLOOKUP(A18,'REGISTRO DATOS'!B:H,3,0)),"")</f>
        <v/>
      </c>
      <c r="D18" s="467" t="str">
        <f>IFERROR(IF(VLOOKUP(A18,'REGISTRO DATOS'!B:H,4,0)=0,"",VLOOKUP(A18,'REGISTRO DATOS'!B:H,4,0)),"")</f>
        <v>EILEEN</v>
      </c>
      <c r="E18" s="274" t="s">
        <v>68</v>
      </c>
      <c r="F18" s="274" t="s">
        <v>68</v>
      </c>
      <c r="G18" s="274" t="s">
        <v>68</v>
      </c>
      <c r="H18" s="274" t="s">
        <v>68</v>
      </c>
      <c r="I18" s="274" t="s">
        <v>68</v>
      </c>
      <c r="J18" s="274" t="s">
        <v>68</v>
      </c>
      <c r="K18" s="274" t="s">
        <v>68</v>
      </c>
      <c r="L18" s="274" t="s">
        <v>68</v>
      </c>
      <c r="M18" s="274" t="s">
        <v>68</v>
      </c>
      <c r="N18" s="274" t="s">
        <v>68</v>
      </c>
      <c r="O18" s="274" t="s">
        <v>68</v>
      </c>
      <c r="P18" s="274" t="s">
        <v>68</v>
      </c>
      <c r="Q18" s="274" t="s">
        <v>68</v>
      </c>
      <c r="R18" s="274" t="s">
        <v>68</v>
      </c>
      <c r="S18" s="274" t="s">
        <v>68</v>
      </c>
      <c r="T18" s="274" t="s">
        <v>68</v>
      </c>
      <c r="U18" s="274" t="s">
        <v>68</v>
      </c>
      <c r="V18" s="274" t="s">
        <v>68</v>
      </c>
      <c r="W18" s="274" t="s">
        <v>68</v>
      </c>
      <c r="X18" s="274" t="s">
        <v>68</v>
      </c>
      <c r="Y18" s="275">
        <f t="shared" si="1"/>
        <v>0</v>
      </c>
      <c r="Z18" s="473" t="str">
        <f t="shared" si="0"/>
        <v>Debe mejorar su trabajo.</v>
      </c>
      <c r="AA18" s="278">
        <f t="shared" si="2"/>
        <v>0</v>
      </c>
      <c r="AB18" s="273"/>
      <c r="AC18" s="2"/>
      <c r="AD18" s="2"/>
    </row>
    <row r="19" spans="1:30" ht="18" customHeight="1">
      <c r="A19" s="465">
        <v>4</v>
      </c>
      <c r="B19" s="466" t="str">
        <f>IFERROR(IF(VLOOKUP(A19,'REGISTRO DATOS'!B:H,2,0)=0,"",VLOOKUP(A19,'REGISTRO DATOS'!B:H,2,0)),"")</f>
        <v/>
      </c>
      <c r="C19" s="467" t="str">
        <f>IFERROR(IF(VLOOKUP(A19,'REGISTRO DATOS'!B:H,3,0)=0,"",VLOOKUP(A19,'REGISTRO DATOS'!B:H,3,0)),"")</f>
        <v/>
      </c>
      <c r="D19" s="467" t="str">
        <f>IFERROR(IF(VLOOKUP(A19,'REGISTRO DATOS'!B:H,4,0)=0,"",VLOOKUP(A19,'REGISTRO DATOS'!B:H,4,0)),"")</f>
        <v>CINDEL</v>
      </c>
      <c r="E19" s="274" t="s">
        <v>68</v>
      </c>
      <c r="F19" s="274" t="s">
        <v>68</v>
      </c>
      <c r="G19" s="274" t="s">
        <v>68</v>
      </c>
      <c r="H19" s="274" t="s">
        <v>68</v>
      </c>
      <c r="I19" s="274" t="s">
        <v>68</v>
      </c>
      <c r="J19" s="274" t="s">
        <v>68</v>
      </c>
      <c r="K19" s="274" t="s">
        <v>68</v>
      </c>
      <c r="L19" s="274" t="s">
        <v>68</v>
      </c>
      <c r="M19" s="274" t="s">
        <v>68</v>
      </c>
      <c r="N19" s="274" t="s">
        <v>68</v>
      </c>
      <c r="O19" s="274" t="s">
        <v>68</v>
      </c>
      <c r="P19" s="274" t="s">
        <v>68</v>
      </c>
      <c r="Q19" s="274" t="s">
        <v>68</v>
      </c>
      <c r="R19" s="274" t="s">
        <v>68</v>
      </c>
      <c r="S19" s="274" t="s">
        <v>68</v>
      </c>
      <c r="T19" s="274" t="s">
        <v>68</v>
      </c>
      <c r="U19" s="274" t="s">
        <v>68</v>
      </c>
      <c r="V19" s="274" t="s">
        <v>68</v>
      </c>
      <c r="W19" s="274" t="s">
        <v>68</v>
      </c>
      <c r="X19" s="274" t="s">
        <v>68</v>
      </c>
      <c r="Y19" s="275">
        <f t="shared" si="1"/>
        <v>0</v>
      </c>
      <c r="Z19" s="473" t="str">
        <f t="shared" si="0"/>
        <v>Debe mejorar su trabajo.</v>
      </c>
      <c r="AA19" s="278">
        <f t="shared" si="2"/>
        <v>0</v>
      </c>
      <c r="AB19" s="273"/>
      <c r="AC19" s="2"/>
      <c r="AD19" s="2"/>
    </row>
    <row r="20" spans="1:30" ht="18" customHeight="1">
      <c r="A20" s="468">
        <v>5</v>
      </c>
      <c r="B20" s="466" t="str">
        <f>IFERROR(IF(VLOOKUP(A20,'REGISTRO DATOS'!B:H,2,0)=0,"",VLOOKUP(A20,'REGISTRO DATOS'!B:H,2,0)),"")</f>
        <v/>
      </c>
      <c r="C20" s="467" t="str">
        <f>IFERROR(IF(VLOOKUP(A20,'REGISTRO DATOS'!B:H,3,0)=0,"",VLOOKUP(A20,'REGISTRO DATOS'!B:H,3,0)),"")</f>
        <v/>
      </c>
      <c r="D20" s="467" t="str">
        <f>IFERROR(IF(VLOOKUP(A20,'REGISTRO DATOS'!B:H,4,0)=0,"",VLOOKUP(A20,'REGISTRO DATOS'!B:H,4,0)),"")</f>
        <v>NANCY</v>
      </c>
      <c r="E20" s="274" t="s">
        <v>68</v>
      </c>
      <c r="F20" s="274" t="s">
        <v>68</v>
      </c>
      <c r="G20" s="274" t="s">
        <v>68</v>
      </c>
      <c r="H20" s="274" t="s">
        <v>68</v>
      </c>
      <c r="I20" s="274" t="s">
        <v>68</v>
      </c>
      <c r="J20" s="274" t="s">
        <v>68</v>
      </c>
      <c r="K20" s="274" t="s">
        <v>68</v>
      </c>
      <c r="L20" s="274" t="s">
        <v>68</v>
      </c>
      <c r="M20" s="274" t="s">
        <v>68</v>
      </c>
      <c r="N20" s="274" t="s">
        <v>68</v>
      </c>
      <c r="O20" s="274" t="s">
        <v>68</v>
      </c>
      <c r="P20" s="274" t="s">
        <v>68</v>
      </c>
      <c r="Q20" s="274" t="s">
        <v>68</v>
      </c>
      <c r="R20" s="274" t="s">
        <v>68</v>
      </c>
      <c r="S20" s="274" t="s">
        <v>68</v>
      </c>
      <c r="T20" s="274" t="s">
        <v>68</v>
      </c>
      <c r="U20" s="274" t="s">
        <v>68</v>
      </c>
      <c r="V20" s="274" t="s">
        <v>68</v>
      </c>
      <c r="W20" s="274" t="s">
        <v>68</v>
      </c>
      <c r="X20" s="274" t="s">
        <v>68</v>
      </c>
      <c r="Y20" s="275">
        <f t="shared" si="1"/>
        <v>0</v>
      </c>
      <c r="Z20" s="473" t="str">
        <f t="shared" si="0"/>
        <v>Debe mejorar su trabajo.</v>
      </c>
      <c r="AA20" s="278">
        <f t="shared" si="2"/>
        <v>0</v>
      </c>
      <c r="AB20" s="273"/>
      <c r="AC20" s="2"/>
      <c r="AD20" s="2"/>
    </row>
    <row r="21" spans="1:30" ht="18" customHeight="1">
      <c r="A21" s="468">
        <v>6</v>
      </c>
      <c r="B21" s="466" t="str">
        <f>IFERROR(IF(VLOOKUP(A21,'REGISTRO DATOS'!B:H,2,0)=0,"",VLOOKUP(A21,'REGISTRO DATOS'!B:H,2,0)),"")</f>
        <v/>
      </c>
      <c r="C21" s="467" t="str">
        <f>IFERROR(IF(VLOOKUP(A21,'REGISTRO DATOS'!B:H,3,0)=0,"",VLOOKUP(A21,'REGISTRO DATOS'!B:H,3,0)),"")</f>
        <v/>
      </c>
      <c r="D21" s="467" t="str">
        <f>IFERROR(IF(VLOOKUP(A21,'REGISTRO DATOS'!B:H,4,0)=0,"",VLOOKUP(A21,'REGISTRO DATOS'!B:H,4,0)),"")</f>
        <v>MARIANA</v>
      </c>
      <c r="E21" s="274" t="s">
        <v>68</v>
      </c>
      <c r="F21" s="274" t="s">
        <v>68</v>
      </c>
      <c r="G21" s="274" t="s">
        <v>68</v>
      </c>
      <c r="H21" s="274" t="s">
        <v>68</v>
      </c>
      <c r="I21" s="274" t="s">
        <v>68</v>
      </c>
      <c r="J21" s="274" t="s">
        <v>68</v>
      </c>
      <c r="K21" s="274" t="s">
        <v>68</v>
      </c>
      <c r="L21" s="274" t="s">
        <v>68</v>
      </c>
      <c r="M21" s="274" t="s">
        <v>68</v>
      </c>
      <c r="N21" s="274" t="s">
        <v>68</v>
      </c>
      <c r="O21" s="274" t="s">
        <v>68</v>
      </c>
      <c r="P21" s="274" t="s">
        <v>68</v>
      </c>
      <c r="Q21" s="274" t="s">
        <v>68</v>
      </c>
      <c r="R21" s="274" t="s">
        <v>68</v>
      </c>
      <c r="S21" s="274" t="s">
        <v>68</v>
      </c>
      <c r="T21" s="274" t="s">
        <v>68</v>
      </c>
      <c r="U21" s="274" t="s">
        <v>68</v>
      </c>
      <c r="V21" s="274" t="s">
        <v>68</v>
      </c>
      <c r="W21" s="274" t="s">
        <v>68</v>
      </c>
      <c r="X21" s="274" t="s">
        <v>68</v>
      </c>
      <c r="Y21" s="275">
        <f t="shared" si="1"/>
        <v>0</v>
      </c>
      <c r="Z21" s="473" t="str">
        <f t="shared" si="0"/>
        <v>Debe mejorar su trabajo.</v>
      </c>
      <c r="AA21" s="278">
        <f t="shared" si="2"/>
        <v>0</v>
      </c>
      <c r="AB21" s="273"/>
      <c r="AC21" s="2"/>
      <c r="AD21" s="2"/>
    </row>
    <row r="22" spans="1:30" ht="18" customHeight="1">
      <c r="A22" s="465">
        <v>7</v>
      </c>
      <c r="B22" s="466" t="str">
        <f>IFERROR(IF(VLOOKUP(A22,'REGISTRO DATOS'!B:H,2,0)=0,"",VLOOKUP(A22,'REGISTRO DATOS'!B:H,2,0)),"")</f>
        <v xml:space="preserve">GONZALEZ </v>
      </c>
      <c r="C22" s="467" t="str">
        <f>IFERROR(IF(VLOOKUP(A22,'REGISTRO DATOS'!B:H,3,0)=0,"",VLOOKUP(A22,'REGISTRO DATOS'!B:H,3,0)),"")</f>
        <v>CHAVARRIA</v>
      </c>
      <c r="D22" s="467" t="str">
        <f>IFERROR(IF(VLOOKUP(A22,'REGISTRO DATOS'!B:H,4,0)=0,"",VLOOKUP(A22,'REGISTRO DATOS'!B:H,4,0)),"")</f>
        <v>STEPHANIE</v>
      </c>
      <c r="E22" s="274" t="s">
        <v>68</v>
      </c>
      <c r="F22" s="274" t="s">
        <v>68</v>
      </c>
      <c r="G22" s="274" t="s">
        <v>68</v>
      </c>
      <c r="H22" s="274" t="s">
        <v>68</v>
      </c>
      <c r="I22" s="274" t="s">
        <v>68</v>
      </c>
      <c r="J22" s="274" t="s">
        <v>68</v>
      </c>
      <c r="K22" s="274" t="s">
        <v>68</v>
      </c>
      <c r="L22" s="274" t="s">
        <v>68</v>
      </c>
      <c r="M22" s="274" t="s">
        <v>68</v>
      </c>
      <c r="N22" s="274" t="s">
        <v>68</v>
      </c>
      <c r="O22" s="274" t="s">
        <v>68</v>
      </c>
      <c r="P22" s="274" t="s">
        <v>68</v>
      </c>
      <c r="Q22" s="274" t="s">
        <v>68</v>
      </c>
      <c r="R22" s="274" t="s">
        <v>68</v>
      </c>
      <c r="S22" s="274" t="s">
        <v>68</v>
      </c>
      <c r="T22" s="274" t="s">
        <v>68</v>
      </c>
      <c r="U22" s="274" t="s">
        <v>68</v>
      </c>
      <c r="V22" s="274" t="s">
        <v>68</v>
      </c>
      <c r="W22" s="274" t="s">
        <v>68</v>
      </c>
      <c r="X22" s="274" t="s">
        <v>68</v>
      </c>
      <c r="Y22" s="275">
        <f t="shared" si="1"/>
        <v>0</v>
      </c>
      <c r="Z22" s="473" t="str">
        <f t="shared" si="0"/>
        <v>Debe mejorar su trabajo.</v>
      </c>
      <c r="AA22" s="278">
        <f t="shared" si="2"/>
        <v>0</v>
      </c>
      <c r="AB22" s="273"/>
      <c r="AC22" s="2"/>
      <c r="AD22" s="2"/>
    </row>
    <row r="23" spans="1:30" ht="18" customHeight="1">
      <c r="A23" s="468">
        <v>8</v>
      </c>
      <c r="B23" s="466" t="str">
        <f>IFERROR(IF(VLOOKUP(A23,'REGISTRO DATOS'!B:H,2,0)=0,"",VLOOKUP(A23,'REGISTRO DATOS'!B:H,2,0)),"")</f>
        <v/>
      </c>
      <c r="C23" s="467" t="str">
        <f>IFERROR(IF(VLOOKUP(A23,'REGISTRO DATOS'!B:H,3,0)=0,"",VLOOKUP(A23,'REGISTRO DATOS'!B:H,3,0)),"")</f>
        <v/>
      </c>
      <c r="D23" s="467" t="str">
        <f>IFERROR(IF(VLOOKUP(A23,'REGISTRO DATOS'!B:H,4,0)=0,"",VLOOKUP(A23,'REGISTRO DATOS'!B:H,4,0)),"")</f>
        <v>YASCINI</v>
      </c>
      <c r="E23" s="274" t="s">
        <v>68</v>
      </c>
      <c r="F23" s="274" t="s">
        <v>68</v>
      </c>
      <c r="G23" s="274" t="s">
        <v>68</v>
      </c>
      <c r="H23" s="274" t="s">
        <v>68</v>
      </c>
      <c r="I23" s="274" t="s">
        <v>68</v>
      </c>
      <c r="J23" s="274" t="s">
        <v>68</v>
      </c>
      <c r="K23" s="274" t="s">
        <v>68</v>
      </c>
      <c r="L23" s="274" t="s">
        <v>68</v>
      </c>
      <c r="M23" s="274" t="s">
        <v>68</v>
      </c>
      <c r="N23" s="274" t="s">
        <v>68</v>
      </c>
      <c r="O23" s="274" t="s">
        <v>68</v>
      </c>
      <c r="P23" s="274" t="s">
        <v>68</v>
      </c>
      <c r="Q23" s="274" t="s">
        <v>68</v>
      </c>
      <c r="R23" s="274" t="s">
        <v>68</v>
      </c>
      <c r="S23" s="274" t="s">
        <v>68</v>
      </c>
      <c r="T23" s="274" t="s">
        <v>68</v>
      </c>
      <c r="U23" s="274" t="s">
        <v>68</v>
      </c>
      <c r="V23" s="274" t="s">
        <v>68</v>
      </c>
      <c r="W23" s="274" t="s">
        <v>68</v>
      </c>
      <c r="X23" s="274" t="s">
        <v>68</v>
      </c>
      <c r="Y23" s="275">
        <f t="shared" si="1"/>
        <v>0</v>
      </c>
      <c r="Z23" s="473" t="str">
        <f t="shared" si="0"/>
        <v>Debe mejorar su trabajo.</v>
      </c>
      <c r="AA23" s="278">
        <f t="shared" si="2"/>
        <v>0</v>
      </c>
      <c r="AB23" s="273"/>
      <c r="AC23" s="2"/>
      <c r="AD23" s="2"/>
    </row>
    <row r="24" spans="1:30" ht="18" customHeight="1">
      <c r="A24" s="468">
        <v>9</v>
      </c>
      <c r="B24" s="466" t="str">
        <f>IFERROR(IF(VLOOKUP(A24,'REGISTRO DATOS'!B:H,2,0)=0,"",VLOOKUP(A24,'REGISTRO DATOS'!B:H,2,0)),"")</f>
        <v>CUBILLO</v>
      </c>
      <c r="C24" s="467" t="str">
        <f>IFERROR(IF(VLOOKUP(A24,'REGISTRO DATOS'!B:H,3,0)=0,"",VLOOKUP(A24,'REGISTRO DATOS'!B:H,3,0)),"")</f>
        <v/>
      </c>
      <c r="D24" s="467" t="str">
        <f>IFERROR(IF(VLOOKUP(A24,'REGISTRO DATOS'!B:H,4,0)=0,"",VLOOKUP(A24,'REGISTRO DATOS'!B:H,4,0)),"")</f>
        <v xml:space="preserve">DYLAN </v>
      </c>
      <c r="E24" s="274" t="s">
        <v>68</v>
      </c>
      <c r="F24" s="274" t="s">
        <v>68</v>
      </c>
      <c r="G24" s="274" t="s">
        <v>68</v>
      </c>
      <c r="H24" s="274" t="s">
        <v>68</v>
      </c>
      <c r="I24" s="274" t="s">
        <v>68</v>
      </c>
      <c r="J24" s="274" t="s">
        <v>68</v>
      </c>
      <c r="K24" s="274" t="s">
        <v>68</v>
      </c>
      <c r="L24" s="274" t="s">
        <v>68</v>
      </c>
      <c r="M24" s="274" t="s">
        <v>68</v>
      </c>
      <c r="N24" s="274" t="s">
        <v>68</v>
      </c>
      <c r="O24" s="274" t="s">
        <v>68</v>
      </c>
      <c r="P24" s="274" t="s">
        <v>68</v>
      </c>
      <c r="Q24" s="274" t="s">
        <v>68</v>
      </c>
      <c r="R24" s="274" t="s">
        <v>68</v>
      </c>
      <c r="S24" s="274" t="s">
        <v>68</v>
      </c>
      <c r="T24" s="274" t="s">
        <v>68</v>
      </c>
      <c r="U24" s="274" t="s">
        <v>68</v>
      </c>
      <c r="V24" s="274" t="s">
        <v>68</v>
      </c>
      <c r="W24" s="274" t="s">
        <v>68</v>
      </c>
      <c r="X24" s="274" t="s">
        <v>68</v>
      </c>
      <c r="Y24" s="275">
        <f t="shared" si="1"/>
        <v>0</v>
      </c>
      <c r="Z24" s="473" t="str">
        <f t="shared" si="0"/>
        <v>Debe mejorar su trabajo.</v>
      </c>
      <c r="AA24" s="278">
        <f t="shared" si="2"/>
        <v>0</v>
      </c>
      <c r="AB24" s="273"/>
      <c r="AC24" s="2"/>
      <c r="AD24" s="2"/>
    </row>
    <row r="25" spans="1:30" ht="18" customHeight="1">
      <c r="A25" s="465">
        <v>10</v>
      </c>
      <c r="B25" s="466" t="str">
        <f>IFERROR(IF(VLOOKUP(A25,'REGISTRO DATOS'!B:H,2,0)=0,"",VLOOKUP(A25,'REGISTRO DATOS'!B:H,2,0)),"")</f>
        <v/>
      </c>
      <c r="C25" s="467" t="str">
        <f>IFERROR(IF(VLOOKUP(A25,'REGISTRO DATOS'!B:H,3,0)=0,"",VLOOKUP(A25,'REGISTRO DATOS'!B:H,3,0)),"")</f>
        <v/>
      </c>
      <c r="D25" s="467" t="str">
        <f>IFERROR(IF(VLOOKUP(A25,'REGISTRO DATOS'!B:H,4,0)=0,"",VLOOKUP(A25,'REGISTRO DATOS'!B:H,4,0)),"")</f>
        <v>KATTYA</v>
      </c>
      <c r="E25" s="274" t="s">
        <v>68</v>
      </c>
      <c r="F25" s="274" t="s">
        <v>68</v>
      </c>
      <c r="G25" s="274" t="s">
        <v>68</v>
      </c>
      <c r="H25" s="274" t="s">
        <v>68</v>
      </c>
      <c r="I25" s="274" t="s">
        <v>68</v>
      </c>
      <c r="J25" s="274" t="s">
        <v>68</v>
      </c>
      <c r="K25" s="274" t="s">
        <v>68</v>
      </c>
      <c r="L25" s="274" t="s">
        <v>68</v>
      </c>
      <c r="M25" s="274" t="s">
        <v>68</v>
      </c>
      <c r="N25" s="274" t="s">
        <v>68</v>
      </c>
      <c r="O25" s="274" t="s">
        <v>68</v>
      </c>
      <c r="P25" s="274" t="s">
        <v>68</v>
      </c>
      <c r="Q25" s="274" t="s">
        <v>68</v>
      </c>
      <c r="R25" s="274" t="s">
        <v>68</v>
      </c>
      <c r="S25" s="274" t="s">
        <v>68</v>
      </c>
      <c r="T25" s="274" t="s">
        <v>68</v>
      </c>
      <c r="U25" s="274" t="s">
        <v>68</v>
      </c>
      <c r="V25" s="274" t="s">
        <v>68</v>
      </c>
      <c r="W25" s="274" t="s">
        <v>68</v>
      </c>
      <c r="X25" s="274" t="s">
        <v>68</v>
      </c>
      <c r="Y25" s="275">
        <f t="shared" si="1"/>
        <v>0</v>
      </c>
      <c r="Z25" s="473" t="str">
        <f t="shared" si="0"/>
        <v>Debe mejorar su trabajo.</v>
      </c>
      <c r="AA25" s="278">
        <f t="shared" si="2"/>
        <v>0</v>
      </c>
      <c r="AB25" s="273"/>
      <c r="AC25" s="2"/>
      <c r="AD25" s="2"/>
    </row>
    <row r="26" spans="1:30" ht="18" customHeight="1">
      <c r="A26" s="468">
        <v>11</v>
      </c>
      <c r="B26" s="466" t="str">
        <f>IFERROR(IF(VLOOKUP(A26,'REGISTRO DATOS'!B:H,2,0)=0,"",VLOOKUP(A26,'REGISTRO DATOS'!B:H,2,0)),"")</f>
        <v>BRIZUELA</v>
      </c>
      <c r="C26" s="467" t="str">
        <f>IFERROR(IF(VLOOKUP(A26,'REGISTRO DATOS'!B:H,3,0)=0,"",VLOOKUP(A26,'REGISTRO DATOS'!B:H,3,0)),"")</f>
        <v/>
      </c>
      <c r="D26" s="467" t="str">
        <f>IFERROR(IF(VLOOKUP(A26,'REGISTRO DATOS'!B:H,4,0)=0,"",VLOOKUP(A26,'REGISTRO DATOS'!B:H,4,0)),"")</f>
        <v>FABIOLA</v>
      </c>
      <c r="E26" s="274" t="s">
        <v>68</v>
      </c>
      <c r="F26" s="274" t="s">
        <v>68</v>
      </c>
      <c r="G26" s="274" t="s">
        <v>68</v>
      </c>
      <c r="H26" s="274" t="s">
        <v>68</v>
      </c>
      <c r="I26" s="274" t="s">
        <v>68</v>
      </c>
      <c r="J26" s="274" t="s">
        <v>68</v>
      </c>
      <c r="K26" s="274" t="s">
        <v>68</v>
      </c>
      <c r="L26" s="274" t="s">
        <v>68</v>
      </c>
      <c r="M26" s="274" t="s">
        <v>68</v>
      </c>
      <c r="N26" s="274" t="s">
        <v>68</v>
      </c>
      <c r="O26" s="274" t="s">
        <v>68</v>
      </c>
      <c r="P26" s="274" t="s">
        <v>68</v>
      </c>
      <c r="Q26" s="274" t="s">
        <v>68</v>
      </c>
      <c r="R26" s="274" t="s">
        <v>68</v>
      </c>
      <c r="S26" s="274" t="s">
        <v>68</v>
      </c>
      <c r="T26" s="274" t="s">
        <v>68</v>
      </c>
      <c r="U26" s="274" t="s">
        <v>68</v>
      </c>
      <c r="V26" s="274" t="s">
        <v>68</v>
      </c>
      <c r="W26" s="274" t="s">
        <v>68</v>
      </c>
      <c r="X26" s="274" t="s">
        <v>68</v>
      </c>
      <c r="Y26" s="275">
        <f t="shared" si="1"/>
        <v>0</v>
      </c>
      <c r="Z26" s="473" t="str">
        <f t="shared" si="0"/>
        <v>Debe mejorar su trabajo.</v>
      </c>
      <c r="AA26" s="278">
        <f t="shared" si="2"/>
        <v>0</v>
      </c>
      <c r="AB26" s="273"/>
      <c r="AC26" s="2"/>
      <c r="AD26" s="2"/>
    </row>
    <row r="27" spans="1:30" ht="18" customHeight="1">
      <c r="A27" s="468">
        <v>12</v>
      </c>
      <c r="B27" s="466" t="str">
        <f>IFERROR(IF(VLOOKUP(A27,'REGISTRO DATOS'!B:H,2,0)=0,"",VLOOKUP(A27,'REGISTRO DATOS'!B:H,2,0)),"")</f>
        <v/>
      </c>
      <c r="C27" s="467" t="str">
        <f>IFERROR(IF(VLOOKUP(A27,'REGISTRO DATOS'!B:H,3,0)=0,"",VLOOKUP(A27,'REGISTRO DATOS'!B:H,3,0)),"")</f>
        <v/>
      </c>
      <c r="D27" s="467" t="str">
        <f>IFERROR(IF(VLOOKUP(A27,'REGISTRO DATOS'!B:H,4,0)=0,"",VLOOKUP(A27,'REGISTRO DATOS'!B:H,4,0)),"")</f>
        <v>DARIANA</v>
      </c>
      <c r="E27" s="274" t="s">
        <v>68</v>
      </c>
      <c r="F27" s="274" t="s">
        <v>68</v>
      </c>
      <c r="G27" s="274" t="s">
        <v>68</v>
      </c>
      <c r="H27" s="274" t="s">
        <v>68</v>
      </c>
      <c r="I27" s="274" t="s">
        <v>68</v>
      </c>
      <c r="J27" s="274" t="s">
        <v>68</v>
      </c>
      <c r="K27" s="274" t="s">
        <v>68</v>
      </c>
      <c r="L27" s="274" t="s">
        <v>68</v>
      </c>
      <c r="M27" s="274" t="s">
        <v>68</v>
      </c>
      <c r="N27" s="274" t="s">
        <v>68</v>
      </c>
      <c r="O27" s="274" t="s">
        <v>68</v>
      </c>
      <c r="P27" s="274" t="s">
        <v>68</v>
      </c>
      <c r="Q27" s="274" t="s">
        <v>68</v>
      </c>
      <c r="R27" s="274" t="s">
        <v>68</v>
      </c>
      <c r="S27" s="274" t="s">
        <v>68</v>
      </c>
      <c r="T27" s="274" t="s">
        <v>68</v>
      </c>
      <c r="U27" s="274" t="s">
        <v>68</v>
      </c>
      <c r="V27" s="274" t="s">
        <v>68</v>
      </c>
      <c r="W27" s="274" t="s">
        <v>68</v>
      </c>
      <c r="X27" s="274" t="s">
        <v>68</v>
      </c>
      <c r="Y27" s="275">
        <f t="shared" si="1"/>
        <v>0</v>
      </c>
      <c r="Z27" s="473" t="str">
        <f t="shared" si="0"/>
        <v>Debe mejorar su trabajo.</v>
      </c>
      <c r="AA27" s="278">
        <f t="shared" si="2"/>
        <v>0</v>
      </c>
      <c r="AB27" s="273"/>
      <c r="AC27" s="2"/>
      <c r="AD27" s="2"/>
    </row>
    <row r="28" spans="1:30" ht="18" customHeight="1">
      <c r="A28" s="465">
        <v>13</v>
      </c>
      <c r="B28" s="466" t="str">
        <f>IFERROR(IF(VLOOKUP(A28,'REGISTRO DATOS'!B:H,2,0)=0,"",VLOOKUP(A28,'REGISTRO DATOS'!B:H,2,0)),"")</f>
        <v/>
      </c>
      <c r="C28" s="467" t="str">
        <f>IFERROR(IF(VLOOKUP(A28,'REGISTRO DATOS'!B:H,3,0)=0,"",VLOOKUP(A28,'REGISTRO DATOS'!B:H,3,0)),"")</f>
        <v/>
      </c>
      <c r="D28" s="467" t="str">
        <f>IFERROR(IF(VLOOKUP(A28,'REGISTRO DATOS'!B:H,4,0)=0,"",VLOOKUP(A28,'REGISTRO DATOS'!B:H,4,0)),"")</f>
        <v>JENIFER</v>
      </c>
      <c r="E28" s="274" t="s">
        <v>68</v>
      </c>
      <c r="F28" s="274" t="s">
        <v>68</v>
      </c>
      <c r="G28" s="274" t="s">
        <v>68</v>
      </c>
      <c r="H28" s="274" t="s">
        <v>68</v>
      </c>
      <c r="I28" s="274" t="s">
        <v>68</v>
      </c>
      <c r="J28" s="274" t="s">
        <v>68</v>
      </c>
      <c r="K28" s="274" t="s">
        <v>68</v>
      </c>
      <c r="L28" s="274" t="s">
        <v>68</v>
      </c>
      <c r="M28" s="274" t="s">
        <v>68</v>
      </c>
      <c r="N28" s="274" t="s">
        <v>68</v>
      </c>
      <c r="O28" s="274" t="s">
        <v>68</v>
      </c>
      <c r="P28" s="274" t="s">
        <v>68</v>
      </c>
      <c r="Q28" s="274" t="s">
        <v>68</v>
      </c>
      <c r="R28" s="274" t="s">
        <v>68</v>
      </c>
      <c r="S28" s="274" t="s">
        <v>68</v>
      </c>
      <c r="T28" s="274" t="s">
        <v>68</v>
      </c>
      <c r="U28" s="274" t="s">
        <v>68</v>
      </c>
      <c r="V28" s="274" t="s">
        <v>68</v>
      </c>
      <c r="W28" s="274" t="s">
        <v>68</v>
      </c>
      <c r="X28" s="274" t="s">
        <v>68</v>
      </c>
      <c r="Y28" s="275">
        <f t="shared" si="1"/>
        <v>0</v>
      </c>
      <c r="Z28" s="473" t="str">
        <f t="shared" si="0"/>
        <v>Debe mejorar su trabajo.</v>
      </c>
      <c r="AA28" s="278">
        <f t="shared" si="2"/>
        <v>0</v>
      </c>
      <c r="AB28" s="273"/>
      <c r="AC28" s="2"/>
      <c r="AD28" s="2"/>
    </row>
    <row r="29" spans="1:30" ht="18" customHeight="1">
      <c r="A29" s="468">
        <v>14</v>
      </c>
      <c r="B29" s="466" t="str">
        <f>IFERROR(IF(VLOOKUP(A29,'REGISTRO DATOS'!B:H,2,0)=0,"",VLOOKUP(A29,'REGISTRO DATOS'!B:H,2,0)),"")</f>
        <v/>
      </c>
      <c r="C29" s="467" t="str">
        <f>IFERROR(IF(VLOOKUP(A29,'REGISTRO DATOS'!B:H,3,0)=0,"",VLOOKUP(A29,'REGISTRO DATOS'!B:H,3,0)),"")</f>
        <v/>
      </c>
      <c r="D29" s="467" t="str">
        <f>IFERROR(IF(VLOOKUP(A29,'REGISTRO DATOS'!B:H,4,0)=0,"",VLOOKUP(A29,'REGISTRO DATOS'!B:H,4,0)),"")</f>
        <v>GABRIELA</v>
      </c>
      <c r="E29" s="274" t="s">
        <v>68</v>
      </c>
      <c r="F29" s="274" t="s">
        <v>68</v>
      </c>
      <c r="G29" s="274" t="s">
        <v>68</v>
      </c>
      <c r="H29" s="274" t="s">
        <v>68</v>
      </c>
      <c r="I29" s="274" t="s">
        <v>68</v>
      </c>
      <c r="J29" s="274" t="s">
        <v>68</v>
      </c>
      <c r="K29" s="274" t="s">
        <v>68</v>
      </c>
      <c r="L29" s="274" t="s">
        <v>68</v>
      </c>
      <c r="M29" s="274" t="s">
        <v>68</v>
      </c>
      <c r="N29" s="274" t="s">
        <v>68</v>
      </c>
      <c r="O29" s="274" t="s">
        <v>68</v>
      </c>
      <c r="P29" s="274" t="s">
        <v>68</v>
      </c>
      <c r="Q29" s="274" t="s">
        <v>68</v>
      </c>
      <c r="R29" s="274" t="s">
        <v>68</v>
      </c>
      <c r="S29" s="274" t="s">
        <v>68</v>
      </c>
      <c r="T29" s="274" t="s">
        <v>68</v>
      </c>
      <c r="U29" s="274" t="s">
        <v>68</v>
      </c>
      <c r="V29" s="274" t="s">
        <v>68</v>
      </c>
      <c r="W29" s="274" t="s">
        <v>68</v>
      </c>
      <c r="X29" s="274" t="s">
        <v>68</v>
      </c>
      <c r="Y29" s="275">
        <f t="shared" si="1"/>
        <v>0</v>
      </c>
      <c r="Z29" s="473" t="str">
        <f t="shared" si="0"/>
        <v>Debe mejorar su trabajo.</v>
      </c>
      <c r="AA29" s="278">
        <f t="shared" si="2"/>
        <v>0</v>
      </c>
      <c r="AB29" s="273"/>
      <c r="AC29" s="2"/>
      <c r="AD29" s="2"/>
    </row>
    <row r="30" spans="1:30" ht="18" customHeight="1">
      <c r="A30" s="468">
        <v>15</v>
      </c>
      <c r="B30" s="466" t="str">
        <f>IFERROR(IF(VLOOKUP(A30,'REGISTRO DATOS'!B:H,2,0)=0,"",VLOOKUP(A30,'REGISTRO DATOS'!B:H,2,0)),"")</f>
        <v xml:space="preserve">SERRANO </v>
      </c>
      <c r="C30" s="467" t="str">
        <f>IFERROR(IF(VLOOKUP(A30,'REGISTRO DATOS'!B:H,3,0)=0,"",VLOOKUP(A30,'REGISTRO DATOS'!B:H,3,0)),"")</f>
        <v>VILLEGAS</v>
      </c>
      <c r="D30" s="467" t="str">
        <f>IFERROR(IF(VLOOKUP(A30,'REGISTRO DATOS'!B:H,4,0)=0,"",VLOOKUP(A30,'REGISTRO DATOS'!B:H,4,0)),"")</f>
        <v xml:space="preserve">DYLAN </v>
      </c>
      <c r="E30" s="274" t="s">
        <v>68</v>
      </c>
      <c r="F30" s="274" t="s">
        <v>68</v>
      </c>
      <c r="G30" s="274" t="s">
        <v>68</v>
      </c>
      <c r="H30" s="274" t="s">
        <v>68</v>
      </c>
      <c r="I30" s="274" t="s">
        <v>68</v>
      </c>
      <c r="J30" s="274" t="s">
        <v>68</v>
      </c>
      <c r="K30" s="274" t="s">
        <v>68</v>
      </c>
      <c r="L30" s="274" t="s">
        <v>68</v>
      </c>
      <c r="M30" s="274" t="s">
        <v>68</v>
      </c>
      <c r="N30" s="274" t="s">
        <v>68</v>
      </c>
      <c r="O30" s="274" t="s">
        <v>68</v>
      </c>
      <c r="P30" s="274" t="s">
        <v>68</v>
      </c>
      <c r="Q30" s="274" t="s">
        <v>68</v>
      </c>
      <c r="R30" s="274" t="s">
        <v>68</v>
      </c>
      <c r="S30" s="274" t="s">
        <v>68</v>
      </c>
      <c r="T30" s="274" t="s">
        <v>68</v>
      </c>
      <c r="U30" s="274" t="s">
        <v>68</v>
      </c>
      <c r="V30" s="274" t="s">
        <v>68</v>
      </c>
      <c r="W30" s="274" t="s">
        <v>68</v>
      </c>
      <c r="X30" s="274" t="s">
        <v>68</v>
      </c>
      <c r="Y30" s="275">
        <f t="shared" si="1"/>
        <v>0</v>
      </c>
      <c r="Z30" s="473" t="str">
        <f t="shared" si="0"/>
        <v>Debe mejorar su trabajo.</v>
      </c>
      <c r="AA30" s="278">
        <f t="shared" si="2"/>
        <v>0</v>
      </c>
      <c r="AB30" s="273"/>
      <c r="AC30" s="2"/>
      <c r="AD30" s="2"/>
    </row>
    <row r="31" spans="1:30" ht="18" customHeight="1">
      <c r="A31" s="465">
        <v>16</v>
      </c>
      <c r="B31" s="466" t="str">
        <f>IFERROR(IF(VLOOKUP(A31,'REGISTRO DATOS'!B:H,2,0)=0,"",VLOOKUP(A31,'REGISTRO DATOS'!B:H,2,0)),"")</f>
        <v/>
      </c>
      <c r="C31" s="467" t="str">
        <f>IFERROR(IF(VLOOKUP(A31,'REGISTRO DATOS'!B:H,3,0)=0,"",VLOOKUP(A31,'REGISTRO DATOS'!B:H,3,0)),"")</f>
        <v/>
      </c>
      <c r="D31" s="467" t="str">
        <f>IFERROR(IF(VLOOKUP(A31,'REGISTRO DATOS'!B:H,4,0)=0,"",VLOOKUP(A31,'REGISTRO DATOS'!B:H,4,0)),"")</f>
        <v>ANA</v>
      </c>
      <c r="E31" s="274" t="s">
        <v>68</v>
      </c>
      <c r="F31" s="274" t="s">
        <v>68</v>
      </c>
      <c r="G31" s="274" t="s">
        <v>68</v>
      </c>
      <c r="H31" s="274" t="s">
        <v>68</v>
      </c>
      <c r="I31" s="274" t="s">
        <v>68</v>
      </c>
      <c r="J31" s="274" t="s">
        <v>68</v>
      </c>
      <c r="K31" s="274" t="s">
        <v>68</v>
      </c>
      <c r="L31" s="274" t="s">
        <v>68</v>
      </c>
      <c r="M31" s="274" t="s">
        <v>68</v>
      </c>
      <c r="N31" s="274" t="s">
        <v>68</v>
      </c>
      <c r="O31" s="274" t="s">
        <v>68</v>
      </c>
      <c r="P31" s="274" t="s">
        <v>68</v>
      </c>
      <c r="Q31" s="274" t="s">
        <v>68</v>
      </c>
      <c r="R31" s="274" t="s">
        <v>68</v>
      </c>
      <c r="S31" s="274" t="s">
        <v>68</v>
      </c>
      <c r="T31" s="274" t="s">
        <v>68</v>
      </c>
      <c r="U31" s="274" t="s">
        <v>68</v>
      </c>
      <c r="V31" s="274" t="s">
        <v>68</v>
      </c>
      <c r="W31" s="274" t="s">
        <v>68</v>
      </c>
      <c r="X31" s="274" t="s">
        <v>68</v>
      </c>
      <c r="Y31" s="275">
        <f t="shared" si="1"/>
        <v>0</v>
      </c>
      <c r="Z31" s="473" t="str">
        <f t="shared" si="0"/>
        <v>Debe mejorar su trabajo.</v>
      </c>
      <c r="AA31" s="278">
        <f t="shared" si="2"/>
        <v>0</v>
      </c>
      <c r="AB31" s="273"/>
      <c r="AC31" s="2"/>
      <c r="AD31" s="2"/>
    </row>
    <row r="32" spans="1:30" ht="18" customHeight="1">
      <c r="A32" s="468">
        <v>17</v>
      </c>
      <c r="B32" s="466" t="str">
        <f>IFERROR(IF(VLOOKUP(A32,'REGISTRO DATOS'!B:H,2,0)=0,"",VLOOKUP(A32,'REGISTRO DATOS'!B:H,2,0)),"")</f>
        <v>QUIROS</v>
      </c>
      <c r="C32" s="467" t="str">
        <f>IFERROR(IF(VLOOKUP(A32,'REGISTRO DATOS'!B:H,3,0)=0,"",VLOOKUP(A32,'REGISTRO DATOS'!B:H,3,0)),"")</f>
        <v/>
      </c>
      <c r="D32" s="467" t="str">
        <f>IFERROR(IF(VLOOKUP(A32,'REGISTRO DATOS'!B:H,4,0)=0,"",VLOOKUP(A32,'REGISTRO DATOS'!B:H,4,0)),"")</f>
        <v>ANDY</v>
      </c>
      <c r="E32" s="274" t="s">
        <v>68</v>
      </c>
      <c r="F32" s="274" t="s">
        <v>68</v>
      </c>
      <c r="G32" s="274" t="s">
        <v>68</v>
      </c>
      <c r="H32" s="274" t="s">
        <v>68</v>
      </c>
      <c r="I32" s="274" t="s">
        <v>68</v>
      </c>
      <c r="J32" s="274" t="s">
        <v>68</v>
      </c>
      <c r="K32" s="274" t="s">
        <v>68</v>
      </c>
      <c r="L32" s="274" t="s">
        <v>68</v>
      </c>
      <c r="M32" s="274" t="s">
        <v>68</v>
      </c>
      <c r="N32" s="274" t="s">
        <v>68</v>
      </c>
      <c r="O32" s="274" t="s">
        <v>68</v>
      </c>
      <c r="P32" s="274" t="s">
        <v>68</v>
      </c>
      <c r="Q32" s="274" t="s">
        <v>68</v>
      </c>
      <c r="R32" s="274" t="s">
        <v>68</v>
      </c>
      <c r="S32" s="274" t="s">
        <v>68</v>
      </c>
      <c r="T32" s="274" t="s">
        <v>68</v>
      </c>
      <c r="U32" s="274" t="s">
        <v>68</v>
      </c>
      <c r="V32" s="274" t="s">
        <v>68</v>
      </c>
      <c r="W32" s="274" t="s">
        <v>68</v>
      </c>
      <c r="X32" s="274" t="s">
        <v>68</v>
      </c>
      <c r="Y32" s="275">
        <f t="shared" si="1"/>
        <v>0</v>
      </c>
      <c r="Z32" s="473" t="str">
        <f t="shared" si="0"/>
        <v>Debe mejorar su trabajo.</v>
      </c>
      <c r="AA32" s="278">
        <f t="shared" si="2"/>
        <v>0</v>
      </c>
      <c r="AB32" s="273"/>
      <c r="AC32" s="2"/>
      <c r="AD32" s="2"/>
    </row>
    <row r="33" spans="1:30" ht="18" customHeight="1">
      <c r="A33" s="468">
        <v>18</v>
      </c>
      <c r="B33" s="466" t="str">
        <f>IFERROR(IF(VLOOKUP(A33,'REGISTRO DATOS'!B:H,2,0)=0,"",VLOOKUP(A33,'REGISTRO DATOS'!B:H,2,0)),"")</f>
        <v>RIVER</v>
      </c>
      <c r="C33" s="467" t="str">
        <f>IFERROR(IF(VLOOKUP(A33,'REGISTRO DATOS'!B:H,3,0)=0,"",VLOOKUP(A33,'REGISTRO DATOS'!B:H,3,0)),"")</f>
        <v/>
      </c>
      <c r="D33" s="467" t="str">
        <f>IFERROR(IF(VLOOKUP(A33,'REGISTRO DATOS'!B:H,4,0)=0,"",VLOOKUP(A33,'REGISTRO DATOS'!B:H,4,0)),"")</f>
        <v>STEPHANIE</v>
      </c>
      <c r="E33" s="274" t="s">
        <v>68</v>
      </c>
      <c r="F33" s="274" t="s">
        <v>68</v>
      </c>
      <c r="G33" s="274" t="s">
        <v>68</v>
      </c>
      <c r="H33" s="274" t="s">
        <v>68</v>
      </c>
      <c r="I33" s="274" t="s">
        <v>68</v>
      </c>
      <c r="J33" s="274" t="s">
        <v>68</v>
      </c>
      <c r="K33" s="274" t="s">
        <v>68</v>
      </c>
      <c r="L33" s="274" t="s">
        <v>68</v>
      </c>
      <c r="M33" s="274" t="s">
        <v>68</v>
      </c>
      <c r="N33" s="274" t="s">
        <v>68</v>
      </c>
      <c r="O33" s="274" t="s">
        <v>68</v>
      </c>
      <c r="P33" s="274" t="s">
        <v>68</v>
      </c>
      <c r="Q33" s="274" t="s">
        <v>68</v>
      </c>
      <c r="R33" s="274" t="s">
        <v>68</v>
      </c>
      <c r="S33" s="274" t="s">
        <v>68</v>
      </c>
      <c r="T33" s="274" t="s">
        <v>68</v>
      </c>
      <c r="U33" s="274" t="s">
        <v>68</v>
      </c>
      <c r="V33" s="274" t="s">
        <v>68</v>
      </c>
      <c r="W33" s="274" t="s">
        <v>68</v>
      </c>
      <c r="X33" s="274" t="s">
        <v>68</v>
      </c>
      <c r="Y33" s="275">
        <f t="shared" si="1"/>
        <v>0</v>
      </c>
      <c r="Z33" s="473" t="str">
        <f t="shared" si="0"/>
        <v>Debe mejorar su trabajo.</v>
      </c>
      <c r="AA33" s="278">
        <f t="shared" si="2"/>
        <v>0</v>
      </c>
      <c r="AB33" s="273"/>
      <c r="AC33" s="2"/>
      <c r="AD33" s="2"/>
    </row>
    <row r="34" spans="1:30" ht="18" customHeight="1">
      <c r="A34" s="465">
        <v>19</v>
      </c>
      <c r="B34" s="466" t="str">
        <f>IFERROR(IF(VLOOKUP(A34,'REGISTRO DATOS'!B:H,2,0)=0,"",VLOOKUP(A34,'REGISTRO DATOS'!B:H,2,0)),"")</f>
        <v/>
      </c>
      <c r="C34" s="467" t="str">
        <f>IFERROR(IF(VLOOKUP(A34,'REGISTRO DATOS'!B:H,3,0)=0,"",VLOOKUP(A34,'REGISTRO DATOS'!B:H,3,0)),"")</f>
        <v>FABIAN</v>
      </c>
      <c r="D34" s="467" t="str">
        <f>IFERROR(IF(VLOOKUP(A34,'REGISTRO DATOS'!B:H,4,0)=0,"",VLOOKUP(A34,'REGISTRO DATOS'!B:H,4,0)),"")</f>
        <v/>
      </c>
      <c r="E34" s="274" t="s">
        <v>68</v>
      </c>
      <c r="F34" s="274" t="s">
        <v>68</v>
      </c>
      <c r="G34" s="274" t="s">
        <v>68</v>
      </c>
      <c r="H34" s="274" t="s">
        <v>68</v>
      </c>
      <c r="I34" s="274" t="s">
        <v>68</v>
      </c>
      <c r="J34" s="274" t="s">
        <v>68</v>
      </c>
      <c r="K34" s="274" t="s">
        <v>68</v>
      </c>
      <c r="L34" s="274" t="s">
        <v>68</v>
      </c>
      <c r="M34" s="274" t="s">
        <v>68</v>
      </c>
      <c r="N34" s="274" t="s">
        <v>68</v>
      </c>
      <c r="O34" s="274" t="s">
        <v>68</v>
      </c>
      <c r="P34" s="274" t="s">
        <v>68</v>
      </c>
      <c r="Q34" s="274" t="s">
        <v>68</v>
      </c>
      <c r="R34" s="274" t="s">
        <v>68</v>
      </c>
      <c r="S34" s="274" t="s">
        <v>68</v>
      </c>
      <c r="T34" s="274" t="s">
        <v>68</v>
      </c>
      <c r="U34" s="274" t="s">
        <v>68</v>
      </c>
      <c r="V34" s="274" t="s">
        <v>68</v>
      </c>
      <c r="W34" s="274" t="s">
        <v>68</v>
      </c>
      <c r="X34" s="274" t="s">
        <v>68</v>
      </c>
      <c r="Y34" s="275">
        <f t="shared" si="1"/>
        <v>0</v>
      </c>
      <c r="Z34" s="473" t="str">
        <f t="shared" si="0"/>
        <v>Debe mejorar su trabajo.</v>
      </c>
      <c r="AA34" s="278">
        <f t="shared" si="2"/>
        <v>0</v>
      </c>
      <c r="AB34" s="273"/>
      <c r="AC34" s="2"/>
      <c r="AD34" s="2"/>
    </row>
    <row r="35" spans="1:30" ht="18" customHeight="1">
      <c r="A35" s="468">
        <v>20</v>
      </c>
      <c r="B35" s="466" t="str">
        <f>IFERROR(IF(VLOOKUP(A35,'REGISTRO DATOS'!B:H,2,0)=0,"",VLOOKUP(A35,'REGISTRO DATOS'!B:H,2,0)),"")</f>
        <v/>
      </c>
      <c r="C35" s="467" t="str">
        <f>IFERROR(IF(VLOOKUP(A35,'REGISTRO DATOS'!B:H,3,0)=0,"",VLOOKUP(A35,'REGISTRO DATOS'!B:H,3,0)),"")</f>
        <v>EMILIN</v>
      </c>
      <c r="D35" s="467" t="str">
        <f>IFERROR(IF(VLOOKUP(A35,'REGISTRO DATOS'!B:H,4,0)=0,"",VLOOKUP(A35,'REGISTRO DATOS'!B:H,4,0)),"")</f>
        <v/>
      </c>
      <c r="E35" s="274" t="s">
        <v>68</v>
      </c>
      <c r="F35" s="274" t="s">
        <v>68</v>
      </c>
      <c r="G35" s="274" t="s">
        <v>68</v>
      </c>
      <c r="H35" s="274" t="s">
        <v>68</v>
      </c>
      <c r="I35" s="274" t="s">
        <v>68</v>
      </c>
      <c r="J35" s="274" t="s">
        <v>68</v>
      </c>
      <c r="K35" s="274" t="s">
        <v>68</v>
      </c>
      <c r="L35" s="274" t="s">
        <v>68</v>
      </c>
      <c r="M35" s="274" t="s">
        <v>68</v>
      </c>
      <c r="N35" s="274" t="s">
        <v>68</v>
      </c>
      <c r="O35" s="274" t="s">
        <v>68</v>
      </c>
      <c r="P35" s="274" t="s">
        <v>68</v>
      </c>
      <c r="Q35" s="274" t="s">
        <v>68</v>
      </c>
      <c r="R35" s="274" t="s">
        <v>68</v>
      </c>
      <c r="S35" s="274" t="s">
        <v>68</v>
      </c>
      <c r="T35" s="274" t="s">
        <v>68</v>
      </c>
      <c r="U35" s="274" t="s">
        <v>68</v>
      </c>
      <c r="V35" s="274" t="s">
        <v>68</v>
      </c>
      <c r="W35" s="274" t="s">
        <v>68</v>
      </c>
      <c r="X35" s="274" t="s">
        <v>68</v>
      </c>
      <c r="Y35" s="275">
        <f t="shared" si="1"/>
        <v>0</v>
      </c>
      <c r="Z35" s="473" t="str">
        <f t="shared" si="0"/>
        <v>Debe mejorar su trabajo.</v>
      </c>
      <c r="AA35" s="278">
        <f t="shared" si="2"/>
        <v>0</v>
      </c>
      <c r="AB35" s="273"/>
      <c r="AC35" s="2"/>
      <c r="AD35" s="2"/>
    </row>
    <row r="36" spans="1:30" ht="18" customHeight="1">
      <c r="A36" s="468">
        <v>21</v>
      </c>
      <c r="B36" s="466" t="str">
        <f>IFERROR(IF(VLOOKUP(A36,'REGISTRO DATOS'!B:H,2,0)=0,"",VLOOKUP(A36,'REGISTRO DATOS'!B:H,2,0)),"")</f>
        <v/>
      </c>
      <c r="C36" s="467" t="str">
        <f>IFERROR(IF(VLOOKUP(A36,'REGISTRO DATOS'!B:H,3,0)=0,"",VLOOKUP(A36,'REGISTRO DATOS'!B:H,3,0)),"")</f>
        <v/>
      </c>
      <c r="D36" s="467" t="str">
        <f>IFERROR(IF(VLOOKUP(A36,'REGISTRO DATOS'!B:H,4,0)=0,"",VLOOKUP(A36,'REGISTRO DATOS'!B:H,4,0)),"")</f>
        <v/>
      </c>
      <c r="E36" s="274" t="s">
        <v>68</v>
      </c>
      <c r="F36" s="274" t="s">
        <v>68</v>
      </c>
      <c r="G36" s="274" t="s">
        <v>68</v>
      </c>
      <c r="H36" s="274" t="s">
        <v>68</v>
      </c>
      <c r="I36" s="274" t="s">
        <v>68</v>
      </c>
      <c r="J36" s="274" t="s">
        <v>68</v>
      </c>
      <c r="K36" s="274" t="s">
        <v>68</v>
      </c>
      <c r="L36" s="274" t="s">
        <v>68</v>
      </c>
      <c r="M36" s="274" t="s">
        <v>68</v>
      </c>
      <c r="N36" s="274" t="s">
        <v>68</v>
      </c>
      <c r="O36" s="274" t="s">
        <v>68</v>
      </c>
      <c r="P36" s="274" t="s">
        <v>68</v>
      </c>
      <c r="Q36" s="274" t="s">
        <v>68</v>
      </c>
      <c r="R36" s="274" t="s">
        <v>68</v>
      </c>
      <c r="S36" s="274" t="s">
        <v>68</v>
      </c>
      <c r="T36" s="274" t="s">
        <v>68</v>
      </c>
      <c r="U36" s="274" t="s">
        <v>68</v>
      </c>
      <c r="V36" s="274" t="s">
        <v>68</v>
      </c>
      <c r="W36" s="274" t="s">
        <v>68</v>
      </c>
      <c r="X36" s="274" t="s">
        <v>68</v>
      </c>
      <c r="Y36" s="275">
        <f t="shared" si="1"/>
        <v>0</v>
      </c>
      <c r="Z36" s="473" t="str">
        <f t="shared" si="0"/>
        <v>Debe mejorar su trabajo.</v>
      </c>
      <c r="AA36" s="278">
        <f t="shared" si="2"/>
        <v>0</v>
      </c>
      <c r="AB36" s="273"/>
      <c r="AC36" s="2"/>
      <c r="AD36" s="2"/>
    </row>
    <row r="37" spans="1:30" ht="18" customHeight="1">
      <c r="A37" s="465">
        <v>22</v>
      </c>
      <c r="B37" s="466" t="str">
        <f>IFERROR(IF(VLOOKUP(A37,'REGISTRO DATOS'!B:H,2,0)=0,"",VLOOKUP(A37,'REGISTRO DATOS'!B:H,2,0)),"")</f>
        <v/>
      </c>
      <c r="C37" s="467" t="str">
        <f>IFERROR(IF(VLOOKUP(A37,'REGISTRO DATOS'!B:H,3,0)=0,"",VLOOKUP(A37,'REGISTRO DATOS'!B:H,3,0)),"")</f>
        <v/>
      </c>
      <c r="D37" s="467" t="str">
        <f>IFERROR(IF(VLOOKUP(A37,'REGISTRO DATOS'!B:H,4,0)=0,"",VLOOKUP(A37,'REGISTRO DATOS'!B:H,4,0)),"")</f>
        <v/>
      </c>
      <c r="E37" s="274" t="s">
        <v>68</v>
      </c>
      <c r="F37" s="274" t="s">
        <v>68</v>
      </c>
      <c r="G37" s="274" t="s">
        <v>68</v>
      </c>
      <c r="H37" s="274" t="s">
        <v>68</v>
      </c>
      <c r="I37" s="274" t="s">
        <v>68</v>
      </c>
      <c r="J37" s="274" t="s">
        <v>68</v>
      </c>
      <c r="K37" s="274" t="s">
        <v>68</v>
      </c>
      <c r="L37" s="274" t="s">
        <v>68</v>
      </c>
      <c r="M37" s="274" t="s">
        <v>68</v>
      </c>
      <c r="N37" s="274" t="s">
        <v>68</v>
      </c>
      <c r="O37" s="274" t="s">
        <v>68</v>
      </c>
      <c r="P37" s="274" t="s">
        <v>68</v>
      </c>
      <c r="Q37" s="274" t="s">
        <v>68</v>
      </c>
      <c r="R37" s="274" t="s">
        <v>68</v>
      </c>
      <c r="S37" s="274" t="s">
        <v>68</v>
      </c>
      <c r="T37" s="274" t="s">
        <v>68</v>
      </c>
      <c r="U37" s="274" t="s">
        <v>68</v>
      </c>
      <c r="V37" s="274" t="s">
        <v>68</v>
      </c>
      <c r="W37" s="274" t="s">
        <v>68</v>
      </c>
      <c r="X37" s="274" t="s">
        <v>68</v>
      </c>
      <c r="Y37" s="275">
        <f t="shared" si="1"/>
        <v>0</v>
      </c>
      <c r="Z37" s="473" t="str">
        <f t="shared" si="0"/>
        <v>Debe mejorar su trabajo.</v>
      </c>
      <c r="AA37" s="278">
        <f t="shared" si="2"/>
        <v>0</v>
      </c>
      <c r="AB37" s="273"/>
      <c r="AC37" s="2"/>
      <c r="AD37" s="2"/>
    </row>
    <row r="38" spans="1:30" ht="18" customHeight="1">
      <c r="A38" s="468">
        <v>23</v>
      </c>
      <c r="B38" s="466" t="str">
        <f>IFERROR(IF(VLOOKUP(A38,'REGISTRO DATOS'!B:H,2,0)=0,"",VLOOKUP(A38,'REGISTRO DATOS'!B:H,2,0)),"")</f>
        <v/>
      </c>
      <c r="C38" s="467" t="str">
        <f>IFERROR(IF(VLOOKUP(A38,'REGISTRO DATOS'!B:H,3,0)=0,"",VLOOKUP(A38,'REGISTRO DATOS'!B:H,3,0)),"")</f>
        <v/>
      </c>
      <c r="D38" s="467" t="str">
        <f>IFERROR(IF(VLOOKUP(A38,'REGISTRO DATOS'!B:H,4,0)=0,"",VLOOKUP(A38,'REGISTRO DATOS'!B:H,4,0)),"")</f>
        <v/>
      </c>
      <c r="E38" s="274" t="s">
        <v>68</v>
      </c>
      <c r="F38" s="274" t="s">
        <v>68</v>
      </c>
      <c r="G38" s="274" t="s">
        <v>68</v>
      </c>
      <c r="H38" s="274" t="s">
        <v>68</v>
      </c>
      <c r="I38" s="274" t="s">
        <v>68</v>
      </c>
      <c r="J38" s="274" t="s">
        <v>68</v>
      </c>
      <c r="K38" s="274" t="s">
        <v>68</v>
      </c>
      <c r="L38" s="274" t="s">
        <v>68</v>
      </c>
      <c r="M38" s="274" t="s">
        <v>68</v>
      </c>
      <c r="N38" s="274" t="s">
        <v>68</v>
      </c>
      <c r="O38" s="274" t="s">
        <v>68</v>
      </c>
      <c r="P38" s="274" t="s">
        <v>68</v>
      </c>
      <c r="Q38" s="274" t="s">
        <v>68</v>
      </c>
      <c r="R38" s="274" t="s">
        <v>68</v>
      </c>
      <c r="S38" s="274" t="s">
        <v>68</v>
      </c>
      <c r="T38" s="274" t="s">
        <v>68</v>
      </c>
      <c r="U38" s="274" t="s">
        <v>68</v>
      </c>
      <c r="V38" s="274" t="s">
        <v>68</v>
      </c>
      <c r="W38" s="274" t="s">
        <v>68</v>
      </c>
      <c r="X38" s="274" t="s">
        <v>68</v>
      </c>
      <c r="Y38" s="275">
        <f t="shared" si="1"/>
        <v>0</v>
      </c>
      <c r="Z38" s="473" t="str">
        <f t="shared" si="0"/>
        <v>Debe mejorar su trabajo.</v>
      </c>
      <c r="AA38" s="278">
        <f t="shared" si="2"/>
        <v>0</v>
      </c>
      <c r="AB38" s="273"/>
      <c r="AC38" s="2"/>
      <c r="AD38" s="2"/>
    </row>
    <row r="39" spans="1:30" ht="18" customHeight="1">
      <c r="A39" s="468">
        <v>24</v>
      </c>
      <c r="B39" s="466" t="str">
        <f>IFERROR(IF(VLOOKUP(A39,'REGISTRO DATOS'!B:H,2,0)=0,"",VLOOKUP(A39,'REGISTRO DATOS'!B:H,2,0)),"")</f>
        <v/>
      </c>
      <c r="C39" s="467" t="str">
        <f>IFERROR(IF(VLOOKUP(A39,'REGISTRO DATOS'!B:H,3,0)=0,"",VLOOKUP(A39,'REGISTRO DATOS'!B:H,3,0)),"")</f>
        <v/>
      </c>
      <c r="D39" s="467" t="str">
        <f>IFERROR(IF(VLOOKUP(A39,'REGISTRO DATOS'!B:H,4,0)=0,"",VLOOKUP(A39,'REGISTRO DATOS'!B:H,4,0)),"")</f>
        <v/>
      </c>
      <c r="E39" s="274" t="s">
        <v>68</v>
      </c>
      <c r="F39" s="274" t="s">
        <v>68</v>
      </c>
      <c r="G39" s="274" t="s">
        <v>68</v>
      </c>
      <c r="H39" s="274" t="s">
        <v>68</v>
      </c>
      <c r="I39" s="274" t="s">
        <v>68</v>
      </c>
      <c r="J39" s="274" t="s">
        <v>68</v>
      </c>
      <c r="K39" s="274" t="s">
        <v>68</v>
      </c>
      <c r="L39" s="274" t="s">
        <v>68</v>
      </c>
      <c r="M39" s="274" t="s">
        <v>68</v>
      </c>
      <c r="N39" s="274" t="s">
        <v>68</v>
      </c>
      <c r="O39" s="274" t="s">
        <v>68</v>
      </c>
      <c r="P39" s="274" t="s">
        <v>68</v>
      </c>
      <c r="Q39" s="274" t="s">
        <v>68</v>
      </c>
      <c r="R39" s="274" t="s">
        <v>68</v>
      </c>
      <c r="S39" s="274" t="s">
        <v>68</v>
      </c>
      <c r="T39" s="274" t="s">
        <v>68</v>
      </c>
      <c r="U39" s="274" t="s">
        <v>68</v>
      </c>
      <c r="V39" s="274" t="s">
        <v>68</v>
      </c>
      <c r="W39" s="274" t="s">
        <v>68</v>
      </c>
      <c r="X39" s="274" t="s">
        <v>68</v>
      </c>
      <c r="Y39" s="275">
        <f t="shared" si="1"/>
        <v>0</v>
      </c>
      <c r="Z39" s="473" t="str">
        <f t="shared" si="0"/>
        <v>Debe mejorar su trabajo.</v>
      </c>
      <c r="AA39" s="278">
        <f t="shared" si="2"/>
        <v>0</v>
      </c>
      <c r="AB39" s="273"/>
      <c r="AC39" s="2"/>
      <c r="AD39" s="2"/>
    </row>
    <row r="40" spans="1:30" ht="18" customHeight="1">
      <c r="A40" s="465">
        <v>25</v>
      </c>
      <c r="B40" s="466" t="str">
        <f>IFERROR(IF(VLOOKUP(A40,'REGISTRO DATOS'!B:H,2,0)=0,"",VLOOKUP(A40,'REGISTRO DATOS'!B:H,2,0)),"")</f>
        <v/>
      </c>
      <c r="C40" s="467" t="str">
        <f>IFERROR(IF(VLOOKUP(A40,'REGISTRO DATOS'!B:H,3,0)=0,"",VLOOKUP(A40,'REGISTRO DATOS'!B:H,3,0)),"")</f>
        <v/>
      </c>
      <c r="D40" s="467" t="str">
        <f>IFERROR(IF(VLOOKUP(A40,'REGISTRO DATOS'!B:H,4,0)=0,"",VLOOKUP(A40,'REGISTRO DATOS'!B:H,4,0)),"")</f>
        <v/>
      </c>
      <c r="E40" s="274" t="s">
        <v>68</v>
      </c>
      <c r="F40" s="274" t="s">
        <v>68</v>
      </c>
      <c r="G40" s="274" t="s">
        <v>68</v>
      </c>
      <c r="H40" s="274" t="s">
        <v>68</v>
      </c>
      <c r="I40" s="274" t="s">
        <v>68</v>
      </c>
      <c r="J40" s="274" t="s">
        <v>68</v>
      </c>
      <c r="K40" s="274" t="s">
        <v>68</v>
      </c>
      <c r="L40" s="274" t="s">
        <v>68</v>
      </c>
      <c r="M40" s="274" t="s">
        <v>68</v>
      </c>
      <c r="N40" s="274" t="s">
        <v>68</v>
      </c>
      <c r="O40" s="274" t="s">
        <v>68</v>
      </c>
      <c r="P40" s="274" t="s">
        <v>68</v>
      </c>
      <c r="Q40" s="274" t="s">
        <v>68</v>
      </c>
      <c r="R40" s="274" t="s">
        <v>68</v>
      </c>
      <c r="S40" s="274" t="s">
        <v>68</v>
      </c>
      <c r="T40" s="274" t="s">
        <v>68</v>
      </c>
      <c r="U40" s="274" t="s">
        <v>68</v>
      </c>
      <c r="V40" s="274" t="s">
        <v>68</v>
      </c>
      <c r="W40" s="274" t="s">
        <v>68</v>
      </c>
      <c r="X40" s="274" t="s">
        <v>68</v>
      </c>
      <c r="Y40" s="275">
        <f t="shared" si="1"/>
        <v>0</v>
      </c>
      <c r="Z40" s="473" t="str">
        <f t="shared" si="0"/>
        <v>Debe mejorar su trabajo.</v>
      </c>
      <c r="AA40" s="278">
        <f t="shared" si="2"/>
        <v>0</v>
      </c>
      <c r="AB40" s="273"/>
      <c r="AC40" s="2"/>
      <c r="AD40" s="2"/>
    </row>
    <row r="41" spans="1:30" ht="18" customHeight="1">
      <c r="A41" s="468">
        <v>26</v>
      </c>
      <c r="B41" s="466" t="str">
        <f>IFERROR(IF(VLOOKUP(A41,'REGISTRO DATOS'!B:H,2,0)=0,"",VLOOKUP(A41,'REGISTRO DATOS'!B:H,2,0)),"")</f>
        <v/>
      </c>
      <c r="C41" s="467" t="str">
        <f>IFERROR(IF(VLOOKUP(A41,'REGISTRO DATOS'!B:H,3,0)=0,"",VLOOKUP(A41,'REGISTRO DATOS'!B:H,3,0)),"")</f>
        <v/>
      </c>
      <c r="D41" s="467" t="str">
        <f>IFERROR(IF(VLOOKUP(A41,'REGISTRO DATOS'!B:H,4,0)=0,"",VLOOKUP(A41,'REGISTRO DATOS'!B:H,4,0)),"")</f>
        <v/>
      </c>
      <c r="E41" s="274" t="s">
        <v>68</v>
      </c>
      <c r="F41" s="274" t="s">
        <v>68</v>
      </c>
      <c r="G41" s="274" t="s">
        <v>68</v>
      </c>
      <c r="H41" s="274" t="s">
        <v>68</v>
      </c>
      <c r="I41" s="274" t="s">
        <v>68</v>
      </c>
      <c r="J41" s="274" t="s">
        <v>68</v>
      </c>
      <c r="K41" s="274" t="s">
        <v>68</v>
      </c>
      <c r="L41" s="274" t="s">
        <v>68</v>
      </c>
      <c r="M41" s="274" t="s">
        <v>68</v>
      </c>
      <c r="N41" s="274" t="s">
        <v>68</v>
      </c>
      <c r="O41" s="274" t="s">
        <v>68</v>
      </c>
      <c r="P41" s="274" t="s">
        <v>68</v>
      </c>
      <c r="Q41" s="274" t="s">
        <v>68</v>
      </c>
      <c r="R41" s="274" t="s">
        <v>68</v>
      </c>
      <c r="S41" s="274" t="s">
        <v>68</v>
      </c>
      <c r="T41" s="274" t="s">
        <v>68</v>
      </c>
      <c r="U41" s="274" t="s">
        <v>68</v>
      </c>
      <c r="V41" s="274" t="s">
        <v>68</v>
      </c>
      <c r="W41" s="274" t="s">
        <v>68</v>
      </c>
      <c r="X41" s="274" t="s">
        <v>68</v>
      </c>
      <c r="Y41" s="275">
        <f t="shared" si="1"/>
        <v>0</v>
      </c>
      <c r="Z41" s="473" t="str">
        <f t="shared" si="0"/>
        <v>Debe mejorar su trabajo.</v>
      </c>
      <c r="AA41" s="278">
        <f t="shared" si="2"/>
        <v>0</v>
      </c>
      <c r="AB41" s="273"/>
      <c r="AC41" s="2"/>
      <c r="AD41" s="2"/>
    </row>
    <row r="42" spans="1:30" ht="18" customHeight="1">
      <c r="A42" s="468">
        <v>27</v>
      </c>
      <c r="B42" s="466" t="str">
        <f>IFERROR(IF(VLOOKUP(A42,'REGISTRO DATOS'!B:H,2,0)=0,"",VLOOKUP(A42,'REGISTRO DATOS'!B:H,2,0)),"")</f>
        <v/>
      </c>
      <c r="C42" s="467" t="str">
        <f>IFERROR(IF(VLOOKUP(A42,'REGISTRO DATOS'!B:H,3,0)=0,"",VLOOKUP(A42,'REGISTRO DATOS'!B:H,3,0)),"")</f>
        <v/>
      </c>
      <c r="D42" s="467" t="str">
        <f>IFERROR(IF(VLOOKUP(A42,'REGISTRO DATOS'!B:H,4,0)=0,"",VLOOKUP(A42,'REGISTRO DATOS'!B:H,4,0)),"")</f>
        <v/>
      </c>
      <c r="E42" s="274" t="s">
        <v>68</v>
      </c>
      <c r="F42" s="274" t="s">
        <v>68</v>
      </c>
      <c r="G42" s="274" t="s">
        <v>68</v>
      </c>
      <c r="H42" s="274" t="s">
        <v>68</v>
      </c>
      <c r="I42" s="274" t="s">
        <v>68</v>
      </c>
      <c r="J42" s="274" t="s">
        <v>68</v>
      </c>
      <c r="K42" s="274" t="s">
        <v>68</v>
      </c>
      <c r="L42" s="274" t="s">
        <v>68</v>
      </c>
      <c r="M42" s="274" t="s">
        <v>68</v>
      </c>
      <c r="N42" s="274" t="s">
        <v>68</v>
      </c>
      <c r="O42" s="274" t="s">
        <v>68</v>
      </c>
      <c r="P42" s="274" t="s">
        <v>68</v>
      </c>
      <c r="Q42" s="274" t="s">
        <v>68</v>
      </c>
      <c r="R42" s="274" t="s">
        <v>68</v>
      </c>
      <c r="S42" s="274" t="s">
        <v>68</v>
      </c>
      <c r="T42" s="274" t="s">
        <v>68</v>
      </c>
      <c r="U42" s="274" t="s">
        <v>68</v>
      </c>
      <c r="V42" s="274" t="s">
        <v>68</v>
      </c>
      <c r="W42" s="274" t="s">
        <v>68</v>
      </c>
      <c r="X42" s="274" t="s">
        <v>68</v>
      </c>
      <c r="Y42" s="275">
        <f t="shared" si="1"/>
        <v>0</v>
      </c>
      <c r="Z42" s="473" t="str">
        <f t="shared" si="0"/>
        <v>Debe mejorar su trabajo.</v>
      </c>
      <c r="AA42" s="278">
        <f t="shared" si="2"/>
        <v>0</v>
      </c>
      <c r="AB42" s="273"/>
      <c r="AC42" s="2"/>
      <c r="AD42" s="2"/>
    </row>
    <row r="43" spans="1:30" ht="18" customHeight="1">
      <c r="A43" s="465">
        <v>28</v>
      </c>
      <c r="B43" s="466" t="str">
        <f>IFERROR(IF(VLOOKUP(A43,'REGISTRO DATOS'!B:H,2,0)=0,"",VLOOKUP(A43,'REGISTRO DATOS'!B:H,2,0)),"")</f>
        <v/>
      </c>
      <c r="C43" s="467" t="str">
        <f>IFERROR(IF(VLOOKUP(A43,'REGISTRO DATOS'!B:H,3,0)=0,"",VLOOKUP(A43,'REGISTRO DATOS'!B:H,3,0)),"")</f>
        <v/>
      </c>
      <c r="D43" s="467" t="str">
        <f>IFERROR(IF(VLOOKUP(A43,'REGISTRO DATOS'!B:H,4,0)=0,"",VLOOKUP(A43,'REGISTRO DATOS'!B:H,4,0)),"")</f>
        <v/>
      </c>
      <c r="E43" s="274" t="s">
        <v>68</v>
      </c>
      <c r="F43" s="274" t="s">
        <v>68</v>
      </c>
      <c r="G43" s="274" t="s">
        <v>68</v>
      </c>
      <c r="H43" s="274" t="s">
        <v>68</v>
      </c>
      <c r="I43" s="274" t="s">
        <v>68</v>
      </c>
      <c r="J43" s="274" t="s">
        <v>68</v>
      </c>
      <c r="K43" s="274" t="s">
        <v>68</v>
      </c>
      <c r="L43" s="274" t="s">
        <v>68</v>
      </c>
      <c r="M43" s="274" t="s">
        <v>68</v>
      </c>
      <c r="N43" s="274" t="s">
        <v>68</v>
      </c>
      <c r="O43" s="274" t="s">
        <v>68</v>
      </c>
      <c r="P43" s="274" t="s">
        <v>68</v>
      </c>
      <c r="Q43" s="274" t="s">
        <v>68</v>
      </c>
      <c r="R43" s="274" t="s">
        <v>68</v>
      </c>
      <c r="S43" s="274" t="s">
        <v>68</v>
      </c>
      <c r="T43" s="274" t="s">
        <v>68</v>
      </c>
      <c r="U43" s="274" t="s">
        <v>68</v>
      </c>
      <c r="V43" s="274" t="s">
        <v>68</v>
      </c>
      <c r="W43" s="274" t="s">
        <v>68</v>
      </c>
      <c r="X43" s="274" t="s">
        <v>68</v>
      </c>
      <c r="Y43" s="275">
        <f t="shared" si="1"/>
        <v>0</v>
      </c>
      <c r="Z43" s="473" t="str">
        <f t="shared" si="0"/>
        <v>Debe mejorar su trabajo.</v>
      </c>
      <c r="AA43" s="278">
        <f t="shared" si="2"/>
        <v>0</v>
      </c>
      <c r="AB43" s="273"/>
      <c r="AC43" s="2"/>
      <c r="AD43" s="2"/>
    </row>
    <row r="44" spans="1:30" ht="18" customHeight="1">
      <c r="A44" s="468">
        <v>29</v>
      </c>
      <c r="B44" s="466" t="str">
        <f>IFERROR(IF(VLOOKUP(A44,'REGISTRO DATOS'!B:H,2,0)=0,"",VLOOKUP(A44,'REGISTRO DATOS'!B:H,2,0)),"")</f>
        <v/>
      </c>
      <c r="C44" s="467" t="str">
        <f>IFERROR(IF(VLOOKUP(A44,'REGISTRO DATOS'!B:H,3,0)=0,"",VLOOKUP(A44,'REGISTRO DATOS'!B:H,3,0)),"")</f>
        <v/>
      </c>
      <c r="D44" s="467" t="str">
        <f>IFERROR(IF(VLOOKUP(A44,'REGISTRO DATOS'!B:H,4,0)=0,"",VLOOKUP(A44,'REGISTRO DATOS'!B:H,4,0)),"")</f>
        <v/>
      </c>
      <c r="E44" s="274" t="s">
        <v>68</v>
      </c>
      <c r="F44" s="274" t="s">
        <v>68</v>
      </c>
      <c r="G44" s="274" t="s">
        <v>68</v>
      </c>
      <c r="H44" s="274" t="s">
        <v>68</v>
      </c>
      <c r="I44" s="274" t="s">
        <v>68</v>
      </c>
      <c r="J44" s="274" t="s">
        <v>68</v>
      </c>
      <c r="K44" s="274" t="s">
        <v>68</v>
      </c>
      <c r="L44" s="274" t="s">
        <v>68</v>
      </c>
      <c r="M44" s="274" t="s">
        <v>68</v>
      </c>
      <c r="N44" s="274" t="s">
        <v>68</v>
      </c>
      <c r="O44" s="274" t="s">
        <v>68</v>
      </c>
      <c r="P44" s="274" t="s">
        <v>68</v>
      </c>
      <c r="Q44" s="274" t="s">
        <v>68</v>
      </c>
      <c r="R44" s="274" t="s">
        <v>68</v>
      </c>
      <c r="S44" s="274" t="s">
        <v>68</v>
      </c>
      <c r="T44" s="274" t="s">
        <v>68</v>
      </c>
      <c r="U44" s="274" t="s">
        <v>68</v>
      </c>
      <c r="V44" s="274" t="s">
        <v>68</v>
      </c>
      <c r="W44" s="274" t="s">
        <v>68</v>
      </c>
      <c r="X44" s="274" t="s">
        <v>68</v>
      </c>
      <c r="Y44" s="275">
        <f t="shared" si="1"/>
        <v>0</v>
      </c>
      <c r="Z44" s="473" t="str">
        <f t="shared" si="0"/>
        <v>Debe mejorar su trabajo.</v>
      </c>
      <c r="AA44" s="278">
        <f t="shared" si="2"/>
        <v>0</v>
      </c>
      <c r="AB44" s="273"/>
      <c r="AC44" s="2"/>
      <c r="AD44" s="2"/>
    </row>
    <row r="45" spans="1:30" ht="18" customHeight="1">
      <c r="A45" s="468">
        <v>30</v>
      </c>
      <c r="B45" s="466" t="str">
        <f>IFERROR(IF(VLOOKUP(A45,'REGISTRO DATOS'!B:H,2,0)=0,"",VLOOKUP(A45,'REGISTRO DATOS'!B:H,2,0)),"")</f>
        <v/>
      </c>
      <c r="C45" s="467" t="str">
        <f>IFERROR(IF(VLOOKUP(A45,'REGISTRO DATOS'!B:H,3,0)=0,"",VLOOKUP(A45,'REGISTRO DATOS'!B:H,3,0)),"")</f>
        <v/>
      </c>
      <c r="D45" s="467" t="str">
        <f>IFERROR(IF(VLOOKUP(A45,'REGISTRO DATOS'!B:H,4,0)=0,"",VLOOKUP(A45,'REGISTRO DATOS'!B:H,4,0)),"")</f>
        <v/>
      </c>
      <c r="E45" s="274" t="s">
        <v>68</v>
      </c>
      <c r="F45" s="274" t="s">
        <v>68</v>
      </c>
      <c r="G45" s="274" t="s">
        <v>68</v>
      </c>
      <c r="H45" s="274" t="s">
        <v>68</v>
      </c>
      <c r="I45" s="274" t="s">
        <v>68</v>
      </c>
      <c r="J45" s="274" t="s">
        <v>68</v>
      </c>
      <c r="K45" s="274" t="s">
        <v>68</v>
      </c>
      <c r="L45" s="274" t="s">
        <v>68</v>
      </c>
      <c r="M45" s="274" t="s">
        <v>68</v>
      </c>
      <c r="N45" s="274" t="s">
        <v>68</v>
      </c>
      <c r="O45" s="274" t="s">
        <v>68</v>
      </c>
      <c r="P45" s="274" t="s">
        <v>68</v>
      </c>
      <c r="Q45" s="274" t="s">
        <v>68</v>
      </c>
      <c r="R45" s="274" t="s">
        <v>68</v>
      </c>
      <c r="S45" s="274" t="s">
        <v>68</v>
      </c>
      <c r="T45" s="274" t="s">
        <v>68</v>
      </c>
      <c r="U45" s="274" t="s">
        <v>68</v>
      </c>
      <c r="V45" s="274" t="s">
        <v>68</v>
      </c>
      <c r="W45" s="274" t="s">
        <v>68</v>
      </c>
      <c r="X45" s="274" t="s">
        <v>68</v>
      </c>
      <c r="Y45" s="275">
        <f t="shared" si="1"/>
        <v>0</v>
      </c>
      <c r="Z45" s="473" t="str">
        <f t="shared" si="0"/>
        <v>Debe mejorar su trabajo.</v>
      </c>
      <c r="AA45" s="278">
        <f t="shared" si="2"/>
        <v>0</v>
      </c>
      <c r="AB45" s="273"/>
      <c r="AC45" s="2"/>
      <c r="AD45" s="2"/>
    </row>
    <row r="46" spans="1:30" ht="18" customHeight="1">
      <c r="A46" s="465">
        <v>31</v>
      </c>
      <c r="B46" s="466" t="str">
        <f>IFERROR(IF(VLOOKUP(A46,'REGISTRO DATOS'!B:H,2,0)=0,"",VLOOKUP(A46,'REGISTRO DATOS'!B:H,2,0)),"")</f>
        <v/>
      </c>
      <c r="C46" s="467" t="str">
        <f>IFERROR(IF(VLOOKUP(A46,'REGISTRO DATOS'!B:H,3,0)=0,"",VLOOKUP(A46,'REGISTRO DATOS'!B:H,3,0)),"")</f>
        <v/>
      </c>
      <c r="D46" s="467" t="str">
        <f>IFERROR(IF(VLOOKUP(A46,'REGISTRO DATOS'!B:H,4,0)=0,"",VLOOKUP(A46,'REGISTRO DATOS'!B:H,4,0)),"")</f>
        <v/>
      </c>
      <c r="E46" s="274" t="s">
        <v>68</v>
      </c>
      <c r="F46" s="274" t="s">
        <v>68</v>
      </c>
      <c r="G46" s="274" t="s">
        <v>68</v>
      </c>
      <c r="H46" s="274" t="s">
        <v>68</v>
      </c>
      <c r="I46" s="274" t="s">
        <v>68</v>
      </c>
      <c r="J46" s="274" t="s">
        <v>68</v>
      </c>
      <c r="K46" s="274" t="s">
        <v>68</v>
      </c>
      <c r="L46" s="274" t="s">
        <v>68</v>
      </c>
      <c r="M46" s="274" t="s">
        <v>68</v>
      </c>
      <c r="N46" s="274" t="s">
        <v>68</v>
      </c>
      <c r="O46" s="274" t="s">
        <v>68</v>
      </c>
      <c r="P46" s="274" t="s">
        <v>68</v>
      </c>
      <c r="Q46" s="274" t="s">
        <v>68</v>
      </c>
      <c r="R46" s="274" t="s">
        <v>68</v>
      </c>
      <c r="S46" s="274" t="s">
        <v>68</v>
      </c>
      <c r="T46" s="274" t="s">
        <v>68</v>
      </c>
      <c r="U46" s="274" t="s">
        <v>68</v>
      </c>
      <c r="V46" s="274" t="s">
        <v>68</v>
      </c>
      <c r="W46" s="274" t="s">
        <v>68</v>
      </c>
      <c r="X46" s="274" t="s">
        <v>68</v>
      </c>
      <c r="Y46" s="275">
        <f t="shared" si="1"/>
        <v>0</v>
      </c>
      <c r="Z46" s="473" t="str">
        <f t="shared" si="0"/>
        <v>Debe mejorar su trabajo.</v>
      </c>
      <c r="AA46" s="278">
        <f t="shared" si="2"/>
        <v>0</v>
      </c>
      <c r="AB46" s="273"/>
      <c r="AC46" s="2"/>
      <c r="AD46" s="2"/>
    </row>
    <row r="47" spans="1:30" ht="18" customHeight="1">
      <c r="A47" s="468">
        <v>32</v>
      </c>
      <c r="B47" s="466" t="str">
        <f>IFERROR(IF(VLOOKUP(A47,'REGISTRO DATOS'!B:H,2,0)=0,"",VLOOKUP(A47,'REGISTRO DATOS'!B:H,2,0)),"")</f>
        <v/>
      </c>
      <c r="C47" s="467" t="str">
        <f>IFERROR(IF(VLOOKUP(A47,'REGISTRO DATOS'!B:H,3,0)=0,"",VLOOKUP(A47,'REGISTRO DATOS'!B:H,3,0)),"")</f>
        <v/>
      </c>
      <c r="D47" s="467" t="str">
        <f>IFERROR(IF(VLOOKUP(A47,'REGISTRO DATOS'!B:H,4,0)=0,"",VLOOKUP(A47,'REGISTRO DATOS'!B:H,4,0)),"")</f>
        <v/>
      </c>
      <c r="E47" s="274" t="s">
        <v>68</v>
      </c>
      <c r="F47" s="274" t="s">
        <v>68</v>
      </c>
      <c r="G47" s="274" t="s">
        <v>68</v>
      </c>
      <c r="H47" s="274" t="s">
        <v>68</v>
      </c>
      <c r="I47" s="274" t="s">
        <v>68</v>
      </c>
      <c r="J47" s="274" t="s">
        <v>68</v>
      </c>
      <c r="K47" s="274" t="s">
        <v>68</v>
      </c>
      <c r="L47" s="274" t="s">
        <v>68</v>
      </c>
      <c r="M47" s="274" t="s">
        <v>68</v>
      </c>
      <c r="N47" s="274" t="s">
        <v>68</v>
      </c>
      <c r="O47" s="274" t="s">
        <v>68</v>
      </c>
      <c r="P47" s="274" t="s">
        <v>68</v>
      </c>
      <c r="Q47" s="274" t="s">
        <v>68</v>
      </c>
      <c r="R47" s="274" t="s">
        <v>68</v>
      </c>
      <c r="S47" s="274" t="s">
        <v>68</v>
      </c>
      <c r="T47" s="274" t="s">
        <v>68</v>
      </c>
      <c r="U47" s="274" t="s">
        <v>68</v>
      </c>
      <c r="V47" s="274" t="s">
        <v>68</v>
      </c>
      <c r="W47" s="274" t="s">
        <v>68</v>
      </c>
      <c r="X47" s="274" t="s">
        <v>68</v>
      </c>
      <c r="Y47" s="275">
        <f t="shared" si="1"/>
        <v>0</v>
      </c>
      <c r="Z47" s="473" t="str">
        <f t="shared" si="0"/>
        <v>Debe mejorar su trabajo.</v>
      </c>
      <c r="AA47" s="278">
        <f t="shared" si="2"/>
        <v>0</v>
      </c>
      <c r="AB47" s="273"/>
      <c r="AC47" s="2"/>
      <c r="AD47" s="2"/>
    </row>
    <row r="48" spans="1:30" ht="18" customHeight="1">
      <c r="A48" s="468">
        <v>33</v>
      </c>
      <c r="B48" s="466" t="str">
        <f>IFERROR(IF(VLOOKUP(A48,'REGISTRO DATOS'!B:H,2,0)=0,"",VLOOKUP(A48,'REGISTRO DATOS'!B:H,2,0)),"")</f>
        <v/>
      </c>
      <c r="C48" s="467" t="str">
        <f>IFERROR(IF(VLOOKUP(A48,'REGISTRO DATOS'!B:H,3,0)=0,"",VLOOKUP(A48,'REGISTRO DATOS'!B:H,3,0)),"")</f>
        <v/>
      </c>
      <c r="D48" s="467" t="str">
        <f>IFERROR(IF(VLOOKUP(A48,'REGISTRO DATOS'!B:H,4,0)=0,"",VLOOKUP(A48,'REGISTRO DATOS'!B:H,4,0)),"")</f>
        <v/>
      </c>
      <c r="E48" s="274" t="s">
        <v>68</v>
      </c>
      <c r="F48" s="274" t="s">
        <v>68</v>
      </c>
      <c r="G48" s="274" t="s">
        <v>68</v>
      </c>
      <c r="H48" s="274" t="s">
        <v>68</v>
      </c>
      <c r="I48" s="274" t="s">
        <v>68</v>
      </c>
      <c r="J48" s="274" t="s">
        <v>68</v>
      </c>
      <c r="K48" s="274" t="s">
        <v>68</v>
      </c>
      <c r="L48" s="274" t="s">
        <v>68</v>
      </c>
      <c r="M48" s="274" t="s">
        <v>68</v>
      </c>
      <c r="N48" s="274" t="s">
        <v>68</v>
      </c>
      <c r="O48" s="274" t="s">
        <v>68</v>
      </c>
      <c r="P48" s="274" t="s">
        <v>68</v>
      </c>
      <c r="Q48" s="274" t="s">
        <v>68</v>
      </c>
      <c r="R48" s="274" t="s">
        <v>68</v>
      </c>
      <c r="S48" s="274" t="s">
        <v>68</v>
      </c>
      <c r="T48" s="274" t="s">
        <v>68</v>
      </c>
      <c r="U48" s="274" t="s">
        <v>68</v>
      </c>
      <c r="V48" s="274" t="s">
        <v>68</v>
      </c>
      <c r="W48" s="274" t="s">
        <v>68</v>
      </c>
      <c r="X48" s="274" t="s">
        <v>68</v>
      </c>
      <c r="Y48" s="275">
        <f t="shared" si="1"/>
        <v>0</v>
      </c>
      <c r="Z48" s="473" t="str">
        <f t="shared" si="0"/>
        <v>Debe mejorar su trabajo.</v>
      </c>
      <c r="AA48" s="278">
        <f t="shared" si="2"/>
        <v>0</v>
      </c>
      <c r="AB48" s="273"/>
      <c r="AC48" s="2"/>
      <c r="AD48" s="2"/>
    </row>
    <row r="49" spans="1:30" ht="18" customHeight="1">
      <c r="A49" s="465">
        <v>34</v>
      </c>
      <c r="B49" s="466" t="str">
        <f>IFERROR(IF(VLOOKUP(A49,'REGISTRO DATOS'!B:H,2,0)=0,"",VLOOKUP(A49,'REGISTRO DATOS'!B:H,2,0)),"")</f>
        <v/>
      </c>
      <c r="C49" s="467" t="str">
        <f>IFERROR(IF(VLOOKUP(A49,'REGISTRO DATOS'!B:H,3,0)=0,"",VLOOKUP(A49,'REGISTRO DATOS'!B:H,3,0)),"")</f>
        <v/>
      </c>
      <c r="D49" s="467" t="str">
        <f>IFERROR(IF(VLOOKUP(A49,'REGISTRO DATOS'!B:H,4,0)=0,"",VLOOKUP(A49,'REGISTRO DATOS'!B:H,4,0)),"")</f>
        <v/>
      </c>
      <c r="E49" s="274" t="s">
        <v>68</v>
      </c>
      <c r="F49" s="274" t="s">
        <v>68</v>
      </c>
      <c r="G49" s="274" t="s">
        <v>68</v>
      </c>
      <c r="H49" s="274" t="s">
        <v>68</v>
      </c>
      <c r="I49" s="274" t="s">
        <v>68</v>
      </c>
      <c r="J49" s="274" t="s">
        <v>68</v>
      </c>
      <c r="K49" s="274" t="s">
        <v>68</v>
      </c>
      <c r="L49" s="274" t="s">
        <v>68</v>
      </c>
      <c r="M49" s="274" t="s">
        <v>68</v>
      </c>
      <c r="N49" s="274" t="s">
        <v>68</v>
      </c>
      <c r="O49" s="274" t="s">
        <v>68</v>
      </c>
      <c r="P49" s="274" t="s">
        <v>68</v>
      </c>
      <c r="Q49" s="274" t="s">
        <v>68</v>
      </c>
      <c r="R49" s="274" t="s">
        <v>68</v>
      </c>
      <c r="S49" s="274" t="s">
        <v>68</v>
      </c>
      <c r="T49" s="274" t="s">
        <v>68</v>
      </c>
      <c r="U49" s="274" t="s">
        <v>68</v>
      </c>
      <c r="V49" s="274" t="s">
        <v>68</v>
      </c>
      <c r="W49" s="274" t="s">
        <v>68</v>
      </c>
      <c r="X49" s="274" t="s">
        <v>68</v>
      </c>
      <c r="Y49" s="275">
        <f t="shared" si="1"/>
        <v>0</v>
      </c>
      <c r="Z49" s="473" t="str">
        <f t="shared" si="0"/>
        <v>Debe mejorar su trabajo.</v>
      </c>
      <c r="AA49" s="278">
        <f t="shared" si="2"/>
        <v>0</v>
      </c>
      <c r="AB49" s="273"/>
      <c r="AC49" s="2"/>
      <c r="AD49" s="2"/>
    </row>
    <row r="50" spans="1:30" ht="18" customHeight="1">
      <c r="A50" s="468">
        <v>35</v>
      </c>
      <c r="B50" s="466" t="str">
        <f>IFERROR(IF(VLOOKUP(A50,'REGISTRO DATOS'!B:H,2,0)=0,"",VLOOKUP(A50,'REGISTRO DATOS'!B:H,2,0)),"")</f>
        <v/>
      </c>
      <c r="C50" s="467" t="str">
        <f>IFERROR(IF(VLOOKUP(A50,'REGISTRO DATOS'!B:H,3,0)=0,"",VLOOKUP(A50,'REGISTRO DATOS'!B:H,3,0)),"")</f>
        <v/>
      </c>
      <c r="D50" s="467" t="str">
        <f>IFERROR(IF(VLOOKUP(A50,'REGISTRO DATOS'!B:H,4,0)=0,"",VLOOKUP(A50,'REGISTRO DATOS'!B:H,4,0)),"")</f>
        <v/>
      </c>
      <c r="E50" s="274" t="s">
        <v>68</v>
      </c>
      <c r="F50" s="274" t="s">
        <v>68</v>
      </c>
      <c r="G50" s="274" t="s">
        <v>68</v>
      </c>
      <c r="H50" s="274" t="s">
        <v>68</v>
      </c>
      <c r="I50" s="274" t="s">
        <v>68</v>
      </c>
      <c r="J50" s="274" t="s">
        <v>68</v>
      </c>
      <c r="K50" s="274" t="s">
        <v>68</v>
      </c>
      <c r="L50" s="274" t="s">
        <v>68</v>
      </c>
      <c r="M50" s="274" t="s">
        <v>68</v>
      </c>
      <c r="N50" s="274" t="s">
        <v>68</v>
      </c>
      <c r="O50" s="274" t="s">
        <v>68</v>
      </c>
      <c r="P50" s="274" t="s">
        <v>68</v>
      </c>
      <c r="Q50" s="274" t="s">
        <v>68</v>
      </c>
      <c r="R50" s="274" t="s">
        <v>68</v>
      </c>
      <c r="S50" s="274" t="s">
        <v>68</v>
      </c>
      <c r="T50" s="274" t="s">
        <v>68</v>
      </c>
      <c r="U50" s="274" t="s">
        <v>68</v>
      </c>
      <c r="V50" s="274" t="s">
        <v>68</v>
      </c>
      <c r="W50" s="274" t="s">
        <v>68</v>
      </c>
      <c r="X50" s="274" t="s">
        <v>68</v>
      </c>
      <c r="Y50" s="275">
        <f t="shared" si="1"/>
        <v>0</v>
      </c>
      <c r="Z50" s="473" t="str">
        <f t="shared" si="0"/>
        <v>Debe mejorar su trabajo.</v>
      </c>
      <c r="AA50" s="278">
        <f t="shared" si="2"/>
        <v>0</v>
      </c>
      <c r="AB50" s="273"/>
      <c r="AC50" s="2"/>
      <c r="AD50" s="2"/>
    </row>
    <row r="51" spans="1:30" ht="18" customHeight="1">
      <c r="A51" s="468">
        <v>36</v>
      </c>
      <c r="B51" s="466" t="str">
        <f>IFERROR(IF(VLOOKUP(A51,'REGISTRO DATOS'!B:H,2,0)=0,"",VLOOKUP(A51,'REGISTRO DATOS'!B:H,2,0)),"")</f>
        <v/>
      </c>
      <c r="C51" s="467" t="str">
        <f>IFERROR(IF(VLOOKUP(A51,'REGISTRO DATOS'!B:H,3,0)=0,"",VLOOKUP(A51,'REGISTRO DATOS'!B:H,3,0)),"")</f>
        <v/>
      </c>
      <c r="D51" s="467" t="str">
        <f>IFERROR(IF(VLOOKUP(A51,'REGISTRO DATOS'!B:H,4,0)=0,"",VLOOKUP(A51,'REGISTRO DATOS'!B:H,4,0)),"")</f>
        <v/>
      </c>
      <c r="E51" s="274" t="s">
        <v>68</v>
      </c>
      <c r="F51" s="274" t="s">
        <v>68</v>
      </c>
      <c r="G51" s="274" t="s">
        <v>68</v>
      </c>
      <c r="H51" s="274" t="s">
        <v>68</v>
      </c>
      <c r="I51" s="274" t="s">
        <v>68</v>
      </c>
      <c r="J51" s="274" t="s">
        <v>68</v>
      </c>
      <c r="K51" s="274" t="s">
        <v>68</v>
      </c>
      <c r="L51" s="274" t="s">
        <v>68</v>
      </c>
      <c r="M51" s="274" t="s">
        <v>68</v>
      </c>
      <c r="N51" s="274" t="s">
        <v>68</v>
      </c>
      <c r="O51" s="274" t="s">
        <v>68</v>
      </c>
      <c r="P51" s="274" t="s">
        <v>68</v>
      </c>
      <c r="Q51" s="274" t="s">
        <v>68</v>
      </c>
      <c r="R51" s="274" t="s">
        <v>68</v>
      </c>
      <c r="S51" s="274" t="s">
        <v>68</v>
      </c>
      <c r="T51" s="274" t="s">
        <v>68</v>
      </c>
      <c r="U51" s="274" t="s">
        <v>68</v>
      </c>
      <c r="V51" s="274" t="s">
        <v>68</v>
      </c>
      <c r="W51" s="274" t="s">
        <v>68</v>
      </c>
      <c r="X51" s="274" t="s">
        <v>68</v>
      </c>
      <c r="Y51" s="275">
        <f t="shared" si="1"/>
        <v>0</v>
      </c>
      <c r="Z51" s="473" t="str">
        <f t="shared" si="0"/>
        <v>Debe mejorar su trabajo.</v>
      </c>
      <c r="AA51" s="278">
        <f t="shared" si="2"/>
        <v>0</v>
      </c>
      <c r="AB51" s="273"/>
      <c r="AC51" s="2"/>
      <c r="AD51" s="2"/>
    </row>
    <row r="52" spans="1:30" ht="18" customHeight="1">
      <c r="A52" s="465">
        <v>37</v>
      </c>
      <c r="B52" s="466" t="str">
        <f>IFERROR(IF(VLOOKUP(A52,'REGISTRO DATOS'!B:H,2,0)=0,"",VLOOKUP(A52,'REGISTRO DATOS'!B:H,2,0)),"")</f>
        <v/>
      </c>
      <c r="C52" s="467" t="str">
        <f>IFERROR(IF(VLOOKUP(A52,'REGISTRO DATOS'!B:H,3,0)=0,"",VLOOKUP(A52,'REGISTRO DATOS'!B:H,3,0)),"")</f>
        <v/>
      </c>
      <c r="D52" s="467" t="str">
        <f>IFERROR(IF(VLOOKUP(A52,'REGISTRO DATOS'!B:H,4,0)=0,"",VLOOKUP(A52,'REGISTRO DATOS'!B:H,4,0)),"")</f>
        <v/>
      </c>
      <c r="E52" s="274" t="s">
        <v>68</v>
      </c>
      <c r="F52" s="274" t="s">
        <v>68</v>
      </c>
      <c r="G52" s="274" t="s">
        <v>68</v>
      </c>
      <c r="H52" s="274" t="s">
        <v>68</v>
      </c>
      <c r="I52" s="274" t="s">
        <v>68</v>
      </c>
      <c r="J52" s="274" t="s">
        <v>68</v>
      </c>
      <c r="K52" s="274" t="s">
        <v>68</v>
      </c>
      <c r="L52" s="274" t="s">
        <v>68</v>
      </c>
      <c r="M52" s="274" t="s">
        <v>68</v>
      </c>
      <c r="N52" s="274" t="s">
        <v>68</v>
      </c>
      <c r="O52" s="274" t="s">
        <v>68</v>
      </c>
      <c r="P52" s="274" t="s">
        <v>68</v>
      </c>
      <c r="Q52" s="274" t="s">
        <v>68</v>
      </c>
      <c r="R52" s="274" t="s">
        <v>68</v>
      </c>
      <c r="S52" s="274" t="s">
        <v>68</v>
      </c>
      <c r="T52" s="274" t="s">
        <v>68</v>
      </c>
      <c r="U52" s="274" t="s">
        <v>68</v>
      </c>
      <c r="V52" s="274" t="s">
        <v>68</v>
      </c>
      <c r="W52" s="274" t="s">
        <v>68</v>
      </c>
      <c r="X52" s="274" t="s">
        <v>68</v>
      </c>
      <c r="Y52" s="275">
        <f t="shared" si="1"/>
        <v>0</v>
      </c>
      <c r="Z52" s="473" t="str">
        <f t="shared" si="0"/>
        <v>Debe mejorar su trabajo.</v>
      </c>
      <c r="AA52" s="278">
        <f t="shared" si="2"/>
        <v>0</v>
      </c>
      <c r="AB52" s="273"/>
      <c r="AC52" s="2"/>
      <c r="AD52" s="2"/>
    </row>
    <row r="53" spans="1:30" ht="18" customHeight="1">
      <c r="A53" s="468">
        <v>38</v>
      </c>
      <c r="B53" s="466" t="str">
        <f>IFERROR(IF(VLOOKUP(A53,'REGISTRO DATOS'!B:H,2,0)=0,"",VLOOKUP(A53,'REGISTRO DATOS'!B:H,2,0)),"")</f>
        <v/>
      </c>
      <c r="C53" s="467" t="str">
        <f>IFERROR(IF(VLOOKUP(A53,'REGISTRO DATOS'!B:H,3,0)=0,"",VLOOKUP(A53,'REGISTRO DATOS'!B:H,3,0)),"")</f>
        <v/>
      </c>
      <c r="D53" s="467" t="str">
        <f>IFERROR(IF(VLOOKUP(A53,'REGISTRO DATOS'!B:H,4,0)=0,"",VLOOKUP(A53,'REGISTRO DATOS'!B:H,4,0)),"")</f>
        <v/>
      </c>
      <c r="E53" s="274" t="s">
        <v>68</v>
      </c>
      <c r="F53" s="274" t="s">
        <v>68</v>
      </c>
      <c r="G53" s="274" t="s">
        <v>68</v>
      </c>
      <c r="H53" s="274" t="s">
        <v>68</v>
      </c>
      <c r="I53" s="274" t="s">
        <v>68</v>
      </c>
      <c r="J53" s="274" t="s">
        <v>68</v>
      </c>
      <c r="K53" s="274" t="s">
        <v>68</v>
      </c>
      <c r="L53" s="274" t="s">
        <v>68</v>
      </c>
      <c r="M53" s="274" t="s">
        <v>68</v>
      </c>
      <c r="N53" s="274" t="s">
        <v>68</v>
      </c>
      <c r="O53" s="274" t="s">
        <v>68</v>
      </c>
      <c r="P53" s="274" t="s">
        <v>68</v>
      </c>
      <c r="Q53" s="274" t="s">
        <v>68</v>
      </c>
      <c r="R53" s="274" t="s">
        <v>68</v>
      </c>
      <c r="S53" s="274" t="s">
        <v>68</v>
      </c>
      <c r="T53" s="274" t="s">
        <v>68</v>
      </c>
      <c r="U53" s="274" t="s">
        <v>68</v>
      </c>
      <c r="V53" s="274" t="s">
        <v>68</v>
      </c>
      <c r="W53" s="274" t="s">
        <v>68</v>
      </c>
      <c r="X53" s="274" t="s">
        <v>68</v>
      </c>
      <c r="Y53" s="275">
        <f t="shared" si="1"/>
        <v>0</v>
      </c>
      <c r="Z53" s="473" t="str">
        <f t="shared" si="0"/>
        <v>Debe mejorar su trabajo.</v>
      </c>
      <c r="AA53" s="278">
        <f t="shared" si="2"/>
        <v>0</v>
      </c>
      <c r="AB53" s="273"/>
      <c r="AC53" s="2"/>
      <c r="AD53" s="2"/>
    </row>
    <row r="54" spans="1:30" ht="18" customHeight="1">
      <c r="A54" s="468">
        <v>39</v>
      </c>
      <c r="B54" s="466" t="str">
        <f>IFERROR(IF(VLOOKUP(A54,'REGISTRO DATOS'!B:H,2,0)=0,"",VLOOKUP(A54,'REGISTRO DATOS'!B:H,2,0)),"")</f>
        <v/>
      </c>
      <c r="C54" s="467" t="str">
        <f>IFERROR(IF(VLOOKUP(A54,'REGISTRO DATOS'!B:H,3,0)=0,"",VLOOKUP(A54,'REGISTRO DATOS'!B:H,3,0)),"")</f>
        <v/>
      </c>
      <c r="D54" s="467" t="str">
        <f>IFERROR(IF(VLOOKUP(A54,'REGISTRO DATOS'!B:H,4,0)=0,"",VLOOKUP(A54,'REGISTRO DATOS'!B:H,4,0)),"")</f>
        <v/>
      </c>
      <c r="E54" s="274" t="s">
        <v>68</v>
      </c>
      <c r="F54" s="274" t="s">
        <v>68</v>
      </c>
      <c r="G54" s="274" t="s">
        <v>68</v>
      </c>
      <c r="H54" s="274" t="s">
        <v>68</v>
      </c>
      <c r="I54" s="274" t="s">
        <v>68</v>
      </c>
      <c r="J54" s="274" t="s">
        <v>68</v>
      </c>
      <c r="K54" s="274" t="s">
        <v>68</v>
      </c>
      <c r="L54" s="274" t="s">
        <v>68</v>
      </c>
      <c r="M54" s="274" t="s">
        <v>68</v>
      </c>
      <c r="N54" s="274" t="s">
        <v>68</v>
      </c>
      <c r="O54" s="274" t="s">
        <v>68</v>
      </c>
      <c r="P54" s="274" t="s">
        <v>68</v>
      </c>
      <c r="Q54" s="274" t="s">
        <v>68</v>
      </c>
      <c r="R54" s="274" t="s">
        <v>68</v>
      </c>
      <c r="S54" s="274" t="s">
        <v>68</v>
      </c>
      <c r="T54" s="274" t="s">
        <v>68</v>
      </c>
      <c r="U54" s="274" t="s">
        <v>68</v>
      </c>
      <c r="V54" s="274" t="s">
        <v>68</v>
      </c>
      <c r="W54" s="274" t="s">
        <v>68</v>
      </c>
      <c r="X54" s="274" t="s">
        <v>68</v>
      </c>
      <c r="Y54" s="275">
        <f t="shared" si="1"/>
        <v>0</v>
      </c>
      <c r="Z54" s="473" t="str">
        <f t="shared" si="0"/>
        <v>Debe mejorar su trabajo.</v>
      </c>
      <c r="AA54" s="278">
        <f t="shared" si="2"/>
        <v>0</v>
      </c>
      <c r="AB54" s="273"/>
      <c r="AC54" s="2"/>
      <c r="AD54" s="2"/>
    </row>
    <row r="55" spans="1:30" ht="18" customHeight="1">
      <c r="A55" s="469">
        <v>40</v>
      </c>
      <c r="B55" s="470" t="str">
        <f>IFERROR(IF(VLOOKUP(A55,'REGISTRO DATOS'!B:H,2,0)=0,"",VLOOKUP(A55,'REGISTRO DATOS'!B:H,2,0)),"")</f>
        <v/>
      </c>
      <c r="C55" s="471" t="str">
        <f>IFERROR(IF(VLOOKUP(A55,'REGISTRO DATOS'!B:H,3,0)=0,"",VLOOKUP(A55,'REGISTRO DATOS'!B:H,3,0)),"")</f>
        <v/>
      </c>
      <c r="D55" s="471" t="str">
        <f>IFERROR(IF(VLOOKUP(A55,'REGISTRO DATOS'!B:H,4,0)=0,"",VLOOKUP(A55,'REGISTRO DATOS'!B:H,4,0)),"")</f>
        <v/>
      </c>
      <c r="E55" s="274" t="s">
        <v>68</v>
      </c>
      <c r="F55" s="274" t="s">
        <v>68</v>
      </c>
      <c r="G55" s="274" t="s">
        <v>68</v>
      </c>
      <c r="H55" s="274" t="s">
        <v>68</v>
      </c>
      <c r="I55" s="274" t="s">
        <v>68</v>
      </c>
      <c r="J55" s="274" t="s">
        <v>68</v>
      </c>
      <c r="K55" s="274" t="s">
        <v>68</v>
      </c>
      <c r="L55" s="274" t="s">
        <v>68</v>
      </c>
      <c r="M55" s="274" t="s">
        <v>68</v>
      </c>
      <c r="N55" s="274" t="s">
        <v>68</v>
      </c>
      <c r="O55" s="274" t="s">
        <v>68</v>
      </c>
      <c r="P55" s="274" t="s">
        <v>68</v>
      </c>
      <c r="Q55" s="274" t="s">
        <v>68</v>
      </c>
      <c r="R55" s="274" t="s">
        <v>68</v>
      </c>
      <c r="S55" s="274" t="s">
        <v>68</v>
      </c>
      <c r="T55" s="274" t="s">
        <v>68</v>
      </c>
      <c r="U55" s="274" t="s">
        <v>68</v>
      </c>
      <c r="V55" s="274" t="s">
        <v>68</v>
      </c>
      <c r="W55" s="274" t="s">
        <v>68</v>
      </c>
      <c r="X55" s="274" t="s">
        <v>68</v>
      </c>
      <c r="Y55" s="275">
        <f t="shared" si="1"/>
        <v>0</v>
      </c>
      <c r="Z55" s="473" t="str">
        <f t="shared" si="0"/>
        <v>Debe mejorar su trabajo.</v>
      </c>
      <c r="AA55" s="278">
        <f t="shared" si="2"/>
        <v>0</v>
      </c>
      <c r="AB55" s="273"/>
      <c r="AC55" s="2"/>
      <c r="AD55" s="2"/>
    </row>
    <row r="56" spans="1:30" ht="18" customHeight="1">
      <c r="A56" s="223"/>
      <c r="B56" s="223"/>
      <c r="C56" s="223"/>
      <c r="D56" s="223"/>
      <c r="E56" s="223"/>
      <c r="F56" s="223"/>
      <c r="G56" s="223"/>
      <c r="H56" s="223"/>
      <c r="I56" s="223"/>
      <c r="J56" s="223"/>
      <c r="K56" s="223"/>
      <c r="L56" s="223"/>
      <c r="M56" s="223"/>
      <c r="N56" s="223"/>
      <c r="O56" s="223"/>
      <c r="P56" s="223"/>
      <c r="Q56" s="223"/>
      <c r="R56" s="223"/>
      <c r="S56" s="223"/>
      <c r="T56" s="223"/>
      <c r="U56" s="223"/>
      <c r="V56" s="223"/>
      <c r="W56" s="223"/>
      <c r="X56" s="223"/>
      <c r="Y56" s="2"/>
      <c r="Z56" s="223"/>
      <c r="AA56" s="2"/>
      <c r="AB56" s="2"/>
      <c r="AC56" s="2"/>
      <c r="AD56" s="2"/>
    </row>
    <row r="57" spans="1:30" ht="18" hidden="1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</row>
    <row r="58" spans="1:30" ht="18" hidden="1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</row>
    <row r="59" spans="1:30" ht="18" hidden="1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</row>
    <row r="60" spans="1:30" ht="18" hidden="1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</row>
    <row r="61" spans="1:30" ht="18" hidden="1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</row>
    <row r="62" spans="1:30" ht="17.25" hidden="1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</row>
    <row r="63" spans="1:30" ht="17.25" hidden="1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</row>
    <row r="64" spans="1:30" ht="17.25" hidden="1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</row>
    <row r="65" spans="1:30" ht="15" hidden="1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</row>
    <row r="66" spans="1:30" ht="15.75" hidden="1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</row>
    <row r="67" spans="1:30" ht="15" hidden="1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</row>
    <row r="68" spans="1:30" ht="15.75" hidden="1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</row>
    <row r="69" spans="1:30" ht="15" hidden="1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</row>
    <row r="70" spans="1:30" ht="15.75" hidden="1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</row>
    <row r="71" spans="1:30" ht="15" hidden="1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</row>
    <row r="72" spans="1:30" ht="15.75" hidden="1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</row>
    <row r="73" spans="1:30" ht="15" hidden="1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</row>
    <row r="74" spans="1:30" ht="15.75" hidden="1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</row>
    <row r="75" spans="1:30" ht="15" hidden="1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</row>
    <row r="76" spans="1:30" ht="15.75" hidden="1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</row>
    <row r="77" spans="1:30" ht="15" hidden="1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</row>
    <row r="78" spans="1:30" ht="15.75" hidden="1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</row>
    <row r="79" spans="1:30" ht="15" hidden="1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</row>
    <row r="80" spans="1:30" ht="15.75" hidden="1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</row>
    <row r="81" spans="1:27" hidden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</row>
    <row r="82" spans="1:27" hidden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</row>
    <row r="83" spans="1:27" hidden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</row>
    <row r="84" spans="1:27" hidden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</row>
    <row r="85" spans="1:27" hidden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</row>
    <row r="86" spans="1:27" hidden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</row>
    <row r="87" spans="1:27" hidden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</row>
    <row r="88" spans="1:27" hidden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</row>
    <row r="89" spans="1:27" hidden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</row>
    <row r="90" spans="1:27" hidden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</row>
    <row r="91" spans="1:27" hidden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</row>
    <row r="92" spans="1:27" hidden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</row>
    <row r="93" spans="1:27" hidden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</row>
    <row r="94" spans="1:27" hidden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</row>
    <row r="95" spans="1:27" hidden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</row>
    <row r="96" spans="1:27" hidden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</row>
    <row r="97" spans="1:27" hidden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</row>
    <row r="98" spans="1:27" hidden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</row>
    <row r="99" spans="1:27" hidden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</row>
    <row r="100" spans="1:27" hidden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</row>
    <row r="101" spans="1:27" hidden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</row>
    <row r="102" spans="1:27" hidden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</row>
    <row r="103" spans="1:27" hidden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</row>
    <row r="104" spans="1:27" hidden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</row>
    <row r="105" spans="1:27" hidden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</row>
    <row r="106" spans="1:27" hidden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</row>
    <row r="107" spans="1:27" hidden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</row>
    <row r="108" spans="1:27" hidden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</row>
    <row r="109" spans="1:27" hidden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</row>
  </sheetData>
  <dataConsolidate/>
  <mergeCells count="49">
    <mergeCell ref="E12:W12"/>
    <mergeCell ref="U14:U15"/>
    <mergeCell ref="V14:V15"/>
    <mergeCell ref="W14:W15"/>
    <mergeCell ref="X14:X15"/>
    <mergeCell ref="I14:I15"/>
    <mergeCell ref="J14:J15"/>
    <mergeCell ref="K14:K15"/>
    <mergeCell ref="L14:L15"/>
    <mergeCell ref="M14:M15"/>
    <mergeCell ref="N14:N15"/>
    <mergeCell ref="Y14:Y15"/>
    <mergeCell ref="Z14:Z15"/>
    <mergeCell ref="O14:O15"/>
    <mergeCell ref="P14:P15"/>
    <mergeCell ref="Q14:Q15"/>
    <mergeCell ref="R14:R15"/>
    <mergeCell ref="S14:S15"/>
    <mergeCell ref="T14:T15"/>
    <mergeCell ref="A13:D14"/>
    <mergeCell ref="E13:X13"/>
    <mergeCell ref="E14:E15"/>
    <mergeCell ref="F14:F15"/>
    <mergeCell ref="G14:G15"/>
    <mergeCell ref="H14:H15"/>
    <mergeCell ref="B11:C11"/>
    <mergeCell ref="E11:H11"/>
    <mergeCell ref="T11:Y11"/>
    <mergeCell ref="A7:D7"/>
    <mergeCell ref="E7:R7"/>
    <mergeCell ref="A8:D8"/>
    <mergeCell ref="E8:R8"/>
    <mergeCell ref="T8:Y8"/>
    <mergeCell ref="A9:D9"/>
    <mergeCell ref="E9:P9"/>
    <mergeCell ref="T9:Y9"/>
    <mergeCell ref="E10:H10"/>
    <mergeCell ref="T10:Y10"/>
    <mergeCell ref="A5:D5"/>
    <mergeCell ref="E5:L5"/>
    <mergeCell ref="T5:W5"/>
    <mergeCell ref="A6:D6"/>
    <mergeCell ref="E6:R6"/>
    <mergeCell ref="T6:W6"/>
    <mergeCell ref="A2:B2"/>
    <mergeCell ref="A3:D3"/>
    <mergeCell ref="E3:R3"/>
    <mergeCell ref="A4:D4"/>
    <mergeCell ref="E4:R4"/>
  </mergeCells>
  <conditionalFormatting sqref="Y16:Y55">
    <cfRule type="cellIs" dxfId="117" priority="66" operator="greaterThan">
      <formula>67</formula>
    </cfRule>
    <cfRule type="cellIs" dxfId="116" priority="67" operator="between">
      <formula>34</formula>
      <formula>67</formula>
    </cfRule>
    <cfRule type="cellIs" dxfId="115" priority="68" operator="lessThan">
      <formula>34</formula>
    </cfRule>
  </conditionalFormatting>
  <conditionalFormatting sqref="E16:X55">
    <cfRule type="cellIs" dxfId="114" priority="65" operator="equal">
      <formula>1</formula>
    </cfRule>
  </conditionalFormatting>
  <conditionalFormatting sqref="E16:X55">
    <cfRule type="cellIs" dxfId="113" priority="64" operator="equal">
      <formula>1</formula>
    </cfRule>
  </conditionalFormatting>
  <conditionalFormatting sqref="E16:X55">
    <cfRule type="cellIs" dxfId="112" priority="63" operator="equal">
      <formula>1</formula>
    </cfRule>
  </conditionalFormatting>
  <conditionalFormatting sqref="E16:X55">
    <cfRule type="cellIs" dxfId="111" priority="62" operator="equal">
      <formula>1</formula>
    </cfRule>
  </conditionalFormatting>
  <conditionalFormatting sqref="E16:X55">
    <cfRule type="cellIs" dxfId="110" priority="61" operator="equal">
      <formula>1</formula>
    </cfRule>
  </conditionalFormatting>
  <conditionalFormatting sqref="E16:X55">
    <cfRule type="cellIs" dxfId="109" priority="58" operator="equal">
      <formula>3</formula>
    </cfRule>
    <cfRule type="cellIs" dxfId="108" priority="59" operator="equal">
      <formula>2</formula>
    </cfRule>
    <cfRule type="cellIs" dxfId="107" priority="60" operator="equal">
      <formula>1</formula>
    </cfRule>
  </conditionalFormatting>
  <conditionalFormatting sqref="Z16:Z55">
    <cfRule type="cellIs" dxfId="106" priority="57" operator="equal">
      <formula>1</formula>
    </cfRule>
  </conditionalFormatting>
  <conditionalFormatting sqref="Z16:Z55">
    <cfRule type="cellIs" dxfId="105" priority="54" operator="equal">
      <formula>3</formula>
    </cfRule>
    <cfRule type="cellIs" dxfId="104" priority="55" operator="equal">
      <formula>2</formula>
    </cfRule>
    <cfRule type="cellIs" dxfId="103" priority="56" operator="equal">
      <formula>1</formula>
    </cfRule>
  </conditionalFormatting>
  <conditionalFormatting sqref="E41:I55">
    <cfRule type="cellIs" dxfId="102" priority="53" operator="equal">
      <formula>1</formula>
    </cfRule>
  </conditionalFormatting>
  <conditionalFormatting sqref="F41:G55">
    <cfRule type="cellIs" dxfId="101" priority="52" operator="equal">
      <formula>1</formula>
    </cfRule>
  </conditionalFormatting>
  <conditionalFormatting sqref="E54:L55">
    <cfRule type="cellIs" dxfId="100" priority="51" operator="equal">
      <formula>1</formula>
    </cfRule>
  </conditionalFormatting>
  <conditionalFormatting sqref="J54:K55 E54:E55">
    <cfRule type="cellIs" dxfId="99" priority="50" operator="equal">
      <formula>1</formula>
    </cfRule>
  </conditionalFormatting>
  <conditionalFormatting sqref="G54:H55">
    <cfRule type="cellIs" dxfId="98" priority="49" operator="equal">
      <formula>1</formula>
    </cfRule>
  </conditionalFormatting>
  <conditionalFormatting sqref="E16:X55">
    <cfRule type="cellIs" dxfId="97" priority="48" operator="equal">
      <formula>1</formula>
    </cfRule>
  </conditionalFormatting>
  <conditionalFormatting sqref="N16:R16 G41:H55 M16:N18">
    <cfRule type="cellIs" dxfId="96" priority="47" operator="equal">
      <formula>1</formula>
    </cfRule>
  </conditionalFormatting>
  <conditionalFormatting sqref="F41:F55">
    <cfRule type="cellIs" dxfId="95" priority="38" operator="equal">
      <formula>1</formula>
    </cfRule>
  </conditionalFormatting>
  <conditionalFormatting sqref="E16:K44">
    <cfRule type="cellIs" dxfId="94" priority="5" operator="equal">
      <formula>1</formula>
    </cfRule>
  </conditionalFormatting>
  <conditionalFormatting sqref="E16:K44">
    <cfRule type="cellIs" dxfId="93" priority="4" operator="equal">
      <formula>1</formula>
    </cfRule>
  </conditionalFormatting>
  <conditionalFormatting sqref="E16:K44">
    <cfRule type="cellIs" dxfId="92" priority="7" operator="equal">
      <formula>1</formula>
    </cfRule>
  </conditionalFormatting>
  <conditionalFormatting sqref="E16:K44">
    <cfRule type="cellIs" dxfId="91" priority="6" operator="equal">
      <formula>1</formula>
    </cfRule>
  </conditionalFormatting>
  <conditionalFormatting sqref="E16:K44">
    <cfRule type="cellIs" dxfId="90" priority="1" operator="equal">
      <formula>3</formula>
    </cfRule>
    <cfRule type="cellIs" dxfId="89" priority="2" operator="equal">
      <formula>2</formula>
    </cfRule>
    <cfRule type="cellIs" dxfId="88" priority="3" operator="equal">
      <formula>1</formula>
    </cfRule>
  </conditionalFormatting>
  <dataValidations disablePrompts="1" count="1">
    <dataValidation type="list" allowBlank="1" showInputMessage="1" showErrorMessage="1" sqref="AA56:AA64" xr:uid="{00000000-0002-0000-0F00-000000000000}">
      <formula1>$AA$9:$AA$11</formula1>
    </dataValidation>
  </dataValidations>
  <pageMargins left="0.7" right="0.7" top="0.75" bottom="0.75" header="0.3" footer="0.3"/>
  <pageSetup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3">
    <tabColor rgb="FFFFFF00"/>
  </sheetPr>
  <dimension ref="A2:K71"/>
  <sheetViews>
    <sheetView showGridLines="0" showRowColHeaders="0" zoomScale="77" zoomScaleNormal="90" zoomScalePageLayoutView="50" workbookViewId="0">
      <selection activeCell="D14" sqref="D14"/>
    </sheetView>
  </sheetViews>
  <sheetFormatPr baseColWidth="10" defaultRowHeight="15"/>
  <cols>
    <col min="1" max="1" width="3.7109375" style="333" customWidth="1" collapsed="1"/>
    <col min="2" max="2" width="66.5703125" customWidth="1" collapsed="1"/>
    <col min="3" max="3" width="25.42578125" customWidth="1" collapsed="1"/>
    <col min="4" max="4" width="111.28515625" customWidth="1" collapsed="1"/>
    <col min="5" max="5" width="9" hidden="1" customWidth="1"/>
    <col min="7" max="7" width="12.5703125" customWidth="1"/>
    <col min="11" max="11" width="7.42578125" customWidth="1"/>
  </cols>
  <sheetData>
    <row r="2" spans="1:11" ht="31.5">
      <c r="A2" s="965" t="s">
        <v>132</v>
      </c>
      <c r="B2" s="965"/>
      <c r="C2" s="965"/>
      <c r="D2" s="965"/>
      <c r="E2" s="965"/>
      <c r="F2" s="965"/>
      <c r="G2" s="965"/>
    </row>
    <row r="4" spans="1:11" ht="20.25" customHeight="1">
      <c r="A4" s="960">
        <f>'REGISTRO DATOS'!I3</f>
        <v>0</v>
      </c>
      <c r="B4" s="960"/>
      <c r="C4" s="960"/>
      <c r="D4" s="960"/>
    </row>
    <row r="6" spans="1:11" ht="15" customHeight="1">
      <c r="B6" s="795" t="s">
        <v>267</v>
      </c>
      <c r="C6" s="795"/>
      <c r="D6" s="336" t="str">
        <f>'REGISTRO DATOS'!I4</f>
        <v>COTO</v>
      </c>
    </row>
    <row r="7" spans="1:11" ht="18">
      <c r="B7" s="795" t="s">
        <v>21</v>
      </c>
      <c r="C7" s="795"/>
      <c r="D7" s="336" t="str">
        <f>'REGISTRO DATOS'!I5</f>
        <v>06</v>
      </c>
    </row>
    <row r="8" spans="1:11" ht="18">
      <c r="B8" s="961" t="s">
        <v>22</v>
      </c>
      <c r="C8" s="961"/>
      <c r="D8" s="336">
        <f>'REGISTRO DATOS'!I6</f>
        <v>0</v>
      </c>
      <c r="E8">
        <f>COUNT(E12:E71)</f>
        <v>1</v>
      </c>
    </row>
    <row r="9" spans="1:11" ht="18.75">
      <c r="B9" s="961" t="s">
        <v>23</v>
      </c>
      <c r="C9" s="961"/>
      <c r="D9" s="336">
        <f>'REGISTRO DATOS'!I7</f>
        <v>0</v>
      </c>
      <c r="E9" s="172" t="s">
        <v>54</v>
      </c>
      <c r="G9" s="2"/>
      <c r="H9" s="2"/>
      <c r="I9" s="2"/>
      <c r="J9" s="2"/>
      <c r="K9" s="2"/>
    </row>
    <row r="10" spans="1:11" ht="28.5">
      <c r="E10" s="173">
        <f>SUM(E12:E71)</f>
        <v>3</v>
      </c>
      <c r="G10" s="2"/>
      <c r="H10" s="2"/>
      <c r="I10" s="2"/>
      <c r="J10" s="2"/>
      <c r="K10" s="2"/>
    </row>
    <row r="11" spans="1:11" ht="39.75" customHeight="1">
      <c r="A11" s="966" t="s">
        <v>284</v>
      </c>
      <c r="B11" s="966"/>
      <c r="C11" s="962" t="s">
        <v>282</v>
      </c>
      <c r="D11" s="963"/>
      <c r="E11" s="577" t="s">
        <v>93</v>
      </c>
      <c r="F11" s="964" t="s">
        <v>283</v>
      </c>
      <c r="G11" s="964"/>
      <c r="H11" s="238"/>
      <c r="I11" s="238"/>
      <c r="J11" s="2"/>
      <c r="K11" s="2"/>
    </row>
    <row r="12" spans="1:11" ht="39.950000000000003" customHeight="1">
      <c r="A12" s="956">
        <v>1</v>
      </c>
      <c r="B12" s="959" t="s">
        <v>325</v>
      </c>
      <c r="C12" s="176" t="s">
        <v>78</v>
      </c>
      <c r="D12" s="572"/>
      <c r="E12" s="958">
        <f>IF(B12=0,"",3)</f>
        <v>3</v>
      </c>
      <c r="F12" s="967"/>
      <c r="G12" s="967"/>
      <c r="H12" s="2"/>
      <c r="I12" s="2"/>
      <c r="J12" s="2"/>
      <c r="K12" s="2"/>
    </row>
    <row r="13" spans="1:11" ht="39.950000000000003" customHeight="1">
      <c r="A13" s="956"/>
      <c r="B13" s="959"/>
      <c r="C13" s="177" t="s">
        <v>79</v>
      </c>
      <c r="D13" s="573"/>
      <c r="E13" s="958"/>
      <c r="F13" s="967"/>
      <c r="G13" s="967"/>
      <c r="H13" s="2"/>
      <c r="I13" s="2"/>
      <c r="J13" s="2"/>
      <c r="K13" s="2"/>
    </row>
    <row r="14" spans="1:11" ht="39.950000000000003" customHeight="1">
      <c r="A14" s="956"/>
      <c r="B14" s="959"/>
      <c r="C14" s="177" t="s">
        <v>80</v>
      </c>
      <c r="D14" s="572"/>
      <c r="E14" s="958"/>
      <c r="F14" s="967"/>
      <c r="G14" s="967"/>
      <c r="H14" s="2"/>
      <c r="I14" s="2"/>
      <c r="J14" s="2"/>
      <c r="K14" s="2"/>
    </row>
    <row r="15" spans="1:11" ht="39.950000000000003" customHeight="1">
      <c r="A15" s="956">
        <v>2</v>
      </c>
      <c r="B15" s="959"/>
      <c r="C15" s="176" t="s">
        <v>78</v>
      </c>
      <c r="D15" s="574"/>
      <c r="E15" s="958" t="str">
        <f>IF(B15=0,"",3)</f>
        <v/>
      </c>
      <c r="F15" s="967"/>
      <c r="G15" s="967"/>
      <c r="H15" s="2"/>
      <c r="I15" s="2"/>
      <c r="J15" s="2"/>
      <c r="K15" s="2"/>
    </row>
    <row r="16" spans="1:11" ht="39.950000000000003" customHeight="1">
      <c r="A16" s="956"/>
      <c r="B16" s="959"/>
      <c r="C16" s="177" t="s">
        <v>79</v>
      </c>
      <c r="D16" s="574"/>
      <c r="E16" s="958"/>
      <c r="F16" s="967"/>
      <c r="G16" s="967"/>
      <c r="H16" s="2"/>
      <c r="I16" s="2"/>
      <c r="J16" s="2"/>
      <c r="K16" s="2"/>
    </row>
    <row r="17" spans="1:11" ht="39.950000000000003" customHeight="1">
      <c r="A17" s="956"/>
      <c r="B17" s="959"/>
      <c r="C17" s="177" t="s">
        <v>80</v>
      </c>
      <c r="D17" s="574"/>
      <c r="E17" s="958"/>
      <c r="F17" s="967"/>
      <c r="G17" s="967"/>
      <c r="H17" s="2"/>
      <c r="I17" s="2"/>
      <c r="J17" s="2"/>
      <c r="K17" s="2"/>
    </row>
    <row r="18" spans="1:11" ht="39.950000000000003" customHeight="1">
      <c r="A18" s="956">
        <v>3</v>
      </c>
      <c r="B18" s="959"/>
      <c r="C18" s="176" t="s">
        <v>78</v>
      </c>
      <c r="D18" s="178"/>
      <c r="E18" s="958" t="str">
        <f>IF(B18=0,"",3)</f>
        <v/>
      </c>
      <c r="F18" s="967"/>
      <c r="G18" s="967"/>
    </row>
    <row r="19" spans="1:11" ht="39.950000000000003" customHeight="1">
      <c r="A19" s="956"/>
      <c r="B19" s="959"/>
      <c r="C19" s="177" t="s">
        <v>79</v>
      </c>
      <c r="D19" s="178"/>
      <c r="E19" s="958"/>
      <c r="F19" s="967"/>
      <c r="G19" s="967"/>
    </row>
    <row r="20" spans="1:11" ht="39.950000000000003" customHeight="1">
      <c r="A20" s="956"/>
      <c r="B20" s="959"/>
      <c r="C20" s="177" t="s">
        <v>80</v>
      </c>
      <c r="D20" s="178"/>
      <c r="E20" s="958"/>
      <c r="F20" s="967"/>
      <c r="G20" s="967"/>
    </row>
    <row r="21" spans="1:11" ht="39.950000000000003" customHeight="1">
      <c r="A21" s="956">
        <v>4</v>
      </c>
      <c r="B21" s="959"/>
      <c r="C21" s="176" t="s">
        <v>78</v>
      </c>
      <c r="D21" s="178"/>
      <c r="E21" s="958" t="str">
        <f>IF(B21=0,"",3)</f>
        <v/>
      </c>
      <c r="F21" s="967"/>
      <c r="G21" s="967"/>
    </row>
    <row r="22" spans="1:11" ht="39.950000000000003" customHeight="1">
      <c r="A22" s="956"/>
      <c r="B22" s="959"/>
      <c r="C22" s="177" t="s">
        <v>79</v>
      </c>
      <c r="D22" s="178"/>
      <c r="E22" s="958"/>
      <c r="F22" s="967"/>
      <c r="G22" s="967"/>
    </row>
    <row r="23" spans="1:11" ht="39.950000000000003" customHeight="1">
      <c r="A23" s="956"/>
      <c r="B23" s="959"/>
      <c r="C23" s="177" t="s">
        <v>80</v>
      </c>
      <c r="D23" s="178"/>
      <c r="E23" s="958"/>
      <c r="F23" s="967"/>
      <c r="G23" s="967"/>
    </row>
    <row r="24" spans="1:11" ht="39.950000000000003" customHeight="1">
      <c r="A24" s="956">
        <v>5</v>
      </c>
      <c r="B24" s="959"/>
      <c r="C24" s="176" t="s">
        <v>78</v>
      </c>
      <c r="D24" s="178"/>
      <c r="E24" s="958" t="str">
        <f>IF(B24=0,"",3)</f>
        <v/>
      </c>
      <c r="F24" s="967"/>
      <c r="G24" s="967"/>
    </row>
    <row r="25" spans="1:11" ht="39.950000000000003" customHeight="1">
      <c r="A25" s="956"/>
      <c r="B25" s="959"/>
      <c r="C25" s="177" t="s">
        <v>79</v>
      </c>
      <c r="D25" s="178"/>
      <c r="E25" s="958"/>
      <c r="F25" s="967"/>
      <c r="G25" s="967"/>
    </row>
    <row r="26" spans="1:11" ht="39.950000000000003" customHeight="1">
      <c r="A26" s="956"/>
      <c r="B26" s="959"/>
      <c r="C26" s="177" t="s">
        <v>80</v>
      </c>
      <c r="D26" s="574"/>
      <c r="E26" s="958"/>
      <c r="F26" s="967"/>
      <c r="G26" s="967"/>
    </row>
    <row r="27" spans="1:11" ht="39.950000000000003" customHeight="1">
      <c r="A27" s="956">
        <v>6</v>
      </c>
      <c r="B27" s="959"/>
      <c r="C27" s="176" t="s">
        <v>78</v>
      </c>
      <c r="D27" s="178"/>
      <c r="E27" s="958" t="str">
        <f>IF(B27=0,"",3)</f>
        <v/>
      </c>
      <c r="F27" s="967"/>
      <c r="G27" s="967"/>
    </row>
    <row r="28" spans="1:11" ht="39.950000000000003" customHeight="1">
      <c r="A28" s="956"/>
      <c r="B28" s="959"/>
      <c r="C28" s="177" t="s">
        <v>79</v>
      </c>
      <c r="D28" s="178"/>
      <c r="E28" s="958"/>
      <c r="F28" s="967"/>
      <c r="G28" s="967"/>
    </row>
    <row r="29" spans="1:11" ht="39.950000000000003" customHeight="1">
      <c r="A29" s="956"/>
      <c r="B29" s="959"/>
      <c r="C29" s="177" t="s">
        <v>80</v>
      </c>
      <c r="D29" s="178"/>
      <c r="E29" s="958"/>
      <c r="F29" s="967"/>
      <c r="G29" s="967"/>
    </row>
    <row r="30" spans="1:11" ht="39.950000000000003" customHeight="1">
      <c r="A30" s="956">
        <v>7</v>
      </c>
      <c r="B30" s="959"/>
      <c r="C30" s="176" t="s">
        <v>78</v>
      </c>
      <c r="D30" s="575"/>
      <c r="E30" s="958" t="str">
        <f>IF(B30=0,"",3)</f>
        <v/>
      </c>
      <c r="F30" s="967"/>
      <c r="G30" s="967"/>
    </row>
    <row r="31" spans="1:11" ht="39.950000000000003" customHeight="1">
      <c r="A31" s="956"/>
      <c r="B31" s="959"/>
      <c r="C31" s="177" t="s">
        <v>79</v>
      </c>
      <c r="D31" s="576"/>
      <c r="E31" s="958"/>
      <c r="F31" s="967"/>
      <c r="G31" s="967"/>
    </row>
    <row r="32" spans="1:11" ht="39.950000000000003" customHeight="1">
      <c r="A32" s="956"/>
      <c r="B32" s="959"/>
      <c r="C32" s="177" t="s">
        <v>80</v>
      </c>
      <c r="D32" s="576"/>
      <c r="E32" s="958"/>
      <c r="F32" s="967"/>
      <c r="G32" s="967"/>
    </row>
    <row r="33" spans="1:7" ht="39.950000000000003" customHeight="1">
      <c r="A33" s="956">
        <v>8</v>
      </c>
      <c r="B33" s="957"/>
      <c r="C33" s="176" t="s">
        <v>78</v>
      </c>
      <c r="D33" s="178"/>
      <c r="E33" s="958" t="str">
        <f>IF(B33=0,"",3)</f>
        <v/>
      </c>
      <c r="F33" s="967"/>
      <c r="G33" s="967"/>
    </row>
    <row r="34" spans="1:7" ht="39.950000000000003" customHeight="1">
      <c r="A34" s="956"/>
      <c r="B34" s="957"/>
      <c r="C34" s="177" t="s">
        <v>79</v>
      </c>
      <c r="D34" s="178"/>
      <c r="E34" s="958"/>
      <c r="F34" s="967"/>
      <c r="G34" s="967"/>
    </row>
    <row r="35" spans="1:7" ht="39.950000000000003" customHeight="1">
      <c r="A35" s="956"/>
      <c r="B35" s="957"/>
      <c r="C35" s="177" t="s">
        <v>80</v>
      </c>
      <c r="D35" s="178"/>
      <c r="E35" s="958"/>
      <c r="F35" s="967"/>
      <c r="G35" s="967"/>
    </row>
    <row r="36" spans="1:7" ht="39.950000000000003" customHeight="1">
      <c r="A36" s="956">
        <v>9</v>
      </c>
      <c r="B36" s="957"/>
      <c r="C36" s="176" t="s">
        <v>78</v>
      </c>
      <c r="D36" s="175"/>
      <c r="E36" s="958" t="str">
        <f>IF(B36=0,"",3)</f>
        <v/>
      </c>
      <c r="F36" s="967"/>
      <c r="G36" s="967"/>
    </row>
    <row r="37" spans="1:7" ht="39.950000000000003" customHeight="1">
      <c r="A37" s="956"/>
      <c r="B37" s="957"/>
      <c r="C37" s="177" t="s">
        <v>79</v>
      </c>
      <c r="D37" s="175"/>
      <c r="E37" s="958"/>
      <c r="F37" s="967"/>
      <c r="G37" s="967"/>
    </row>
    <row r="38" spans="1:7" ht="39.950000000000003" customHeight="1">
      <c r="A38" s="956"/>
      <c r="B38" s="957"/>
      <c r="C38" s="177" t="s">
        <v>80</v>
      </c>
      <c r="D38" s="175"/>
      <c r="E38" s="958"/>
      <c r="F38" s="967"/>
      <c r="G38" s="967"/>
    </row>
    <row r="39" spans="1:7" ht="39.950000000000003" customHeight="1">
      <c r="A39" s="956">
        <v>10</v>
      </c>
      <c r="B39" s="957"/>
      <c r="C39" s="176" t="s">
        <v>78</v>
      </c>
      <c r="D39" s="175"/>
      <c r="E39" s="958" t="str">
        <f>IF(B39=0,"",3)</f>
        <v/>
      </c>
      <c r="F39" s="967"/>
      <c r="G39" s="967"/>
    </row>
    <row r="40" spans="1:7" ht="39.950000000000003" customHeight="1">
      <c r="A40" s="956"/>
      <c r="B40" s="957"/>
      <c r="C40" s="177" t="s">
        <v>79</v>
      </c>
      <c r="D40" s="175"/>
      <c r="E40" s="958"/>
      <c r="F40" s="967"/>
      <c r="G40" s="967"/>
    </row>
    <row r="41" spans="1:7" ht="39.950000000000003" customHeight="1">
      <c r="A41" s="956"/>
      <c r="B41" s="957"/>
      <c r="C41" s="177" t="s">
        <v>80</v>
      </c>
      <c r="D41" s="175"/>
      <c r="E41" s="958"/>
      <c r="F41" s="967"/>
      <c r="G41" s="967"/>
    </row>
    <row r="42" spans="1:7" ht="39.950000000000003" customHeight="1">
      <c r="A42" s="956">
        <v>11</v>
      </c>
      <c r="B42" s="957"/>
      <c r="C42" s="176" t="s">
        <v>78</v>
      </c>
      <c r="D42" s="175"/>
      <c r="E42" s="958" t="str">
        <f>IF(B42=0,"",3)</f>
        <v/>
      </c>
      <c r="F42" s="967"/>
      <c r="G42" s="967"/>
    </row>
    <row r="43" spans="1:7" ht="39.950000000000003" customHeight="1">
      <c r="A43" s="956"/>
      <c r="B43" s="957"/>
      <c r="C43" s="177" t="s">
        <v>79</v>
      </c>
      <c r="D43" s="175"/>
      <c r="E43" s="958"/>
      <c r="F43" s="967"/>
      <c r="G43" s="967"/>
    </row>
    <row r="44" spans="1:7" ht="39.950000000000003" customHeight="1">
      <c r="A44" s="956"/>
      <c r="B44" s="957"/>
      <c r="C44" s="177" t="s">
        <v>80</v>
      </c>
      <c r="D44" s="175"/>
      <c r="E44" s="958"/>
      <c r="F44" s="967"/>
      <c r="G44" s="967"/>
    </row>
    <row r="45" spans="1:7" ht="39.950000000000003" customHeight="1">
      <c r="A45" s="956">
        <v>12</v>
      </c>
      <c r="B45" s="957"/>
      <c r="C45" s="176" t="s">
        <v>78</v>
      </c>
      <c r="D45" s="175"/>
      <c r="E45" s="958" t="str">
        <f>IF(B45=0,"",3)</f>
        <v/>
      </c>
      <c r="F45" s="967"/>
      <c r="G45" s="967"/>
    </row>
    <row r="46" spans="1:7" ht="39.950000000000003" customHeight="1">
      <c r="A46" s="956"/>
      <c r="B46" s="957"/>
      <c r="C46" s="177" t="s">
        <v>79</v>
      </c>
      <c r="D46" s="175"/>
      <c r="E46" s="958"/>
      <c r="F46" s="967"/>
      <c r="G46" s="967"/>
    </row>
    <row r="47" spans="1:7" ht="39.950000000000003" customHeight="1">
      <c r="A47" s="956"/>
      <c r="B47" s="957"/>
      <c r="C47" s="177" t="s">
        <v>80</v>
      </c>
      <c r="D47" s="175"/>
      <c r="E47" s="958"/>
      <c r="F47" s="967"/>
      <c r="G47" s="967"/>
    </row>
    <row r="48" spans="1:7" ht="39.950000000000003" customHeight="1">
      <c r="A48" s="956">
        <v>13</v>
      </c>
      <c r="B48" s="957"/>
      <c r="C48" s="176" t="s">
        <v>78</v>
      </c>
      <c r="D48" s="175"/>
      <c r="E48" s="958" t="str">
        <f>IF(B48=0,"",3)</f>
        <v/>
      </c>
      <c r="F48" s="967"/>
      <c r="G48" s="967"/>
    </row>
    <row r="49" spans="1:7" ht="39.950000000000003" customHeight="1">
      <c r="A49" s="956"/>
      <c r="B49" s="957"/>
      <c r="C49" s="177" t="s">
        <v>79</v>
      </c>
      <c r="D49" s="175"/>
      <c r="E49" s="958"/>
      <c r="F49" s="967"/>
      <c r="G49" s="967"/>
    </row>
    <row r="50" spans="1:7" ht="39.950000000000003" customHeight="1">
      <c r="A50" s="956"/>
      <c r="B50" s="957"/>
      <c r="C50" s="177" t="s">
        <v>80</v>
      </c>
      <c r="D50" s="175"/>
      <c r="E50" s="958"/>
      <c r="F50" s="967"/>
      <c r="G50" s="967"/>
    </row>
    <row r="51" spans="1:7" ht="39.950000000000003" customHeight="1">
      <c r="A51" s="956">
        <v>14</v>
      </c>
      <c r="B51" s="957"/>
      <c r="C51" s="176" t="s">
        <v>78</v>
      </c>
      <c r="D51" s="175"/>
      <c r="E51" s="958" t="str">
        <f>IF(B51=0,"",3)</f>
        <v/>
      </c>
      <c r="F51" s="967"/>
      <c r="G51" s="967"/>
    </row>
    <row r="52" spans="1:7" ht="39.950000000000003" customHeight="1">
      <c r="A52" s="956"/>
      <c r="B52" s="957"/>
      <c r="C52" s="177" t="s">
        <v>79</v>
      </c>
      <c r="D52" s="175"/>
      <c r="E52" s="958"/>
      <c r="F52" s="967"/>
      <c r="G52" s="967"/>
    </row>
    <row r="53" spans="1:7" ht="39.950000000000003" customHeight="1">
      <c r="A53" s="956"/>
      <c r="B53" s="957"/>
      <c r="C53" s="177" t="s">
        <v>80</v>
      </c>
      <c r="D53" s="175"/>
      <c r="E53" s="958"/>
      <c r="F53" s="967"/>
      <c r="G53" s="967"/>
    </row>
    <row r="54" spans="1:7" ht="39.950000000000003" customHeight="1">
      <c r="A54" s="956">
        <v>15</v>
      </c>
      <c r="B54" s="957"/>
      <c r="C54" s="176" t="s">
        <v>78</v>
      </c>
      <c r="D54" s="175"/>
      <c r="E54" s="958" t="str">
        <f>IF(B54=0,"",3)</f>
        <v/>
      </c>
      <c r="F54" s="967"/>
      <c r="G54" s="967"/>
    </row>
    <row r="55" spans="1:7" ht="39.950000000000003" customHeight="1">
      <c r="A55" s="956"/>
      <c r="B55" s="957"/>
      <c r="C55" s="177" t="s">
        <v>79</v>
      </c>
      <c r="D55" s="175"/>
      <c r="E55" s="958"/>
      <c r="F55" s="967"/>
      <c r="G55" s="967"/>
    </row>
    <row r="56" spans="1:7" ht="39.950000000000003" customHeight="1">
      <c r="A56" s="956"/>
      <c r="B56" s="957"/>
      <c r="C56" s="177" t="s">
        <v>80</v>
      </c>
      <c r="D56" s="175"/>
      <c r="E56" s="958"/>
      <c r="F56" s="967"/>
      <c r="G56" s="967"/>
    </row>
    <row r="57" spans="1:7" ht="39.950000000000003" customHeight="1">
      <c r="A57" s="956">
        <v>16</v>
      </c>
      <c r="B57" s="957"/>
      <c r="C57" s="176" t="s">
        <v>78</v>
      </c>
      <c r="D57" s="175"/>
      <c r="E57" s="958" t="str">
        <f>IF(B57=0,"",3)</f>
        <v/>
      </c>
      <c r="F57" s="967"/>
      <c r="G57" s="967"/>
    </row>
    <row r="58" spans="1:7" ht="39.950000000000003" customHeight="1">
      <c r="A58" s="956"/>
      <c r="B58" s="957"/>
      <c r="C58" s="177" t="s">
        <v>79</v>
      </c>
      <c r="D58" s="175"/>
      <c r="E58" s="958"/>
      <c r="F58" s="967"/>
      <c r="G58" s="967"/>
    </row>
    <row r="59" spans="1:7" ht="39.950000000000003" customHeight="1">
      <c r="A59" s="956"/>
      <c r="B59" s="957"/>
      <c r="C59" s="177" t="s">
        <v>80</v>
      </c>
      <c r="D59" s="175"/>
      <c r="E59" s="958"/>
      <c r="F59" s="967"/>
      <c r="G59" s="967"/>
    </row>
    <row r="60" spans="1:7" ht="39.950000000000003" customHeight="1">
      <c r="A60" s="956">
        <v>17</v>
      </c>
      <c r="B60" s="957"/>
      <c r="C60" s="176" t="s">
        <v>78</v>
      </c>
      <c r="D60" s="175"/>
      <c r="E60" s="958" t="str">
        <f>IF(B60=0,"",3)</f>
        <v/>
      </c>
      <c r="F60" s="967"/>
      <c r="G60" s="967"/>
    </row>
    <row r="61" spans="1:7" ht="39.950000000000003" customHeight="1">
      <c r="A61" s="956"/>
      <c r="B61" s="957"/>
      <c r="C61" s="177" t="s">
        <v>79</v>
      </c>
      <c r="D61" s="175"/>
      <c r="E61" s="958"/>
      <c r="F61" s="967"/>
      <c r="G61" s="967"/>
    </row>
    <row r="62" spans="1:7" ht="39.950000000000003" customHeight="1">
      <c r="A62" s="956"/>
      <c r="B62" s="957"/>
      <c r="C62" s="177" t="s">
        <v>80</v>
      </c>
      <c r="D62" s="175"/>
      <c r="E62" s="958"/>
      <c r="F62" s="967"/>
      <c r="G62" s="967"/>
    </row>
    <row r="63" spans="1:7" ht="39.950000000000003" customHeight="1">
      <c r="A63" s="956">
        <v>18</v>
      </c>
      <c r="B63" s="957"/>
      <c r="C63" s="176" t="s">
        <v>78</v>
      </c>
      <c r="D63" s="175"/>
      <c r="E63" s="958" t="str">
        <f>IF(B63=0,"",3)</f>
        <v/>
      </c>
      <c r="F63" s="967"/>
      <c r="G63" s="967"/>
    </row>
    <row r="64" spans="1:7" ht="39.950000000000003" customHeight="1">
      <c r="A64" s="956"/>
      <c r="B64" s="957"/>
      <c r="C64" s="177" t="s">
        <v>79</v>
      </c>
      <c r="D64" s="175"/>
      <c r="E64" s="958"/>
      <c r="F64" s="967"/>
      <c r="G64" s="967"/>
    </row>
    <row r="65" spans="1:7" ht="39.950000000000003" customHeight="1">
      <c r="A65" s="956"/>
      <c r="B65" s="957"/>
      <c r="C65" s="177" t="s">
        <v>80</v>
      </c>
      <c r="D65" s="175"/>
      <c r="E65" s="958"/>
      <c r="F65" s="967"/>
      <c r="G65" s="967"/>
    </row>
    <row r="66" spans="1:7" ht="39.950000000000003" customHeight="1">
      <c r="A66" s="956">
        <v>19</v>
      </c>
      <c r="B66" s="957"/>
      <c r="C66" s="176" t="s">
        <v>78</v>
      </c>
      <c r="D66" s="175"/>
      <c r="E66" s="958" t="str">
        <f>IF(B66=0,"",3)</f>
        <v/>
      </c>
      <c r="F66" s="967"/>
      <c r="G66" s="967"/>
    </row>
    <row r="67" spans="1:7" ht="39.950000000000003" customHeight="1">
      <c r="A67" s="956"/>
      <c r="B67" s="957"/>
      <c r="C67" s="177" t="s">
        <v>79</v>
      </c>
      <c r="D67" s="175"/>
      <c r="E67" s="958"/>
      <c r="F67" s="967"/>
      <c r="G67" s="967"/>
    </row>
    <row r="68" spans="1:7" ht="39.950000000000003" customHeight="1">
      <c r="A68" s="956"/>
      <c r="B68" s="957"/>
      <c r="C68" s="177" t="s">
        <v>80</v>
      </c>
      <c r="D68" s="175"/>
      <c r="E68" s="958"/>
      <c r="F68" s="967"/>
      <c r="G68" s="967"/>
    </row>
    <row r="69" spans="1:7" ht="39.950000000000003" customHeight="1">
      <c r="A69" s="956">
        <v>20</v>
      </c>
      <c r="B69" s="957"/>
      <c r="C69" s="176" t="s">
        <v>78</v>
      </c>
      <c r="D69" s="175"/>
      <c r="E69" s="958" t="str">
        <f>IF(B69=0,"",3)</f>
        <v/>
      </c>
      <c r="F69" s="967"/>
      <c r="G69" s="967"/>
    </row>
    <row r="70" spans="1:7" ht="39.950000000000003" customHeight="1">
      <c r="A70" s="956"/>
      <c r="B70" s="957"/>
      <c r="C70" s="177" t="s">
        <v>79</v>
      </c>
      <c r="D70" s="175"/>
      <c r="E70" s="958"/>
      <c r="F70" s="967"/>
      <c r="G70" s="967"/>
    </row>
    <row r="71" spans="1:7" ht="39.950000000000003" customHeight="1">
      <c r="A71" s="956"/>
      <c r="B71" s="957"/>
      <c r="C71" s="177" t="s">
        <v>80</v>
      </c>
      <c r="D71" s="175"/>
      <c r="E71" s="958"/>
      <c r="F71" s="967"/>
      <c r="G71" s="967"/>
    </row>
  </sheetData>
  <mergeCells count="129">
    <mergeCell ref="F67:G67"/>
    <mergeCell ref="F68:G68"/>
    <mergeCell ref="F69:G69"/>
    <mergeCell ref="F70:G70"/>
    <mergeCell ref="F71:G71"/>
    <mergeCell ref="F62:G62"/>
    <mergeCell ref="F63:G63"/>
    <mergeCell ref="F64:G64"/>
    <mergeCell ref="F65:G65"/>
    <mergeCell ref="F66:G66"/>
    <mergeCell ref="F57:G57"/>
    <mergeCell ref="F58:G58"/>
    <mergeCell ref="F59:G59"/>
    <mergeCell ref="F60:G60"/>
    <mergeCell ref="F61:G61"/>
    <mergeCell ref="F52:G52"/>
    <mergeCell ref="F53:G53"/>
    <mergeCell ref="F54:G54"/>
    <mergeCell ref="F55:G55"/>
    <mergeCell ref="F56:G56"/>
    <mergeCell ref="F47:G47"/>
    <mergeCell ref="F48:G48"/>
    <mergeCell ref="F49:G49"/>
    <mergeCell ref="F50:G50"/>
    <mergeCell ref="F51:G51"/>
    <mergeCell ref="F42:G42"/>
    <mergeCell ref="F43:G43"/>
    <mergeCell ref="F44:G44"/>
    <mergeCell ref="F45:G45"/>
    <mergeCell ref="F46:G46"/>
    <mergeCell ref="F38:G38"/>
    <mergeCell ref="F39:G39"/>
    <mergeCell ref="F40:G40"/>
    <mergeCell ref="F41:G41"/>
    <mergeCell ref="F32:G32"/>
    <mergeCell ref="F33:G33"/>
    <mergeCell ref="F34:G34"/>
    <mergeCell ref="F35:G35"/>
    <mergeCell ref="F36:G36"/>
    <mergeCell ref="F29:G29"/>
    <mergeCell ref="F30:G30"/>
    <mergeCell ref="F31:G31"/>
    <mergeCell ref="F22:G22"/>
    <mergeCell ref="F23:G23"/>
    <mergeCell ref="F24:G24"/>
    <mergeCell ref="F25:G25"/>
    <mergeCell ref="F26:G26"/>
    <mergeCell ref="F37:G37"/>
    <mergeCell ref="F20:G20"/>
    <mergeCell ref="F21:G21"/>
    <mergeCell ref="F12:G12"/>
    <mergeCell ref="F13:G13"/>
    <mergeCell ref="F14:G14"/>
    <mergeCell ref="F15:G15"/>
    <mergeCell ref="F16:G16"/>
    <mergeCell ref="F27:G27"/>
    <mergeCell ref="F28:G28"/>
    <mergeCell ref="A4:D4"/>
    <mergeCell ref="B6:C6"/>
    <mergeCell ref="B7:C7"/>
    <mergeCell ref="B8:C8"/>
    <mergeCell ref="C11:D11"/>
    <mergeCell ref="F11:G11"/>
    <mergeCell ref="A2:G2"/>
    <mergeCell ref="A21:A23"/>
    <mergeCell ref="B21:B23"/>
    <mergeCell ref="B9:C9"/>
    <mergeCell ref="A11:B11"/>
    <mergeCell ref="A12:A14"/>
    <mergeCell ref="B12:B14"/>
    <mergeCell ref="A15:A17"/>
    <mergeCell ref="B15:B17"/>
    <mergeCell ref="A18:A20"/>
    <mergeCell ref="B18:B20"/>
    <mergeCell ref="E12:E14"/>
    <mergeCell ref="E15:E17"/>
    <mergeCell ref="E18:E20"/>
    <mergeCell ref="E21:E23"/>
    <mergeCell ref="F17:G17"/>
    <mergeCell ref="F18:G18"/>
    <mergeCell ref="F19:G19"/>
    <mergeCell ref="E30:E32"/>
    <mergeCell ref="E33:E35"/>
    <mergeCell ref="E36:E38"/>
    <mergeCell ref="E39:E41"/>
    <mergeCell ref="B36:B38"/>
    <mergeCell ref="A24:A26"/>
    <mergeCell ref="B24:B26"/>
    <mergeCell ref="A27:A29"/>
    <mergeCell ref="B27:B29"/>
    <mergeCell ref="E27:E29"/>
    <mergeCell ref="E24:E26"/>
    <mergeCell ref="A39:A41"/>
    <mergeCell ref="B39:B41"/>
    <mergeCell ref="A30:A32"/>
    <mergeCell ref="B30:B32"/>
    <mergeCell ref="A33:A35"/>
    <mergeCell ref="B33:B35"/>
    <mergeCell ref="A36:A38"/>
    <mergeCell ref="A42:A44"/>
    <mergeCell ref="B42:B44"/>
    <mergeCell ref="E42:E44"/>
    <mergeCell ref="A45:A47"/>
    <mergeCell ref="B45:B47"/>
    <mergeCell ref="E45:E47"/>
    <mergeCell ref="A48:A50"/>
    <mergeCell ref="B48:B50"/>
    <mergeCell ref="E48:E50"/>
    <mergeCell ref="A51:A53"/>
    <mergeCell ref="B51:B53"/>
    <mergeCell ref="E51:E53"/>
    <mergeCell ref="A54:A56"/>
    <mergeCell ref="B54:B56"/>
    <mergeCell ref="E54:E56"/>
    <mergeCell ref="A57:A59"/>
    <mergeCell ref="B57:B59"/>
    <mergeCell ref="E57:E59"/>
    <mergeCell ref="A69:A71"/>
    <mergeCell ref="B69:B71"/>
    <mergeCell ref="E69:E71"/>
    <mergeCell ref="A60:A62"/>
    <mergeCell ref="B60:B62"/>
    <mergeCell ref="E60:E62"/>
    <mergeCell ref="A63:A65"/>
    <mergeCell ref="B63:B65"/>
    <mergeCell ref="E63:E65"/>
    <mergeCell ref="A66:A68"/>
    <mergeCell ref="B66:B68"/>
    <mergeCell ref="E66:E68"/>
  </mergeCells>
  <phoneticPr fontId="24" type="noConversion"/>
  <dataValidations count="1">
    <dataValidation type="list" allowBlank="1" showInputMessage="1" showErrorMessage="1" sqref="B12:B71" xr:uid="{00000000-0002-0000-1000-000000000000}">
      <formula1>INDICADORES</formula1>
    </dataValidation>
  </dataValidations>
  <pageMargins left="0.25" right="0.25" top="0.75" bottom="0.75" header="0.3" footer="0.3"/>
  <pageSetup paperSize="9" scale="41" orientation="portrait" r:id="rId1"/>
  <colBreaks count="1" manualBreakCount="1">
    <brk id="6" max="70" man="1"/>
  </col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6">
    <tabColor rgb="FFFFFF00"/>
  </sheetPr>
  <dimension ref="A2:I71"/>
  <sheetViews>
    <sheetView showGridLines="0" zoomScale="76" zoomScaleNormal="76" zoomScalePageLayoutView="50" workbookViewId="0"/>
  </sheetViews>
  <sheetFormatPr baseColWidth="10" defaultRowHeight="15"/>
  <cols>
    <col min="1" max="1" width="5.140625" bestFit="1" customWidth="1" collapsed="1"/>
    <col min="2" max="2" width="68.85546875" customWidth="1" collapsed="1"/>
    <col min="3" max="3" width="25.42578125" customWidth="1" collapsed="1"/>
    <col min="4" max="4" width="111.28515625" customWidth="1" collapsed="1"/>
    <col min="5" max="5" width="4.7109375" hidden="1" customWidth="1"/>
    <col min="7" max="7" width="18.28515625" customWidth="1"/>
    <col min="11" max="11" width="7.42578125" customWidth="1"/>
  </cols>
  <sheetData>
    <row r="2" spans="1:9" ht="31.5">
      <c r="A2" s="968" t="s">
        <v>251</v>
      </c>
      <c r="B2" s="968"/>
      <c r="C2" s="968"/>
      <c r="D2" s="968"/>
      <c r="E2" s="968"/>
      <c r="F2" s="968"/>
      <c r="G2" s="968"/>
    </row>
    <row r="4" spans="1:9" ht="27">
      <c r="A4" s="960">
        <f>'REGISTRO DATOS'!I3</f>
        <v>0</v>
      </c>
      <c r="B4" s="960"/>
      <c r="C4" s="960"/>
      <c r="D4" s="960"/>
    </row>
    <row r="5" spans="1:9">
      <c r="A5" s="333"/>
    </row>
    <row r="6" spans="1:9" ht="18">
      <c r="A6" s="333"/>
      <c r="B6" s="795" t="s">
        <v>267</v>
      </c>
      <c r="C6" s="795"/>
      <c r="D6" s="336" t="str">
        <f>'REGISTRO DATOS'!I4</f>
        <v>COTO</v>
      </c>
    </row>
    <row r="7" spans="1:9" ht="18">
      <c r="A7" s="333"/>
      <c r="B7" s="795" t="s">
        <v>21</v>
      </c>
      <c r="C7" s="795"/>
      <c r="D7" s="336" t="str">
        <f>'REGISTRO DATOS'!I5</f>
        <v>06</v>
      </c>
    </row>
    <row r="8" spans="1:9" ht="21">
      <c r="A8" s="333"/>
      <c r="B8" s="961" t="s">
        <v>22</v>
      </c>
      <c r="C8" s="961"/>
      <c r="D8" s="336">
        <f>'REGISTRO DATOS'!I6</f>
        <v>0</v>
      </c>
      <c r="E8" s="231">
        <f>COUNT(E12:E71)</f>
        <v>0</v>
      </c>
    </row>
    <row r="9" spans="1:9" ht="21" customHeight="1">
      <c r="A9" s="333"/>
      <c r="B9" s="961" t="s">
        <v>23</v>
      </c>
      <c r="C9" s="961"/>
      <c r="D9" s="336">
        <f>'REGISTRO DATOS'!I7</f>
        <v>0</v>
      </c>
      <c r="E9" s="172" t="s">
        <v>54</v>
      </c>
    </row>
    <row r="10" spans="1:9" ht="28.5">
      <c r="E10" s="173">
        <f>SUM(E12:E71)</f>
        <v>0</v>
      </c>
      <c r="G10" s="2"/>
      <c r="H10" s="2"/>
      <c r="I10" s="2"/>
    </row>
    <row r="11" spans="1:9" ht="32.25" customHeight="1">
      <c r="A11" s="969" t="s">
        <v>18</v>
      </c>
      <c r="B11" s="969"/>
      <c r="C11" s="970" t="s">
        <v>20</v>
      </c>
      <c r="D11" s="971"/>
      <c r="E11" s="174" t="s">
        <v>93</v>
      </c>
      <c r="F11" s="976" t="s">
        <v>279</v>
      </c>
      <c r="G11" s="976"/>
      <c r="H11" s="375"/>
      <c r="I11" s="375"/>
    </row>
    <row r="12" spans="1:9" ht="35.1" customHeight="1">
      <c r="A12" s="972">
        <v>1</v>
      </c>
      <c r="B12" s="973"/>
      <c r="C12" s="176" t="s">
        <v>78</v>
      </c>
      <c r="D12" s="175"/>
      <c r="E12" s="958" t="str">
        <f>IF(B12=0,"",3)</f>
        <v/>
      </c>
      <c r="F12" s="967"/>
      <c r="G12" s="967"/>
      <c r="H12" s="2"/>
      <c r="I12" s="2"/>
    </row>
    <row r="13" spans="1:9" ht="35.1" customHeight="1">
      <c r="A13" s="972"/>
      <c r="B13" s="974"/>
      <c r="C13" s="177" t="s">
        <v>79</v>
      </c>
      <c r="D13" s="175"/>
      <c r="E13" s="958"/>
      <c r="F13" s="967"/>
      <c r="G13" s="967"/>
      <c r="H13" s="2"/>
      <c r="I13" s="2"/>
    </row>
    <row r="14" spans="1:9" ht="35.1" customHeight="1">
      <c r="A14" s="972"/>
      <c r="B14" s="975"/>
      <c r="C14" s="177" t="s">
        <v>80</v>
      </c>
      <c r="D14" s="175"/>
      <c r="E14" s="958"/>
      <c r="F14" s="967"/>
      <c r="G14" s="967"/>
      <c r="H14" s="2"/>
      <c r="I14" s="2"/>
    </row>
    <row r="15" spans="1:9" ht="35.1" customHeight="1">
      <c r="A15" s="972">
        <v>2</v>
      </c>
      <c r="B15" s="977"/>
      <c r="C15" s="176" t="s">
        <v>78</v>
      </c>
      <c r="D15" s="175"/>
      <c r="E15" s="958" t="str">
        <f>IF(B15=0,"",3)</f>
        <v/>
      </c>
      <c r="F15" s="967"/>
      <c r="G15" s="967"/>
      <c r="H15" s="2"/>
      <c r="I15" s="2"/>
    </row>
    <row r="16" spans="1:9" ht="35.1" customHeight="1">
      <c r="A16" s="972"/>
      <c r="B16" s="978"/>
      <c r="C16" s="177" t="s">
        <v>79</v>
      </c>
      <c r="D16" s="175"/>
      <c r="E16" s="958"/>
      <c r="F16" s="967"/>
      <c r="G16" s="967"/>
      <c r="H16" s="2"/>
      <c r="I16" s="2"/>
    </row>
    <row r="17" spans="1:9" ht="35.1" customHeight="1">
      <c r="A17" s="972"/>
      <c r="B17" s="979"/>
      <c r="C17" s="177" t="s">
        <v>80</v>
      </c>
      <c r="D17" s="175"/>
      <c r="E17" s="958"/>
      <c r="F17" s="967"/>
      <c r="G17" s="967"/>
      <c r="H17" s="2"/>
      <c r="I17" s="2"/>
    </row>
    <row r="18" spans="1:9" ht="35.1" customHeight="1">
      <c r="A18" s="972">
        <v>3</v>
      </c>
      <c r="B18" s="977"/>
      <c r="C18" s="176" t="s">
        <v>78</v>
      </c>
      <c r="D18" s="175"/>
      <c r="E18" s="958" t="str">
        <f>IF(B18=0,"",3)</f>
        <v/>
      </c>
      <c r="F18" s="967"/>
      <c r="G18" s="967"/>
      <c r="H18" s="2"/>
      <c r="I18" s="2"/>
    </row>
    <row r="19" spans="1:9" ht="35.1" customHeight="1">
      <c r="A19" s="972"/>
      <c r="B19" s="978"/>
      <c r="C19" s="177" t="s">
        <v>79</v>
      </c>
      <c r="D19" s="175"/>
      <c r="E19" s="958"/>
      <c r="F19" s="967"/>
      <c r="G19" s="967"/>
      <c r="H19" s="2"/>
      <c r="I19" s="2"/>
    </row>
    <row r="20" spans="1:9" ht="35.1" customHeight="1">
      <c r="A20" s="972"/>
      <c r="B20" s="979"/>
      <c r="C20" s="177" t="s">
        <v>80</v>
      </c>
      <c r="D20" s="175"/>
      <c r="E20" s="958"/>
      <c r="F20" s="967"/>
      <c r="G20" s="967"/>
    </row>
    <row r="21" spans="1:9" ht="35.1" customHeight="1">
      <c r="A21" s="972">
        <v>4</v>
      </c>
      <c r="B21" s="977"/>
      <c r="C21" s="176" t="s">
        <v>78</v>
      </c>
      <c r="D21" s="178"/>
      <c r="E21" s="958" t="str">
        <f>IF(B21=0,"",3)</f>
        <v/>
      </c>
      <c r="F21" s="967"/>
      <c r="G21" s="967"/>
    </row>
    <row r="22" spans="1:9" ht="35.1" customHeight="1">
      <c r="A22" s="972"/>
      <c r="B22" s="978"/>
      <c r="C22" s="177" t="s">
        <v>79</v>
      </c>
      <c r="D22" s="178"/>
      <c r="E22" s="958"/>
      <c r="F22" s="967"/>
      <c r="G22" s="967"/>
    </row>
    <row r="23" spans="1:9" ht="35.1" customHeight="1">
      <c r="A23" s="972"/>
      <c r="B23" s="979"/>
      <c r="C23" s="177" t="s">
        <v>80</v>
      </c>
      <c r="D23" s="178"/>
      <c r="E23" s="958"/>
      <c r="F23" s="967"/>
      <c r="G23" s="967"/>
    </row>
    <row r="24" spans="1:9" ht="35.1" customHeight="1">
      <c r="A24" s="972">
        <v>5</v>
      </c>
      <c r="B24" s="977"/>
      <c r="C24" s="176" t="s">
        <v>78</v>
      </c>
      <c r="D24" s="178"/>
      <c r="E24" s="958" t="str">
        <f>IF(B24=0,"",3)</f>
        <v/>
      </c>
      <c r="F24" s="967"/>
      <c r="G24" s="967"/>
    </row>
    <row r="25" spans="1:9" ht="35.1" customHeight="1">
      <c r="A25" s="972"/>
      <c r="B25" s="978"/>
      <c r="C25" s="177" t="s">
        <v>79</v>
      </c>
      <c r="D25" s="178"/>
      <c r="E25" s="958"/>
      <c r="F25" s="967"/>
      <c r="G25" s="967"/>
    </row>
    <row r="26" spans="1:9" ht="35.1" customHeight="1">
      <c r="A26" s="972"/>
      <c r="B26" s="979"/>
      <c r="C26" s="177" t="s">
        <v>80</v>
      </c>
      <c r="D26" s="178"/>
      <c r="E26" s="958"/>
      <c r="F26" s="967"/>
      <c r="G26" s="967"/>
    </row>
    <row r="27" spans="1:9" ht="35.1" customHeight="1">
      <c r="A27" s="972">
        <v>6</v>
      </c>
      <c r="B27" s="959"/>
      <c r="C27" s="176" t="s">
        <v>78</v>
      </c>
      <c r="D27" s="178"/>
      <c r="E27" s="958" t="str">
        <f>IF(B27=0,"",3)</f>
        <v/>
      </c>
      <c r="F27" s="967"/>
      <c r="G27" s="967"/>
    </row>
    <row r="28" spans="1:9" ht="35.1" customHeight="1">
      <c r="A28" s="972"/>
      <c r="B28" s="959"/>
      <c r="C28" s="177" t="s">
        <v>79</v>
      </c>
      <c r="D28" s="178"/>
      <c r="E28" s="958"/>
      <c r="F28" s="967"/>
      <c r="G28" s="967"/>
    </row>
    <row r="29" spans="1:9" ht="35.1" customHeight="1">
      <c r="A29" s="972"/>
      <c r="B29" s="959"/>
      <c r="C29" s="177" t="s">
        <v>80</v>
      </c>
      <c r="D29" s="178"/>
      <c r="E29" s="958"/>
      <c r="F29" s="967"/>
      <c r="G29" s="967"/>
    </row>
    <row r="30" spans="1:9" ht="35.1" customHeight="1">
      <c r="A30" s="972">
        <v>7</v>
      </c>
      <c r="B30" s="959"/>
      <c r="C30" s="176" t="s">
        <v>78</v>
      </c>
      <c r="D30" s="178"/>
      <c r="E30" s="958" t="str">
        <f>IF(B30=0,"",3)</f>
        <v/>
      </c>
      <c r="F30" s="967"/>
      <c r="G30" s="967"/>
    </row>
    <row r="31" spans="1:9" ht="35.1" customHeight="1">
      <c r="A31" s="972"/>
      <c r="B31" s="959"/>
      <c r="C31" s="177" t="s">
        <v>79</v>
      </c>
      <c r="D31" s="178"/>
      <c r="E31" s="958"/>
      <c r="F31" s="967"/>
      <c r="G31" s="967"/>
    </row>
    <row r="32" spans="1:9" ht="35.1" customHeight="1">
      <c r="A32" s="972"/>
      <c r="B32" s="959"/>
      <c r="C32" s="177" t="s">
        <v>80</v>
      </c>
      <c r="D32" s="178"/>
      <c r="E32" s="958"/>
      <c r="F32" s="967"/>
      <c r="G32" s="967"/>
    </row>
    <row r="33" spans="1:7" ht="35.1" customHeight="1">
      <c r="A33" s="972">
        <v>8</v>
      </c>
      <c r="B33" s="959"/>
      <c r="C33" s="176" t="s">
        <v>78</v>
      </c>
      <c r="D33" s="178"/>
      <c r="E33" s="958" t="str">
        <f>IF(B33=0,"",3)</f>
        <v/>
      </c>
      <c r="F33" s="967"/>
      <c r="G33" s="967"/>
    </row>
    <row r="34" spans="1:7" ht="35.1" customHeight="1">
      <c r="A34" s="972"/>
      <c r="B34" s="959"/>
      <c r="C34" s="177" t="s">
        <v>79</v>
      </c>
      <c r="D34" s="178"/>
      <c r="E34" s="958"/>
      <c r="F34" s="967"/>
      <c r="G34" s="967"/>
    </row>
    <row r="35" spans="1:7" ht="35.1" customHeight="1">
      <c r="A35" s="972"/>
      <c r="B35" s="959"/>
      <c r="C35" s="177" t="s">
        <v>80</v>
      </c>
      <c r="D35" s="178"/>
      <c r="E35" s="958"/>
      <c r="F35" s="967"/>
      <c r="G35" s="967"/>
    </row>
    <row r="36" spans="1:7" ht="35.1" customHeight="1">
      <c r="A36" s="972">
        <v>9</v>
      </c>
      <c r="B36" s="980"/>
      <c r="C36" s="176" t="s">
        <v>78</v>
      </c>
      <c r="D36" s="175"/>
      <c r="E36" s="958" t="str">
        <f>IF(B36=0,"",3)</f>
        <v/>
      </c>
      <c r="F36" s="967"/>
      <c r="G36" s="967"/>
    </row>
    <row r="37" spans="1:7" ht="35.1" customHeight="1">
      <c r="A37" s="972"/>
      <c r="B37" s="980"/>
      <c r="C37" s="177" t="s">
        <v>79</v>
      </c>
      <c r="D37" s="175"/>
      <c r="E37" s="958"/>
      <c r="F37" s="967"/>
      <c r="G37" s="967"/>
    </row>
    <row r="38" spans="1:7" ht="35.1" customHeight="1">
      <c r="A38" s="972"/>
      <c r="B38" s="980"/>
      <c r="C38" s="177" t="s">
        <v>80</v>
      </c>
      <c r="D38" s="175"/>
      <c r="E38" s="958"/>
      <c r="F38" s="967"/>
      <c r="G38" s="967"/>
    </row>
    <row r="39" spans="1:7" ht="35.1" customHeight="1">
      <c r="A39" s="972">
        <v>10</v>
      </c>
      <c r="B39" s="980"/>
      <c r="C39" s="176" t="s">
        <v>78</v>
      </c>
      <c r="D39" s="175"/>
      <c r="E39" s="958" t="str">
        <f>IF(B39=0,"",3)</f>
        <v/>
      </c>
      <c r="F39" s="967"/>
      <c r="G39" s="967"/>
    </row>
    <row r="40" spans="1:7" ht="35.1" customHeight="1">
      <c r="A40" s="972"/>
      <c r="B40" s="980"/>
      <c r="C40" s="177" t="s">
        <v>79</v>
      </c>
      <c r="D40" s="175"/>
      <c r="E40" s="958"/>
      <c r="F40" s="967"/>
      <c r="G40" s="967"/>
    </row>
    <row r="41" spans="1:7" ht="35.1" customHeight="1">
      <c r="A41" s="972"/>
      <c r="B41" s="980"/>
      <c r="C41" s="177" t="s">
        <v>80</v>
      </c>
      <c r="D41" s="175"/>
      <c r="E41" s="958"/>
      <c r="F41" s="967"/>
      <c r="G41" s="967"/>
    </row>
    <row r="42" spans="1:7" ht="35.1" customHeight="1">
      <c r="A42" s="972">
        <v>11</v>
      </c>
      <c r="B42" s="980"/>
      <c r="C42" s="176" t="s">
        <v>78</v>
      </c>
      <c r="D42" s="175"/>
      <c r="E42" s="958" t="str">
        <f>IF(B42=0,"",3)</f>
        <v/>
      </c>
      <c r="F42" s="967"/>
      <c r="G42" s="967"/>
    </row>
    <row r="43" spans="1:7" ht="35.1" customHeight="1">
      <c r="A43" s="972"/>
      <c r="B43" s="980"/>
      <c r="C43" s="177" t="s">
        <v>79</v>
      </c>
      <c r="D43" s="175"/>
      <c r="E43" s="958"/>
      <c r="F43" s="967"/>
      <c r="G43" s="967"/>
    </row>
    <row r="44" spans="1:7" ht="35.1" customHeight="1">
      <c r="A44" s="972"/>
      <c r="B44" s="980"/>
      <c r="C44" s="177" t="s">
        <v>80</v>
      </c>
      <c r="D44" s="175"/>
      <c r="E44" s="958"/>
      <c r="F44" s="967"/>
      <c r="G44" s="967"/>
    </row>
    <row r="45" spans="1:7" ht="35.1" customHeight="1">
      <c r="A45" s="972">
        <v>12</v>
      </c>
      <c r="B45" s="980"/>
      <c r="C45" s="176" t="s">
        <v>78</v>
      </c>
      <c r="D45" s="175"/>
      <c r="E45" s="958" t="str">
        <f>IF(B45=0,"",3)</f>
        <v/>
      </c>
      <c r="F45" s="967"/>
      <c r="G45" s="967"/>
    </row>
    <row r="46" spans="1:7" ht="35.1" customHeight="1">
      <c r="A46" s="972"/>
      <c r="B46" s="980"/>
      <c r="C46" s="177" t="s">
        <v>79</v>
      </c>
      <c r="D46" s="175"/>
      <c r="E46" s="958"/>
      <c r="F46" s="967"/>
      <c r="G46" s="967"/>
    </row>
    <row r="47" spans="1:7" ht="35.1" customHeight="1">
      <c r="A47" s="972"/>
      <c r="B47" s="980"/>
      <c r="C47" s="177" t="s">
        <v>80</v>
      </c>
      <c r="D47" s="175"/>
      <c r="E47" s="958"/>
      <c r="F47" s="967"/>
      <c r="G47" s="967"/>
    </row>
    <row r="48" spans="1:7" ht="35.1" customHeight="1">
      <c r="A48" s="972">
        <v>13</v>
      </c>
      <c r="B48" s="980"/>
      <c r="C48" s="176" t="s">
        <v>78</v>
      </c>
      <c r="D48" s="175"/>
      <c r="E48" s="958" t="str">
        <f>IF(B48=0,"",3)</f>
        <v/>
      </c>
      <c r="F48" s="967"/>
      <c r="G48" s="967"/>
    </row>
    <row r="49" spans="1:7" ht="35.1" customHeight="1">
      <c r="A49" s="972"/>
      <c r="B49" s="980"/>
      <c r="C49" s="177" t="s">
        <v>79</v>
      </c>
      <c r="D49" s="175"/>
      <c r="E49" s="958"/>
      <c r="F49" s="967"/>
      <c r="G49" s="967"/>
    </row>
    <row r="50" spans="1:7" ht="35.1" customHeight="1">
      <c r="A50" s="972"/>
      <c r="B50" s="980"/>
      <c r="C50" s="177" t="s">
        <v>80</v>
      </c>
      <c r="D50" s="175"/>
      <c r="E50" s="958"/>
      <c r="F50" s="967"/>
      <c r="G50" s="967"/>
    </row>
    <row r="51" spans="1:7" ht="35.1" customHeight="1">
      <c r="A51" s="972">
        <v>14</v>
      </c>
      <c r="B51" s="980"/>
      <c r="C51" s="176" t="s">
        <v>78</v>
      </c>
      <c r="D51" s="175"/>
      <c r="E51" s="958" t="str">
        <f>IF(B51=0,"",3)</f>
        <v/>
      </c>
      <c r="F51" s="967"/>
      <c r="G51" s="967"/>
    </row>
    <row r="52" spans="1:7" ht="35.1" customHeight="1">
      <c r="A52" s="972"/>
      <c r="B52" s="980"/>
      <c r="C52" s="177" t="s">
        <v>79</v>
      </c>
      <c r="D52" s="175"/>
      <c r="E52" s="958"/>
      <c r="F52" s="967"/>
      <c r="G52" s="967"/>
    </row>
    <row r="53" spans="1:7" ht="35.1" customHeight="1">
      <c r="A53" s="972"/>
      <c r="B53" s="980"/>
      <c r="C53" s="177" t="s">
        <v>80</v>
      </c>
      <c r="D53" s="175"/>
      <c r="E53" s="958"/>
      <c r="F53" s="967"/>
      <c r="G53" s="967"/>
    </row>
    <row r="54" spans="1:7" ht="35.1" customHeight="1">
      <c r="A54" s="972">
        <v>15</v>
      </c>
      <c r="B54" s="980"/>
      <c r="C54" s="176" t="s">
        <v>78</v>
      </c>
      <c r="D54" s="175"/>
      <c r="E54" s="958" t="str">
        <f>IF(B54=0,"",3)</f>
        <v/>
      </c>
      <c r="F54" s="967"/>
      <c r="G54" s="967"/>
    </row>
    <row r="55" spans="1:7" ht="35.1" customHeight="1">
      <c r="A55" s="972"/>
      <c r="B55" s="980"/>
      <c r="C55" s="177" t="s">
        <v>79</v>
      </c>
      <c r="D55" s="175"/>
      <c r="E55" s="958"/>
      <c r="F55" s="967"/>
      <c r="G55" s="967"/>
    </row>
    <row r="56" spans="1:7" ht="35.1" customHeight="1">
      <c r="A56" s="972"/>
      <c r="B56" s="980"/>
      <c r="C56" s="177" t="s">
        <v>80</v>
      </c>
      <c r="D56" s="175"/>
      <c r="E56" s="958"/>
      <c r="F56" s="967"/>
      <c r="G56" s="967"/>
    </row>
    <row r="57" spans="1:7" ht="35.1" customHeight="1">
      <c r="A57" s="972">
        <v>16</v>
      </c>
      <c r="B57" s="980"/>
      <c r="C57" s="176" t="s">
        <v>78</v>
      </c>
      <c r="D57" s="175"/>
      <c r="E57" s="958" t="str">
        <f>IF(B57=0,"",3)</f>
        <v/>
      </c>
      <c r="F57" s="967"/>
      <c r="G57" s="967"/>
    </row>
    <row r="58" spans="1:7" ht="35.1" customHeight="1">
      <c r="A58" s="972"/>
      <c r="B58" s="980"/>
      <c r="C58" s="177" t="s">
        <v>79</v>
      </c>
      <c r="D58" s="175"/>
      <c r="E58" s="958"/>
      <c r="F58" s="967"/>
      <c r="G58" s="967"/>
    </row>
    <row r="59" spans="1:7" ht="35.1" customHeight="1">
      <c r="A59" s="972"/>
      <c r="B59" s="980"/>
      <c r="C59" s="177" t="s">
        <v>80</v>
      </c>
      <c r="D59" s="175"/>
      <c r="E59" s="958"/>
      <c r="F59" s="967"/>
      <c r="G59" s="967"/>
    </row>
    <row r="60" spans="1:7" ht="35.1" customHeight="1">
      <c r="A60" s="972">
        <v>17</v>
      </c>
      <c r="B60" s="980"/>
      <c r="C60" s="176" t="s">
        <v>78</v>
      </c>
      <c r="D60" s="175"/>
      <c r="E60" s="958" t="str">
        <f>IF(B60=0,"",3)</f>
        <v/>
      </c>
      <c r="F60" s="967"/>
      <c r="G60" s="967"/>
    </row>
    <row r="61" spans="1:7" ht="35.1" customHeight="1">
      <c r="A61" s="972"/>
      <c r="B61" s="980"/>
      <c r="C61" s="177" t="s">
        <v>79</v>
      </c>
      <c r="D61" s="175"/>
      <c r="E61" s="958"/>
      <c r="F61" s="967"/>
      <c r="G61" s="967"/>
    </row>
    <row r="62" spans="1:7" ht="35.1" customHeight="1">
      <c r="A62" s="972"/>
      <c r="B62" s="980"/>
      <c r="C62" s="177" t="s">
        <v>80</v>
      </c>
      <c r="D62" s="175"/>
      <c r="E62" s="958"/>
      <c r="F62" s="967"/>
      <c r="G62" s="967"/>
    </row>
    <row r="63" spans="1:7" ht="35.1" customHeight="1">
      <c r="A63" s="972">
        <v>18</v>
      </c>
      <c r="B63" s="980"/>
      <c r="C63" s="176" t="s">
        <v>78</v>
      </c>
      <c r="D63" s="175"/>
      <c r="E63" s="958" t="str">
        <f>IF(B63=0,"",3)</f>
        <v/>
      </c>
      <c r="F63" s="967"/>
      <c r="G63" s="967"/>
    </row>
    <row r="64" spans="1:7" ht="35.1" customHeight="1">
      <c r="A64" s="972"/>
      <c r="B64" s="980"/>
      <c r="C64" s="177" t="s">
        <v>79</v>
      </c>
      <c r="D64" s="175"/>
      <c r="E64" s="958"/>
      <c r="F64" s="967"/>
      <c r="G64" s="967"/>
    </row>
    <row r="65" spans="1:7" ht="35.1" customHeight="1">
      <c r="A65" s="972"/>
      <c r="B65" s="980"/>
      <c r="C65" s="177" t="s">
        <v>80</v>
      </c>
      <c r="D65" s="175"/>
      <c r="E65" s="958"/>
      <c r="F65" s="967"/>
      <c r="G65" s="967"/>
    </row>
    <row r="66" spans="1:7" ht="35.1" customHeight="1">
      <c r="A66" s="972">
        <v>19</v>
      </c>
      <c r="B66" s="980"/>
      <c r="C66" s="176" t="s">
        <v>78</v>
      </c>
      <c r="D66" s="175"/>
      <c r="E66" s="958" t="str">
        <f>IF(B66=0,"",3)</f>
        <v/>
      </c>
      <c r="F66" s="967"/>
      <c r="G66" s="967"/>
    </row>
    <row r="67" spans="1:7" ht="35.1" customHeight="1">
      <c r="A67" s="972"/>
      <c r="B67" s="980"/>
      <c r="C67" s="177" t="s">
        <v>79</v>
      </c>
      <c r="D67" s="175"/>
      <c r="E67" s="958"/>
      <c r="F67" s="967"/>
      <c r="G67" s="967"/>
    </row>
    <row r="68" spans="1:7" ht="35.1" customHeight="1">
      <c r="A68" s="972"/>
      <c r="B68" s="980"/>
      <c r="C68" s="177" t="s">
        <v>80</v>
      </c>
      <c r="D68" s="175"/>
      <c r="E68" s="958"/>
      <c r="F68" s="967"/>
      <c r="G68" s="967"/>
    </row>
    <row r="69" spans="1:7" ht="35.1" customHeight="1">
      <c r="A69" s="972">
        <v>20</v>
      </c>
      <c r="B69" s="980"/>
      <c r="C69" s="176" t="s">
        <v>78</v>
      </c>
      <c r="D69" s="175"/>
      <c r="E69" s="958" t="str">
        <f>IF(B69=0,"",3)</f>
        <v/>
      </c>
      <c r="F69" s="967"/>
      <c r="G69" s="967"/>
    </row>
    <row r="70" spans="1:7" ht="35.1" customHeight="1">
      <c r="A70" s="972"/>
      <c r="B70" s="980"/>
      <c r="C70" s="177" t="s">
        <v>79</v>
      </c>
      <c r="D70" s="175"/>
      <c r="E70" s="958"/>
      <c r="F70" s="967"/>
      <c r="G70" s="967"/>
    </row>
    <row r="71" spans="1:7" ht="35.1" customHeight="1">
      <c r="A71" s="972"/>
      <c r="B71" s="980"/>
      <c r="C71" s="177" t="s">
        <v>80</v>
      </c>
      <c r="D71" s="175"/>
      <c r="E71" s="958"/>
      <c r="F71" s="967"/>
      <c r="G71" s="967"/>
    </row>
  </sheetData>
  <mergeCells count="129">
    <mergeCell ref="F70:G70"/>
    <mergeCell ref="F71:G71"/>
    <mergeCell ref="F65:G65"/>
    <mergeCell ref="F66:G66"/>
    <mergeCell ref="F67:G67"/>
    <mergeCell ref="F68:G68"/>
    <mergeCell ref="F69:G69"/>
    <mergeCell ref="F60:G60"/>
    <mergeCell ref="F61:G61"/>
    <mergeCell ref="F62:G62"/>
    <mergeCell ref="F63:G63"/>
    <mergeCell ref="F64:G64"/>
    <mergeCell ref="F55:G55"/>
    <mergeCell ref="F56:G56"/>
    <mergeCell ref="F57:G57"/>
    <mergeCell ref="F58:G58"/>
    <mergeCell ref="F59:G59"/>
    <mergeCell ref="F50:G50"/>
    <mergeCell ref="F51:G51"/>
    <mergeCell ref="F52:G52"/>
    <mergeCell ref="F53:G53"/>
    <mergeCell ref="F54:G54"/>
    <mergeCell ref="F45:G45"/>
    <mergeCell ref="F46:G46"/>
    <mergeCell ref="F47:G47"/>
    <mergeCell ref="F48:G48"/>
    <mergeCell ref="F49:G49"/>
    <mergeCell ref="F40:G40"/>
    <mergeCell ref="F41:G41"/>
    <mergeCell ref="F42:G42"/>
    <mergeCell ref="F43:G43"/>
    <mergeCell ref="F44:G44"/>
    <mergeCell ref="F35:G35"/>
    <mergeCell ref="F36:G36"/>
    <mergeCell ref="F37:G37"/>
    <mergeCell ref="F38:G38"/>
    <mergeCell ref="F39:G39"/>
    <mergeCell ref="F30:G30"/>
    <mergeCell ref="F31:G31"/>
    <mergeCell ref="F32:G32"/>
    <mergeCell ref="F33:G33"/>
    <mergeCell ref="F34:G34"/>
    <mergeCell ref="F25:G25"/>
    <mergeCell ref="F26:G26"/>
    <mergeCell ref="F27:G27"/>
    <mergeCell ref="F28:G28"/>
    <mergeCell ref="F29:G29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A69:A71"/>
    <mergeCell ref="B69:B71"/>
    <mergeCell ref="E69:E71"/>
    <mergeCell ref="A63:A65"/>
    <mergeCell ref="B63:B65"/>
    <mergeCell ref="E63:E65"/>
    <mergeCell ref="A66:A68"/>
    <mergeCell ref="B66:B68"/>
    <mergeCell ref="E66:E68"/>
    <mergeCell ref="A57:A59"/>
    <mergeCell ref="B57:B59"/>
    <mergeCell ref="E57:E59"/>
    <mergeCell ref="A60:A62"/>
    <mergeCell ref="B60:B62"/>
    <mergeCell ref="E60:E62"/>
    <mergeCell ref="A51:A53"/>
    <mergeCell ref="B51:B53"/>
    <mergeCell ref="E51:E53"/>
    <mergeCell ref="A54:A56"/>
    <mergeCell ref="B54:B56"/>
    <mergeCell ref="E54:E56"/>
    <mergeCell ref="A45:A47"/>
    <mergeCell ref="B45:B47"/>
    <mergeCell ref="E45:E47"/>
    <mergeCell ref="A48:A50"/>
    <mergeCell ref="B48:B50"/>
    <mergeCell ref="E48:E50"/>
    <mergeCell ref="A39:A41"/>
    <mergeCell ref="B39:B41"/>
    <mergeCell ref="E39:E41"/>
    <mergeCell ref="A42:A44"/>
    <mergeCell ref="B42:B44"/>
    <mergeCell ref="E42:E44"/>
    <mergeCell ref="A33:A35"/>
    <mergeCell ref="B33:B35"/>
    <mergeCell ref="E33:E35"/>
    <mergeCell ref="A36:A38"/>
    <mergeCell ref="B36:B38"/>
    <mergeCell ref="E36:E38"/>
    <mergeCell ref="A27:A29"/>
    <mergeCell ref="B27:B29"/>
    <mergeCell ref="E27:E29"/>
    <mergeCell ref="A30:A32"/>
    <mergeCell ref="B30:B32"/>
    <mergeCell ref="E30:E32"/>
    <mergeCell ref="A21:A23"/>
    <mergeCell ref="B21:B23"/>
    <mergeCell ref="E21:E23"/>
    <mergeCell ref="A24:A26"/>
    <mergeCell ref="B24:B26"/>
    <mergeCell ref="E24:E26"/>
    <mergeCell ref="A15:A17"/>
    <mergeCell ref="B15:B17"/>
    <mergeCell ref="E15:E17"/>
    <mergeCell ref="A18:A20"/>
    <mergeCell ref="B18:B20"/>
    <mergeCell ref="E18:E20"/>
    <mergeCell ref="B9:C9"/>
    <mergeCell ref="A4:D4"/>
    <mergeCell ref="B6:C6"/>
    <mergeCell ref="B7:C7"/>
    <mergeCell ref="B8:C8"/>
    <mergeCell ref="A2:G2"/>
    <mergeCell ref="A11:B11"/>
    <mergeCell ref="C11:D11"/>
    <mergeCell ref="A12:A14"/>
    <mergeCell ref="B12:B14"/>
    <mergeCell ref="E12:E14"/>
    <mergeCell ref="F11:G11"/>
    <mergeCell ref="F12:G12"/>
    <mergeCell ref="F13:G13"/>
    <mergeCell ref="F14:G14"/>
  </mergeCells>
  <dataValidations count="1">
    <dataValidation type="list" allowBlank="1" showInputMessage="1" showErrorMessage="1" sqref="B12:B71" xr:uid="{00000000-0002-0000-1100-000000000000}">
      <formula1>INDICADORES</formula1>
    </dataValidation>
  </dataValidations>
  <pageMargins left="0.25" right="0.25" top="0.75" bottom="0.75" header="0.3" footer="0.3"/>
  <pageSetup paperSize="9" scale="41" orientation="portrait" r:id="rId1"/>
  <colBreaks count="1" manualBreakCount="1">
    <brk id="6" max="70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31">
    <tabColor theme="0"/>
  </sheetPr>
  <dimension ref="C1:R17"/>
  <sheetViews>
    <sheetView showGridLines="0" showRowColHeaders="0" zoomScale="75" zoomScaleNormal="88" workbookViewId="0"/>
  </sheetViews>
  <sheetFormatPr baseColWidth="10" defaultRowHeight="15"/>
  <cols>
    <col min="3" max="3" width="16.28515625" bestFit="1" customWidth="1"/>
    <col min="4" max="4" width="16.85546875" bestFit="1" customWidth="1"/>
    <col min="14" max="14" width="13.85546875" customWidth="1"/>
  </cols>
  <sheetData>
    <row r="1" spans="3:18">
      <c r="C1" s="205"/>
      <c r="E1" s="254"/>
    </row>
    <row r="2" spans="3:18">
      <c r="C2" s="981">
        <f>'REGISTRO DATOS'!I3</f>
        <v>0</v>
      </c>
      <c r="D2" s="981"/>
      <c r="E2" s="981"/>
      <c r="F2" s="981"/>
      <c r="G2" s="981"/>
      <c r="H2" s="981"/>
      <c r="I2" s="981"/>
      <c r="J2" s="981"/>
      <c r="K2" s="981"/>
      <c r="P2" s="202" t="s">
        <v>84</v>
      </c>
      <c r="Q2" s="203"/>
    </row>
    <row r="3" spans="3:18">
      <c r="C3" s="981"/>
      <c r="D3" s="981"/>
      <c r="E3" s="981"/>
      <c r="F3" s="981"/>
      <c r="G3" s="981"/>
      <c r="H3" s="981"/>
      <c r="I3" s="981"/>
      <c r="J3" s="981"/>
      <c r="K3" s="981"/>
      <c r="P3" s="202" t="s">
        <v>85</v>
      </c>
      <c r="Q3" s="204"/>
      <c r="R3" s="34"/>
    </row>
    <row r="4" spans="3:18" ht="23.25" customHeight="1">
      <c r="C4" s="982" t="s">
        <v>150</v>
      </c>
      <c r="D4" s="982"/>
      <c r="E4" s="982"/>
      <c r="F4" s="982"/>
      <c r="G4" s="982"/>
      <c r="H4" s="982"/>
      <c r="I4" s="982"/>
      <c r="J4" s="982"/>
      <c r="K4" s="982"/>
      <c r="L4" s="982"/>
      <c r="P4" s="2"/>
      <c r="Q4" s="2"/>
      <c r="R4" s="2"/>
    </row>
    <row r="5" spans="3:18">
      <c r="D5" s="340" t="s">
        <v>9</v>
      </c>
      <c r="E5" s="385">
        <f>'REGISTRO DATOS'!I6</f>
        <v>0</v>
      </c>
      <c r="F5" s="385"/>
    </row>
    <row r="6" spans="3:18">
      <c r="D6" s="340" t="s">
        <v>11</v>
      </c>
      <c r="E6" s="983">
        <f>'REGISTRO DATOS'!I7</f>
        <v>0</v>
      </c>
      <c r="F6" s="983"/>
    </row>
    <row r="7" spans="3:18" ht="23.25">
      <c r="C7" s="205"/>
      <c r="D7" s="340" t="s">
        <v>1</v>
      </c>
      <c r="E7" s="343">
        <f>SECCIÓN</f>
        <v>0</v>
      </c>
      <c r="G7" s="44"/>
      <c r="H7" s="984"/>
      <c r="I7" s="984"/>
    </row>
    <row r="8" spans="3:18" ht="26.25">
      <c r="C8" s="985" t="s">
        <v>208</v>
      </c>
      <c r="D8" s="986"/>
      <c r="E8" s="986"/>
      <c r="F8" s="986"/>
      <c r="G8" s="986"/>
      <c r="H8" s="986"/>
      <c r="I8" s="986"/>
      <c r="J8" s="986"/>
      <c r="K8" s="986"/>
      <c r="L8" s="987"/>
    </row>
    <row r="9" spans="3:18" ht="15" customHeight="1">
      <c r="C9" s="988" t="s">
        <v>269</v>
      </c>
      <c r="D9" s="991" t="s">
        <v>270</v>
      </c>
      <c r="E9" s="994" t="s">
        <v>130</v>
      </c>
      <c r="F9" s="995"/>
      <c r="G9" s="995"/>
      <c r="H9" s="996"/>
      <c r="I9" s="1000" t="s">
        <v>131</v>
      </c>
      <c r="J9" s="1001"/>
      <c r="K9" s="1001"/>
      <c r="L9" s="1002"/>
      <c r="M9" s="1006"/>
      <c r="N9" s="1007"/>
    </row>
    <row r="10" spans="3:18" ht="17.25" customHeight="1">
      <c r="C10" s="989"/>
      <c r="D10" s="992"/>
      <c r="E10" s="997"/>
      <c r="F10" s="998"/>
      <c r="G10" s="998"/>
      <c r="H10" s="999"/>
      <c r="I10" s="1003"/>
      <c r="J10" s="1004"/>
      <c r="K10" s="1004"/>
      <c r="L10" s="1005"/>
      <c r="M10" s="1006"/>
      <c r="N10" s="1007"/>
    </row>
    <row r="11" spans="3:18" ht="23.25">
      <c r="C11" s="990"/>
      <c r="D11" s="993"/>
      <c r="E11" s="346">
        <v>-65</v>
      </c>
      <c r="F11" s="344" t="s">
        <v>212</v>
      </c>
      <c r="G11" s="347">
        <v>65</v>
      </c>
      <c r="H11" s="344" t="s">
        <v>213</v>
      </c>
      <c r="I11" s="347">
        <v>-65</v>
      </c>
      <c r="J11" s="344" t="s">
        <v>212</v>
      </c>
      <c r="K11" s="346">
        <v>65</v>
      </c>
      <c r="L11" s="344" t="s">
        <v>210</v>
      </c>
      <c r="M11" s="255"/>
      <c r="N11" s="37"/>
    </row>
    <row r="12" spans="3:18" ht="15.75">
      <c r="C12" s="688" t="s">
        <v>152</v>
      </c>
      <c r="D12" s="689">
        <f>'REGISTRO IIS'!AS24</f>
        <v>0</v>
      </c>
      <c r="E12" s="9">
        <f>'REGISTRO IIS'!AO24</f>
        <v>0</v>
      </c>
      <c r="F12" s="345" t="e">
        <f>E12*100/D12</f>
        <v>#DIV/0!</v>
      </c>
      <c r="G12" s="9">
        <f>'REGISTRO IIS'!AP24</f>
        <v>0</v>
      </c>
      <c r="H12" s="345" t="e">
        <f>G12*100/D12</f>
        <v>#DIV/0!</v>
      </c>
      <c r="I12" s="9">
        <f>'REGISTRO IIS'!AQ24</f>
        <v>0</v>
      </c>
      <c r="J12" s="345" t="e">
        <f>I12*100/D12</f>
        <v>#DIV/0!</v>
      </c>
      <c r="K12" s="9">
        <f>'REGISTRO IIS'!AR24</f>
        <v>0</v>
      </c>
      <c r="L12" s="345" t="e">
        <f>K12*100/D12</f>
        <v>#DIV/0!</v>
      </c>
      <c r="M12" s="37"/>
      <c r="N12" s="37"/>
    </row>
    <row r="13" spans="3:18" ht="15.75">
      <c r="C13" s="688" t="s">
        <v>153</v>
      </c>
      <c r="D13" s="689">
        <f>'REGISTRO IIS'!AS19</f>
        <v>0</v>
      </c>
      <c r="E13" s="9">
        <f>'REGISTRO IIS'!AO29</f>
        <v>0</v>
      </c>
      <c r="F13" s="345" t="e">
        <f>E13*100/D13</f>
        <v>#DIV/0!</v>
      </c>
      <c r="G13" s="9">
        <f>'REGISTRO IIS'!AP29</f>
        <v>0</v>
      </c>
      <c r="H13" s="345" t="e">
        <f>G13*100/D13</f>
        <v>#DIV/0!</v>
      </c>
      <c r="I13" s="9">
        <f>'REGISTRO IIS'!AQ29</f>
        <v>0</v>
      </c>
      <c r="J13" s="345" t="e">
        <f>I13*100/D13</f>
        <v>#DIV/0!</v>
      </c>
      <c r="K13" s="9">
        <f>'REGISTRO IIS'!AR29</f>
        <v>0</v>
      </c>
      <c r="L13" s="345" t="e">
        <f>K13*100/D13</f>
        <v>#DIV/0!</v>
      </c>
      <c r="M13" s="37"/>
      <c r="N13" s="37"/>
    </row>
    <row r="14" spans="3:18" ht="15.75">
      <c r="C14" s="688" t="s">
        <v>154</v>
      </c>
      <c r="D14" s="689">
        <f>'REGISTRO IIS'!AS19</f>
        <v>0</v>
      </c>
      <c r="E14" s="9">
        <f>'REGISTRO IIS'!AO19</f>
        <v>0</v>
      </c>
      <c r="F14" s="345" t="e">
        <f>E14*100/D14</f>
        <v>#DIV/0!</v>
      </c>
      <c r="G14" s="9">
        <f>'REGISTRO IIS'!AP19</f>
        <v>0</v>
      </c>
      <c r="H14" s="345" t="e">
        <f>G14*100/D14</f>
        <v>#DIV/0!</v>
      </c>
      <c r="I14" s="9">
        <f>'REGISTRO IIS'!AQ19</f>
        <v>0</v>
      </c>
      <c r="J14" s="345" t="e">
        <f>I14*100/D14</f>
        <v>#DIV/0!</v>
      </c>
      <c r="K14" s="9">
        <f>'REGISTRO IIS'!AR19</f>
        <v>0</v>
      </c>
      <c r="L14" s="345" t="e">
        <f>K14*100/D14</f>
        <v>#DIV/0!</v>
      </c>
      <c r="M14" s="37"/>
      <c r="N14" s="37"/>
    </row>
    <row r="15" spans="3:18" s="263" customFormat="1" ht="12">
      <c r="C15" s="258" t="s">
        <v>152</v>
      </c>
      <c r="D15" s="259"/>
      <c r="E15" s="259"/>
      <c r="F15" s="260" t="s">
        <v>153</v>
      </c>
      <c r="G15" s="260"/>
      <c r="H15" s="260"/>
      <c r="I15" s="259" t="s">
        <v>207</v>
      </c>
      <c r="J15" s="260"/>
      <c r="K15" s="259"/>
      <c r="L15" s="260"/>
      <c r="M15" s="259"/>
      <c r="N15" s="259"/>
      <c r="O15" s="259"/>
    </row>
    <row r="16" spans="3:18" s="263" customFormat="1" ht="12">
      <c r="C16" s="258" t="s">
        <v>84</v>
      </c>
      <c r="D16" s="259">
        <f>G12+K12</f>
        <v>0</v>
      </c>
      <c r="E16" s="261" t="e">
        <f>($D$16/$D$12)</f>
        <v>#DIV/0!</v>
      </c>
      <c r="F16" s="258" t="s">
        <v>84</v>
      </c>
      <c r="G16" s="259">
        <f>G13+K13</f>
        <v>0</v>
      </c>
      <c r="H16" s="261" t="e">
        <f>($G$16/$D$13)</f>
        <v>#DIV/0!</v>
      </c>
      <c r="I16" s="258" t="s">
        <v>84</v>
      </c>
      <c r="J16" s="259">
        <f>G14+K14</f>
        <v>0</v>
      </c>
      <c r="K16" s="261" t="e">
        <f>($J$16/$D$14)</f>
        <v>#DIV/0!</v>
      </c>
      <c r="L16" s="260"/>
    </row>
    <row r="17" spans="3:11" s="263" customFormat="1" ht="12">
      <c r="C17" s="262" t="s">
        <v>85</v>
      </c>
      <c r="D17" s="263">
        <f>E12+I12</f>
        <v>0</v>
      </c>
      <c r="E17" s="261" t="e">
        <f>($D$17/$D$12)</f>
        <v>#DIV/0!</v>
      </c>
      <c r="F17" s="262" t="s">
        <v>85</v>
      </c>
      <c r="G17" s="263">
        <f>E13+I13</f>
        <v>0</v>
      </c>
      <c r="H17" s="261" t="e">
        <f>($G$17/$D$13)</f>
        <v>#DIV/0!</v>
      </c>
      <c r="I17" s="262" t="s">
        <v>85</v>
      </c>
      <c r="J17" s="263">
        <f>E14+I14</f>
        <v>0</v>
      </c>
      <c r="K17" s="261" t="e">
        <f>($J$17/$D$14)</f>
        <v>#DIV/0!</v>
      </c>
    </row>
  </sheetData>
  <mergeCells count="10">
    <mergeCell ref="C9:C11"/>
    <mergeCell ref="D9:D11"/>
    <mergeCell ref="E9:H10"/>
    <mergeCell ref="I9:L10"/>
    <mergeCell ref="M9:N10"/>
    <mergeCell ref="C2:K3"/>
    <mergeCell ref="C4:L4"/>
    <mergeCell ref="E6:F6"/>
    <mergeCell ref="H7:I7"/>
    <mergeCell ref="C8:L8"/>
  </mergeCells>
  <conditionalFormatting sqref="N12:N14">
    <cfRule type="containsText" dxfId="87" priority="1" operator="containsText" text="CORRECTO">
      <formula>NOT(ISERROR(SEARCH("CORRECTO",N12)))</formula>
    </cfRule>
    <cfRule type="containsText" dxfId="86" priority="2" operator="containsText" text="REVI">
      <formula>NOT(ISERROR(SEARCH("REVI",N12)))</formula>
    </cfRule>
  </conditionalFormatting>
  <pageMargins left="0.7" right="0.7" top="0.75" bottom="0.75" header="0.3" footer="0.3"/>
  <pageSetup scale="70" fitToHeight="0" orientation="landscape" r:id="rId1"/>
  <ignoredErrors>
    <ignoredError sqref="E16:E17 H16:H17 K16:K17" evalError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1">
    <tabColor theme="0"/>
  </sheetPr>
  <dimension ref="C1:R36"/>
  <sheetViews>
    <sheetView showGridLines="0" showRowColHeaders="0" zoomScale="75" zoomScaleNormal="88" workbookViewId="0"/>
  </sheetViews>
  <sheetFormatPr baseColWidth="10" defaultRowHeight="15"/>
  <cols>
    <col min="3" max="3" width="16.28515625" bestFit="1" customWidth="1"/>
    <col min="4" max="4" width="16.85546875" bestFit="1" customWidth="1"/>
    <col min="14" max="14" width="13.85546875" customWidth="1"/>
  </cols>
  <sheetData>
    <row r="1" spans="3:18">
      <c r="C1" s="1008">
        <f>'REGISTRO DATOS'!I3</f>
        <v>0</v>
      </c>
      <c r="D1" s="1008"/>
      <c r="E1" s="1008"/>
      <c r="F1" s="1008"/>
      <c r="G1" s="1008"/>
      <c r="H1" s="1008"/>
      <c r="I1" s="1008"/>
      <c r="J1" s="1008"/>
      <c r="K1" s="1008"/>
      <c r="L1" s="44"/>
      <c r="P1" s="202" t="s">
        <v>84</v>
      </c>
      <c r="Q1" s="203"/>
    </row>
    <row r="2" spans="3:18" ht="15" customHeight="1">
      <c r="C2" s="1008"/>
      <c r="D2" s="1008"/>
      <c r="E2" s="1008"/>
      <c r="F2" s="1008"/>
      <c r="G2" s="1008"/>
      <c r="H2" s="1008"/>
      <c r="I2" s="1008"/>
      <c r="J2" s="1008"/>
      <c r="K2" s="1008"/>
      <c r="L2" s="44"/>
      <c r="P2" s="202" t="s">
        <v>85</v>
      </c>
      <c r="Q2" s="204"/>
      <c r="R2" s="34"/>
    </row>
    <row r="3" spans="3:18" ht="23.25" customHeight="1">
      <c r="C3" s="1009" t="s">
        <v>150</v>
      </c>
      <c r="D3" s="1009"/>
      <c r="E3" s="1009"/>
      <c r="F3" s="1009"/>
      <c r="G3" s="1009"/>
      <c r="H3" s="1009"/>
      <c r="I3" s="1009"/>
      <c r="J3" s="1009"/>
      <c r="K3" s="1009"/>
      <c r="L3" s="1009"/>
      <c r="P3" s="2"/>
      <c r="Q3" s="2"/>
      <c r="R3" s="2"/>
    </row>
    <row r="4" spans="3:18">
      <c r="C4" s="338"/>
      <c r="D4" s="340" t="s">
        <v>62</v>
      </c>
      <c r="E4" s="339">
        <f>'REGISTRO DATOS'!I6</f>
        <v>0</v>
      </c>
      <c r="F4" s="339"/>
      <c r="G4" s="338"/>
      <c r="H4" s="338"/>
      <c r="I4" s="338"/>
      <c r="J4" s="338"/>
      <c r="K4" s="338"/>
      <c r="L4" s="338"/>
    </row>
    <row r="5" spans="3:18" ht="15.75">
      <c r="C5" s="337"/>
      <c r="D5" s="341" t="s">
        <v>268</v>
      </c>
      <c r="E5" s="983">
        <f>'REGISTRO DATOS'!I7</f>
        <v>0</v>
      </c>
      <c r="F5" s="983"/>
      <c r="G5" s="337"/>
      <c r="H5" s="337"/>
      <c r="I5" s="337"/>
      <c r="J5" s="337"/>
      <c r="K5" s="337"/>
      <c r="L5" s="337"/>
    </row>
    <row r="6" spans="3:18" ht="23.25">
      <c r="D6" s="341" t="s">
        <v>1</v>
      </c>
      <c r="E6" s="342">
        <f>SECCIÓN</f>
        <v>0</v>
      </c>
    </row>
    <row r="8" spans="3:18" ht="28.5">
      <c r="C8" s="1010" t="s">
        <v>207</v>
      </c>
      <c r="D8" s="1011"/>
      <c r="E8" s="1010"/>
      <c r="F8" s="1010"/>
      <c r="G8" s="1010"/>
      <c r="H8" s="1010"/>
      <c r="I8" s="1010"/>
      <c r="J8" s="1010"/>
      <c r="K8" s="1010"/>
      <c r="L8" s="1010"/>
      <c r="M8" s="2"/>
      <c r="N8" s="2"/>
      <c r="O8" s="2"/>
    </row>
    <row r="9" spans="3:18" ht="15" customHeight="1">
      <c r="C9" s="988" t="s">
        <v>269</v>
      </c>
      <c r="D9" s="991" t="s">
        <v>270</v>
      </c>
      <c r="E9" s="1012" t="s">
        <v>130</v>
      </c>
      <c r="F9" s="1013"/>
      <c r="G9" s="1013"/>
      <c r="H9" s="1013"/>
      <c r="I9" s="1013" t="s">
        <v>131</v>
      </c>
      <c r="J9" s="1013"/>
      <c r="K9" s="1013"/>
      <c r="L9" s="1013"/>
      <c r="M9" s="1007"/>
      <c r="N9" s="1007"/>
      <c r="O9" s="2"/>
    </row>
    <row r="10" spans="3:18" ht="10.5" customHeight="1">
      <c r="C10" s="989"/>
      <c r="D10" s="992"/>
      <c r="E10" s="1012"/>
      <c r="F10" s="1013"/>
      <c r="G10" s="1013"/>
      <c r="H10" s="1013"/>
      <c r="I10" s="1013"/>
      <c r="J10" s="1013"/>
      <c r="K10" s="1013"/>
      <c r="L10" s="1013"/>
      <c r="M10" s="1007"/>
      <c r="N10" s="1007"/>
      <c r="O10" s="2"/>
    </row>
    <row r="11" spans="3:18" ht="20.25" customHeight="1">
      <c r="C11" s="990"/>
      <c r="D11" s="993"/>
      <c r="E11" s="755">
        <v>-65</v>
      </c>
      <c r="F11" s="756" t="s">
        <v>209</v>
      </c>
      <c r="G11" s="757">
        <v>65</v>
      </c>
      <c r="H11" s="756" t="s">
        <v>210</v>
      </c>
      <c r="I11" s="757">
        <v>-65</v>
      </c>
      <c r="J11" s="756" t="s">
        <v>211</v>
      </c>
      <c r="K11" s="757">
        <v>65</v>
      </c>
      <c r="L11" s="756" t="s">
        <v>209</v>
      </c>
      <c r="M11" s="255"/>
      <c r="N11" s="37"/>
      <c r="O11" s="2"/>
    </row>
    <row r="12" spans="3:18">
      <c r="C12" s="758" t="s">
        <v>152</v>
      </c>
      <c r="D12" s="759">
        <f>'Registro General'!AS24</f>
        <v>0</v>
      </c>
      <c r="E12" s="760">
        <f>'Registro General'!AO24</f>
        <v>0</v>
      </c>
      <c r="F12" s="761" t="e">
        <f>E12*100/D12</f>
        <v>#DIV/0!</v>
      </c>
      <c r="G12" s="762">
        <f>'Registro General'!AP24</f>
        <v>0</v>
      </c>
      <c r="H12" s="761" t="e">
        <f>G12*100/D12</f>
        <v>#DIV/0!</v>
      </c>
      <c r="I12" s="762">
        <f>'Registro General'!AQ24</f>
        <v>0</v>
      </c>
      <c r="J12" s="761" t="e">
        <f>I12*100/D12</f>
        <v>#DIV/0!</v>
      </c>
      <c r="K12" s="762">
        <f>'Registro General'!AR24</f>
        <v>0</v>
      </c>
      <c r="L12" s="761" t="e">
        <f>K12*100/D12</f>
        <v>#DIV/0!</v>
      </c>
      <c r="M12" s="37"/>
      <c r="N12" s="37"/>
      <c r="O12" s="2"/>
    </row>
    <row r="13" spans="3:18">
      <c r="C13" s="758" t="s">
        <v>306</v>
      </c>
      <c r="D13" s="759">
        <f>'Registro General'!AS29</f>
        <v>0</v>
      </c>
      <c r="E13" s="760">
        <f>'Registro General'!AO29</f>
        <v>0</v>
      </c>
      <c r="F13" s="761" t="e">
        <f>E13*100/D13</f>
        <v>#DIV/0!</v>
      </c>
      <c r="G13" s="762">
        <f>'Registro General'!AP29</f>
        <v>0</v>
      </c>
      <c r="H13" s="761" t="e">
        <f>G13*100/D13</f>
        <v>#DIV/0!</v>
      </c>
      <c r="I13" s="762">
        <f>'Registro General'!AQ29</f>
        <v>0</v>
      </c>
      <c r="J13" s="761" t="e">
        <f>I13*100/D13</f>
        <v>#DIV/0!</v>
      </c>
      <c r="K13" s="762">
        <f>'Registro General'!AR29</f>
        <v>0</v>
      </c>
      <c r="L13" s="761" t="e">
        <f>K13*100/D13</f>
        <v>#DIV/0!</v>
      </c>
      <c r="M13" s="37"/>
      <c r="N13" s="37"/>
      <c r="O13" s="2"/>
    </row>
    <row r="14" spans="3:18">
      <c r="C14" s="758" t="s">
        <v>154</v>
      </c>
      <c r="D14" s="759">
        <f>'Registro General'!AS19</f>
        <v>0</v>
      </c>
      <c r="E14" s="760">
        <f>'Registro General'!AO19</f>
        <v>0</v>
      </c>
      <c r="F14" s="761" t="e">
        <f>E14*100/D14</f>
        <v>#DIV/0!</v>
      </c>
      <c r="G14" s="762">
        <f>'Registro General'!AP19</f>
        <v>0</v>
      </c>
      <c r="H14" s="761" t="e">
        <f>G14*100/D14</f>
        <v>#DIV/0!</v>
      </c>
      <c r="I14" s="762">
        <f>'Registro General'!AQ19</f>
        <v>0</v>
      </c>
      <c r="J14" s="761" t="e">
        <f>I14*100/D14</f>
        <v>#DIV/0!</v>
      </c>
      <c r="K14" s="762">
        <f>'Registro General'!AR19</f>
        <v>0</v>
      </c>
      <c r="L14" s="761" t="e">
        <f>K14*100/D14</f>
        <v>#DIV/0!</v>
      </c>
      <c r="M14" s="37"/>
      <c r="N14" s="37"/>
      <c r="O14" s="2"/>
    </row>
    <row r="15" spans="3:18" s="263" customFormat="1" ht="12">
      <c r="C15" s="258" t="s">
        <v>152</v>
      </c>
      <c r="D15" s="259"/>
      <c r="E15" s="259"/>
      <c r="F15" s="260" t="s">
        <v>153</v>
      </c>
      <c r="G15" s="260"/>
      <c r="H15" s="260"/>
      <c r="I15" s="259" t="s">
        <v>207</v>
      </c>
      <c r="J15" s="260"/>
      <c r="K15" s="259"/>
      <c r="L15" s="260"/>
      <c r="M15" s="259"/>
      <c r="N15" s="259"/>
      <c r="O15" s="259"/>
    </row>
    <row r="16" spans="3:18" s="263" customFormat="1" ht="12">
      <c r="C16" s="258" t="s">
        <v>84</v>
      </c>
      <c r="D16" s="259">
        <f>G12+K12</f>
        <v>0</v>
      </c>
      <c r="E16" s="261" t="e">
        <f>($D$16/$D$12)</f>
        <v>#DIV/0!</v>
      </c>
      <c r="F16" s="258" t="s">
        <v>84</v>
      </c>
      <c r="G16" s="259">
        <f>G13+K13</f>
        <v>0</v>
      </c>
      <c r="H16" s="261" t="e">
        <f>($G$16/$D$13)</f>
        <v>#DIV/0!</v>
      </c>
      <c r="I16" s="258" t="s">
        <v>84</v>
      </c>
      <c r="J16" s="259">
        <f>G14+K14</f>
        <v>0</v>
      </c>
      <c r="K16" s="261" t="e">
        <f>($J$16/$D$14)</f>
        <v>#DIV/0!</v>
      </c>
      <c r="L16" s="260"/>
    </row>
    <row r="17" spans="3:11" s="263" customFormat="1" ht="12">
      <c r="C17" s="262" t="s">
        <v>85</v>
      </c>
      <c r="D17" s="263">
        <f>E12+I12</f>
        <v>0</v>
      </c>
      <c r="E17" s="261" t="e">
        <f>($D$17/$D$12)</f>
        <v>#DIV/0!</v>
      </c>
      <c r="F17" s="262" t="s">
        <v>85</v>
      </c>
      <c r="G17" s="263">
        <f>E13+I13</f>
        <v>0</v>
      </c>
      <c r="H17" s="261" t="e">
        <f>($G$17/$D$13)</f>
        <v>#DIV/0!</v>
      </c>
      <c r="I17" s="262" t="s">
        <v>85</v>
      </c>
      <c r="J17" s="263">
        <f>E14+I14</f>
        <v>0</v>
      </c>
      <c r="K17" s="261" t="e">
        <f>($J$17/$D$14)</f>
        <v>#DIV/0!</v>
      </c>
    </row>
    <row r="18" spans="3:11" s="132" customFormat="1">
      <c r="C18" s="671"/>
      <c r="E18" s="672"/>
    </row>
    <row r="19" spans="3:11">
      <c r="C19" s="205"/>
      <c r="E19" s="254"/>
    </row>
    <row r="20" spans="3:11">
      <c r="C20" s="205"/>
      <c r="E20" s="254"/>
    </row>
    <row r="21" spans="3:11">
      <c r="C21" s="205"/>
      <c r="E21" s="254"/>
    </row>
    <row r="22" spans="3:11">
      <c r="C22" s="205"/>
      <c r="E22" s="254"/>
    </row>
    <row r="23" spans="3:11">
      <c r="C23" s="205"/>
      <c r="E23" s="254"/>
    </row>
    <row r="24" spans="3:11">
      <c r="C24" s="205"/>
      <c r="E24" s="254"/>
    </row>
    <row r="25" spans="3:11">
      <c r="C25" s="205"/>
      <c r="E25" s="254"/>
    </row>
    <row r="26" spans="3:11">
      <c r="C26" s="205"/>
      <c r="E26" s="254"/>
    </row>
    <row r="27" spans="3:11">
      <c r="C27" s="205"/>
      <c r="E27" s="254"/>
    </row>
    <row r="28" spans="3:11">
      <c r="C28" s="205"/>
      <c r="E28" s="254"/>
    </row>
    <row r="29" spans="3:11">
      <c r="C29" s="205"/>
      <c r="E29" s="254"/>
    </row>
    <row r="30" spans="3:11">
      <c r="C30" s="205"/>
      <c r="E30" s="254"/>
    </row>
    <row r="31" spans="3:11">
      <c r="C31" s="205"/>
      <c r="E31" s="254"/>
    </row>
    <row r="32" spans="3:11">
      <c r="C32" s="205"/>
      <c r="E32" s="254"/>
    </row>
    <row r="33" spans="3:17">
      <c r="C33" s="205"/>
      <c r="E33" s="254"/>
    </row>
    <row r="34" spans="3:17">
      <c r="C34" s="205"/>
      <c r="E34" s="254"/>
    </row>
    <row r="35" spans="3:17">
      <c r="C35" s="205"/>
      <c r="E35" s="254"/>
    </row>
    <row r="36" spans="3:17" ht="18">
      <c r="C36" s="981"/>
      <c r="D36" s="981"/>
      <c r="E36" s="981"/>
      <c r="F36" s="981"/>
      <c r="G36" s="981"/>
      <c r="H36" s="981"/>
      <c r="I36" s="981"/>
      <c r="J36" s="981"/>
      <c r="K36" s="981"/>
      <c r="P36" s="202" t="s">
        <v>84</v>
      </c>
      <c r="Q36" s="203"/>
    </row>
  </sheetData>
  <mergeCells count="10">
    <mergeCell ref="C36:K36"/>
    <mergeCell ref="M9:N10"/>
    <mergeCell ref="C1:K2"/>
    <mergeCell ref="C3:L3"/>
    <mergeCell ref="E5:F5"/>
    <mergeCell ref="C8:L8"/>
    <mergeCell ref="E9:H10"/>
    <mergeCell ref="I9:L10"/>
    <mergeCell ref="C9:C11"/>
    <mergeCell ref="D9:D11"/>
  </mergeCells>
  <conditionalFormatting sqref="N12:N14">
    <cfRule type="containsText" dxfId="85" priority="3" operator="containsText" text="CORRECTO">
      <formula>NOT(ISERROR(SEARCH("CORRECTO",N12)))</formula>
    </cfRule>
    <cfRule type="containsText" dxfId="84" priority="4" operator="containsText" text="REVI">
      <formula>NOT(ISERROR(SEARCH("REVI",N12)))</formula>
    </cfRule>
  </conditionalFormatting>
  <pageMargins left="0.7" right="0.7" top="0.75" bottom="0.75" header="0.3" footer="0.3"/>
  <pageSetup scale="70" fitToHeight="0" orientation="landscape" r:id="rId1"/>
  <rowBreaks count="1" manualBreakCount="1">
    <brk id="34" max="27" man="1"/>
  </rowBreaks>
  <colBreaks count="1" manualBreakCount="1">
    <brk id="14" max="68" man="1"/>
  </colBreaks>
  <ignoredErrors>
    <ignoredError sqref="E16:E17 H16:H17 K16:K17" evalError="1"/>
  </ignoredError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9" filterMode="1">
    <tabColor theme="4" tint="-0.249977111117893"/>
  </sheetPr>
  <dimension ref="A1:O661"/>
  <sheetViews>
    <sheetView showGridLines="0" showRowColHeaders="0" zoomScaleNormal="100" workbookViewId="0"/>
  </sheetViews>
  <sheetFormatPr baseColWidth="10" defaultColWidth="0" defaultRowHeight="15"/>
  <cols>
    <col min="1" max="1" width="4.42578125" customWidth="1"/>
    <col min="2" max="2" width="19.28515625" customWidth="1"/>
    <col min="3" max="3" width="14.140625" customWidth="1"/>
    <col min="4" max="4" width="13.7109375" bestFit="1" customWidth="1"/>
    <col min="5" max="5" width="11.85546875" customWidth="1"/>
    <col min="6" max="6" width="16.28515625" customWidth="1"/>
    <col min="7" max="7" width="7.85546875" style="79" customWidth="1"/>
    <col min="8" max="8" width="13.42578125" style="79" customWidth="1"/>
    <col min="9" max="9" width="13" style="102" customWidth="1"/>
    <col min="10" max="10" width="11.42578125" style="102" customWidth="1"/>
    <col min="11" max="11" width="11.85546875" style="102" bestFit="1" customWidth="1"/>
    <col min="12" max="14" width="11.42578125" customWidth="1"/>
    <col min="15" max="15" width="0" hidden="1" customWidth="1"/>
    <col min="16" max="16384" width="11.42578125" hidden="1"/>
  </cols>
  <sheetData>
    <row r="1" spans="1:15" ht="15.75" thickBot="1">
      <c r="A1" s="132"/>
      <c r="B1" s="132"/>
      <c r="C1" s="132"/>
      <c r="D1" s="132"/>
      <c r="E1" s="132"/>
      <c r="F1" s="132"/>
      <c r="G1" s="133"/>
      <c r="J1" s="187"/>
      <c r="K1" s="187"/>
      <c r="L1" s="132"/>
      <c r="M1" s="132"/>
      <c r="N1" s="132"/>
      <c r="O1" s="132"/>
    </row>
    <row r="2" spans="1:15" ht="16.5" thickBot="1">
      <c r="A2" s="132"/>
      <c r="B2" s="1017">
        <f>'REGISTRO DATOS'!I3</f>
        <v>0</v>
      </c>
      <c r="C2" s="1017"/>
      <c r="D2" s="1017"/>
      <c r="E2" s="1017"/>
      <c r="F2" s="1017"/>
      <c r="G2" s="133"/>
      <c r="H2" s="1018" t="s">
        <v>72</v>
      </c>
      <c r="J2" s="1035" t="s">
        <v>203</v>
      </c>
      <c r="K2" s="1036"/>
      <c r="L2" s="132"/>
      <c r="M2" s="132"/>
      <c r="N2" s="132"/>
      <c r="O2" s="132"/>
    </row>
    <row r="3" spans="1:15" ht="21" thickBot="1">
      <c r="A3" s="132"/>
      <c r="B3" s="1020" t="s">
        <v>252</v>
      </c>
      <c r="C3" s="1020"/>
      <c r="D3" s="1020"/>
      <c r="E3" s="1020"/>
      <c r="F3" s="1020"/>
      <c r="G3" s="133"/>
      <c r="H3" s="1019"/>
      <c r="J3" s="1033">
        <f>K10</f>
        <v>0</v>
      </c>
      <c r="K3" s="1034"/>
      <c r="L3" s="132"/>
      <c r="M3" s="132"/>
      <c r="N3" s="132"/>
      <c r="O3" s="132"/>
    </row>
    <row r="4" spans="1:15" ht="16.5" thickBot="1">
      <c r="A4" s="132"/>
      <c r="B4" s="578" t="s">
        <v>62</v>
      </c>
      <c r="C4" s="1021">
        <f>'REGISTRO DATOS'!I6</f>
        <v>0</v>
      </c>
      <c r="D4" s="1021"/>
      <c r="E4" s="1021"/>
      <c r="F4" s="134"/>
      <c r="G4" s="133"/>
      <c r="H4" s="104">
        <v>1</v>
      </c>
      <c r="J4" s="582" t="s">
        <v>197</v>
      </c>
      <c r="K4" s="583" t="b">
        <v>0</v>
      </c>
      <c r="L4" s="226">
        <f t="shared" ref="L4:L9" si="0">IF(K4=TRUE,1,0)</f>
        <v>0</v>
      </c>
      <c r="M4" s="132"/>
      <c r="N4" s="132"/>
      <c r="O4" s="132"/>
    </row>
    <row r="5" spans="1:15" ht="15.75">
      <c r="A5" s="132"/>
      <c r="B5" s="579" t="s">
        <v>65</v>
      </c>
      <c r="C5" s="142">
        <f>'REGISTRO DATOS'!I7</f>
        <v>0</v>
      </c>
      <c r="D5" s="135"/>
      <c r="E5" s="135"/>
      <c r="F5" s="134"/>
      <c r="G5" s="133"/>
      <c r="J5" s="584" t="s">
        <v>198</v>
      </c>
      <c r="K5" s="585" t="b">
        <v>0</v>
      </c>
      <c r="L5" s="226">
        <f t="shared" si="0"/>
        <v>0</v>
      </c>
      <c r="M5" s="132"/>
      <c r="N5" s="132"/>
      <c r="O5" s="132"/>
    </row>
    <row r="6" spans="1:15" ht="15.75">
      <c r="A6" s="132"/>
      <c r="B6" s="135" t="s">
        <v>63</v>
      </c>
      <c r="C6" s="779" t="str">
        <f>VLOOKUP(H4,'Registro General'!A15:D55,4,FALSE)</f>
        <v>MARIANELA</v>
      </c>
      <c r="D6" s="779" t="str">
        <f>VLOOKUP(H4,'Registro General'!A15:D55,2,FALSE)</f>
        <v/>
      </c>
      <c r="E6" s="780" t="str">
        <f>VLOOKUP(H4,'Registro General'!A15:D55,3,FALSE)</f>
        <v/>
      </c>
      <c r="F6" s="134"/>
      <c r="G6" s="133"/>
      <c r="J6" s="584" t="s">
        <v>199</v>
      </c>
      <c r="K6" s="585" t="b">
        <v>0</v>
      </c>
      <c r="L6" s="226">
        <f t="shared" si="0"/>
        <v>0</v>
      </c>
      <c r="M6" s="132"/>
      <c r="N6" s="132"/>
      <c r="O6" s="132"/>
    </row>
    <row r="7" spans="1:15" ht="17.25" customHeight="1">
      <c r="A7" s="132"/>
      <c r="B7" s="136" t="s">
        <v>64</v>
      </c>
      <c r="C7" s="196" t="str">
        <f>VLOOKUP(H4,'REGISTRO DATOS'!B13:I52,8,FALSE)</f>
        <v>@est.mep.go.cr</v>
      </c>
      <c r="D7" s="136"/>
      <c r="E7" s="137" t="s">
        <v>66</v>
      </c>
      <c r="F7" s="138">
        <f ca="1">TODAY()</f>
        <v>46178</v>
      </c>
      <c r="G7" s="133"/>
      <c r="J7" s="584" t="s">
        <v>200</v>
      </c>
      <c r="K7" s="585" t="b">
        <v>0</v>
      </c>
      <c r="L7" s="226">
        <f t="shared" si="0"/>
        <v>0</v>
      </c>
      <c r="M7" s="132"/>
      <c r="N7" s="132"/>
      <c r="O7" s="132"/>
    </row>
    <row r="8" spans="1:15" ht="21" customHeight="1" thickBot="1">
      <c r="A8" s="132"/>
      <c r="B8" s="139" t="s">
        <v>67</v>
      </c>
      <c r="C8" s="140">
        <f>'Registro General'!X5</f>
        <v>0</v>
      </c>
      <c r="D8" s="141"/>
      <c r="E8" s="167"/>
      <c r="F8" s="185"/>
      <c r="G8" s="133"/>
      <c r="J8" s="584" t="s">
        <v>201</v>
      </c>
      <c r="K8" s="585" t="b">
        <v>0</v>
      </c>
      <c r="L8" s="226">
        <f t="shared" si="0"/>
        <v>0</v>
      </c>
      <c r="M8" s="132"/>
      <c r="N8" s="132"/>
      <c r="O8" s="132"/>
    </row>
    <row r="9" spans="1:15" ht="21" customHeight="1" thickBot="1">
      <c r="A9" s="132"/>
      <c r="B9" s="365" t="s">
        <v>147</v>
      </c>
      <c r="C9" s="366" t="s">
        <v>148</v>
      </c>
      <c r="D9" s="193">
        <f>VLOOKUP($H$4,ASISTENCIA!$A$8:$FK$47,9,FALSE)</f>
        <v>10</v>
      </c>
      <c r="F9" s="186"/>
      <c r="G9" s="133"/>
      <c r="J9" s="586" t="s">
        <v>202</v>
      </c>
      <c r="K9" s="587" t="b">
        <v>0</v>
      </c>
      <c r="L9" s="226">
        <f t="shared" si="0"/>
        <v>0</v>
      </c>
      <c r="M9" s="132"/>
      <c r="N9" s="132"/>
      <c r="O9" s="132"/>
    </row>
    <row r="10" spans="1:15" ht="21" customHeight="1">
      <c r="A10" s="132"/>
      <c r="B10" s="1022" t="s">
        <v>76</v>
      </c>
      <c r="C10" s="1023"/>
      <c r="D10" s="367" t="s">
        <v>77</v>
      </c>
      <c r="E10" s="146"/>
      <c r="F10" s="142"/>
      <c r="G10" s="133"/>
      <c r="H10" s="133"/>
      <c r="J10" s="187"/>
      <c r="K10" s="102">
        <f>(SUM(L4:L9)/6)*1</f>
        <v>0</v>
      </c>
      <c r="L10" s="132"/>
      <c r="M10" s="132"/>
      <c r="N10" s="132"/>
      <c r="O10" s="132"/>
    </row>
    <row r="11" spans="1:15" ht="15" customHeight="1">
      <c r="A11" s="132"/>
      <c r="B11" s="1024" t="str">
        <f>ASISTENCIA!K7</f>
        <v>FEBRERO 27</v>
      </c>
      <c r="C11" s="1025"/>
      <c r="D11" s="143" t="str">
        <f>IF(I11=0,"PRESENTE",I11)</f>
        <v>p</v>
      </c>
      <c r="E11" s="580"/>
      <c r="F11" s="144"/>
      <c r="G11" s="133"/>
      <c r="H11" s="133"/>
      <c r="I11" s="118" t="str">
        <f>VLOOKUP($H$4,ASISTENCIA!$A$8:$FK$47,11,FALSE)</f>
        <v>p</v>
      </c>
      <c r="J11" s="114"/>
      <c r="K11" s="187"/>
      <c r="L11" s="132"/>
      <c r="M11" s="132"/>
      <c r="N11" s="132"/>
      <c r="O11" s="132"/>
    </row>
    <row r="12" spans="1:15" ht="18" hidden="1" customHeight="1">
      <c r="A12" s="132"/>
      <c r="B12" s="1026" t="str">
        <f>ASISTENCIA!L7</f>
        <v>MARZO 6</v>
      </c>
      <c r="C12" s="1027"/>
      <c r="D12" s="143" t="str">
        <f t="shared" ref="D12:D65" si="1">IF(I12=0,"PRESENTE",I12)</f>
        <v>P</v>
      </c>
      <c r="F12" s="145"/>
      <c r="G12" s="133"/>
      <c r="H12" s="133"/>
      <c r="I12" s="118" t="str">
        <f>VLOOKUP($H$4,ASISTENCIA!$A$8:$FK$47,12,FALSE)</f>
        <v>P</v>
      </c>
      <c r="J12" s="187"/>
      <c r="K12" s="187"/>
      <c r="L12" s="132"/>
      <c r="M12" s="132"/>
      <c r="N12" s="132"/>
      <c r="O12" s="132"/>
    </row>
    <row r="13" spans="1:15" ht="15" hidden="1" customHeight="1">
      <c r="A13" s="132"/>
      <c r="B13" s="1028" t="str">
        <f>ASISTENCIA!M7</f>
        <v>MARZO 13</v>
      </c>
      <c r="C13" s="1028"/>
      <c r="D13" s="143" t="str">
        <f t="shared" si="1"/>
        <v>P</v>
      </c>
      <c r="F13" s="145"/>
      <c r="G13" s="133"/>
      <c r="H13" s="133"/>
      <c r="I13" s="118" t="str">
        <f>VLOOKUP($H$4,ASISTENCIA!$A$8:$FK$47,13,FALSE)</f>
        <v>P</v>
      </c>
      <c r="J13" s="187"/>
      <c r="K13" s="187"/>
      <c r="L13" s="132"/>
      <c r="M13" s="132"/>
      <c r="N13" s="132"/>
      <c r="O13" s="132"/>
    </row>
    <row r="14" spans="1:15" ht="17.25" hidden="1" customHeight="1">
      <c r="B14" s="1015" t="str">
        <f>ASISTENCIA!N7</f>
        <v>marzo 20</v>
      </c>
      <c r="C14" s="1015"/>
      <c r="D14" s="143" t="str">
        <f t="shared" si="1"/>
        <v>p</v>
      </c>
      <c r="F14" s="265"/>
      <c r="H14" s="133"/>
      <c r="I14" s="118" t="str">
        <f>VLOOKUP($H$4,ASISTENCIA!$A$8:$FK$47,14,FALSE)</f>
        <v>p</v>
      </c>
      <c r="J14" s="187"/>
      <c r="K14" s="187"/>
      <c r="L14" s="132"/>
      <c r="M14" s="132"/>
      <c r="N14" s="132"/>
      <c r="O14" s="132"/>
    </row>
    <row r="15" spans="1:15" ht="17.25" hidden="1" customHeight="1">
      <c r="A15" s="132"/>
      <c r="B15" s="1025" t="str">
        <f>ASISTENCIA!O7</f>
        <v>abril 10</v>
      </c>
      <c r="C15" s="1025"/>
      <c r="D15" s="143" t="str">
        <f t="shared" si="1"/>
        <v>p</v>
      </c>
      <c r="F15" s="145"/>
      <c r="G15" s="133"/>
      <c r="H15" s="133"/>
      <c r="I15" s="118" t="str">
        <f>VLOOKUP($H$4,ASISTENCIA!$A$8:$FK$47,15,FALSE)</f>
        <v>p</v>
      </c>
      <c r="J15" s="187"/>
      <c r="K15" s="187"/>
      <c r="L15" s="132"/>
      <c r="M15" s="132"/>
      <c r="N15" s="132"/>
      <c r="O15" s="132"/>
    </row>
    <row r="16" spans="1:15" ht="16.5" hidden="1" customHeight="1">
      <c r="B16" s="1015" t="str">
        <f>ASISTENCIA!P7</f>
        <v>abril 17</v>
      </c>
      <c r="C16" s="1015"/>
      <c r="D16" s="143" t="str">
        <f t="shared" si="1"/>
        <v>p</v>
      </c>
      <c r="F16" s="265"/>
      <c r="H16" s="133"/>
      <c r="I16" s="118" t="str">
        <f>VLOOKUP($H$4,ASISTENCIA!$A$8:$FK$47,16,FALSE)</f>
        <v>p</v>
      </c>
      <c r="J16" s="187"/>
      <c r="K16" s="187"/>
      <c r="L16" s="132"/>
      <c r="M16" s="132"/>
      <c r="N16" s="132"/>
      <c r="O16" s="132"/>
    </row>
    <row r="17" spans="2:15" ht="18" hidden="1" customHeight="1">
      <c r="B17" s="1015" t="str">
        <f>ASISTENCIA!Q7</f>
        <v>abril 24</v>
      </c>
      <c r="C17" s="1015"/>
      <c r="D17" s="143" t="str">
        <f t="shared" si="1"/>
        <v>p</v>
      </c>
      <c r="F17" s="265"/>
      <c r="H17" s="133"/>
      <c r="I17" s="118" t="str">
        <f>VLOOKUP($H$4,ASISTENCIA!$A$8:$FK$47,17,FALSE)</f>
        <v>p</v>
      </c>
      <c r="J17" s="188"/>
      <c r="K17" s="189"/>
      <c r="L17" s="132"/>
      <c r="M17" s="132"/>
      <c r="N17" s="132"/>
      <c r="O17" s="132"/>
    </row>
    <row r="18" spans="2:15" ht="17.25" hidden="1" customHeight="1">
      <c r="B18" s="1015" t="str">
        <f>ASISTENCIA!R7</f>
        <v>abril 15</v>
      </c>
      <c r="C18" s="1015"/>
      <c r="D18" s="143" t="str">
        <f t="shared" si="1"/>
        <v>p</v>
      </c>
      <c r="F18" s="265"/>
      <c r="H18" s="133"/>
      <c r="I18" s="118" t="str">
        <f>VLOOKUP($H$4,ASISTENCIA!$A$8:$FK$47,18,FALSE)</f>
        <v>p</v>
      </c>
      <c r="J18" s="188"/>
      <c r="K18" s="189"/>
      <c r="L18" s="132"/>
      <c r="M18" s="132"/>
      <c r="N18" s="132"/>
      <c r="O18" s="132"/>
    </row>
    <row r="19" spans="2:15" ht="17.25" hidden="1" customHeight="1">
      <c r="B19" s="1015">
        <f>ASISTENCIA!S7</f>
        <v>0</v>
      </c>
      <c r="C19" s="1015"/>
      <c r="D19" s="143" t="str">
        <f t="shared" si="1"/>
        <v>PRESENTE</v>
      </c>
      <c r="F19" s="265"/>
      <c r="I19" s="118">
        <f>VLOOKUP($H$4,ASISTENCIA!$A$8:$FK$47,19,FALSE)</f>
        <v>0</v>
      </c>
      <c r="J19" s="188"/>
      <c r="K19" s="189"/>
      <c r="L19" s="132"/>
      <c r="M19" s="132"/>
      <c r="N19" s="132"/>
      <c r="O19" s="132"/>
    </row>
    <row r="20" spans="2:15" ht="15.75" hidden="1" customHeight="1">
      <c r="B20" s="1015">
        <f>ASISTENCIA!T7</f>
        <v>0</v>
      </c>
      <c r="C20" s="1015"/>
      <c r="D20" s="143" t="str">
        <f t="shared" si="1"/>
        <v>PRESENTE</v>
      </c>
      <c r="F20" s="265"/>
      <c r="I20" s="118">
        <f>VLOOKUP($H$4,ASISTENCIA!$A$8:$FK$47,20,FALSE)</f>
        <v>0</v>
      </c>
      <c r="J20" s="114"/>
      <c r="K20" s="110"/>
    </row>
    <row r="21" spans="2:15" ht="15" hidden="1" customHeight="1">
      <c r="B21" s="1015">
        <f>ASISTENCIA!U7</f>
        <v>0</v>
      </c>
      <c r="C21" s="1015"/>
      <c r="D21" s="143" t="str">
        <f t="shared" si="1"/>
        <v>PRESENTE</v>
      </c>
      <c r="F21" s="265"/>
      <c r="I21" s="118">
        <f>VLOOKUP($H$4,ASISTENCIA!$A$8:$FK$47,21,FALSE)</f>
        <v>0</v>
      </c>
      <c r="J21" s="103"/>
      <c r="K21" s="110"/>
    </row>
    <row r="22" spans="2:15" ht="12" hidden="1" customHeight="1">
      <c r="B22" s="1015">
        <f>ASISTENCIA!V7</f>
        <v>0</v>
      </c>
      <c r="C22" s="1015"/>
      <c r="D22" s="143" t="str">
        <f t="shared" si="1"/>
        <v>PRESENTE</v>
      </c>
      <c r="F22" s="265"/>
      <c r="I22" s="118">
        <f>VLOOKUP($H$4,ASISTENCIA!$A$8:$FK$47,22,FALSE)</f>
        <v>0</v>
      </c>
      <c r="J22" s="103"/>
      <c r="K22" s="110"/>
    </row>
    <row r="23" spans="2:15" ht="18" hidden="1" customHeight="1">
      <c r="B23" s="1015">
        <f>ASISTENCIA!W7</f>
        <v>0</v>
      </c>
      <c r="C23" s="1015"/>
      <c r="D23" s="143" t="str">
        <f t="shared" si="1"/>
        <v>PRESENTE</v>
      </c>
      <c r="F23" s="265"/>
      <c r="I23" s="118">
        <f>VLOOKUP($H$4,ASISTENCIA!$A$8:$FK$47,23,FALSE)</f>
        <v>0</v>
      </c>
      <c r="J23" s="103"/>
      <c r="K23" s="110"/>
    </row>
    <row r="24" spans="2:15" ht="15.75" hidden="1" customHeight="1">
      <c r="B24" s="1015">
        <f>ASISTENCIA!X7</f>
        <v>0</v>
      </c>
      <c r="C24" s="1015"/>
      <c r="D24" s="143" t="str">
        <f t="shared" si="1"/>
        <v>PRESENTE</v>
      </c>
      <c r="F24" s="265"/>
      <c r="I24" s="118">
        <f>VLOOKUP($H$4,ASISTENCIA!$A$8:$FK$47,24,FALSE)</f>
        <v>0</v>
      </c>
      <c r="J24" s="103"/>
      <c r="K24" s="110"/>
    </row>
    <row r="25" spans="2:15" ht="15.75" hidden="1" customHeight="1">
      <c r="B25" s="1015">
        <f>ASISTENCIA!Y7</f>
        <v>0</v>
      </c>
      <c r="C25" s="1015"/>
      <c r="D25" s="143" t="str">
        <f t="shared" si="1"/>
        <v>PRESENTE</v>
      </c>
      <c r="F25" s="265"/>
      <c r="I25" s="118">
        <f>VLOOKUP($H$4,ASISTENCIA!$A$8:$FK$47,25,FALSE)</f>
        <v>0</v>
      </c>
      <c r="J25" s="103"/>
      <c r="K25" s="110"/>
    </row>
    <row r="26" spans="2:15" ht="14.25" hidden="1" customHeight="1">
      <c r="B26" s="1015">
        <f>ASISTENCIA!Z7</f>
        <v>0</v>
      </c>
      <c r="C26" s="1015"/>
      <c r="D26" s="143" t="str">
        <f t="shared" si="1"/>
        <v>PRESENTE</v>
      </c>
      <c r="F26" s="265"/>
      <c r="I26" s="118">
        <f>VLOOKUP($H$4,ASISTENCIA!$A$8:$FK$47,26,FALSE)</f>
        <v>0</v>
      </c>
      <c r="J26" s="103"/>
      <c r="K26" s="110"/>
    </row>
    <row r="27" spans="2:15" ht="13.5" hidden="1" customHeight="1">
      <c r="B27" s="1015">
        <f>ASISTENCIA!AA7</f>
        <v>0</v>
      </c>
      <c r="C27" s="1015"/>
      <c r="D27" s="143" t="str">
        <f t="shared" si="1"/>
        <v>PRESENTE</v>
      </c>
      <c r="F27" s="265"/>
      <c r="I27" s="118">
        <f>VLOOKUP($H$4,ASISTENCIA!$A$8:$FK$47,27,FALSE)</f>
        <v>0</v>
      </c>
      <c r="J27" s="103"/>
      <c r="K27" s="110"/>
    </row>
    <row r="28" spans="2:15" ht="15" hidden="1" customHeight="1">
      <c r="B28" s="1016">
        <f>ASISTENCIA!AB7</f>
        <v>0</v>
      </c>
      <c r="C28" s="1015"/>
      <c r="D28" s="143" t="str">
        <f t="shared" si="1"/>
        <v>PRESENTE</v>
      </c>
      <c r="F28" s="265"/>
      <c r="I28" s="118">
        <f>VLOOKUP($H$4,ASISTENCIA!$A$8:$FK$47,28,FALSE)</f>
        <v>0</v>
      </c>
      <c r="J28" s="103"/>
      <c r="K28" s="110"/>
    </row>
    <row r="29" spans="2:15" ht="17.25" hidden="1" customHeight="1">
      <c r="B29" s="1015">
        <f>ASISTENCIA!AC7</f>
        <v>0</v>
      </c>
      <c r="C29" s="1015"/>
      <c r="D29" s="143" t="str">
        <f t="shared" si="1"/>
        <v>PRESENTE</v>
      </c>
      <c r="F29" s="265"/>
      <c r="I29" s="118">
        <f>VLOOKUP($H$4,ASISTENCIA!$A$8:$FK$47,29,FALSE)</f>
        <v>0</v>
      </c>
      <c r="J29" s="103"/>
      <c r="K29" s="110"/>
    </row>
    <row r="30" spans="2:15" ht="18" hidden="1" customHeight="1">
      <c r="B30" s="1016">
        <f>ASISTENCIA!AD7</f>
        <v>0</v>
      </c>
      <c r="C30" s="1015"/>
      <c r="D30" s="143" t="str">
        <f t="shared" si="1"/>
        <v>PRESENTE</v>
      </c>
      <c r="F30" s="265"/>
      <c r="I30" s="118">
        <f>VLOOKUP($H$4,ASISTENCIA!$A$8:$FK$47,30,FALSE)</f>
        <v>0</v>
      </c>
      <c r="J30" s="103"/>
      <c r="K30" s="110"/>
    </row>
    <row r="31" spans="2:15" ht="13.5" hidden="1" customHeight="1">
      <c r="B31" s="1016">
        <f>ASISTENCIA!AE7</f>
        <v>0</v>
      </c>
      <c r="C31" s="1015"/>
      <c r="D31" s="143" t="str">
        <f t="shared" si="1"/>
        <v>PRESENTE</v>
      </c>
      <c r="I31" s="118">
        <f>VLOOKUP($H$4,ASISTENCIA!$A$8:$FK$47,31,FALSE)</f>
        <v>0</v>
      </c>
      <c r="J31" s="103"/>
      <c r="K31" s="110"/>
    </row>
    <row r="32" spans="2:15" ht="15.75" hidden="1" customHeight="1">
      <c r="B32" s="1015">
        <f>ASISTENCIA!AF7</f>
        <v>0</v>
      </c>
      <c r="C32" s="1015"/>
      <c r="D32" s="143" t="str">
        <f t="shared" si="1"/>
        <v>PRESENTE</v>
      </c>
      <c r="I32" s="118">
        <f>VLOOKUP($H$4,ASISTENCIA!$A$8:$FK$47,32,FALSE)</f>
        <v>0</v>
      </c>
      <c r="J32" s="103"/>
      <c r="K32" s="110"/>
    </row>
    <row r="33" spans="2:11" ht="15" hidden="1" customHeight="1">
      <c r="B33" s="1015">
        <f>ASISTENCIA!AG7</f>
        <v>0</v>
      </c>
      <c r="C33" s="1015"/>
      <c r="D33" s="143" t="str">
        <f t="shared" si="1"/>
        <v>PRESENTE</v>
      </c>
      <c r="I33" s="118">
        <f>VLOOKUP($H$4,ASISTENCIA!$A$8:$FK$47,33,FALSE)</f>
        <v>0</v>
      </c>
      <c r="J33" s="103"/>
      <c r="K33" s="110"/>
    </row>
    <row r="34" spans="2:11" ht="15.75" hidden="1" customHeight="1">
      <c r="B34" s="1015">
        <f>ASISTENCIA!AH7</f>
        <v>0</v>
      </c>
      <c r="C34" s="1015"/>
      <c r="D34" s="143" t="str">
        <f t="shared" si="1"/>
        <v>PRESENTE</v>
      </c>
      <c r="I34" s="118">
        <f>VLOOKUP($H$4,ASISTENCIA!$A$8:$FK$47,34,FALSE)</f>
        <v>0</v>
      </c>
      <c r="J34" s="103"/>
      <c r="K34" s="110"/>
    </row>
    <row r="35" spans="2:11" ht="17.25" hidden="1" customHeight="1">
      <c r="B35" s="1015">
        <f>ASISTENCIA!AI7</f>
        <v>0</v>
      </c>
      <c r="C35" s="1015"/>
      <c r="D35" s="143" t="str">
        <f t="shared" si="1"/>
        <v>PRESENTE</v>
      </c>
      <c r="I35" s="118">
        <f>VLOOKUP($H$4,ASISTENCIA!$A$8:$FK$47,35,FALSE)</f>
        <v>0</v>
      </c>
      <c r="J35" s="103"/>
      <c r="K35" s="110"/>
    </row>
    <row r="36" spans="2:11" ht="18.75" hidden="1" customHeight="1">
      <c r="B36" s="1015">
        <f>ASISTENCIA!AJ7</f>
        <v>0</v>
      </c>
      <c r="C36" s="1015"/>
      <c r="D36" s="143" t="str">
        <f t="shared" si="1"/>
        <v>PRESENTE</v>
      </c>
      <c r="I36" s="118">
        <f>VLOOKUP($H$4,ASISTENCIA!$A$8:$FK$47,36,FALSE)</f>
        <v>0</v>
      </c>
      <c r="J36" s="103"/>
      <c r="K36" s="110"/>
    </row>
    <row r="37" spans="2:11" ht="15" hidden="1" customHeight="1">
      <c r="B37" s="1015">
        <f>ASISTENCIA!AK7</f>
        <v>0</v>
      </c>
      <c r="C37" s="1015"/>
      <c r="D37" s="143" t="str">
        <f t="shared" si="1"/>
        <v>PRESENTE</v>
      </c>
      <c r="I37" s="118">
        <f>VLOOKUP($H$4,ASISTENCIA!$A$8:$FK$47,37,FALSE)</f>
        <v>0</v>
      </c>
    </row>
    <row r="38" spans="2:11" ht="15" hidden="1" customHeight="1">
      <c r="B38" s="1015">
        <f>ASISTENCIA!AL7</f>
        <v>0</v>
      </c>
      <c r="C38" s="1015"/>
      <c r="D38" s="143" t="str">
        <f t="shared" si="1"/>
        <v>PRESENTE</v>
      </c>
      <c r="I38" s="118">
        <f>VLOOKUP($H$4,ASISTENCIA!$A$8:$FK$47,38,FALSE)</f>
        <v>0</v>
      </c>
    </row>
    <row r="39" spans="2:11" ht="15" hidden="1" customHeight="1">
      <c r="B39" s="1015">
        <f>ASISTENCIA!AM7</f>
        <v>0</v>
      </c>
      <c r="C39" s="1015"/>
      <c r="D39" s="143" t="str">
        <f t="shared" si="1"/>
        <v>PRESENTE</v>
      </c>
      <c r="I39" s="118">
        <f>VLOOKUP($H$4,ASISTENCIA!$A$8:$FK$47,39,FALSE)</f>
        <v>0</v>
      </c>
    </row>
    <row r="40" spans="2:11" ht="15.75" hidden="1">
      <c r="B40" s="1014">
        <f>ASISTENCIA!AN7</f>
        <v>0</v>
      </c>
      <c r="C40" s="1014"/>
      <c r="D40" s="143" t="str">
        <f t="shared" si="1"/>
        <v>PRESENTE</v>
      </c>
      <c r="I40" s="118">
        <f>VLOOKUP($H$4,ASISTENCIA!$A$8:$FK$47,40,FALSE)</f>
        <v>0</v>
      </c>
    </row>
    <row r="41" spans="2:11" ht="15.75" hidden="1">
      <c r="B41" s="1015">
        <f>ASISTENCIA!AO7</f>
        <v>0</v>
      </c>
      <c r="C41" s="1015"/>
      <c r="D41" s="143" t="str">
        <f t="shared" si="1"/>
        <v>PRESENTE</v>
      </c>
      <c r="I41" s="118">
        <f>VLOOKUP($H$4,ASISTENCIA!$A$8:$FK$47,41,FALSE)</f>
        <v>0</v>
      </c>
    </row>
    <row r="42" spans="2:11" ht="15.75" hidden="1">
      <c r="B42" s="1015">
        <f>ASISTENCIA!AP7</f>
        <v>0</v>
      </c>
      <c r="C42" s="1015"/>
      <c r="D42" s="143" t="str">
        <f t="shared" si="1"/>
        <v>PRESENTE</v>
      </c>
      <c r="I42" s="118">
        <f>VLOOKUP($H$4,ASISTENCIA!$A$8:$FK$47,42,FALSE)</f>
        <v>0</v>
      </c>
    </row>
    <row r="43" spans="2:11" ht="15.75" hidden="1">
      <c r="B43" s="1014">
        <f>ASISTENCIA!AQ7</f>
        <v>0</v>
      </c>
      <c r="C43" s="1014"/>
      <c r="D43" s="143" t="str">
        <f t="shared" si="1"/>
        <v>PRESENTE</v>
      </c>
      <c r="I43" s="118">
        <f>VLOOKUP($H$4,ASISTENCIA!$A$8:$FK$47,43,FALSE)</f>
        <v>0</v>
      </c>
    </row>
    <row r="44" spans="2:11" ht="15.75" hidden="1">
      <c r="B44" s="1014">
        <f>ASISTENCIA!AR7</f>
        <v>0</v>
      </c>
      <c r="C44" s="1014"/>
      <c r="D44" s="143" t="str">
        <f t="shared" si="1"/>
        <v>PRESENTE</v>
      </c>
      <c r="I44" s="118">
        <f>VLOOKUP($H$4,ASISTENCIA!$A$8:$FK$47,44,FALSE)</f>
        <v>0</v>
      </c>
    </row>
    <row r="45" spans="2:11" ht="15.75" hidden="1">
      <c r="B45" s="1014">
        <f>ASISTENCIA!AS7</f>
        <v>0</v>
      </c>
      <c r="C45" s="1014"/>
      <c r="D45" s="143" t="str">
        <f t="shared" si="1"/>
        <v>PRESENTE</v>
      </c>
      <c r="I45" s="118">
        <f>VLOOKUP($H$4,ASISTENCIA!$A$8:$FK$47,45,FALSE)</f>
        <v>0</v>
      </c>
    </row>
    <row r="46" spans="2:11" ht="15.75" hidden="1">
      <c r="B46" s="1014">
        <f>ASISTENCIA!AT7</f>
        <v>0</v>
      </c>
      <c r="C46" s="1014"/>
      <c r="D46" s="143" t="str">
        <f t="shared" si="1"/>
        <v>PRESENTE</v>
      </c>
      <c r="I46" s="118">
        <f>VLOOKUP($H$4,ASISTENCIA!$A$8:$FK$47,46,FALSE)</f>
        <v>0</v>
      </c>
    </row>
    <row r="47" spans="2:11" ht="15.75" hidden="1">
      <c r="B47" s="1014">
        <f>ASISTENCIA!AU7</f>
        <v>0</v>
      </c>
      <c r="C47" s="1014"/>
      <c r="D47" s="143" t="str">
        <f t="shared" si="1"/>
        <v>PRESENTE</v>
      </c>
      <c r="I47" s="118">
        <f>VLOOKUP($H$4,ASISTENCIA!$A$8:$FK$47,47,FALSE)</f>
        <v>0</v>
      </c>
    </row>
    <row r="48" spans="2:11" ht="15.75" hidden="1">
      <c r="B48" s="1014">
        <f>ASISTENCIA!AV7</f>
        <v>0</v>
      </c>
      <c r="C48" s="1014"/>
      <c r="D48" s="143" t="str">
        <f t="shared" si="1"/>
        <v>PRESENTE</v>
      </c>
      <c r="I48" s="118">
        <f>VLOOKUP($H$4,ASISTENCIA!$A$8:$FK$47,48,FALSE)</f>
        <v>0</v>
      </c>
    </row>
    <row r="49" spans="2:9" ht="15.75" hidden="1">
      <c r="B49" s="1014">
        <f>ASISTENCIA!AW7</f>
        <v>0</v>
      </c>
      <c r="C49" s="1014"/>
      <c r="D49" s="143" t="str">
        <f t="shared" si="1"/>
        <v>PRESENTE</v>
      </c>
      <c r="I49" s="118">
        <f>VLOOKUP($H$4,ASISTENCIA!$A$8:$FK$47,49,FALSE)</f>
        <v>0</v>
      </c>
    </row>
    <row r="50" spans="2:9" ht="15.75" hidden="1">
      <c r="B50" s="1014">
        <f>ASISTENCIA!AX7</f>
        <v>0</v>
      </c>
      <c r="C50" s="1014"/>
      <c r="D50" s="143" t="str">
        <f t="shared" si="1"/>
        <v>PRESENTE</v>
      </c>
      <c r="I50" s="118">
        <f>VLOOKUP($H$4,ASISTENCIA!$A$8:$FK$47,50,FALSE)</f>
        <v>0</v>
      </c>
    </row>
    <row r="51" spans="2:9" ht="15.75" hidden="1">
      <c r="B51" s="1014">
        <f>ASISTENCIA!AY7</f>
        <v>0</v>
      </c>
      <c r="C51" s="1014"/>
      <c r="D51" s="143" t="str">
        <f t="shared" si="1"/>
        <v>PRESENTE</v>
      </c>
      <c r="I51" s="118">
        <f>VLOOKUP($H$4,ASISTENCIA!$A$8:$FK$47,51,FALSE)</f>
        <v>0</v>
      </c>
    </row>
    <row r="52" spans="2:9" ht="15.75" hidden="1">
      <c r="B52" s="1014">
        <f>ASISTENCIA!AZ7</f>
        <v>0</v>
      </c>
      <c r="C52" s="1014"/>
      <c r="D52" s="143" t="str">
        <f t="shared" si="1"/>
        <v>PRESENTE</v>
      </c>
      <c r="I52" s="118">
        <f>VLOOKUP($H$4,ASISTENCIA!$A$8:$FK$47,52,FALSE)</f>
        <v>0</v>
      </c>
    </row>
    <row r="53" spans="2:9" ht="15.75" hidden="1">
      <c r="B53" s="1014">
        <f>ASISTENCIA!BA7</f>
        <v>0</v>
      </c>
      <c r="C53" s="1014"/>
      <c r="D53" s="143" t="str">
        <f t="shared" si="1"/>
        <v>PRESENTE</v>
      </c>
      <c r="I53" s="118">
        <f>VLOOKUP($H$4,ASISTENCIA!$A$8:$FK$47,53,FALSE)</f>
        <v>0</v>
      </c>
    </row>
    <row r="54" spans="2:9" ht="15.75" hidden="1">
      <c r="B54" s="1014">
        <f>ASISTENCIA!BB7</f>
        <v>0</v>
      </c>
      <c r="C54" s="1014"/>
      <c r="D54" s="143" t="str">
        <f t="shared" si="1"/>
        <v>PRESENTE</v>
      </c>
      <c r="I54" s="118">
        <f>VLOOKUP($H$4,ASISTENCIA!$A$8:$FK$47,54,FALSE)</f>
        <v>0</v>
      </c>
    </row>
    <row r="55" spans="2:9" ht="15.75" hidden="1">
      <c r="B55" s="1014">
        <f>ASISTENCIA!BC7</f>
        <v>0</v>
      </c>
      <c r="C55" s="1014"/>
      <c r="D55" s="143" t="str">
        <f t="shared" si="1"/>
        <v>PRESENTE</v>
      </c>
      <c r="I55" s="118">
        <f>VLOOKUP($H$4,ASISTENCIA!$A$8:$FK$47,55,FALSE)</f>
        <v>0</v>
      </c>
    </row>
    <row r="56" spans="2:9" ht="15.75" hidden="1">
      <c r="B56" s="1014">
        <f>ASISTENCIA!BD7</f>
        <v>0</v>
      </c>
      <c r="C56" s="1014"/>
      <c r="D56" s="143" t="str">
        <f t="shared" si="1"/>
        <v>PRESENTE</v>
      </c>
      <c r="I56" s="118">
        <f>VLOOKUP($H$4,ASISTENCIA!$A$8:$FK$47,56,FALSE)</f>
        <v>0</v>
      </c>
    </row>
    <row r="57" spans="2:9" ht="15.75" hidden="1">
      <c r="B57" s="1014">
        <f>ASISTENCIA!BE7</f>
        <v>0</v>
      </c>
      <c r="C57" s="1014"/>
      <c r="D57" s="143" t="str">
        <f t="shared" si="1"/>
        <v>PRESENTE</v>
      </c>
      <c r="I57" s="118">
        <f>VLOOKUP($H$4,ASISTENCIA!$A$8:$FK$47,57,FALSE)</f>
        <v>0</v>
      </c>
    </row>
    <row r="58" spans="2:9" ht="15.75" hidden="1">
      <c r="B58" s="1014">
        <f>ASISTENCIA!BF7</f>
        <v>0</v>
      </c>
      <c r="C58" s="1014"/>
      <c r="D58" s="143" t="str">
        <f t="shared" si="1"/>
        <v>PRESENTE</v>
      </c>
      <c r="I58" s="118">
        <f>VLOOKUP($H$4,ASISTENCIA!$A$8:$FK$47,58,FALSE)</f>
        <v>0</v>
      </c>
    </row>
    <row r="59" spans="2:9" ht="15.75" hidden="1">
      <c r="B59" s="1014">
        <f>ASISTENCIA!BG7</f>
        <v>0</v>
      </c>
      <c r="C59" s="1014"/>
      <c r="D59" s="143" t="str">
        <f t="shared" si="1"/>
        <v>PRESENTE</v>
      </c>
      <c r="I59" s="118">
        <f>VLOOKUP($H$4,ASISTENCIA!$A$8:$FK$47,59,FALSE)</f>
        <v>0</v>
      </c>
    </row>
    <row r="60" spans="2:9" ht="15.75" hidden="1">
      <c r="B60" s="1014">
        <f>ASISTENCIA!BH7</f>
        <v>0</v>
      </c>
      <c r="C60" s="1014"/>
      <c r="D60" s="143" t="str">
        <f t="shared" si="1"/>
        <v>PRESENTE</v>
      </c>
      <c r="I60" s="118">
        <f>VLOOKUP($H$4,ASISTENCIA!$A$8:$FK$47,60,FALSE)</f>
        <v>0</v>
      </c>
    </row>
    <row r="61" spans="2:9" ht="15.75" hidden="1">
      <c r="B61" s="1014">
        <f>ASISTENCIA!BI7</f>
        <v>0</v>
      </c>
      <c r="C61" s="1014"/>
      <c r="D61" s="143" t="str">
        <f t="shared" si="1"/>
        <v>PRESENTE</v>
      </c>
      <c r="I61" s="118">
        <f>VLOOKUP($H$4,ASISTENCIA!$A$8:$FK$47,61,FALSE)</f>
        <v>0</v>
      </c>
    </row>
    <row r="62" spans="2:9" ht="15.75" hidden="1">
      <c r="B62" s="1014">
        <f>ASISTENCIA!BJ7</f>
        <v>0</v>
      </c>
      <c r="C62" s="1014"/>
      <c r="D62" s="143" t="str">
        <f t="shared" si="1"/>
        <v>PRESENTE</v>
      </c>
      <c r="I62" s="118">
        <f>VLOOKUP($H$4,ASISTENCIA!$A$8:$FK$47,62,FALSE)</f>
        <v>0</v>
      </c>
    </row>
    <row r="63" spans="2:9" ht="15.75" hidden="1">
      <c r="B63" s="1014">
        <f>ASISTENCIA!BK7</f>
        <v>0</v>
      </c>
      <c r="C63" s="1014"/>
      <c r="D63" s="143" t="str">
        <f t="shared" si="1"/>
        <v>PRESENTE</v>
      </c>
      <c r="I63" s="118">
        <f>VLOOKUP($H$4,ASISTENCIA!$A$8:$FK$47,63,FALSE)</f>
        <v>0</v>
      </c>
    </row>
    <row r="64" spans="2:9" ht="15.75" hidden="1">
      <c r="B64" s="1014">
        <f>ASISTENCIA!BL7</f>
        <v>0</v>
      </c>
      <c r="C64" s="1014"/>
      <c r="D64" s="143" t="str">
        <f t="shared" si="1"/>
        <v>PRESENTE</v>
      </c>
      <c r="I64" s="118">
        <f>VLOOKUP($H$4,ASISTENCIA!$A$8:$FK$47,64,FALSE)</f>
        <v>0</v>
      </c>
    </row>
    <row r="65" spans="2:13" ht="15.75" hidden="1">
      <c r="B65" s="1014">
        <f>ASISTENCIA!BM7</f>
        <v>0</v>
      </c>
      <c r="C65" s="1014"/>
      <c r="D65" s="143" t="str">
        <f t="shared" si="1"/>
        <v>PRESENTE</v>
      </c>
      <c r="I65" s="118">
        <f>VLOOKUP($H$4,ASISTENCIA!$A$8:$FK$47,65,FALSE)</f>
        <v>0</v>
      </c>
    </row>
    <row r="66" spans="2:13" ht="15.75" hidden="1">
      <c r="B66" s="1029"/>
      <c r="C66" s="1029"/>
      <c r="D66" s="144"/>
      <c r="E66" s="2"/>
      <c r="F66" s="2"/>
      <c r="G66" s="190"/>
      <c r="H66" s="190"/>
      <c r="I66" s="118"/>
    </row>
    <row r="67" spans="2:13" ht="15.75" hidden="1">
      <c r="B67" s="1029"/>
      <c r="C67" s="1029"/>
      <c r="D67" s="144"/>
      <c r="E67" s="2"/>
      <c r="F67" s="2"/>
      <c r="G67" s="190"/>
      <c r="H67" s="190"/>
      <c r="I67" s="118"/>
    </row>
    <row r="68" spans="2:13" ht="15.75" hidden="1">
      <c r="B68" s="1029"/>
      <c r="C68" s="1029"/>
      <c r="D68" s="144"/>
      <c r="E68" s="2"/>
      <c r="F68" s="2"/>
      <c r="G68" s="190"/>
      <c r="H68" s="190"/>
      <c r="I68" s="118"/>
    </row>
    <row r="69" spans="2:13" ht="15.75" hidden="1">
      <c r="B69" s="1029"/>
      <c r="C69" s="1029"/>
      <c r="D69" s="144"/>
      <c r="E69" s="2"/>
      <c r="F69" s="2"/>
      <c r="G69" s="190"/>
      <c r="H69" s="190"/>
      <c r="I69" s="118"/>
      <c r="J69" s="191"/>
      <c r="K69" s="191"/>
      <c r="L69" s="2"/>
      <c r="M69" s="2"/>
    </row>
    <row r="70" spans="2:13" ht="15.75" hidden="1">
      <c r="B70" s="1029"/>
      <c r="C70" s="826"/>
      <c r="D70" s="144"/>
      <c r="E70" s="2"/>
      <c r="F70" s="2"/>
      <c r="G70" s="190"/>
      <c r="H70" s="190"/>
      <c r="I70" s="118"/>
      <c r="J70" s="191"/>
      <c r="K70" s="191"/>
      <c r="L70" s="2"/>
      <c r="M70" s="2"/>
    </row>
    <row r="71" spans="2:13" ht="15.75" hidden="1">
      <c r="B71" s="1029"/>
      <c r="C71" s="826"/>
      <c r="D71" s="144"/>
      <c r="E71" s="2"/>
      <c r="F71" s="2"/>
      <c r="G71" s="190"/>
      <c r="H71" s="190"/>
      <c r="I71" s="118"/>
      <c r="J71" s="191"/>
      <c r="K71" s="191"/>
      <c r="L71" s="2"/>
      <c r="M71" s="2"/>
    </row>
    <row r="72" spans="2:13" ht="15.75" hidden="1">
      <c r="B72" s="1029"/>
      <c r="C72" s="826"/>
      <c r="D72" s="144"/>
      <c r="E72" s="2"/>
      <c r="F72" s="2"/>
      <c r="G72" s="190"/>
      <c r="H72" s="190"/>
      <c r="I72" s="118"/>
      <c r="J72" s="191"/>
      <c r="K72" s="191"/>
      <c r="L72" s="2"/>
      <c r="M72" s="2"/>
    </row>
    <row r="73" spans="2:13" ht="15.75" hidden="1">
      <c r="B73" s="1029"/>
      <c r="C73" s="826"/>
      <c r="D73" s="144"/>
      <c r="E73" s="2"/>
      <c r="F73" s="2"/>
      <c r="G73" s="190"/>
      <c r="H73" s="190"/>
      <c r="I73" s="118"/>
      <c r="J73" s="191"/>
      <c r="K73" s="191"/>
      <c r="L73" s="2"/>
      <c r="M73" s="2"/>
    </row>
    <row r="74" spans="2:13" ht="15.75" hidden="1">
      <c r="B74" s="1029"/>
      <c r="C74" s="826"/>
      <c r="D74" s="144"/>
      <c r="E74" s="2"/>
      <c r="F74" s="2"/>
      <c r="G74" s="190"/>
      <c r="H74" s="190"/>
      <c r="I74" s="118"/>
      <c r="J74" s="191"/>
      <c r="K74" s="191"/>
      <c r="L74" s="2"/>
      <c r="M74" s="2"/>
    </row>
    <row r="75" spans="2:13" ht="15.75" hidden="1">
      <c r="B75" s="1029"/>
      <c r="C75" s="826"/>
      <c r="D75" s="144"/>
      <c r="E75" s="2"/>
      <c r="F75" s="2"/>
      <c r="G75" s="190"/>
      <c r="H75" s="190"/>
      <c r="I75" s="118"/>
      <c r="J75" s="191"/>
      <c r="K75" s="191"/>
      <c r="L75" s="2"/>
      <c r="M75" s="2"/>
    </row>
    <row r="76" spans="2:13" ht="15.75" hidden="1">
      <c r="B76" s="1029"/>
      <c r="C76" s="826"/>
      <c r="D76" s="144"/>
      <c r="E76" s="2"/>
      <c r="F76" s="2"/>
      <c r="G76" s="190"/>
      <c r="H76" s="190"/>
      <c r="I76" s="118"/>
      <c r="J76" s="191"/>
      <c r="K76" s="191"/>
      <c r="L76" s="2"/>
      <c r="M76" s="2"/>
    </row>
    <row r="77" spans="2:13" ht="15.75" hidden="1">
      <c r="B77" s="1029"/>
      <c r="C77" s="826"/>
      <c r="D77" s="144"/>
      <c r="E77" s="2"/>
      <c r="F77" s="2"/>
      <c r="G77" s="190"/>
      <c r="H77" s="190"/>
      <c r="I77" s="118"/>
      <c r="J77" s="191"/>
      <c r="K77" s="191"/>
      <c r="L77" s="2"/>
      <c r="M77" s="2"/>
    </row>
    <row r="78" spans="2:13" ht="15.75" hidden="1">
      <c r="B78" s="1029"/>
      <c r="C78" s="826"/>
      <c r="D78" s="144"/>
      <c r="E78" s="2"/>
      <c r="F78" s="2"/>
      <c r="G78" s="190"/>
      <c r="H78" s="190"/>
      <c r="I78" s="118"/>
      <c r="J78" s="191"/>
      <c r="K78" s="191"/>
      <c r="L78" s="2"/>
      <c r="M78" s="2"/>
    </row>
    <row r="79" spans="2:13" ht="15.75" hidden="1">
      <c r="B79" s="1029"/>
      <c r="C79" s="826"/>
      <c r="D79" s="144"/>
      <c r="E79" s="2"/>
      <c r="F79" s="2"/>
      <c r="G79" s="190"/>
      <c r="H79" s="190"/>
      <c r="I79" s="118"/>
      <c r="J79" s="191"/>
      <c r="K79" s="191"/>
      <c r="L79" s="2"/>
      <c r="M79" s="2"/>
    </row>
    <row r="80" spans="2:13" ht="15.75" hidden="1">
      <c r="B80" s="1029"/>
      <c r="C80" s="826"/>
      <c r="D80" s="144"/>
      <c r="E80" s="2"/>
      <c r="F80" s="2"/>
      <c r="G80" s="190"/>
      <c r="H80" s="190"/>
      <c r="I80" s="118"/>
      <c r="J80" s="191"/>
      <c r="K80" s="191"/>
      <c r="L80" s="2"/>
      <c r="M80" s="2"/>
    </row>
    <row r="81" spans="2:13" ht="15.75" hidden="1">
      <c r="B81" s="1029"/>
      <c r="C81" s="826"/>
      <c r="D81" s="144"/>
      <c r="E81" s="2"/>
      <c r="F81" s="2"/>
      <c r="G81" s="190"/>
      <c r="H81" s="190"/>
      <c r="I81" s="118"/>
      <c r="J81" s="191"/>
      <c r="K81" s="191"/>
      <c r="L81" s="2"/>
      <c r="M81" s="2"/>
    </row>
    <row r="82" spans="2:13" ht="15.75" hidden="1">
      <c r="B82" s="1029"/>
      <c r="C82" s="826"/>
      <c r="D82" s="144"/>
      <c r="E82" s="2"/>
      <c r="F82" s="2"/>
      <c r="G82" s="190"/>
      <c r="H82" s="190"/>
      <c r="I82" s="118"/>
      <c r="J82" s="191"/>
      <c r="K82" s="191"/>
      <c r="L82" s="2"/>
      <c r="M82" s="2"/>
    </row>
    <row r="83" spans="2:13" ht="15.75" hidden="1">
      <c r="B83" s="1029"/>
      <c r="C83" s="826"/>
      <c r="D83" s="144"/>
      <c r="E83" s="2"/>
      <c r="F83" s="2"/>
      <c r="G83" s="190"/>
      <c r="H83" s="190"/>
      <c r="I83" s="118"/>
      <c r="J83" s="191"/>
      <c r="K83" s="191"/>
      <c r="L83" s="2"/>
      <c r="M83" s="2"/>
    </row>
    <row r="84" spans="2:13" ht="15.75" hidden="1">
      <c r="B84" s="1029"/>
      <c r="C84" s="826"/>
      <c r="D84" s="144"/>
      <c r="E84" s="2"/>
      <c r="F84" s="2"/>
      <c r="G84" s="190"/>
      <c r="H84" s="190"/>
      <c r="I84" s="118"/>
      <c r="J84" s="191"/>
      <c r="K84" s="191"/>
      <c r="L84" s="2"/>
      <c r="M84" s="2"/>
    </row>
    <row r="85" spans="2:13" ht="15.75" hidden="1">
      <c r="B85" s="1029"/>
      <c r="C85" s="826"/>
      <c r="D85" s="144"/>
      <c r="E85" s="2"/>
      <c r="F85" s="2"/>
      <c r="G85" s="190"/>
      <c r="H85" s="190"/>
      <c r="I85" s="118"/>
      <c r="J85" s="191"/>
      <c r="K85" s="191"/>
      <c r="L85" s="2"/>
      <c r="M85" s="2"/>
    </row>
    <row r="86" spans="2:13" ht="15.75" hidden="1">
      <c r="B86" s="1029"/>
      <c r="C86" s="826"/>
      <c r="D86" s="144"/>
      <c r="E86" s="2"/>
      <c r="F86" s="2"/>
      <c r="G86" s="190"/>
      <c r="H86" s="190"/>
      <c r="I86" s="118"/>
      <c r="J86" s="191"/>
      <c r="K86" s="191"/>
      <c r="L86" s="2"/>
      <c r="M86" s="2"/>
    </row>
    <row r="87" spans="2:13" ht="15.75" hidden="1">
      <c r="B87" s="1029"/>
      <c r="C87" s="826"/>
      <c r="D87" s="144"/>
      <c r="E87" s="2"/>
      <c r="F87" s="2"/>
      <c r="G87" s="190"/>
      <c r="H87" s="190"/>
      <c r="I87" s="118"/>
      <c r="J87" s="191"/>
      <c r="K87" s="191"/>
      <c r="L87" s="2"/>
      <c r="M87" s="2"/>
    </row>
    <row r="88" spans="2:13" ht="15.75" hidden="1">
      <c r="B88" s="1029"/>
      <c r="C88" s="826"/>
      <c r="D88" s="144"/>
      <c r="E88" s="2"/>
      <c r="F88" s="2"/>
      <c r="G88" s="190"/>
      <c r="H88" s="190"/>
      <c r="I88" s="118"/>
      <c r="J88" s="191"/>
      <c r="K88" s="191"/>
      <c r="L88" s="2"/>
      <c r="M88" s="2"/>
    </row>
    <row r="89" spans="2:13" ht="15.75" hidden="1">
      <c r="B89" s="1029"/>
      <c r="C89" s="826"/>
      <c r="D89" s="144"/>
      <c r="E89" s="2"/>
      <c r="F89" s="2"/>
      <c r="G89" s="190"/>
      <c r="H89" s="190"/>
      <c r="I89" s="118"/>
      <c r="J89" s="191"/>
      <c r="K89" s="191"/>
      <c r="L89" s="2"/>
      <c r="M89" s="2"/>
    </row>
    <row r="90" spans="2:13" ht="15.75" hidden="1">
      <c r="B90" s="1029"/>
      <c r="C90" s="826"/>
      <c r="D90" s="144"/>
      <c r="E90" s="2"/>
      <c r="F90" s="2"/>
      <c r="G90" s="190"/>
      <c r="H90" s="190"/>
      <c r="I90" s="118"/>
      <c r="J90" s="191"/>
      <c r="K90" s="191"/>
      <c r="L90" s="2"/>
      <c r="M90" s="2"/>
    </row>
    <row r="91" spans="2:13" ht="15.75" hidden="1">
      <c r="B91" s="1029"/>
      <c r="C91" s="826"/>
      <c r="D91" s="144"/>
      <c r="E91" s="2"/>
      <c r="F91" s="2"/>
      <c r="G91" s="190"/>
      <c r="H91" s="190"/>
      <c r="I91" s="118"/>
      <c r="J91" s="191"/>
      <c r="K91" s="191"/>
      <c r="L91" s="2"/>
      <c r="M91" s="2"/>
    </row>
    <row r="92" spans="2:13" ht="15.75" hidden="1">
      <c r="B92" s="1029"/>
      <c r="C92" s="826"/>
      <c r="D92" s="144"/>
      <c r="E92" s="2"/>
      <c r="F92" s="2"/>
      <c r="G92" s="190"/>
      <c r="H92" s="190"/>
      <c r="I92" s="118"/>
      <c r="J92" s="191"/>
      <c r="K92" s="191"/>
      <c r="L92" s="2"/>
      <c r="M92" s="2"/>
    </row>
    <row r="93" spans="2:13" ht="15.75" hidden="1">
      <c r="B93" s="1029"/>
      <c r="C93" s="826"/>
      <c r="D93" s="144"/>
      <c r="E93" s="2"/>
      <c r="F93" s="2"/>
      <c r="G93" s="190"/>
      <c r="H93" s="190"/>
      <c r="I93" s="118"/>
      <c r="J93" s="191"/>
      <c r="K93" s="191"/>
      <c r="L93" s="2"/>
      <c r="M93" s="2"/>
    </row>
    <row r="94" spans="2:13" ht="15.75" hidden="1">
      <c r="B94" s="1029"/>
      <c r="C94" s="826"/>
      <c r="D94" s="144"/>
      <c r="E94" s="2"/>
      <c r="F94" s="2"/>
      <c r="G94" s="190"/>
      <c r="H94" s="190"/>
      <c r="I94" s="118"/>
      <c r="J94" s="191"/>
      <c r="K94" s="191"/>
      <c r="L94" s="2"/>
      <c r="M94" s="2"/>
    </row>
    <row r="95" spans="2:13" ht="15.75" hidden="1">
      <c r="B95" s="1029"/>
      <c r="C95" s="826"/>
      <c r="D95" s="144"/>
      <c r="E95" s="2"/>
      <c r="F95" s="2"/>
      <c r="G95" s="190"/>
      <c r="H95" s="190"/>
      <c r="I95" s="118"/>
      <c r="J95" s="191"/>
      <c r="K95" s="191"/>
      <c r="L95" s="2"/>
      <c r="M95" s="2"/>
    </row>
    <row r="96" spans="2:13" ht="15.75" hidden="1">
      <c r="B96" s="1029"/>
      <c r="C96" s="826"/>
      <c r="D96" s="144"/>
      <c r="E96" s="2"/>
      <c r="F96" s="2"/>
      <c r="G96" s="190"/>
      <c r="H96" s="190"/>
      <c r="I96" s="118"/>
      <c r="J96" s="191"/>
      <c r="K96" s="191"/>
      <c r="L96" s="2"/>
      <c r="M96" s="2"/>
    </row>
    <row r="97" spans="2:13" ht="15.75" hidden="1">
      <c r="B97" s="1029"/>
      <c r="C97" s="826"/>
      <c r="D97" s="144"/>
      <c r="E97" s="2"/>
      <c r="F97" s="2"/>
      <c r="G97" s="190"/>
      <c r="H97" s="190"/>
      <c r="I97" s="118"/>
      <c r="J97" s="191"/>
      <c r="K97" s="191"/>
      <c r="L97" s="2"/>
      <c r="M97" s="2"/>
    </row>
    <row r="98" spans="2:13" ht="15.75" hidden="1">
      <c r="B98" s="1029"/>
      <c r="C98" s="826"/>
      <c r="D98" s="144"/>
      <c r="E98" s="2"/>
      <c r="F98" s="2"/>
      <c r="G98" s="190"/>
      <c r="H98" s="190"/>
      <c r="I98" s="118"/>
      <c r="J98" s="191"/>
      <c r="K98" s="191"/>
      <c r="L98" s="2"/>
      <c r="M98" s="2"/>
    </row>
    <row r="99" spans="2:13" ht="15.75" hidden="1">
      <c r="B99" s="1029"/>
      <c r="C99" s="826"/>
      <c r="D99" s="144"/>
      <c r="E99" s="2"/>
      <c r="F99" s="2"/>
      <c r="G99" s="190"/>
      <c r="H99" s="190"/>
      <c r="I99" s="118"/>
      <c r="J99" s="191"/>
      <c r="K99" s="191"/>
      <c r="L99" s="2"/>
      <c r="M99" s="2"/>
    </row>
    <row r="100" spans="2:13" ht="15.75" hidden="1">
      <c r="B100" s="1029"/>
      <c r="C100" s="826"/>
      <c r="D100" s="144"/>
      <c r="E100" s="2"/>
      <c r="F100" s="2"/>
      <c r="G100" s="190"/>
      <c r="H100" s="190"/>
      <c r="I100" s="118"/>
      <c r="J100" s="191"/>
      <c r="K100" s="191"/>
      <c r="L100" s="2"/>
      <c r="M100" s="2"/>
    </row>
    <row r="101" spans="2:13" ht="15.75" hidden="1">
      <c r="B101" s="1029"/>
      <c r="C101" s="826"/>
      <c r="D101" s="144"/>
      <c r="E101" s="2"/>
      <c r="F101" s="2"/>
      <c r="G101" s="190"/>
      <c r="H101" s="190"/>
      <c r="I101" s="118"/>
      <c r="J101" s="191"/>
      <c r="K101" s="191"/>
      <c r="L101" s="2"/>
      <c r="M101" s="2"/>
    </row>
    <row r="102" spans="2:13" ht="15.75" hidden="1">
      <c r="B102" s="1029"/>
      <c r="C102" s="826"/>
      <c r="D102" s="144"/>
      <c r="E102" s="2"/>
      <c r="F102" s="2"/>
      <c r="G102" s="190"/>
      <c r="H102" s="190"/>
      <c r="I102" s="118"/>
      <c r="J102" s="191"/>
      <c r="K102" s="191"/>
      <c r="L102" s="2"/>
      <c r="M102" s="2"/>
    </row>
    <row r="103" spans="2:13" ht="15.75" hidden="1">
      <c r="B103" s="1029"/>
      <c r="C103" s="826"/>
      <c r="D103" s="144"/>
      <c r="E103" s="2"/>
      <c r="F103" s="2"/>
      <c r="G103" s="190"/>
      <c r="H103" s="190"/>
      <c r="I103" s="118"/>
      <c r="J103" s="191"/>
      <c r="K103" s="191"/>
      <c r="L103" s="2"/>
      <c r="M103" s="2"/>
    </row>
    <row r="104" spans="2:13" ht="15.75" hidden="1">
      <c r="B104" s="1029"/>
      <c r="C104" s="826"/>
      <c r="D104" s="144"/>
      <c r="E104" s="2"/>
      <c r="F104" s="2"/>
      <c r="G104" s="190"/>
      <c r="H104" s="190"/>
      <c r="I104" s="118"/>
      <c r="J104" s="191"/>
      <c r="K104" s="191"/>
      <c r="L104" s="2"/>
      <c r="M104" s="2"/>
    </row>
    <row r="105" spans="2:13" ht="15.75" hidden="1">
      <c r="B105" s="1029"/>
      <c r="C105" s="826"/>
      <c r="D105" s="144"/>
      <c r="E105" s="2"/>
      <c r="F105" s="2"/>
      <c r="G105" s="190"/>
      <c r="H105" s="190"/>
      <c r="I105" s="118"/>
      <c r="J105" s="191"/>
      <c r="K105" s="191"/>
      <c r="L105" s="2"/>
      <c r="M105" s="2"/>
    </row>
    <row r="106" spans="2:13" ht="15.75" hidden="1">
      <c r="B106" s="1029"/>
      <c r="C106" s="826"/>
      <c r="D106" s="144"/>
      <c r="E106" s="2"/>
      <c r="F106" s="2"/>
      <c r="G106" s="190"/>
      <c r="H106" s="190"/>
      <c r="I106" s="118"/>
      <c r="J106" s="191"/>
      <c r="K106" s="191"/>
      <c r="L106" s="2"/>
      <c r="M106" s="2"/>
    </row>
    <row r="107" spans="2:13" ht="15.75" hidden="1">
      <c r="B107" s="1029"/>
      <c r="C107" s="826"/>
      <c r="D107" s="144"/>
      <c r="E107" s="2"/>
      <c r="F107" s="2"/>
      <c r="G107" s="190"/>
      <c r="H107" s="190"/>
      <c r="I107" s="118"/>
      <c r="J107" s="191"/>
      <c r="K107" s="191"/>
      <c r="L107" s="2"/>
      <c r="M107" s="2"/>
    </row>
    <row r="108" spans="2:13" ht="15.75" hidden="1">
      <c r="B108" s="1029"/>
      <c r="C108" s="826"/>
      <c r="D108" s="144"/>
      <c r="E108" s="2"/>
      <c r="F108" s="2"/>
      <c r="G108" s="190"/>
      <c r="H108" s="190"/>
      <c r="I108" s="118"/>
      <c r="J108" s="191"/>
      <c r="K108" s="191"/>
      <c r="L108" s="2"/>
      <c r="M108" s="2"/>
    </row>
    <row r="109" spans="2:13" ht="15.75" hidden="1">
      <c r="B109" s="1029"/>
      <c r="C109" s="826"/>
      <c r="D109" s="144"/>
      <c r="E109" s="2"/>
      <c r="F109" s="2"/>
      <c r="G109" s="190"/>
      <c r="H109" s="190"/>
      <c r="I109" s="118"/>
      <c r="J109" s="191"/>
      <c r="K109" s="191"/>
      <c r="L109" s="2"/>
      <c r="M109" s="2"/>
    </row>
    <row r="110" spans="2:13" ht="15.75" hidden="1">
      <c r="B110" s="1029"/>
      <c r="C110" s="826"/>
      <c r="D110" s="144"/>
      <c r="E110" s="2"/>
      <c r="F110" s="2"/>
      <c r="G110" s="190"/>
      <c r="H110" s="190"/>
      <c r="I110" s="118"/>
      <c r="J110" s="191"/>
      <c r="K110" s="191"/>
      <c r="L110" s="2"/>
      <c r="M110" s="2"/>
    </row>
    <row r="111" spans="2:13" ht="15.75" hidden="1">
      <c r="B111" s="1029"/>
      <c r="C111" s="826"/>
      <c r="D111" s="144"/>
      <c r="E111" s="2"/>
      <c r="F111" s="2"/>
      <c r="G111" s="190"/>
      <c r="H111" s="190"/>
      <c r="I111" s="118"/>
      <c r="J111" s="191"/>
      <c r="K111" s="191"/>
      <c r="L111" s="2"/>
      <c r="M111" s="2"/>
    </row>
    <row r="112" spans="2:13" ht="15.75" hidden="1">
      <c r="B112" s="1029"/>
      <c r="C112" s="826"/>
      <c r="D112" s="144"/>
      <c r="E112" s="2"/>
      <c r="F112" s="2"/>
      <c r="G112" s="190"/>
      <c r="H112" s="190"/>
      <c r="I112" s="118"/>
      <c r="J112" s="191"/>
      <c r="K112" s="191"/>
      <c r="L112" s="2"/>
      <c r="M112" s="2"/>
    </row>
    <row r="113" spans="2:13" ht="15.75" hidden="1">
      <c r="B113" s="1029"/>
      <c r="C113" s="826"/>
      <c r="D113" s="144"/>
      <c r="E113" s="2"/>
      <c r="F113" s="2"/>
      <c r="G113" s="190"/>
      <c r="H113" s="190"/>
      <c r="I113" s="118"/>
      <c r="J113" s="191"/>
      <c r="K113" s="191"/>
      <c r="L113" s="2"/>
      <c r="M113" s="2"/>
    </row>
    <row r="114" spans="2:13" ht="15.75" hidden="1">
      <c r="B114" s="1029"/>
      <c r="C114" s="826"/>
      <c r="D114" s="144"/>
      <c r="E114" s="2"/>
      <c r="F114" s="2"/>
      <c r="G114" s="190"/>
      <c r="H114" s="190"/>
      <c r="I114" s="118"/>
      <c r="J114" s="191"/>
      <c r="K114" s="191"/>
      <c r="L114" s="2"/>
      <c r="M114" s="2"/>
    </row>
    <row r="115" spans="2:13" ht="15.75" hidden="1">
      <c r="B115" s="1029"/>
      <c r="C115" s="826"/>
      <c r="D115" s="144"/>
      <c r="E115" s="2"/>
      <c r="F115" s="2"/>
      <c r="G115" s="190"/>
      <c r="H115" s="190"/>
      <c r="I115" s="118"/>
      <c r="J115" s="191"/>
      <c r="K115" s="191"/>
      <c r="L115" s="2"/>
      <c r="M115" s="2"/>
    </row>
    <row r="116" spans="2:13" ht="15.75" hidden="1">
      <c r="B116" s="1029"/>
      <c r="C116" s="826"/>
      <c r="D116" s="144"/>
      <c r="E116" s="2"/>
      <c r="F116" s="2"/>
      <c r="G116" s="190"/>
      <c r="H116" s="190"/>
      <c r="I116" s="118"/>
      <c r="J116" s="191"/>
      <c r="K116" s="191"/>
      <c r="L116" s="2"/>
      <c r="M116" s="2"/>
    </row>
    <row r="117" spans="2:13" ht="15.75" hidden="1">
      <c r="B117" s="1029"/>
      <c r="C117" s="826"/>
      <c r="D117" s="144"/>
      <c r="E117" s="2"/>
      <c r="F117" s="2"/>
      <c r="G117" s="190"/>
      <c r="H117" s="190"/>
      <c r="I117" s="118"/>
      <c r="J117" s="191"/>
      <c r="K117" s="191"/>
      <c r="L117" s="2"/>
      <c r="M117" s="2"/>
    </row>
    <row r="118" spans="2:13" ht="15.75" hidden="1">
      <c r="B118" s="1029"/>
      <c r="C118" s="826"/>
      <c r="D118" s="144"/>
      <c r="E118" s="2"/>
      <c r="F118" s="2"/>
      <c r="G118" s="190"/>
      <c r="H118" s="190"/>
      <c r="I118" s="118"/>
      <c r="J118" s="191"/>
      <c r="K118" s="191"/>
      <c r="L118" s="2"/>
      <c r="M118" s="2"/>
    </row>
    <row r="119" spans="2:13" ht="15.75" hidden="1">
      <c r="B119" s="1029"/>
      <c r="C119" s="826"/>
      <c r="D119" s="144"/>
      <c r="E119" s="2"/>
      <c r="F119" s="2"/>
      <c r="G119" s="190"/>
      <c r="H119" s="190"/>
      <c r="I119" s="118"/>
      <c r="J119" s="191"/>
      <c r="K119" s="191"/>
      <c r="L119" s="2"/>
      <c r="M119" s="2"/>
    </row>
    <row r="120" spans="2:13" ht="15.75" hidden="1">
      <c r="B120" s="1029"/>
      <c r="C120" s="826"/>
      <c r="D120" s="144"/>
      <c r="E120" s="2"/>
      <c r="F120" s="2"/>
      <c r="G120" s="190"/>
      <c r="H120" s="190"/>
      <c r="I120" s="118"/>
      <c r="J120" s="191"/>
      <c r="K120" s="191"/>
      <c r="L120" s="2"/>
      <c r="M120" s="2"/>
    </row>
    <row r="121" spans="2:13" ht="15.75" hidden="1">
      <c r="B121" s="1029"/>
      <c r="C121" s="826"/>
      <c r="D121" s="144"/>
      <c r="E121" s="2"/>
      <c r="F121" s="2"/>
      <c r="G121" s="190"/>
      <c r="H121" s="190"/>
      <c r="I121" s="118"/>
      <c r="J121" s="191"/>
      <c r="K121" s="191"/>
      <c r="L121" s="2"/>
      <c r="M121" s="2"/>
    </row>
    <row r="122" spans="2:13" ht="15.75" hidden="1">
      <c r="B122" s="1029"/>
      <c r="C122" s="826"/>
      <c r="D122" s="144"/>
      <c r="E122" s="2"/>
      <c r="F122" s="2"/>
      <c r="G122" s="190"/>
      <c r="H122" s="190"/>
      <c r="I122" s="118"/>
      <c r="J122" s="191"/>
      <c r="K122" s="191"/>
      <c r="L122" s="2"/>
      <c r="M122" s="2"/>
    </row>
    <row r="123" spans="2:13" ht="15.75" hidden="1">
      <c r="B123" s="1029"/>
      <c r="C123" s="826"/>
      <c r="D123" s="144"/>
      <c r="E123" s="2"/>
      <c r="F123" s="2"/>
      <c r="G123" s="190"/>
      <c r="H123" s="190"/>
      <c r="I123" s="118"/>
      <c r="J123" s="191"/>
      <c r="K123" s="191"/>
      <c r="L123" s="2"/>
      <c r="M123" s="2"/>
    </row>
    <row r="124" spans="2:13" ht="15.75" hidden="1">
      <c r="B124" s="1029"/>
      <c r="C124" s="826"/>
      <c r="D124" s="144"/>
      <c r="E124" s="2"/>
      <c r="F124" s="2"/>
      <c r="G124" s="190"/>
      <c r="H124" s="190"/>
      <c r="I124" s="118"/>
      <c r="J124" s="191"/>
      <c r="K124" s="191"/>
      <c r="L124" s="2"/>
      <c r="M124" s="2"/>
    </row>
    <row r="125" spans="2:13" ht="15.75" hidden="1">
      <c r="B125" s="1029"/>
      <c r="C125" s="826"/>
      <c r="D125" s="144"/>
      <c r="E125" s="2"/>
      <c r="F125" s="2"/>
      <c r="G125" s="190"/>
      <c r="H125" s="190"/>
      <c r="I125" s="118"/>
      <c r="J125" s="191"/>
      <c r="K125" s="191"/>
      <c r="L125" s="2"/>
      <c r="M125" s="2"/>
    </row>
    <row r="126" spans="2:13" ht="15.75" hidden="1">
      <c r="B126" s="1029"/>
      <c r="C126" s="826"/>
      <c r="D126" s="144"/>
      <c r="E126" s="2"/>
      <c r="F126" s="2"/>
      <c r="G126" s="190"/>
      <c r="H126" s="190"/>
      <c r="I126" s="118"/>
      <c r="J126" s="191"/>
      <c r="K126" s="191"/>
      <c r="L126" s="2"/>
      <c r="M126" s="2"/>
    </row>
    <row r="127" spans="2:13" ht="15.75" hidden="1">
      <c r="B127" s="1029"/>
      <c r="C127" s="826"/>
      <c r="D127" s="144"/>
      <c r="E127" s="2"/>
      <c r="F127" s="2"/>
      <c r="G127" s="190"/>
      <c r="H127" s="190"/>
      <c r="I127" s="118"/>
      <c r="J127" s="191"/>
      <c r="K127" s="191"/>
      <c r="L127" s="2"/>
      <c r="M127" s="2"/>
    </row>
    <row r="128" spans="2:13" ht="15.75" hidden="1">
      <c r="B128" s="1029"/>
      <c r="C128" s="826"/>
      <c r="D128" s="144"/>
      <c r="E128" s="2"/>
      <c r="F128" s="2"/>
      <c r="G128" s="190"/>
      <c r="H128" s="190"/>
      <c r="I128" s="118"/>
      <c r="J128" s="191"/>
      <c r="K128" s="191"/>
      <c r="L128" s="2"/>
      <c r="M128" s="2"/>
    </row>
    <row r="129" spans="2:13" ht="15.75" hidden="1">
      <c r="B129" s="1029"/>
      <c r="C129" s="826"/>
      <c r="D129" s="144"/>
      <c r="E129" s="2"/>
      <c r="F129" s="2"/>
      <c r="G129" s="190"/>
      <c r="H129" s="190"/>
      <c r="I129" s="118"/>
      <c r="J129" s="191"/>
      <c r="K129" s="191"/>
      <c r="L129" s="2"/>
      <c r="M129" s="2"/>
    </row>
    <row r="130" spans="2:13" ht="15.75" hidden="1">
      <c r="B130" s="1029"/>
      <c r="C130" s="826"/>
      <c r="D130" s="144"/>
      <c r="E130" s="2"/>
      <c r="F130" s="2"/>
      <c r="G130" s="190"/>
      <c r="H130" s="190"/>
      <c r="I130" s="118"/>
      <c r="J130" s="191"/>
      <c r="K130" s="191"/>
      <c r="L130" s="2"/>
      <c r="M130" s="2"/>
    </row>
    <row r="131" spans="2:13" ht="15.75" hidden="1">
      <c r="B131" s="1029"/>
      <c r="C131" s="826"/>
      <c r="D131" s="144"/>
      <c r="E131" s="2"/>
      <c r="F131" s="2"/>
      <c r="G131" s="190"/>
      <c r="H131" s="190"/>
      <c r="I131" s="118"/>
      <c r="J131" s="191"/>
      <c r="K131" s="191"/>
      <c r="L131" s="2"/>
      <c r="M131" s="2"/>
    </row>
    <row r="132" spans="2:13" ht="15.75" hidden="1">
      <c r="B132" s="1029"/>
      <c r="C132" s="826"/>
      <c r="D132" s="144"/>
      <c r="E132" s="2"/>
      <c r="F132" s="2"/>
      <c r="G132" s="190"/>
      <c r="H132" s="190"/>
      <c r="I132" s="194"/>
      <c r="J132" s="191"/>
      <c r="K132" s="191"/>
      <c r="L132" s="2"/>
      <c r="M132" s="2"/>
    </row>
    <row r="133" spans="2:13" ht="15.75" hidden="1">
      <c r="B133" s="1029"/>
      <c r="C133" s="826"/>
      <c r="D133" s="144"/>
      <c r="E133" s="2"/>
      <c r="F133" s="2"/>
      <c r="G133" s="190"/>
      <c r="H133" s="190"/>
      <c r="I133" s="118"/>
      <c r="J133" s="191"/>
      <c r="K133" s="191"/>
      <c r="L133" s="2"/>
      <c r="M133" s="2"/>
    </row>
    <row r="134" spans="2:13" ht="15.75" hidden="1">
      <c r="B134" s="1029"/>
      <c r="C134" s="826"/>
      <c r="D134" s="144"/>
      <c r="E134" s="2"/>
      <c r="F134" s="2"/>
      <c r="G134" s="190"/>
      <c r="H134" s="190"/>
      <c r="I134" s="118"/>
      <c r="J134" s="191"/>
      <c r="K134" s="191"/>
      <c r="L134" s="2"/>
      <c r="M134" s="2"/>
    </row>
    <row r="135" spans="2:13" ht="15.75" hidden="1">
      <c r="B135" s="1029"/>
      <c r="C135" s="826"/>
      <c r="D135" s="144"/>
      <c r="E135" s="2"/>
      <c r="F135" s="2"/>
      <c r="G135" s="190"/>
      <c r="H135" s="190"/>
      <c r="I135" s="118"/>
      <c r="J135" s="191"/>
      <c r="K135" s="191"/>
      <c r="L135" s="2"/>
      <c r="M135" s="2"/>
    </row>
    <row r="136" spans="2:13" ht="15.75" hidden="1">
      <c r="B136" s="1029"/>
      <c r="C136" s="826"/>
      <c r="D136" s="144"/>
      <c r="E136" s="2"/>
      <c r="F136" s="2"/>
      <c r="G136" s="190"/>
      <c r="H136" s="190"/>
      <c r="I136" s="118"/>
      <c r="J136" s="191"/>
      <c r="K136" s="191"/>
      <c r="L136" s="2"/>
      <c r="M136" s="2"/>
    </row>
    <row r="137" spans="2:13" ht="15.75" hidden="1">
      <c r="B137" s="1029"/>
      <c r="C137" s="826"/>
      <c r="D137" s="144"/>
      <c r="E137" s="2"/>
      <c r="F137" s="2"/>
      <c r="G137" s="190"/>
      <c r="H137" s="190"/>
      <c r="I137" s="118"/>
      <c r="J137" s="191"/>
      <c r="K137" s="191"/>
      <c r="L137" s="2"/>
      <c r="M137" s="2"/>
    </row>
    <row r="138" spans="2:13" ht="15.75" hidden="1">
      <c r="B138" s="1029"/>
      <c r="C138" s="826"/>
      <c r="D138" s="144"/>
      <c r="E138" s="2"/>
      <c r="F138" s="2"/>
      <c r="G138" s="190"/>
      <c r="H138" s="190"/>
      <c r="I138" s="118"/>
      <c r="J138" s="191"/>
      <c r="K138" s="191"/>
      <c r="L138" s="2"/>
      <c r="M138" s="2"/>
    </row>
    <row r="139" spans="2:13" ht="15.75" hidden="1">
      <c r="B139" s="1029"/>
      <c r="C139" s="826"/>
      <c r="D139" s="144"/>
      <c r="E139" s="2"/>
      <c r="F139" s="2"/>
      <c r="G139" s="190"/>
      <c r="H139" s="190"/>
      <c r="I139" s="118"/>
      <c r="J139" s="191"/>
      <c r="K139" s="191"/>
      <c r="L139" s="2"/>
      <c r="M139" s="2"/>
    </row>
    <row r="140" spans="2:13" ht="15.75" hidden="1">
      <c r="B140" s="1029"/>
      <c r="C140" s="826"/>
      <c r="D140" s="144"/>
      <c r="E140" s="2"/>
      <c r="F140" s="2"/>
      <c r="G140" s="190"/>
      <c r="H140" s="190"/>
      <c r="I140" s="118"/>
      <c r="J140" s="191"/>
      <c r="K140" s="191"/>
      <c r="L140" s="2"/>
      <c r="M140" s="2"/>
    </row>
    <row r="141" spans="2:13" ht="15.75" hidden="1">
      <c r="B141" s="1029"/>
      <c r="C141" s="826"/>
      <c r="D141" s="144"/>
      <c r="E141" s="2"/>
      <c r="F141" s="2"/>
      <c r="G141" s="190"/>
      <c r="H141" s="190"/>
      <c r="I141" s="118"/>
      <c r="J141" s="191"/>
      <c r="K141" s="191"/>
      <c r="L141" s="2"/>
      <c r="M141" s="2"/>
    </row>
    <row r="142" spans="2:13" ht="15.75" hidden="1">
      <c r="B142" s="1029"/>
      <c r="C142" s="826"/>
      <c r="D142" s="144"/>
      <c r="E142" s="2"/>
      <c r="F142" s="2"/>
      <c r="G142" s="190"/>
      <c r="H142" s="190"/>
      <c r="I142" s="118"/>
      <c r="J142" s="191"/>
      <c r="K142" s="191"/>
      <c r="L142" s="2"/>
      <c r="M142" s="2"/>
    </row>
    <row r="143" spans="2:13" ht="15.75" hidden="1">
      <c r="B143" s="1029"/>
      <c r="C143" s="826"/>
      <c r="D143" s="144"/>
      <c r="E143" s="2"/>
      <c r="F143" s="2"/>
      <c r="G143" s="190"/>
      <c r="H143" s="190"/>
      <c r="I143" s="118"/>
      <c r="J143" s="191"/>
      <c r="K143" s="191"/>
      <c r="L143" s="2"/>
      <c r="M143" s="2"/>
    </row>
    <row r="144" spans="2:13" ht="15.75" hidden="1">
      <c r="B144" s="1029"/>
      <c r="C144" s="826"/>
      <c r="D144" s="144"/>
      <c r="E144" s="2"/>
      <c r="F144" s="2"/>
      <c r="G144" s="190"/>
      <c r="H144" s="190"/>
      <c r="I144" s="118"/>
      <c r="J144" s="191"/>
      <c r="K144" s="191"/>
      <c r="L144" s="2"/>
      <c r="M144" s="2"/>
    </row>
    <row r="145" spans="2:13" ht="15.75" hidden="1">
      <c r="B145" s="1029"/>
      <c r="C145" s="826"/>
      <c r="D145" s="144"/>
      <c r="E145" s="2"/>
      <c r="F145" s="2"/>
      <c r="G145" s="190"/>
      <c r="H145" s="190"/>
      <c r="I145" s="118"/>
      <c r="J145" s="191"/>
      <c r="K145" s="191"/>
      <c r="L145" s="2"/>
      <c r="M145" s="2"/>
    </row>
    <row r="146" spans="2:13" ht="15.75" hidden="1">
      <c r="B146" s="1029"/>
      <c r="C146" s="826"/>
      <c r="D146" s="144"/>
      <c r="E146" s="2"/>
      <c r="F146" s="2"/>
      <c r="G146" s="190"/>
      <c r="H146" s="190"/>
      <c r="I146" s="118"/>
      <c r="J146" s="191"/>
      <c r="K146" s="191"/>
      <c r="L146" s="2"/>
      <c r="M146" s="2"/>
    </row>
    <row r="147" spans="2:13" ht="15.75" hidden="1">
      <c r="B147" s="1029"/>
      <c r="C147" s="826"/>
      <c r="D147" s="144"/>
      <c r="E147" s="2"/>
      <c r="F147" s="2"/>
      <c r="G147" s="190"/>
      <c r="H147" s="190"/>
      <c r="I147" s="118"/>
      <c r="J147" s="191"/>
      <c r="K147" s="191"/>
      <c r="L147" s="2"/>
      <c r="M147" s="2"/>
    </row>
    <row r="148" spans="2:13" ht="15.75" hidden="1">
      <c r="B148" s="1029"/>
      <c r="C148" s="826"/>
      <c r="D148" s="144"/>
      <c r="E148" s="2"/>
      <c r="F148" s="2"/>
      <c r="G148" s="190"/>
      <c r="H148" s="190"/>
      <c r="I148" s="118"/>
      <c r="J148" s="191"/>
      <c r="K148" s="191"/>
      <c r="L148" s="2"/>
      <c r="M148" s="2"/>
    </row>
    <row r="149" spans="2:13" ht="15.75" hidden="1">
      <c r="B149" s="1029"/>
      <c r="C149" s="826"/>
      <c r="D149" s="144"/>
      <c r="E149" s="2"/>
      <c r="F149" s="2"/>
      <c r="G149" s="190"/>
      <c r="H149" s="190"/>
      <c r="I149" s="118"/>
      <c r="J149" s="191"/>
      <c r="K149" s="191"/>
      <c r="L149" s="2"/>
      <c r="M149" s="2"/>
    </row>
    <row r="150" spans="2:13" ht="15.75" hidden="1">
      <c r="B150" s="1029"/>
      <c r="C150" s="826"/>
      <c r="D150" s="144"/>
      <c r="E150" s="2"/>
      <c r="F150" s="2"/>
      <c r="G150" s="190"/>
      <c r="H150" s="190"/>
      <c r="I150" s="118"/>
      <c r="J150" s="191"/>
      <c r="K150" s="191"/>
      <c r="L150" s="2"/>
      <c r="M150" s="2"/>
    </row>
    <row r="151" spans="2:13" ht="15.75" hidden="1">
      <c r="B151" s="1029"/>
      <c r="C151" s="826"/>
      <c r="D151" s="144"/>
      <c r="E151" s="2"/>
      <c r="F151" s="2"/>
      <c r="G151" s="190"/>
      <c r="H151" s="190"/>
      <c r="I151" s="118"/>
      <c r="J151" s="191"/>
      <c r="K151" s="191"/>
      <c r="L151" s="2"/>
      <c r="M151" s="2"/>
    </row>
    <row r="152" spans="2:13" ht="15.75" hidden="1">
      <c r="B152" s="1029"/>
      <c r="C152" s="826"/>
      <c r="D152" s="144"/>
      <c r="E152" s="2"/>
      <c r="F152" s="2"/>
      <c r="G152" s="190"/>
      <c r="H152" s="190"/>
      <c r="I152" s="118"/>
      <c r="J152" s="191"/>
      <c r="K152" s="191"/>
      <c r="L152" s="2"/>
      <c r="M152" s="2"/>
    </row>
    <row r="153" spans="2:13" ht="15.75" hidden="1">
      <c r="B153" s="1029"/>
      <c r="C153" s="826"/>
      <c r="D153" s="144"/>
      <c r="E153" s="2"/>
      <c r="F153" s="2"/>
      <c r="G153" s="190"/>
      <c r="H153" s="190"/>
      <c r="I153" s="118"/>
      <c r="J153" s="191"/>
      <c r="K153" s="191"/>
      <c r="L153" s="2"/>
      <c r="M153" s="2"/>
    </row>
    <row r="154" spans="2:13" ht="15.75" hidden="1">
      <c r="B154" s="1029"/>
      <c r="C154" s="826"/>
      <c r="D154" s="144"/>
      <c r="E154" s="2"/>
      <c r="F154" s="2"/>
      <c r="G154" s="190"/>
      <c r="H154" s="190"/>
      <c r="I154" s="118"/>
      <c r="J154" s="191"/>
      <c r="K154" s="191"/>
      <c r="L154" s="2"/>
      <c r="M154" s="2"/>
    </row>
    <row r="155" spans="2:13" ht="15.75" hidden="1">
      <c r="B155" s="1029"/>
      <c r="C155" s="826"/>
      <c r="D155" s="144"/>
      <c r="E155" s="2"/>
      <c r="F155" s="2"/>
      <c r="G155" s="190"/>
      <c r="H155" s="190"/>
      <c r="I155" s="118"/>
      <c r="J155" s="191"/>
      <c r="K155" s="191"/>
      <c r="L155" s="2"/>
      <c r="M155" s="2"/>
    </row>
    <row r="156" spans="2:13" ht="15.75" hidden="1">
      <c r="B156" s="1029"/>
      <c r="C156" s="826"/>
      <c r="D156" s="144"/>
      <c r="E156" s="2"/>
      <c r="F156" s="2"/>
      <c r="G156" s="190"/>
      <c r="H156" s="190"/>
      <c r="I156" s="118"/>
      <c r="J156" s="191"/>
      <c r="K156" s="191"/>
      <c r="L156" s="2"/>
      <c r="M156" s="2"/>
    </row>
    <row r="157" spans="2:13" ht="15.75" hidden="1">
      <c r="B157" s="1029"/>
      <c r="C157" s="826"/>
      <c r="D157" s="144"/>
      <c r="E157" s="2"/>
      <c r="F157" s="2"/>
      <c r="G157" s="190"/>
      <c r="H157" s="190"/>
      <c r="I157" s="118"/>
      <c r="J157" s="191"/>
      <c r="K157" s="191"/>
      <c r="L157" s="2"/>
      <c r="M157" s="2"/>
    </row>
    <row r="158" spans="2:13" ht="15.75" hidden="1">
      <c r="B158" s="1029"/>
      <c r="C158" s="826"/>
      <c r="D158" s="144"/>
      <c r="E158" s="2"/>
      <c r="F158" s="2"/>
      <c r="G158" s="190"/>
      <c r="H158" s="190"/>
      <c r="I158" s="118"/>
      <c r="J158" s="191"/>
      <c r="K158" s="191"/>
      <c r="L158" s="2"/>
      <c r="M158" s="2"/>
    </row>
    <row r="159" spans="2:13" ht="15.75" hidden="1">
      <c r="B159" s="1029"/>
      <c r="C159" s="826"/>
      <c r="D159" s="144"/>
      <c r="E159" s="2"/>
      <c r="F159" s="2"/>
      <c r="G159" s="190"/>
      <c r="H159" s="190"/>
      <c r="I159" s="118"/>
      <c r="J159" s="191"/>
      <c r="K159" s="191"/>
      <c r="L159" s="2"/>
      <c r="M159" s="2"/>
    </row>
    <row r="160" spans="2:13" ht="15.75" hidden="1">
      <c r="B160" s="1029"/>
      <c r="C160" s="826"/>
      <c r="D160" s="144"/>
      <c r="E160" s="2"/>
      <c r="F160" s="2"/>
      <c r="G160" s="190"/>
      <c r="H160" s="190"/>
      <c r="I160" s="118"/>
      <c r="J160" s="191"/>
      <c r="K160" s="191"/>
      <c r="L160" s="2"/>
      <c r="M160" s="2"/>
    </row>
    <row r="161" spans="1:13" ht="15.75" hidden="1">
      <c r="B161" s="1029"/>
      <c r="C161" s="826"/>
      <c r="D161" s="144"/>
      <c r="E161" s="2"/>
      <c r="F161" s="2"/>
      <c r="G161" s="190"/>
      <c r="H161" s="190"/>
      <c r="I161" s="118"/>
      <c r="J161" s="191"/>
      <c r="K161" s="191"/>
      <c r="L161" s="2"/>
      <c r="M161" s="2"/>
    </row>
    <row r="162" spans="1:13" ht="15.75" hidden="1">
      <c r="B162" s="1029"/>
      <c r="C162" s="826"/>
      <c r="D162" s="144"/>
      <c r="E162" s="2"/>
      <c r="F162" s="2"/>
      <c r="G162" s="190"/>
      <c r="H162" s="190"/>
      <c r="I162" s="118"/>
      <c r="J162" s="191"/>
      <c r="K162" s="191"/>
      <c r="L162" s="2"/>
      <c r="M162" s="2"/>
    </row>
    <row r="163" spans="1:13" ht="15.75" hidden="1">
      <c r="B163" s="1029"/>
      <c r="C163" s="826"/>
      <c r="D163" s="144"/>
      <c r="E163" s="2"/>
      <c r="F163" s="2"/>
      <c r="G163" s="190"/>
      <c r="H163" s="190"/>
      <c r="I163" s="118"/>
      <c r="J163" s="191"/>
      <c r="K163" s="191"/>
      <c r="L163" s="2"/>
      <c r="M163" s="2"/>
    </row>
    <row r="164" spans="1:13" ht="15.75" hidden="1">
      <c r="B164" s="1029"/>
      <c r="C164" s="826"/>
      <c r="D164" s="144"/>
      <c r="E164" s="2"/>
      <c r="F164" s="2"/>
      <c r="G164" s="190"/>
      <c r="H164" s="190"/>
      <c r="I164" s="118"/>
      <c r="J164" s="191"/>
      <c r="K164" s="191"/>
      <c r="L164" s="2"/>
      <c r="M164" s="2"/>
    </row>
    <row r="165" spans="1:13" ht="15.75" hidden="1">
      <c r="B165" s="1029"/>
      <c r="C165" s="826"/>
      <c r="D165" s="144"/>
      <c r="E165" s="2"/>
      <c r="F165" s="2"/>
      <c r="G165" s="190"/>
      <c r="H165" s="190"/>
      <c r="I165" s="118"/>
      <c r="J165" s="191"/>
      <c r="K165" s="191"/>
      <c r="L165" s="2"/>
      <c r="M165" s="2"/>
    </row>
    <row r="166" spans="1:13" ht="15.75" hidden="1">
      <c r="B166" s="1029"/>
      <c r="C166" s="826"/>
      <c r="D166" s="144"/>
      <c r="E166" s="2"/>
      <c r="F166" s="2"/>
      <c r="G166" s="190"/>
      <c r="H166" s="190"/>
      <c r="I166" s="118"/>
      <c r="J166" s="191"/>
      <c r="K166" s="191"/>
      <c r="L166" s="2"/>
      <c r="M166" s="2"/>
    </row>
    <row r="167" spans="1:13" ht="15.75" hidden="1">
      <c r="B167" s="1029"/>
      <c r="C167" s="826"/>
      <c r="D167" s="144"/>
      <c r="E167" s="2"/>
      <c r="F167" s="2"/>
      <c r="G167" s="190"/>
      <c r="H167" s="190"/>
      <c r="I167" s="118"/>
      <c r="J167" s="191"/>
      <c r="K167" s="191"/>
      <c r="L167" s="2"/>
      <c r="M167" s="2"/>
    </row>
    <row r="168" spans="1:13" ht="15.75" hidden="1">
      <c r="B168" s="1029"/>
      <c r="C168" s="826"/>
      <c r="D168" s="144"/>
      <c r="E168" s="2"/>
      <c r="F168" s="2"/>
      <c r="G168" s="190"/>
      <c r="H168" s="190"/>
      <c r="I168" s="118"/>
      <c r="J168" s="191"/>
      <c r="K168" s="191"/>
      <c r="L168" s="2"/>
      <c r="M168" s="2"/>
    </row>
    <row r="169" spans="1:13" ht="15.75" hidden="1">
      <c r="B169" s="1029"/>
      <c r="C169" s="826"/>
      <c r="D169" s="144"/>
      <c r="E169" s="2"/>
      <c r="F169" s="2"/>
      <c r="G169" s="190"/>
      <c r="H169" s="190"/>
      <c r="I169" s="118"/>
      <c r="J169" s="191"/>
      <c r="K169" s="191"/>
      <c r="L169" s="2"/>
      <c r="M169" s="2"/>
    </row>
    <row r="170" spans="1:13">
      <c r="A170" s="132"/>
      <c r="B170" s="1031"/>
      <c r="C170" s="1031"/>
      <c r="D170" s="581"/>
      <c r="E170" s="194"/>
      <c r="F170" s="581"/>
      <c r="G170" s="192"/>
      <c r="H170" s="190"/>
      <c r="I170" s="191"/>
      <c r="J170" s="191"/>
      <c r="K170" s="191"/>
      <c r="L170" s="2"/>
      <c r="M170" s="2"/>
    </row>
    <row r="171" spans="1:13">
      <c r="A171" s="132"/>
      <c r="B171" s="1030"/>
      <c r="C171" s="1030"/>
      <c r="D171" s="132"/>
      <c r="E171" s="226"/>
      <c r="F171" s="132"/>
      <c r="G171" s="133"/>
    </row>
    <row r="172" spans="1:13">
      <c r="A172" s="132"/>
      <c r="B172" s="1030"/>
      <c r="C172" s="1030"/>
      <c r="D172" s="132"/>
      <c r="E172" s="226"/>
      <c r="F172" s="132"/>
      <c r="G172" s="133"/>
    </row>
    <row r="173" spans="1:13">
      <c r="A173" s="132"/>
      <c r="B173" s="1030"/>
      <c r="C173" s="1030"/>
      <c r="D173" s="132"/>
      <c r="E173" s="226"/>
      <c r="F173" s="132"/>
      <c r="G173" s="133"/>
    </row>
    <row r="174" spans="1:13">
      <c r="A174" s="132"/>
      <c r="B174" s="1030"/>
      <c r="C174" s="1030"/>
      <c r="D174" s="132"/>
      <c r="E174" s="226"/>
      <c r="F174" s="132"/>
      <c r="G174" s="133"/>
    </row>
    <row r="175" spans="1:13">
      <c r="A175" s="132"/>
      <c r="B175" s="1030"/>
      <c r="C175" s="1030"/>
      <c r="D175" s="132"/>
      <c r="E175" s="226"/>
      <c r="F175" s="132"/>
      <c r="G175" s="133"/>
    </row>
    <row r="176" spans="1:13">
      <c r="A176" s="132"/>
      <c r="B176" s="1030"/>
      <c r="C176" s="1030"/>
      <c r="D176" s="132"/>
      <c r="E176" s="226"/>
      <c r="F176" s="132"/>
      <c r="G176" s="133"/>
    </row>
    <row r="177" spans="1:7">
      <c r="A177" s="132"/>
      <c r="B177" s="1030"/>
      <c r="C177" s="1030"/>
      <c r="D177" s="132"/>
      <c r="E177" s="226"/>
      <c r="F177" s="132"/>
      <c r="G177" s="133"/>
    </row>
    <row r="178" spans="1:7">
      <c r="A178" s="132"/>
      <c r="B178" s="1030"/>
      <c r="C178" s="1030"/>
      <c r="D178" s="132"/>
      <c r="E178" s="226"/>
      <c r="F178" s="132"/>
      <c r="G178" s="133"/>
    </row>
    <row r="179" spans="1:7">
      <c r="A179" s="132"/>
      <c r="B179" s="1030"/>
      <c r="C179" s="1030"/>
      <c r="D179" s="132"/>
      <c r="E179" s="226"/>
      <c r="F179" s="132"/>
      <c r="G179" s="133"/>
    </row>
    <row r="180" spans="1:7">
      <c r="A180" s="132"/>
      <c r="B180" s="1030"/>
      <c r="C180" s="1030"/>
      <c r="D180" s="132"/>
      <c r="E180" s="226"/>
      <c r="F180" s="132"/>
      <c r="G180" s="133"/>
    </row>
    <row r="181" spans="1:7">
      <c r="A181" s="132"/>
      <c r="B181" s="1030"/>
      <c r="C181" s="1030"/>
      <c r="D181" s="132"/>
      <c r="E181" s="226"/>
      <c r="F181" s="132"/>
      <c r="G181" s="133"/>
    </row>
    <row r="182" spans="1:7">
      <c r="A182" s="132"/>
      <c r="B182" s="1030"/>
      <c r="C182" s="1030"/>
      <c r="D182" s="132"/>
      <c r="E182" s="226"/>
      <c r="F182" s="132"/>
      <c r="G182" s="133"/>
    </row>
    <row r="183" spans="1:7">
      <c r="A183" s="132"/>
      <c r="B183" s="1030"/>
      <c r="C183" s="1030"/>
      <c r="D183" s="132"/>
      <c r="E183" s="226"/>
      <c r="F183" s="132"/>
      <c r="G183" s="133"/>
    </row>
    <row r="184" spans="1:7">
      <c r="A184" s="132"/>
      <c r="B184" s="1030"/>
      <c r="C184" s="1030"/>
      <c r="D184" s="132"/>
      <c r="E184" s="226"/>
      <c r="F184" s="132"/>
      <c r="G184" s="133"/>
    </row>
    <row r="185" spans="1:7">
      <c r="A185" s="132"/>
      <c r="B185" s="1030"/>
      <c r="C185" s="1030"/>
      <c r="D185" s="132"/>
      <c r="E185" s="226"/>
      <c r="F185" s="132"/>
      <c r="G185" s="133"/>
    </row>
    <row r="186" spans="1:7">
      <c r="A186" s="132"/>
      <c r="B186" s="1030"/>
      <c r="C186" s="1030"/>
      <c r="D186" s="132"/>
      <c r="E186" s="226"/>
      <c r="F186" s="132"/>
      <c r="G186" s="133"/>
    </row>
    <row r="187" spans="1:7">
      <c r="A187" s="132"/>
      <c r="B187" s="1030"/>
      <c r="C187" s="1030"/>
      <c r="D187" s="132"/>
      <c r="E187" s="226"/>
      <c r="F187" s="132"/>
      <c r="G187" s="133"/>
    </row>
    <row r="188" spans="1:7">
      <c r="A188" s="132"/>
      <c r="B188" s="1030"/>
      <c r="C188" s="1030"/>
      <c r="D188" s="132"/>
      <c r="E188" s="226"/>
      <c r="F188" s="132"/>
      <c r="G188" s="133"/>
    </row>
    <row r="189" spans="1:7">
      <c r="A189" s="132"/>
      <c r="B189" s="1030"/>
      <c r="C189" s="1030"/>
      <c r="D189" s="132"/>
      <c r="E189" s="226"/>
      <c r="F189" s="132"/>
      <c r="G189" s="133"/>
    </row>
    <row r="190" spans="1:7">
      <c r="A190" s="132"/>
      <c r="B190" s="1030"/>
      <c r="C190" s="1030"/>
      <c r="D190" s="132"/>
      <c r="E190" s="226"/>
      <c r="F190" s="132"/>
      <c r="G190" s="133"/>
    </row>
    <row r="191" spans="1:7">
      <c r="A191" s="132"/>
      <c r="B191" s="1030"/>
      <c r="C191" s="1030"/>
      <c r="D191" s="132"/>
      <c r="E191" s="226"/>
      <c r="F191" s="132"/>
      <c r="G191" s="133"/>
    </row>
    <row r="192" spans="1:7">
      <c r="A192" s="132"/>
      <c r="B192" s="1030"/>
      <c r="C192" s="1030"/>
      <c r="D192" s="132"/>
      <c r="E192" s="226"/>
      <c r="F192" s="132"/>
      <c r="G192" s="133"/>
    </row>
    <row r="193" spans="1:7">
      <c r="A193" s="132"/>
      <c r="B193" s="1030"/>
      <c r="C193" s="1030"/>
      <c r="D193" s="132"/>
      <c r="E193" s="226"/>
      <c r="F193" s="132"/>
      <c r="G193" s="133"/>
    </row>
    <row r="194" spans="1:7">
      <c r="A194" s="132"/>
      <c r="B194" s="1030"/>
      <c r="C194" s="1030"/>
      <c r="D194" s="132"/>
      <c r="E194" s="226"/>
      <c r="F194" s="132"/>
      <c r="G194" s="133"/>
    </row>
    <row r="195" spans="1:7">
      <c r="A195" s="132"/>
      <c r="B195" s="1030"/>
      <c r="C195" s="1030"/>
      <c r="D195" s="132"/>
      <c r="E195" s="226"/>
      <c r="F195" s="132"/>
      <c r="G195" s="133"/>
    </row>
    <row r="196" spans="1:7">
      <c r="A196" s="132"/>
      <c r="B196" s="1030"/>
      <c r="C196" s="1030"/>
      <c r="D196" s="132"/>
      <c r="E196" s="226"/>
      <c r="F196" s="132"/>
      <c r="G196" s="133"/>
    </row>
    <row r="197" spans="1:7">
      <c r="A197" s="132"/>
      <c r="B197" s="1030"/>
      <c r="C197" s="1030"/>
      <c r="D197" s="132"/>
      <c r="E197" s="226"/>
      <c r="F197" s="132"/>
      <c r="G197" s="133"/>
    </row>
    <row r="198" spans="1:7">
      <c r="A198" s="132"/>
      <c r="B198" s="1030"/>
      <c r="C198" s="1030"/>
      <c r="D198" s="132"/>
      <c r="E198" s="226"/>
      <c r="F198" s="132"/>
      <c r="G198" s="133"/>
    </row>
    <row r="199" spans="1:7">
      <c r="A199" s="132"/>
      <c r="B199" s="1030"/>
      <c r="C199" s="1030"/>
      <c r="D199" s="132"/>
      <c r="E199" s="226"/>
      <c r="F199" s="132"/>
      <c r="G199" s="133"/>
    </row>
    <row r="200" spans="1:7">
      <c r="A200" s="132"/>
      <c r="B200" s="1030"/>
      <c r="C200" s="1030"/>
      <c r="D200" s="132"/>
      <c r="E200" s="226"/>
      <c r="F200" s="132"/>
      <c r="G200" s="133"/>
    </row>
    <row r="201" spans="1:7">
      <c r="A201" s="132"/>
      <c r="B201" s="1030"/>
      <c r="C201" s="1030"/>
      <c r="D201" s="132"/>
      <c r="E201" s="226"/>
      <c r="F201" s="132"/>
      <c r="G201" s="133"/>
    </row>
    <row r="202" spans="1:7">
      <c r="A202" s="132"/>
      <c r="B202" s="1030"/>
      <c r="C202" s="1030"/>
      <c r="D202" s="132"/>
      <c r="E202" s="226"/>
      <c r="F202" s="132"/>
      <c r="G202" s="133"/>
    </row>
    <row r="203" spans="1:7">
      <c r="A203" s="132"/>
      <c r="B203" s="1030"/>
      <c r="C203" s="1030"/>
      <c r="D203" s="132"/>
      <c r="E203" s="226"/>
      <c r="F203" s="132"/>
      <c r="G203" s="133"/>
    </row>
    <row r="204" spans="1:7">
      <c r="A204" s="132"/>
      <c r="B204" s="1030"/>
      <c r="C204" s="1030"/>
      <c r="D204" s="132"/>
      <c r="E204" s="226"/>
      <c r="F204" s="132"/>
      <c r="G204" s="133"/>
    </row>
    <row r="205" spans="1:7">
      <c r="A205" s="132"/>
      <c r="B205" s="1030"/>
      <c r="C205" s="1030"/>
      <c r="D205" s="132"/>
      <c r="E205" s="226"/>
      <c r="F205" s="132"/>
      <c r="G205" s="133"/>
    </row>
    <row r="206" spans="1:7">
      <c r="A206" s="132"/>
      <c r="B206" s="1030"/>
      <c r="C206" s="1030"/>
      <c r="D206" s="132"/>
      <c r="E206" s="226"/>
      <c r="F206" s="132"/>
      <c r="G206" s="133"/>
    </row>
    <row r="207" spans="1:7">
      <c r="A207" s="132"/>
      <c r="B207" s="1030"/>
      <c r="C207" s="1030"/>
      <c r="D207" s="132"/>
      <c r="E207" s="226"/>
      <c r="F207" s="132"/>
      <c r="G207" s="133"/>
    </row>
    <row r="208" spans="1:7">
      <c r="A208" s="132"/>
      <c r="B208" s="1030"/>
      <c r="C208" s="1030"/>
      <c r="D208" s="132"/>
      <c r="E208" s="226"/>
      <c r="F208" s="132"/>
      <c r="G208" s="133"/>
    </row>
    <row r="209" spans="1:7">
      <c r="A209" s="132"/>
      <c r="B209" s="1030"/>
      <c r="C209" s="1030"/>
      <c r="D209" s="132"/>
      <c r="E209" s="226"/>
      <c r="F209" s="132"/>
      <c r="G209" s="133"/>
    </row>
    <row r="210" spans="1:7">
      <c r="A210" s="132"/>
      <c r="B210" s="1030"/>
      <c r="C210" s="1030"/>
      <c r="D210" s="132"/>
      <c r="E210" s="226"/>
      <c r="F210" s="132"/>
      <c r="G210" s="133"/>
    </row>
    <row r="211" spans="1:7">
      <c r="A211" s="132"/>
      <c r="B211" s="1030"/>
      <c r="C211" s="1030"/>
      <c r="D211" s="132"/>
      <c r="E211" s="226"/>
      <c r="F211" s="132"/>
      <c r="G211" s="133"/>
    </row>
    <row r="212" spans="1:7">
      <c r="A212" s="132"/>
      <c r="B212" s="1030"/>
      <c r="C212" s="1030"/>
      <c r="D212" s="132"/>
      <c r="E212" s="226"/>
      <c r="F212" s="132"/>
      <c r="G212" s="133"/>
    </row>
    <row r="213" spans="1:7">
      <c r="A213" s="132"/>
      <c r="B213" s="1030"/>
      <c r="C213" s="1030"/>
      <c r="D213" s="132"/>
      <c r="E213" s="226"/>
      <c r="F213" s="132"/>
      <c r="G213" s="133"/>
    </row>
    <row r="214" spans="1:7">
      <c r="A214" s="132"/>
      <c r="B214" s="1030"/>
      <c r="C214" s="1030"/>
      <c r="D214" s="132"/>
      <c r="E214" s="226"/>
      <c r="F214" s="132"/>
      <c r="G214" s="133"/>
    </row>
    <row r="215" spans="1:7">
      <c r="A215" s="132"/>
      <c r="B215" s="1030"/>
      <c r="C215" s="1030"/>
      <c r="D215" s="132"/>
      <c r="E215" s="226"/>
      <c r="F215" s="132"/>
      <c r="G215" s="133"/>
    </row>
    <row r="216" spans="1:7">
      <c r="A216" s="132"/>
      <c r="B216" s="1030"/>
      <c r="C216" s="1030"/>
      <c r="D216" s="132"/>
      <c r="E216" s="226"/>
      <c r="F216" s="132"/>
      <c r="G216" s="133"/>
    </row>
    <row r="217" spans="1:7">
      <c r="A217" s="132"/>
      <c r="B217" s="1030"/>
      <c r="C217" s="1030"/>
      <c r="D217" s="132"/>
      <c r="E217" s="226"/>
      <c r="F217" s="132"/>
      <c r="G217" s="133"/>
    </row>
    <row r="218" spans="1:7">
      <c r="A218" s="132"/>
      <c r="B218" s="1030"/>
      <c r="C218" s="1030"/>
      <c r="D218" s="132"/>
      <c r="E218" s="226"/>
      <c r="F218" s="132"/>
      <c r="G218" s="133"/>
    </row>
    <row r="219" spans="1:7">
      <c r="A219" s="132"/>
      <c r="B219" s="1030"/>
      <c r="C219" s="1030"/>
      <c r="D219" s="132"/>
      <c r="E219" s="226"/>
      <c r="F219" s="132"/>
      <c r="G219" s="133"/>
    </row>
    <row r="220" spans="1:7">
      <c r="A220" s="132"/>
      <c r="B220" s="1030"/>
      <c r="C220" s="1030"/>
      <c r="D220" s="132"/>
      <c r="E220" s="226"/>
      <c r="F220" s="132"/>
      <c r="G220" s="133"/>
    </row>
    <row r="221" spans="1:7">
      <c r="A221" s="132"/>
      <c r="B221" s="1030"/>
      <c r="C221" s="1030"/>
      <c r="D221" s="132"/>
      <c r="E221" s="226"/>
      <c r="F221" s="132"/>
      <c r="G221" s="133"/>
    </row>
    <row r="222" spans="1:7">
      <c r="A222" s="132"/>
      <c r="B222" s="1030"/>
      <c r="C222" s="1030"/>
      <c r="D222" s="132"/>
      <c r="E222" s="226"/>
      <c r="F222" s="132"/>
      <c r="G222" s="133"/>
    </row>
    <row r="223" spans="1:7">
      <c r="A223" s="132"/>
      <c r="B223" s="1030"/>
      <c r="C223" s="1030"/>
      <c r="D223" s="132"/>
      <c r="E223" s="226"/>
      <c r="F223" s="132"/>
      <c r="G223" s="133"/>
    </row>
    <row r="224" spans="1:7">
      <c r="A224" s="132"/>
      <c r="B224" s="1030"/>
      <c r="C224" s="1030"/>
      <c r="D224" s="132"/>
      <c r="E224" s="226"/>
      <c r="F224" s="132"/>
      <c r="G224" s="133"/>
    </row>
    <row r="225" spans="1:7">
      <c r="A225" s="132"/>
      <c r="B225" s="1030"/>
      <c r="C225" s="1030"/>
      <c r="D225" s="132"/>
      <c r="E225" s="226"/>
      <c r="F225" s="132"/>
      <c r="G225" s="133"/>
    </row>
    <row r="226" spans="1:7">
      <c r="A226" s="132"/>
      <c r="B226" s="1030"/>
      <c r="C226" s="1030"/>
      <c r="D226" s="132"/>
      <c r="E226" s="226"/>
      <c r="F226" s="132"/>
      <c r="G226" s="133"/>
    </row>
    <row r="227" spans="1:7">
      <c r="A227" s="132"/>
      <c r="B227" s="1030"/>
      <c r="C227" s="1030"/>
      <c r="D227" s="132"/>
      <c r="E227" s="226"/>
      <c r="F227" s="132"/>
      <c r="G227" s="133"/>
    </row>
    <row r="228" spans="1:7">
      <c r="A228" s="132"/>
      <c r="B228" s="1030"/>
      <c r="C228" s="1030"/>
      <c r="D228" s="132"/>
      <c r="E228" s="226"/>
      <c r="F228" s="132"/>
      <c r="G228" s="133"/>
    </row>
    <row r="229" spans="1:7">
      <c r="A229" s="132"/>
      <c r="B229" s="1030"/>
      <c r="C229" s="1030"/>
      <c r="D229" s="132"/>
      <c r="E229" s="226"/>
      <c r="F229" s="132"/>
      <c r="G229" s="133"/>
    </row>
    <row r="230" spans="1:7">
      <c r="A230" s="132"/>
      <c r="B230" s="1030"/>
      <c r="C230" s="1030"/>
      <c r="D230" s="132"/>
      <c r="E230" s="226"/>
      <c r="F230" s="132"/>
      <c r="G230" s="133"/>
    </row>
    <row r="231" spans="1:7">
      <c r="A231" s="132"/>
      <c r="B231" s="1030"/>
      <c r="C231" s="1030"/>
      <c r="D231" s="132"/>
      <c r="E231" s="226"/>
      <c r="F231" s="132"/>
      <c r="G231" s="133"/>
    </row>
    <row r="232" spans="1:7">
      <c r="A232" s="132"/>
      <c r="B232" s="1030"/>
      <c r="C232" s="1030"/>
      <c r="D232" s="132"/>
      <c r="E232" s="226"/>
      <c r="F232" s="132"/>
      <c r="G232" s="133"/>
    </row>
    <row r="233" spans="1:7">
      <c r="A233" s="132"/>
      <c r="B233" s="1030"/>
      <c r="C233" s="1030"/>
      <c r="D233" s="132"/>
      <c r="E233" s="226"/>
      <c r="F233" s="132"/>
      <c r="G233" s="133"/>
    </row>
    <row r="234" spans="1:7">
      <c r="A234" s="132"/>
      <c r="B234" s="1030"/>
      <c r="C234" s="1030"/>
      <c r="D234" s="132"/>
      <c r="E234" s="226"/>
      <c r="F234" s="132"/>
      <c r="G234" s="133"/>
    </row>
    <row r="235" spans="1:7">
      <c r="A235" s="132"/>
      <c r="B235" s="1030"/>
      <c r="C235" s="1030"/>
      <c r="D235" s="132"/>
      <c r="E235" s="226"/>
      <c r="F235" s="132"/>
      <c r="G235" s="133"/>
    </row>
    <row r="236" spans="1:7">
      <c r="A236" s="132"/>
      <c r="B236" s="1030"/>
      <c r="C236" s="1030"/>
      <c r="D236" s="132"/>
      <c r="E236" s="226"/>
      <c r="F236" s="132"/>
      <c r="G236" s="133"/>
    </row>
    <row r="237" spans="1:7">
      <c r="A237" s="132"/>
      <c r="B237" s="1030"/>
      <c r="C237" s="1030"/>
      <c r="D237" s="132"/>
      <c r="E237" s="226"/>
      <c r="F237" s="132"/>
      <c r="G237" s="133"/>
    </row>
    <row r="238" spans="1:7">
      <c r="A238" s="132"/>
      <c r="B238" s="1030"/>
      <c r="C238" s="1030"/>
      <c r="D238" s="132"/>
      <c r="E238" s="226"/>
      <c r="F238" s="132"/>
      <c r="G238" s="133"/>
    </row>
    <row r="239" spans="1:7">
      <c r="A239" s="132"/>
      <c r="B239" s="1030"/>
      <c r="C239" s="1030"/>
      <c r="D239" s="132"/>
      <c r="E239" s="226"/>
      <c r="F239" s="132"/>
      <c r="G239" s="133"/>
    </row>
    <row r="240" spans="1:7">
      <c r="A240" s="132"/>
      <c r="B240" s="1030"/>
      <c r="C240" s="1030"/>
      <c r="D240" s="132"/>
      <c r="E240" s="226"/>
      <c r="F240" s="132"/>
      <c r="G240" s="133"/>
    </row>
    <row r="241" spans="1:7">
      <c r="A241" s="132"/>
      <c r="B241" s="1030"/>
      <c r="C241" s="1030"/>
      <c r="D241" s="132"/>
      <c r="E241" s="226"/>
      <c r="F241" s="132"/>
      <c r="G241" s="133"/>
    </row>
    <row r="242" spans="1:7">
      <c r="A242" s="132"/>
      <c r="B242" s="1030"/>
      <c r="C242" s="1030"/>
      <c r="D242" s="132"/>
      <c r="E242" s="226"/>
      <c r="F242" s="132"/>
      <c r="G242" s="133"/>
    </row>
    <row r="243" spans="1:7">
      <c r="A243" s="132"/>
      <c r="B243" s="1030"/>
      <c r="C243" s="1030"/>
      <c r="D243" s="132"/>
      <c r="E243" s="226"/>
      <c r="F243" s="132"/>
      <c r="G243" s="133"/>
    </row>
    <row r="244" spans="1:7">
      <c r="A244" s="132"/>
      <c r="B244" s="1030"/>
      <c r="C244" s="1030"/>
      <c r="D244" s="132"/>
      <c r="E244" s="226"/>
      <c r="F244" s="132"/>
      <c r="G244" s="133"/>
    </row>
    <row r="245" spans="1:7">
      <c r="A245" s="132"/>
      <c r="B245" s="1030"/>
      <c r="C245" s="1030"/>
      <c r="D245" s="132"/>
      <c r="E245" s="226"/>
      <c r="F245" s="132"/>
      <c r="G245" s="133"/>
    </row>
    <row r="246" spans="1:7">
      <c r="A246" s="132"/>
      <c r="B246" s="1030"/>
      <c r="C246" s="1030"/>
      <c r="D246" s="132"/>
      <c r="E246" s="226"/>
      <c r="F246" s="132"/>
      <c r="G246" s="133"/>
    </row>
    <row r="247" spans="1:7">
      <c r="A247" s="132"/>
      <c r="B247" s="1030"/>
      <c r="C247" s="1030"/>
      <c r="D247" s="132"/>
      <c r="E247" s="226"/>
      <c r="F247" s="132"/>
      <c r="G247" s="133"/>
    </row>
    <row r="248" spans="1:7">
      <c r="A248" s="132"/>
      <c r="B248" s="1030"/>
      <c r="C248" s="1030"/>
      <c r="D248" s="132"/>
      <c r="E248" s="226"/>
      <c r="F248" s="132"/>
      <c r="G248" s="133"/>
    </row>
    <row r="249" spans="1:7">
      <c r="A249" s="132"/>
      <c r="B249" s="1030"/>
      <c r="C249" s="1030"/>
      <c r="D249" s="132"/>
      <c r="E249" s="226"/>
      <c r="F249" s="132"/>
      <c r="G249" s="133"/>
    </row>
    <row r="250" spans="1:7">
      <c r="A250" s="132"/>
      <c r="B250" s="1030"/>
      <c r="C250" s="1030"/>
      <c r="D250" s="132"/>
      <c r="E250" s="226"/>
      <c r="F250" s="132"/>
      <c r="G250" s="133"/>
    </row>
    <row r="251" spans="1:7">
      <c r="A251" s="132"/>
      <c r="B251" s="1030"/>
      <c r="C251" s="1030"/>
      <c r="D251" s="132"/>
      <c r="E251" s="226"/>
      <c r="F251" s="132"/>
      <c r="G251" s="133"/>
    </row>
    <row r="252" spans="1:7">
      <c r="A252" s="132"/>
      <c r="B252" s="1030"/>
      <c r="C252" s="1030"/>
      <c r="D252" s="132"/>
      <c r="E252" s="226"/>
      <c r="F252" s="132"/>
      <c r="G252" s="133"/>
    </row>
    <row r="253" spans="1:7">
      <c r="A253" s="132"/>
      <c r="B253" s="1030"/>
      <c r="C253" s="1030"/>
      <c r="D253" s="132"/>
      <c r="E253" s="226"/>
      <c r="F253" s="132"/>
      <c r="G253" s="133"/>
    </row>
    <row r="254" spans="1:7">
      <c r="A254" s="132"/>
      <c r="B254" s="1030"/>
      <c r="C254" s="1030"/>
      <c r="D254" s="132"/>
      <c r="E254" s="226"/>
      <c r="F254" s="132"/>
      <c r="G254" s="133"/>
    </row>
    <row r="255" spans="1:7">
      <c r="A255" s="132"/>
      <c r="B255" s="1030"/>
      <c r="C255" s="1030"/>
      <c r="D255" s="132"/>
      <c r="E255" s="226"/>
      <c r="F255" s="132"/>
      <c r="G255" s="133"/>
    </row>
    <row r="256" spans="1:7">
      <c r="A256" s="132"/>
      <c r="B256" s="1030"/>
      <c r="C256" s="1030"/>
      <c r="D256" s="132"/>
      <c r="E256" s="226"/>
      <c r="F256" s="132"/>
      <c r="G256" s="133"/>
    </row>
    <row r="257" spans="1:7">
      <c r="A257" s="132"/>
      <c r="B257" s="1030"/>
      <c r="C257" s="1030"/>
      <c r="D257" s="132"/>
      <c r="E257" s="226"/>
      <c r="F257" s="132"/>
      <c r="G257" s="133"/>
    </row>
    <row r="258" spans="1:7">
      <c r="A258" s="132"/>
      <c r="B258" s="1030"/>
      <c r="C258" s="1030"/>
      <c r="D258" s="132"/>
      <c r="E258" s="226"/>
      <c r="F258" s="132"/>
      <c r="G258" s="133"/>
    </row>
    <row r="259" spans="1:7">
      <c r="A259" s="132"/>
      <c r="B259" s="1030"/>
      <c r="C259" s="1030"/>
      <c r="D259" s="132"/>
      <c r="E259" s="226"/>
      <c r="F259" s="132"/>
      <c r="G259" s="133"/>
    </row>
    <row r="260" spans="1:7">
      <c r="A260" s="132"/>
      <c r="B260" s="1030"/>
      <c r="C260" s="1030"/>
      <c r="D260" s="132"/>
      <c r="E260" s="226"/>
      <c r="F260" s="132"/>
      <c r="G260" s="133"/>
    </row>
    <row r="261" spans="1:7">
      <c r="A261" s="132"/>
      <c r="B261" s="1030"/>
      <c r="C261" s="1030"/>
      <c r="D261" s="132"/>
      <c r="E261" s="226"/>
      <c r="F261" s="132"/>
      <c r="G261" s="133"/>
    </row>
    <row r="262" spans="1:7">
      <c r="A262" s="132"/>
      <c r="B262" s="1030"/>
      <c r="C262" s="1030"/>
      <c r="D262" s="132"/>
      <c r="E262" s="226"/>
      <c r="F262" s="132"/>
      <c r="G262" s="133"/>
    </row>
    <row r="263" spans="1:7">
      <c r="A263" s="132"/>
      <c r="B263" s="1030"/>
      <c r="C263" s="1030"/>
      <c r="D263" s="132"/>
      <c r="E263" s="226"/>
      <c r="F263" s="132"/>
      <c r="G263" s="133"/>
    </row>
    <row r="264" spans="1:7">
      <c r="A264" s="132"/>
      <c r="B264" s="1030"/>
      <c r="C264" s="1030"/>
      <c r="D264" s="132"/>
      <c r="E264" s="226"/>
      <c r="F264" s="132"/>
      <c r="G264" s="133"/>
    </row>
    <row r="265" spans="1:7">
      <c r="A265" s="132"/>
      <c r="B265" s="1030"/>
      <c r="C265" s="1030"/>
      <c r="D265" s="132"/>
      <c r="E265" s="226"/>
      <c r="F265" s="132"/>
      <c r="G265" s="133"/>
    </row>
    <row r="266" spans="1:7">
      <c r="A266" s="132"/>
      <c r="B266" s="1030"/>
      <c r="C266" s="1030"/>
      <c r="D266" s="132"/>
      <c r="E266" s="226"/>
      <c r="F266" s="132"/>
      <c r="G266" s="133"/>
    </row>
    <row r="267" spans="1:7">
      <c r="A267" s="132"/>
      <c r="B267" s="1030"/>
      <c r="C267" s="1030"/>
      <c r="D267" s="132"/>
      <c r="E267" s="226"/>
      <c r="F267" s="132"/>
      <c r="G267" s="133"/>
    </row>
    <row r="268" spans="1:7">
      <c r="A268" s="132"/>
      <c r="B268" s="1030"/>
      <c r="C268" s="1030"/>
      <c r="D268" s="132"/>
      <c r="E268" s="226"/>
      <c r="F268" s="132"/>
      <c r="G268" s="133"/>
    </row>
    <row r="269" spans="1:7">
      <c r="A269" s="132"/>
      <c r="B269" s="1030"/>
      <c r="C269" s="1030"/>
      <c r="D269" s="132"/>
      <c r="E269" s="226"/>
      <c r="F269" s="132"/>
      <c r="G269" s="133"/>
    </row>
    <row r="270" spans="1:7">
      <c r="A270" s="132"/>
      <c r="B270" s="1030"/>
      <c r="C270" s="1030"/>
      <c r="D270" s="132"/>
      <c r="E270" s="226"/>
      <c r="F270" s="132"/>
      <c r="G270" s="133"/>
    </row>
    <row r="271" spans="1:7">
      <c r="A271" s="132"/>
      <c r="B271" s="1030"/>
      <c r="C271" s="1030"/>
      <c r="D271" s="132"/>
      <c r="E271" s="226"/>
      <c r="F271" s="132"/>
      <c r="G271" s="133"/>
    </row>
    <row r="272" spans="1:7">
      <c r="A272" s="132"/>
      <c r="B272" s="1030"/>
      <c r="C272" s="1030"/>
      <c r="D272" s="132"/>
      <c r="E272" s="226"/>
      <c r="F272" s="132"/>
      <c r="G272" s="133"/>
    </row>
    <row r="273" spans="1:7">
      <c r="A273" s="132"/>
      <c r="B273" s="1030"/>
      <c r="C273" s="1030"/>
      <c r="D273" s="132"/>
      <c r="E273" s="226"/>
      <c r="F273" s="132"/>
      <c r="G273" s="133"/>
    </row>
    <row r="274" spans="1:7">
      <c r="A274" s="132"/>
      <c r="B274" s="1030"/>
      <c r="C274" s="1030"/>
      <c r="D274" s="132"/>
      <c r="E274" s="226"/>
      <c r="F274" s="132"/>
      <c r="G274" s="133"/>
    </row>
    <row r="275" spans="1:7">
      <c r="A275" s="132"/>
      <c r="B275" s="1030"/>
      <c r="C275" s="1030"/>
      <c r="D275" s="132"/>
      <c r="E275" s="226"/>
      <c r="F275" s="132"/>
      <c r="G275" s="133"/>
    </row>
    <row r="276" spans="1:7">
      <c r="A276" s="132"/>
      <c r="B276" s="1030"/>
      <c r="C276" s="1030"/>
      <c r="D276" s="132"/>
      <c r="E276" s="226"/>
      <c r="F276" s="132"/>
      <c r="G276" s="133"/>
    </row>
    <row r="277" spans="1:7">
      <c r="A277" s="132"/>
      <c r="B277" s="1030"/>
      <c r="C277" s="1030"/>
      <c r="D277" s="132"/>
      <c r="E277" s="226"/>
      <c r="F277" s="132"/>
      <c r="G277" s="133"/>
    </row>
    <row r="278" spans="1:7">
      <c r="A278" s="132"/>
      <c r="B278" s="1030"/>
      <c r="C278" s="1030"/>
      <c r="D278" s="132"/>
      <c r="E278" s="226"/>
      <c r="F278" s="132"/>
      <c r="G278" s="133"/>
    </row>
    <row r="279" spans="1:7">
      <c r="A279" s="132"/>
      <c r="B279" s="1030"/>
      <c r="C279" s="1030"/>
      <c r="D279" s="132"/>
      <c r="E279" s="226"/>
      <c r="F279" s="132"/>
      <c r="G279" s="133"/>
    </row>
    <row r="280" spans="1:7">
      <c r="A280" s="132"/>
      <c r="B280" s="1030"/>
      <c r="C280" s="1030"/>
      <c r="D280" s="132"/>
      <c r="E280" s="226"/>
      <c r="F280" s="132"/>
      <c r="G280" s="133"/>
    </row>
    <row r="281" spans="1:7">
      <c r="A281" s="132"/>
      <c r="B281" s="1030"/>
      <c r="C281" s="1030"/>
      <c r="D281" s="132"/>
      <c r="E281" s="226"/>
      <c r="F281" s="132"/>
      <c r="G281" s="133"/>
    </row>
    <row r="282" spans="1:7">
      <c r="A282" s="132"/>
      <c r="B282" s="1030"/>
      <c r="C282" s="1030"/>
      <c r="D282" s="132"/>
      <c r="E282" s="226"/>
      <c r="F282" s="132"/>
      <c r="G282" s="133"/>
    </row>
    <row r="283" spans="1:7">
      <c r="A283" s="132"/>
      <c r="B283" s="1030"/>
      <c r="C283" s="1030"/>
      <c r="D283" s="132"/>
      <c r="E283" s="226"/>
      <c r="F283" s="132"/>
      <c r="G283" s="133"/>
    </row>
    <row r="284" spans="1:7">
      <c r="A284" s="132"/>
      <c r="B284" s="1030"/>
      <c r="C284" s="1030"/>
      <c r="D284" s="132"/>
      <c r="E284" s="226"/>
      <c r="F284" s="132"/>
      <c r="G284" s="133"/>
    </row>
    <row r="285" spans="1:7">
      <c r="A285" s="132"/>
      <c r="B285" s="1030"/>
      <c r="C285" s="1030"/>
      <c r="D285" s="132"/>
      <c r="E285" s="226"/>
      <c r="F285" s="132"/>
      <c r="G285" s="133"/>
    </row>
    <row r="286" spans="1:7">
      <c r="A286" s="132"/>
      <c r="B286" s="1030"/>
      <c r="C286" s="1030"/>
      <c r="D286" s="132"/>
      <c r="E286" s="226"/>
      <c r="F286" s="132"/>
      <c r="G286" s="133"/>
    </row>
    <row r="287" spans="1:7">
      <c r="A287" s="132"/>
      <c r="B287" s="1030"/>
      <c r="C287" s="1030"/>
      <c r="D287" s="132"/>
      <c r="E287" s="226"/>
      <c r="F287" s="132"/>
      <c r="G287" s="133"/>
    </row>
    <row r="288" spans="1:7">
      <c r="A288" s="132"/>
      <c r="B288" s="1030"/>
      <c r="C288" s="1030"/>
      <c r="D288" s="132"/>
      <c r="E288" s="226"/>
      <c r="F288" s="132"/>
      <c r="G288" s="133"/>
    </row>
    <row r="289" spans="1:7">
      <c r="A289" s="132"/>
      <c r="B289" s="1030"/>
      <c r="C289" s="1030"/>
      <c r="D289" s="132"/>
      <c r="E289" s="226"/>
      <c r="F289" s="132"/>
      <c r="G289" s="133"/>
    </row>
    <row r="290" spans="1:7">
      <c r="A290" s="132"/>
      <c r="B290" s="1030"/>
      <c r="C290" s="1030"/>
      <c r="D290" s="132"/>
      <c r="E290" s="226"/>
      <c r="F290" s="132"/>
      <c r="G290" s="133"/>
    </row>
    <row r="291" spans="1:7">
      <c r="A291" s="132"/>
      <c r="B291" s="1030"/>
      <c r="C291" s="1030"/>
      <c r="D291" s="132"/>
      <c r="E291" s="226"/>
      <c r="F291" s="132"/>
      <c r="G291" s="133"/>
    </row>
    <row r="292" spans="1:7">
      <c r="A292" s="132"/>
      <c r="B292" s="1030"/>
      <c r="C292" s="1030"/>
      <c r="D292" s="132"/>
      <c r="E292" s="226"/>
      <c r="F292" s="132"/>
      <c r="G292" s="133"/>
    </row>
    <row r="293" spans="1:7">
      <c r="A293" s="132"/>
      <c r="B293" s="1030"/>
      <c r="C293" s="1030"/>
      <c r="D293" s="132"/>
      <c r="E293" s="226"/>
      <c r="F293" s="132"/>
      <c r="G293" s="133"/>
    </row>
    <row r="294" spans="1:7">
      <c r="A294" s="132"/>
      <c r="B294" s="1030"/>
      <c r="C294" s="1030"/>
      <c r="D294" s="132"/>
      <c r="E294" s="226"/>
      <c r="F294" s="132"/>
      <c r="G294" s="133"/>
    </row>
    <row r="295" spans="1:7">
      <c r="A295" s="132"/>
      <c r="B295" s="1030"/>
      <c r="C295" s="1030"/>
      <c r="D295" s="132"/>
      <c r="E295" s="226"/>
      <c r="F295" s="132"/>
      <c r="G295" s="133"/>
    </row>
    <row r="296" spans="1:7">
      <c r="A296" s="132"/>
      <c r="B296" s="1030"/>
      <c r="C296" s="1030"/>
      <c r="D296" s="132"/>
      <c r="E296" s="226"/>
      <c r="F296" s="132"/>
      <c r="G296" s="133"/>
    </row>
    <row r="297" spans="1:7">
      <c r="A297" s="132"/>
      <c r="B297" s="1030"/>
      <c r="C297" s="1030"/>
      <c r="D297" s="132"/>
      <c r="E297" s="226"/>
      <c r="F297" s="132"/>
      <c r="G297" s="133"/>
    </row>
    <row r="298" spans="1:7">
      <c r="A298" s="132"/>
      <c r="B298" s="1030"/>
      <c r="C298" s="1030"/>
      <c r="D298" s="132"/>
      <c r="E298" s="226"/>
      <c r="F298" s="132"/>
      <c r="G298" s="133"/>
    </row>
    <row r="299" spans="1:7">
      <c r="A299" s="132"/>
      <c r="B299" s="1030"/>
      <c r="C299" s="1030"/>
      <c r="D299" s="132"/>
      <c r="E299" s="226"/>
      <c r="F299" s="132"/>
      <c r="G299" s="133"/>
    </row>
    <row r="300" spans="1:7">
      <c r="A300" s="132"/>
      <c r="B300" s="1030"/>
      <c r="C300" s="1030"/>
      <c r="D300" s="132"/>
      <c r="E300" s="226"/>
      <c r="F300" s="132"/>
      <c r="G300" s="133"/>
    </row>
    <row r="301" spans="1:7">
      <c r="A301" s="132"/>
      <c r="B301" s="1030"/>
      <c r="C301" s="1030"/>
      <c r="D301" s="132"/>
      <c r="E301" s="226"/>
      <c r="F301" s="132"/>
      <c r="G301" s="133"/>
    </row>
    <row r="302" spans="1:7">
      <c r="A302" s="132"/>
      <c r="B302" s="1030"/>
      <c r="C302" s="1030"/>
      <c r="D302" s="132"/>
      <c r="E302" s="226"/>
      <c r="F302" s="132"/>
      <c r="G302" s="133"/>
    </row>
    <row r="303" spans="1:7">
      <c r="A303" s="132"/>
      <c r="B303" s="1030"/>
      <c r="C303" s="1030"/>
      <c r="D303" s="132"/>
      <c r="E303" s="226"/>
      <c r="F303" s="132"/>
      <c r="G303" s="133"/>
    </row>
    <row r="304" spans="1:7">
      <c r="A304" s="132"/>
      <c r="B304" s="1030"/>
      <c r="C304" s="1030"/>
      <c r="D304" s="132"/>
      <c r="E304" s="226"/>
      <c r="F304" s="132"/>
      <c r="G304" s="133"/>
    </row>
    <row r="305" spans="1:7">
      <c r="A305" s="132"/>
      <c r="B305" s="1030"/>
      <c r="C305" s="1030"/>
      <c r="D305" s="132"/>
      <c r="E305" s="226"/>
      <c r="F305" s="132"/>
      <c r="G305" s="133"/>
    </row>
    <row r="306" spans="1:7">
      <c r="A306" s="132"/>
      <c r="B306" s="1030"/>
      <c r="C306" s="1030"/>
      <c r="D306" s="132"/>
      <c r="E306" s="226"/>
      <c r="F306" s="132"/>
      <c r="G306" s="133"/>
    </row>
    <row r="307" spans="1:7">
      <c r="A307" s="132"/>
      <c r="B307" s="1030"/>
      <c r="C307" s="1030"/>
      <c r="D307" s="132"/>
      <c r="E307" s="226"/>
      <c r="F307" s="132"/>
      <c r="G307" s="133"/>
    </row>
    <row r="308" spans="1:7">
      <c r="A308" s="132"/>
      <c r="B308" s="1030"/>
      <c r="C308" s="1030"/>
      <c r="D308" s="132"/>
      <c r="E308" s="226"/>
      <c r="F308" s="132"/>
      <c r="G308" s="133"/>
    </row>
    <row r="309" spans="1:7">
      <c r="A309" s="132"/>
      <c r="B309" s="1030"/>
      <c r="C309" s="1030"/>
      <c r="D309" s="132"/>
      <c r="E309" s="226"/>
      <c r="F309" s="132"/>
      <c r="G309" s="133"/>
    </row>
    <row r="310" spans="1:7">
      <c r="A310" s="132"/>
      <c r="B310" s="1030"/>
      <c r="C310" s="1030"/>
      <c r="D310" s="132"/>
      <c r="E310" s="226"/>
      <c r="F310" s="132"/>
      <c r="G310" s="133"/>
    </row>
    <row r="311" spans="1:7">
      <c r="A311" s="132"/>
      <c r="B311" s="1030"/>
      <c r="C311" s="1030"/>
      <c r="D311" s="132"/>
      <c r="E311" s="226"/>
      <c r="F311" s="132"/>
      <c r="G311" s="133"/>
    </row>
    <row r="312" spans="1:7">
      <c r="A312" s="132"/>
      <c r="B312" s="1030"/>
      <c r="C312" s="1030"/>
      <c r="D312" s="132"/>
      <c r="E312" s="226"/>
      <c r="F312" s="132"/>
      <c r="G312" s="133"/>
    </row>
    <row r="313" spans="1:7">
      <c r="A313" s="132"/>
      <c r="B313" s="1030"/>
      <c r="C313" s="1030"/>
      <c r="D313" s="132"/>
      <c r="E313" s="226"/>
      <c r="F313" s="132"/>
      <c r="G313" s="133"/>
    </row>
    <row r="314" spans="1:7">
      <c r="A314" s="132"/>
      <c r="B314" s="1030"/>
      <c r="C314" s="1030"/>
      <c r="D314" s="132"/>
      <c r="E314" s="226"/>
      <c r="F314" s="132"/>
      <c r="G314" s="133"/>
    </row>
    <row r="315" spans="1:7">
      <c r="A315" s="132"/>
      <c r="B315" s="1030"/>
      <c r="C315" s="1030"/>
      <c r="D315" s="132"/>
      <c r="E315" s="226"/>
      <c r="F315" s="132"/>
      <c r="G315" s="133"/>
    </row>
    <row r="316" spans="1:7">
      <c r="A316" s="132"/>
      <c r="B316" s="1030"/>
      <c r="C316" s="1030"/>
      <c r="D316" s="132"/>
      <c r="E316" s="226"/>
      <c r="F316" s="132"/>
      <c r="G316" s="133"/>
    </row>
    <row r="317" spans="1:7">
      <c r="A317" s="132"/>
      <c r="B317" s="1030"/>
      <c r="C317" s="1030"/>
      <c r="D317" s="132"/>
      <c r="E317" s="226"/>
      <c r="F317" s="132"/>
      <c r="G317" s="133"/>
    </row>
    <row r="318" spans="1:7">
      <c r="A318" s="132"/>
      <c r="B318" s="1030"/>
      <c r="C318" s="1030"/>
      <c r="D318" s="132"/>
      <c r="E318" s="226"/>
      <c r="F318" s="132"/>
      <c r="G318" s="133"/>
    </row>
    <row r="319" spans="1:7">
      <c r="B319" s="1032"/>
      <c r="C319" s="1032"/>
      <c r="E319" s="226"/>
    </row>
    <row r="320" spans="1:7">
      <c r="B320" s="1032"/>
      <c r="C320" s="1032"/>
      <c r="E320" s="226"/>
    </row>
    <row r="321" spans="2:5">
      <c r="B321" s="1032"/>
      <c r="C321" s="1032"/>
      <c r="E321" s="226"/>
    </row>
    <row r="322" spans="2:5">
      <c r="B322" s="1032"/>
      <c r="C322" s="1032"/>
      <c r="E322" s="226"/>
    </row>
    <row r="323" spans="2:5">
      <c r="B323" s="1032"/>
      <c r="C323" s="1032"/>
      <c r="E323" s="226"/>
    </row>
    <row r="324" spans="2:5">
      <c r="B324" s="1032"/>
      <c r="C324" s="1032"/>
      <c r="E324" s="226"/>
    </row>
    <row r="325" spans="2:5">
      <c r="B325" s="1032"/>
      <c r="C325" s="1032"/>
      <c r="E325" s="226"/>
    </row>
    <row r="326" spans="2:5">
      <c r="B326" s="1032"/>
      <c r="C326" s="1032"/>
      <c r="E326" s="226"/>
    </row>
    <row r="327" spans="2:5">
      <c r="B327" s="1032"/>
      <c r="C327" s="1032"/>
      <c r="E327" s="226"/>
    </row>
    <row r="328" spans="2:5">
      <c r="B328" s="1032"/>
      <c r="C328" s="1032"/>
      <c r="E328" s="226"/>
    </row>
    <row r="329" spans="2:5">
      <c r="B329" s="1032"/>
      <c r="C329" s="1032"/>
      <c r="E329" s="226"/>
    </row>
    <row r="330" spans="2:5">
      <c r="B330" s="1032"/>
      <c r="C330" s="1032"/>
      <c r="E330" s="226"/>
    </row>
    <row r="331" spans="2:5">
      <c r="B331" s="1032"/>
      <c r="C331" s="1032"/>
      <c r="E331" s="226"/>
    </row>
    <row r="332" spans="2:5">
      <c r="B332" s="1032"/>
      <c r="C332" s="1032"/>
      <c r="E332" s="226"/>
    </row>
    <row r="333" spans="2:5">
      <c r="B333" s="1032"/>
      <c r="C333" s="1032"/>
      <c r="E333" s="226"/>
    </row>
    <row r="334" spans="2:5">
      <c r="B334" s="1032"/>
      <c r="C334" s="1032"/>
      <c r="E334" s="226"/>
    </row>
    <row r="335" spans="2:5">
      <c r="B335" s="1032"/>
      <c r="C335" s="1032"/>
      <c r="E335" s="226"/>
    </row>
    <row r="336" spans="2:5">
      <c r="B336" s="1032"/>
      <c r="C336" s="1032"/>
      <c r="E336" s="226"/>
    </row>
    <row r="337" spans="2:5">
      <c r="B337" s="1032"/>
      <c r="C337" s="1032"/>
      <c r="E337" s="226"/>
    </row>
    <row r="338" spans="2:5">
      <c r="B338" s="1032"/>
      <c r="C338" s="1032"/>
      <c r="E338" s="226"/>
    </row>
    <row r="339" spans="2:5">
      <c r="B339" s="1032"/>
      <c r="C339" s="1032"/>
      <c r="E339" s="226"/>
    </row>
    <row r="340" spans="2:5">
      <c r="B340" s="1032"/>
      <c r="C340" s="1032"/>
      <c r="E340" s="226"/>
    </row>
    <row r="341" spans="2:5">
      <c r="B341" s="1032"/>
      <c r="C341" s="1032"/>
      <c r="E341" s="226"/>
    </row>
    <row r="342" spans="2:5">
      <c r="B342" s="1032"/>
      <c r="C342" s="1032"/>
      <c r="E342" s="226"/>
    </row>
    <row r="343" spans="2:5">
      <c r="B343" s="1032"/>
      <c r="C343" s="1032"/>
      <c r="E343" s="226"/>
    </row>
    <row r="344" spans="2:5">
      <c r="B344" s="1032"/>
      <c r="C344" s="1032"/>
      <c r="E344" s="226"/>
    </row>
    <row r="345" spans="2:5">
      <c r="B345" s="1032"/>
      <c r="C345" s="1032"/>
      <c r="E345" s="226"/>
    </row>
    <row r="346" spans="2:5">
      <c r="B346" s="1032"/>
      <c r="C346" s="1032"/>
      <c r="E346" s="226"/>
    </row>
    <row r="347" spans="2:5">
      <c r="B347" s="1032"/>
      <c r="C347" s="1032"/>
      <c r="E347" s="226"/>
    </row>
    <row r="348" spans="2:5">
      <c r="B348" s="1032"/>
      <c r="C348" s="1032"/>
      <c r="E348" s="226"/>
    </row>
    <row r="349" spans="2:5">
      <c r="B349" s="1032"/>
      <c r="C349" s="1032"/>
      <c r="E349" s="226"/>
    </row>
    <row r="350" spans="2:5">
      <c r="B350" s="1032"/>
      <c r="C350" s="1032"/>
      <c r="E350" s="226"/>
    </row>
    <row r="351" spans="2:5">
      <c r="B351" s="1032"/>
      <c r="C351" s="1032"/>
      <c r="E351" s="226"/>
    </row>
    <row r="352" spans="2:5">
      <c r="B352" s="1032"/>
      <c r="C352" s="1032"/>
      <c r="E352" s="226"/>
    </row>
    <row r="353" spans="2:5">
      <c r="B353" s="1032"/>
      <c r="C353" s="1032"/>
      <c r="E353" s="226"/>
    </row>
    <row r="354" spans="2:5">
      <c r="B354" s="1032"/>
      <c r="C354" s="1032"/>
      <c r="E354" s="226"/>
    </row>
    <row r="355" spans="2:5">
      <c r="B355" s="1032"/>
      <c r="C355" s="1032"/>
      <c r="E355" s="226"/>
    </row>
    <row r="356" spans="2:5">
      <c r="B356" s="1032"/>
      <c r="C356" s="1032"/>
      <c r="E356" s="226"/>
    </row>
    <row r="357" spans="2:5">
      <c r="B357" s="1032"/>
      <c r="C357" s="1032"/>
      <c r="E357" s="226"/>
    </row>
    <row r="358" spans="2:5">
      <c r="B358" s="1032"/>
      <c r="C358" s="1032"/>
      <c r="E358" s="226"/>
    </row>
    <row r="359" spans="2:5">
      <c r="B359" s="1032"/>
      <c r="C359" s="1032"/>
      <c r="E359" s="226"/>
    </row>
    <row r="360" spans="2:5">
      <c r="B360" s="1032"/>
      <c r="C360" s="1032"/>
      <c r="E360" s="226"/>
    </row>
    <row r="361" spans="2:5">
      <c r="B361" s="1032"/>
      <c r="C361" s="1032"/>
      <c r="E361" s="226"/>
    </row>
    <row r="362" spans="2:5">
      <c r="B362" s="1032"/>
      <c r="C362" s="1032"/>
      <c r="E362" s="226"/>
    </row>
    <row r="363" spans="2:5">
      <c r="B363" s="1032"/>
      <c r="C363" s="1032"/>
      <c r="E363" s="226"/>
    </row>
    <row r="364" spans="2:5">
      <c r="B364" s="1032"/>
      <c r="C364" s="1032"/>
      <c r="E364" s="226"/>
    </row>
    <row r="365" spans="2:5">
      <c r="B365" s="1032"/>
      <c r="C365" s="1032"/>
      <c r="E365" s="226"/>
    </row>
    <row r="366" spans="2:5">
      <c r="B366" s="1032"/>
      <c r="C366" s="1032"/>
      <c r="E366" s="226"/>
    </row>
    <row r="367" spans="2:5">
      <c r="B367" s="1032"/>
      <c r="C367" s="1032"/>
      <c r="E367" s="226"/>
    </row>
    <row r="368" spans="2:5">
      <c r="B368" s="1032"/>
      <c r="C368" s="1032"/>
      <c r="E368" s="226"/>
    </row>
    <row r="369" spans="2:5">
      <c r="B369" s="1032"/>
      <c r="C369" s="1032"/>
      <c r="E369" s="226"/>
    </row>
    <row r="370" spans="2:5">
      <c r="B370" s="1032"/>
      <c r="C370" s="1032"/>
      <c r="E370" s="226"/>
    </row>
    <row r="371" spans="2:5">
      <c r="B371" s="1032"/>
      <c r="C371" s="1032"/>
      <c r="E371" s="226"/>
    </row>
    <row r="372" spans="2:5">
      <c r="B372" s="1032"/>
      <c r="C372" s="1032"/>
      <c r="E372" s="226"/>
    </row>
    <row r="373" spans="2:5">
      <c r="B373" s="1032"/>
      <c r="C373" s="1032"/>
      <c r="E373" s="226"/>
    </row>
    <row r="374" spans="2:5">
      <c r="B374" s="1032"/>
      <c r="C374" s="1032"/>
      <c r="E374" s="226"/>
    </row>
    <row r="375" spans="2:5">
      <c r="B375" s="1032"/>
      <c r="C375" s="1032"/>
      <c r="E375" s="226"/>
    </row>
    <row r="376" spans="2:5">
      <c r="B376" s="1032"/>
      <c r="C376" s="1032"/>
      <c r="E376" s="226"/>
    </row>
    <row r="377" spans="2:5">
      <c r="B377" s="1032"/>
      <c r="C377" s="1032"/>
      <c r="E377" s="226"/>
    </row>
    <row r="378" spans="2:5">
      <c r="B378" s="1032"/>
      <c r="C378" s="1032"/>
      <c r="E378" s="226"/>
    </row>
    <row r="379" spans="2:5">
      <c r="B379" s="1032"/>
      <c r="C379" s="1032"/>
      <c r="E379" s="226"/>
    </row>
    <row r="380" spans="2:5">
      <c r="B380" s="1032"/>
      <c r="C380" s="1032"/>
      <c r="E380" s="226"/>
    </row>
    <row r="381" spans="2:5">
      <c r="B381" s="1032"/>
      <c r="C381" s="1032"/>
      <c r="E381" s="226"/>
    </row>
    <row r="382" spans="2:5">
      <c r="B382" s="1032"/>
      <c r="C382" s="1032"/>
      <c r="E382" s="226"/>
    </row>
    <row r="383" spans="2:5">
      <c r="B383" s="1032"/>
      <c r="C383" s="1032"/>
      <c r="E383" s="226"/>
    </row>
    <row r="384" spans="2:5">
      <c r="B384" s="1032"/>
      <c r="C384" s="1032"/>
      <c r="E384" s="226"/>
    </row>
    <row r="385" spans="2:5">
      <c r="B385" s="1032"/>
      <c r="C385" s="1032"/>
      <c r="E385" s="226"/>
    </row>
    <row r="386" spans="2:5">
      <c r="B386" s="1032"/>
      <c r="C386" s="1032"/>
      <c r="E386" s="226"/>
    </row>
    <row r="387" spans="2:5">
      <c r="B387" s="1032"/>
      <c r="C387" s="1032"/>
      <c r="E387" s="226"/>
    </row>
    <row r="388" spans="2:5">
      <c r="B388" s="1032"/>
      <c r="C388" s="1032"/>
      <c r="E388" s="226"/>
    </row>
    <row r="389" spans="2:5">
      <c r="B389" s="1032"/>
      <c r="C389" s="1032"/>
      <c r="E389" s="226"/>
    </row>
    <row r="390" spans="2:5">
      <c r="B390" s="1032"/>
      <c r="C390" s="1032"/>
      <c r="E390" s="226"/>
    </row>
    <row r="391" spans="2:5">
      <c r="B391" s="1032"/>
      <c r="C391" s="1032"/>
      <c r="E391" s="226"/>
    </row>
    <row r="392" spans="2:5">
      <c r="B392" s="1032"/>
      <c r="C392" s="1032"/>
      <c r="E392" s="226"/>
    </row>
    <row r="393" spans="2:5">
      <c r="B393" s="1032"/>
      <c r="C393" s="1032"/>
      <c r="E393" s="226"/>
    </row>
    <row r="394" spans="2:5">
      <c r="B394" s="1032"/>
      <c r="C394" s="1032"/>
      <c r="E394" s="226"/>
    </row>
    <row r="395" spans="2:5">
      <c r="B395" s="1032"/>
      <c r="C395" s="1032"/>
      <c r="E395" s="226"/>
    </row>
    <row r="396" spans="2:5">
      <c r="B396" s="1032"/>
      <c r="C396" s="1032"/>
      <c r="E396" s="226"/>
    </row>
    <row r="397" spans="2:5">
      <c r="B397" s="1032"/>
      <c r="C397" s="1032"/>
      <c r="E397" s="226"/>
    </row>
    <row r="398" spans="2:5">
      <c r="B398" s="1032"/>
      <c r="C398" s="1032"/>
      <c r="E398" s="226"/>
    </row>
    <row r="399" spans="2:5">
      <c r="B399" s="1032"/>
      <c r="C399" s="1032"/>
      <c r="E399" s="226"/>
    </row>
    <row r="400" spans="2:5">
      <c r="B400" s="1032"/>
      <c r="C400" s="1032"/>
      <c r="E400" s="226"/>
    </row>
    <row r="401" spans="2:5">
      <c r="B401" s="1032"/>
      <c r="C401" s="1032"/>
      <c r="E401" s="226"/>
    </row>
    <row r="402" spans="2:5">
      <c r="B402" s="1032"/>
      <c r="C402" s="1032"/>
      <c r="E402" s="226"/>
    </row>
    <row r="403" spans="2:5">
      <c r="B403" s="1032"/>
      <c r="C403" s="1032"/>
      <c r="E403" s="226"/>
    </row>
    <row r="404" spans="2:5">
      <c r="B404" s="1032"/>
      <c r="C404" s="1032"/>
      <c r="E404" s="226"/>
    </row>
    <row r="405" spans="2:5">
      <c r="B405" s="1032"/>
      <c r="C405" s="1032"/>
      <c r="E405" s="226"/>
    </row>
    <row r="406" spans="2:5">
      <c r="B406" s="1032"/>
      <c r="C406" s="1032"/>
      <c r="E406" s="226"/>
    </row>
    <row r="407" spans="2:5">
      <c r="B407" s="1032"/>
      <c r="C407" s="1032"/>
      <c r="E407" s="226"/>
    </row>
    <row r="408" spans="2:5">
      <c r="B408" s="1032"/>
      <c r="C408" s="1032"/>
      <c r="E408" s="226"/>
    </row>
    <row r="409" spans="2:5">
      <c r="B409" s="1032"/>
      <c r="C409" s="1032"/>
      <c r="E409" s="226"/>
    </row>
    <row r="410" spans="2:5">
      <c r="B410" s="1032"/>
      <c r="C410" s="1032"/>
      <c r="E410" s="226"/>
    </row>
    <row r="411" spans="2:5">
      <c r="B411" s="1032"/>
      <c r="C411" s="1032"/>
      <c r="E411" s="226"/>
    </row>
    <row r="412" spans="2:5">
      <c r="B412" s="1032"/>
      <c r="C412" s="1032"/>
      <c r="E412" s="226"/>
    </row>
    <row r="413" spans="2:5">
      <c r="B413" s="1032"/>
      <c r="C413" s="1032"/>
      <c r="E413" s="226"/>
    </row>
    <row r="414" spans="2:5">
      <c r="B414" s="1032"/>
      <c r="C414" s="1032"/>
      <c r="E414" s="226"/>
    </row>
    <row r="415" spans="2:5">
      <c r="B415" s="1032"/>
      <c r="C415" s="1032"/>
      <c r="E415" s="226"/>
    </row>
    <row r="416" spans="2:5">
      <c r="B416" s="1032"/>
      <c r="C416" s="1032"/>
      <c r="E416" s="226"/>
    </row>
    <row r="417" spans="2:5">
      <c r="B417" s="1032"/>
      <c r="C417" s="1032"/>
      <c r="E417" s="226"/>
    </row>
    <row r="418" spans="2:5">
      <c r="B418" s="1032"/>
      <c r="C418" s="1032"/>
      <c r="E418" s="226"/>
    </row>
    <row r="419" spans="2:5">
      <c r="B419" s="1032"/>
      <c r="C419" s="1032"/>
      <c r="E419" s="226"/>
    </row>
    <row r="420" spans="2:5">
      <c r="B420" s="1032"/>
      <c r="C420" s="1032"/>
      <c r="E420" s="226"/>
    </row>
    <row r="421" spans="2:5">
      <c r="B421" s="1032"/>
      <c r="C421" s="1032"/>
      <c r="E421" s="226"/>
    </row>
    <row r="422" spans="2:5">
      <c r="B422" s="1032"/>
      <c r="C422" s="1032"/>
      <c r="E422" s="226"/>
    </row>
    <row r="423" spans="2:5">
      <c r="B423" s="1032"/>
      <c r="C423" s="1032"/>
      <c r="E423" s="226"/>
    </row>
    <row r="424" spans="2:5">
      <c r="B424" s="1032"/>
      <c r="C424" s="1032"/>
      <c r="E424" s="226"/>
    </row>
    <row r="425" spans="2:5">
      <c r="B425" s="1032"/>
      <c r="C425" s="1032"/>
      <c r="E425" s="226"/>
    </row>
    <row r="426" spans="2:5">
      <c r="B426" s="1032"/>
      <c r="C426" s="1032"/>
      <c r="E426" s="226"/>
    </row>
    <row r="427" spans="2:5">
      <c r="B427" s="1032"/>
      <c r="C427" s="1032"/>
      <c r="E427" s="226"/>
    </row>
    <row r="428" spans="2:5">
      <c r="B428" s="1032"/>
      <c r="C428" s="1032"/>
      <c r="E428" s="226"/>
    </row>
    <row r="429" spans="2:5">
      <c r="B429" s="1032"/>
      <c r="C429" s="1032"/>
      <c r="E429" s="226"/>
    </row>
    <row r="430" spans="2:5">
      <c r="B430" s="1032"/>
      <c r="C430" s="1032"/>
      <c r="E430" s="226"/>
    </row>
    <row r="431" spans="2:5">
      <c r="B431" s="1032"/>
      <c r="C431" s="1032"/>
      <c r="E431" s="226"/>
    </row>
    <row r="432" spans="2:5">
      <c r="B432" s="1032"/>
      <c r="C432" s="1032"/>
      <c r="E432" s="226"/>
    </row>
    <row r="433" spans="2:5">
      <c r="B433" s="1032"/>
      <c r="C433" s="1032"/>
      <c r="E433" s="226"/>
    </row>
    <row r="434" spans="2:5">
      <c r="B434" s="1032"/>
      <c r="C434" s="1032"/>
      <c r="E434" s="226"/>
    </row>
    <row r="435" spans="2:5">
      <c r="B435" s="1032"/>
      <c r="C435" s="1032"/>
      <c r="E435" s="226"/>
    </row>
    <row r="436" spans="2:5">
      <c r="B436" s="1032"/>
      <c r="C436" s="1032"/>
      <c r="E436" s="226"/>
    </row>
    <row r="437" spans="2:5">
      <c r="B437" s="1032"/>
      <c r="C437" s="1032"/>
      <c r="E437" s="226"/>
    </row>
    <row r="438" spans="2:5">
      <c r="B438" s="1032"/>
      <c r="C438" s="1032"/>
      <c r="E438" s="226"/>
    </row>
    <row r="439" spans="2:5">
      <c r="B439" s="1032"/>
      <c r="C439" s="1032"/>
      <c r="E439" s="226"/>
    </row>
    <row r="440" spans="2:5">
      <c r="B440" s="1032"/>
      <c r="C440" s="1032"/>
      <c r="E440" s="226"/>
    </row>
    <row r="441" spans="2:5">
      <c r="B441" s="1032"/>
      <c r="C441" s="1032"/>
      <c r="E441" s="226"/>
    </row>
    <row r="442" spans="2:5">
      <c r="B442" s="1032"/>
      <c r="C442" s="1032"/>
      <c r="E442" s="226"/>
    </row>
    <row r="443" spans="2:5">
      <c r="B443" s="1032"/>
      <c r="C443" s="1032"/>
      <c r="E443" s="226"/>
    </row>
    <row r="444" spans="2:5">
      <c r="B444" s="1032"/>
      <c r="C444" s="1032"/>
      <c r="E444" s="226"/>
    </row>
    <row r="445" spans="2:5">
      <c r="B445" s="1032"/>
      <c r="C445" s="1032"/>
      <c r="E445" s="226"/>
    </row>
    <row r="446" spans="2:5">
      <c r="B446" s="1032"/>
      <c r="C446" s="1032"/>
      <c r="E446" s="226"/>
    </row>
    <row r="447" spans="2:5">
      <c r="B447" s="1032"/>
      <c r="C447" s="1032"/>
      <c r="E447" s="226"/>
    </row>
    <row r="448" spans="2:5">
      <c r="B448" s="1032"/>
      <c r="C448" s="1032"/>
      <c r="E448" s="226"/>
    </row>
    <row r="449" spans="2:5">
      <c r="B449" s="1032"/>
      <c r="C449" s="1032"/>
      <c r="E449" s="226"/>
    </row>
    <row r="450" spans="2:5">
      <c r="B450" s="1032"/>
      <c r="C450" s="1032"/>
      <c r="E450" s="226"/>
    </row>
    <row r="451" spans="2:5">
      <c r="B451" s="1032"/>
      <c r="C451" s="1032"/>
      <c r="E451" s="226"/>
    </row>
    <row r="452" spans="2:5">
      <c r="B452" s="1032"/>
      <c r="C452" s="1032"/>
      <c r="E452" s="226"/>
    </row>
    <row r="453" spans="2:5">
      <c r="B453" s="1032"/>
      <c r="C453" s="1032"/>
      <c r="E453" s="226"/>
    </row>
    <row r="454" spans="2:5">
      <c r="B454" s="1032"/>
      <c r="C454" s="1032"/>
      <c r="E454" s="226"/>
    </row>
    <row r="455" spans="2:5">
      <c r="B455" s="1032"/>
      <c r="C455" s="1032"/>
      <c r="E455" s="226"/>
    </row>
    <row r="456" spans="2:5">
      <c r="B456" s="1032"/>
      <c r="C456" s="1032"/>
      <c r="E456" s="226"/>
    </row>
    <row r="457" spans="2:5">
      <c r="B457" s="1032"/>
      <c r="C457" s="1032"/>
      <c r="E457" s="226"/>
    </row>
    <row r="458" spans="2:5">
      <c r="B458" s="1032"/>
      <c r="C458" s="1032"/>
      <c r="E458" s="226"/>
    </row>
    <row r="459" spans="2:5">
      <c r="B459" s="1032"/>
      <c r="C459" s="1032"/>
      <c r="E459" s="226"/>
    </row>
    <row r="460" spans="2:5">
      <c r="B460" s="1032"/>
      <c r="C460" s="1032"/>
      <c r="E460" s="226"/>
    </row>
    <row r="461" spans="2:5">
      <c r="B461" s="1032"/>
      <c r="C461" s="1032"/>
      <c r="E461" s="226"/>
    </row>
    <row r="462" spans="2:5">
      <c r="B462" s="1032"/>
      <c r="C462" s="1032"/>
      <c r="E462" s="226"/>
    </row>
    <row r="463" spans="2:5">
      <c r="B463" s="1032"/>
      <c r="C463" s="1032"/>
      <c r="E463" s="226"/>
    </row>
    <row r="464" spans="2:5">
      <c r="B464" s="1032"/>
      <c r="C464" s="1032"/>
      <c r="E464" s="226"/>
    </row>
    <row r="465" spans="2:5">
      <c r="B465" s="1032"/>
      <c r="C465" s="1032"/>
      <c r="E465" s="226"/>
    </row>
    <row r="466" spans="2:5">
      <c r="B466" s="1032"/>
      <c r="C466" s="1032"/>
      <c r="E466" s="226"/>
    </row>
    <row r="467" spans="2:5">
      <c r="B467" s="1032"/>
      <c r="C467" s="1032"/>
      <c r="E467" s="226"/>
    </row>
    <row r="468" spans="2:5">
      <c r="B468" s="1032"/>
      <c r="C468" s="1032"/>
      <c r="E468" s="226"/>
    </row>
    <row r="469" spans="2:5">
      <c r="B469" s="1032"/>
      <c r="C469" s="1032"/>
      <c r="E469" s="226"/>
    </row>
    <row r="470" spans="2:5">
      <c r="B470" s="1032"/>
      <c r="C470" s="1032"/>
      <c r="E470" s="226"/>
    </row>
    <row r="471" spans="2:5">
      <c r="B471" s="1032"/>
      <c r="C471" s="1032"/>
      <c r="E471" s="226"/>
    </row>
    <row r="472" spans="2:5">
      <c r="B472" s="1032"/>
      <c r="C472" s="1032"/>
      <c r="E472" s="226"/>
    </row>
    <row r="473" spans="2:5">
      <c r="B473" s="1032"/>
      <c r="C473" s="1032"/>
      <c r="E473" s="226"/>
    </row>
    <row r="474" spans="2:5">
      <c r="B474" s="1032"/>
      <c r="C474" s="1032"/>
      <c r="E474" s="226"/>
    </row>
    <row r="475" spans="2:5">
      <c r="B475" s="1032"/>
      <c r="C475" s="1032"/>
      <c r="E475" s="226"/>
    </row>
    <row r="476" spans="2:5">
      <c r="B476" s="1032"/>
      <c r="C476" s="1032"/>
      <c r="E476" s="226"/>
    </row>
    <row r="477" spans="2:5">
      <c r="B477" s="1032"/>
      <c r="C477" s="1032"/>
      <c r="E477" s="226"/>
    </row>
    <row r="478" spans="2:5">
      <c r="B478" s="1032"/>
      <c r="C478" s="1032"/>
      <c r="E478" s="226"/>
    </row>
    <row r="479" spans="2:5">
      <c r="B479" s="1032"/>
      <c r="C479" s="1032"/>
      <c r="E479" s="226"/>
    </row>
    <row r="480" spans="2:5">
      <c r="B480" s="1032"/>
      <c r="C480" s="1032"/>
      <c r="E480" s="226"/>
    </row>
    <row r="481" spans="2:5">
      <c r="B481" s="1032"/>
      <c r="C481" s="1032"/>
      <c r="E481" s="226"/>
    </row>
    <row r="482" spans="2:5">
      <c r="B482" s="1032"/>
      <c r="C482" s="1032"/>
      <c r="E482" s="226"/>
    </row>
    <row r="483" spans="2:5">
      <c r="B483" s="1032"/>
      <c r="C483" s="1032"/>
      <c r="E483" s="226"/>
    </row>
    <row r="484" spans="2:5">
      <c r="B484" s="1032"/>
      <c r="C484" s="1032"/>
      <c r="E484" s="226"/>
    </row>
    <row r="485" spans="2:5">
      <c r="B485" s="1032"/>
      <c r="C485" s="1032"/>
      <c r="E485" s="226"/>
    </row>
    <row r="486" spans="2:5">
      <c r="B486" s="1032"/>
      <c r="C486" s="1032"/>
      <c r="E486" s="226"/>
    </row>
    <row r="487" spans="2:5">
      <c r="B487" s="1032"/>
      <c r="C487" s="1032"/>
      <c r="E487" s="226"/>
    </row>
    <row r="488" spans="2:5">
      <c r="B488" s="1032"/>
      <c r="C488" s="1032"/>
      <c r="E488" s="226"/>
    </row>
    <row r="489" spans="2:5">
      <c r="B489" s="1032"/>
      <c r="C489" s="1032"/>
      <c r="E489" s="226"/>
    </row>
    <row r="490" spans="2:5">
      <c r="B490" s="1032"/>
      <c r="C490" s="1032"/>
      <c r="E490" s="226"/>
    </row>
    <row r="491" spans="2:5">
      <c r="B491" s="1032"/>
      <c r="C491" s="1032"/>
      <c r="E491" s="226"/>
    </row>
    <row r="492" spans="2:5">
      <c r="B492" s="1032"/>
      <c r="C492" s="1032"/>
      <c r="E492" s="226"/>
    </row>
    <row r="493" spans="2:5">
      <c r="B493" s="1032"/>
      <c r="C493" s="1032"/>
      <c r="E493" s="226"/>
    </row>
    <row r="494" spans="2:5">
      <c r="B494" s="1032"/>
      <c r="C494" s="1032"/>
      <c r="E494" s="226"/>
    </row>
    <row r="495" spans="2:5">
      <c r="B495" s="1032"/>
      <c r="C495" s="1032"/>
      <c r="E495" s="226"/>
    </row>
    <row r="496" spans="2:5">
      <c r="B496" s="1032"/>
      <c r="C496" s="1032"/>
      <c r="E496" s="226"/>
    </row>
    <row r="497" spans="2:5">
      <c r="B497" s="1032"/>
      <c r="C497" s="1032"/>
      <c r="E497" s="226"/>
    </row>
    <row r="498" spans="2:5">
      <c r="B498" s="1032"/>
      <c r="C498" s="1032"/>
      <c r="E498" s="226"/>
    </row>
    <row r="499" spans="2:5">
      <c r="B499" s="1032"/>
      <c r="C499" s="1032"/>
      <c r="E499" s="226"/>
    </row>
    <row r="500" spans="2:5">
      <c r="B500" s="1032"/>
      <c r="C500" s="1032"/>
      <c r="E500" s="226"/>
    </row>
    <row r="501" spans="2:5">
      <c r="B501" s="1032"/>
      <c r="C501" s="1032"/>
      <c r="E501" s="226"/>
    </row>
    <row r="502" spans="2:5">
      <c r="B502" s="1032"/>
      <c r="C502" s="1032"/>
      <c r="E502" s="226"/>
    </row>
    <row r="503" spans="2:5">
      <c r="B503" s="1032"/>
      <c r="C503" s="1032"/>
      <c r="E503" s="226"/>
    </row>
    <row r="504" spans="2:5">
      <c r="B504" s="1032"/>
      <c r="C504" s="1032"/>
      <c r="E504" s="226"/>
    </row>
    <row r="505" spans="2:5">
      <c r="B505" s="1032"/>
      <c r="C505" s="1032"/>
      <c r="E505" s="226"/>
    </row>
    <row r="506" spans="2:5">
      <c r="B506" s="1032"/>
      <c r="C506" s="1032"/>
      <c r="E506" s="226"/>
    </row>
    <row r="507" spans="2:5">
      <c r="B507" s="1032"/>
      <c r="C507" s="1032"/>
      <c r="E507" s="226"/>
    </row>
    <row r="508" spans="2:5">
      <c r="B508" s="1032"/>
      <c r="C508" s="1032"/>
      <c r="E508" s="226"/>
    </row>
    <row r="509" spans="2:5">
      <c r="B509" s="1032"/>
      <c r="C509" s="1032"/>
      <c r="E509" s="226"/>
    </row>
    <row r="510" spans="2:5">
      <c r="B510" s="1032"/>
      <c r="C510" s="1032"/>
      <c r="E510" s="226"/>
    </row>
    <row r="511" spans="2:5">
      <c r="B511" s="1032"/>
      <c r="C511" s="1032"/>
      <c r="E511" s="226"/>
    </row>
    <row r="512" spans="2:5">
      <c r="B512" s="1032"/>
      <c r="C512" s="1032"/>
      <c r="E512" s="226"/>
    </row>
    <row r="513" spans="2:5">
      <c r="B513" s="1032"/>
      <c r="C513" s="1032"/>
      <c r="E513" s="226"/>
    </row>
    <row r="514" spans="2:5">
      <c r="B514" s="1032"/>
      <c r="C514" s="1032"/>
      <c r="E514" s="226"/>
    </row>
    <row r="515" spans="2:5">
      <c r="B515" s="1032"/>
      <c r="C515" s="1032"/>
      <c r="E515" s="226"/>
    </row>
    <row r="516" spans="2:5">
      <c r="B516" s="1032"/>
      <c r="C516" s="1032"/>
      <c r="E516" s="226"/>
    </row>
    <row r="517" spans="2:5">
      <c r="B517" s="1032"/>
      <c r="C517" s="1032"/>
      <c r="E517" s="226"/>
    </row>
    <row r="518" spans="2:5">
      <c r="B518" s="1032"/>
      <c r="C518" s="1032"/>
      <c r="E518" s="226"/>
    </row>
    <row r="519" spans="2:5">
      <c r="B519" s="1032"/>
      <c r="C519" s="1032"/>
      <c r="E519" s="226"/>
    </row>
    <row r="520" spans="2:5">
      <c r="B520" s="1032"/>
      <c r="C520" s="1032"/>
      <c r="E520" s="226"/>
    </row>
    <row r="521" spans="2:5">
      <c r="B521" s="1032"/>
      <c r="C521" s="1032"/>
      <c r="E521" s="226"/>
    </row>
    <row r="522" spans="2:5">
      <c r="B522" s="1032"/>
      <c r="C522" s="1032"/>
      <c r="E522" s="226"/>
    </row>
    <row r="523" spans="2:5">
      <c r="B523" s="1032"/>
      <c r="C523" s="1032"/>
      <c r="E523" s="226"/>
    </row>
    <row r="524" spans="2:5">
      <c r="B524" s="1032"/>
      <c r="C524" s="1032"/>
      <c r="E524" s="226"/>
    </row>
    <row r="525" spans="2:5">
      <c r="B525" s="1032"/>
      <c r="C525" s="1032"/>
      <c r="E525" s="226"/>
    </row>
    <row r="526" spans="2:5">
      <c r="B526" s="1032"/>
      <c r="C526" s="1032"/>
      <c r="E526" s="226"/>
    </row>
    <row r="527" spans="2:5">
      <c r="B527" s="1032"/>
      <c r="C527" s="1032"/>
      <c r="E527" s="226"/>
    </row>
    <row r="528" spans="2:5">
      <c r="B528" s="1032"/>
      <c r="C528" s="1032"/>
      <c r="E528" s="226"/>
    </row>
    <row r="529" spans="2:5">
      <c r="B529" s="1032"/>
      <c r="C529" s="1032"/>
      <c r="E529" s="226"/>
    </row>
    <row r="530" spans="2:5">
      <c r="B530" s="1032"/>
      <c r="C530" s="1032"/>
      <c r="E530" s="226"/>
    </row>
    <row r="531" spans="2:5">
      <c r="B531" s="1032"/>
      <c r="C531" s="1032"/>
      <c r="E531" s="226"/>
    </row>
    <row r="532" spans="2:5">
      <c r="B532" s="1032"/>
      <c r="C532" s="1032"/>
      <c r="E532" s="226"/>
    </row>
    <row r="533" spans="2:5">
      <c r="B533" s="1032"/>
      <c r="C533" s="1032"/>
      <c r="E533" s="226"/>
    </row>
    <row r="534" spans="2:5">
      <c r="B534" s="1032"/>
      <c r="C534" s="1032"/>
      <c r="E534" s="226"/>
    </row>
    <row r="535" spans="2:5">
      <c r="B535" s="1032"/>
      <c r="C535" s="1032"/>
      <c r="E535" s="226"/>
    </row>
    <row r="536" spans="2:5">
      <c r="B536" s="1032"/>
      <c r="C536" s="1032"/>
      <c r="E536" s="226"/>
    </row>
    <row r="537" spans="2:5">
      <c r="B537" s="1032"/>
      <c r="C537" s="1032"/>
      <c r="E537" s="226"/>
    </row>
    <row r="538" spans="2:5">
      <c r="B538" s="1032"/>
      <c r="C538" s="1032"/>
      <c r="E538" s="226"/>
    </row>
    <row r="539" spans="2:5">
      <c r="B539" s="1032"/>
      <c r="C539" s="1032"/>
      <c r="E539" s="226"/>
    </row>
    <row r="540" spans="2:5">
      <c r="B540" s="1032"/>
      <c r="C540" s="1032"/>
      <c r="E540" s="226"/>
    </row>
    <row r="541" spans="2:5">
      <c r="B541" s="1032"/>
      <c r="C541" s="1032"/>
      <c r="E541" s="226"/>
    </row>
    <row r="542" spans="2:5">
      <c r="B542" s="1032"/>
      <c r="C542" s="1032"/>
      <c r="E542" s="226"/>
    </row>
    <row r="543" spans="2:5">
      <c r="B543" s="1032"/>
      <c r="C543" s="1032"/>
      <c r="E543" s="226"/>
    </row>
    <row r="544" spans="2:5">
      <c r="B544" s="1032"/>
      <c r="C544" s="1032"/>
      <c r="E544" s="226"/>
    </row>
    <row r="545" spans="2:5">
      <c r="B545" s="1032"/>
      <c r="C545" s="1032"/>
      <c r="E545" s="226"/>
    </row>
    <row r="546" spans="2:5">
      <c r="B546" s="1032"/>
      <c r="C546" s="1032"/>
      <c r="E546" s="226"/>
    </row>
    <row r="547" spans="2:5">
      <c r="B547" s="1032"/>
      <c r="C547" s="1032"/>
      <c r="E547" s="226"/>
    </row>
    <row r="548" spans="2:5">
      <c r="B548" s="1032"/>
      <c r="C548" s="1032"/>
      <c r="E548" s="226"/>
    </row>
    <row r="549" spans="2:5">
      <c r="B549" s="1032"/>
      <c r="C549" s="1032"/>
      <c r="E549" s="226"/>
    </row>
    <row r="550" spans="2:5">
      <c r="B550" s="1032"/>
      <c r="C550" s="1032"/>
      <c r="E550" s="226"/>
    </row>
    <row r="551" spans="2:5">
      <c r="B551" s="1032"/>
      <c r="C551" s="1032"/>
      <c r="E551" s="226"/>
    </row>
    <row r="552" spans="2:5">
      <c r="B552" s="1032"/>
      <c r="C552" s="1032"/>
      <c r="E552" s="226"/>
    </row>
    <row r="553" spans="2:5">
      <c r="B553" s="1032"/>
      <c r="C553" s="1032"/>
      <c r="E553" s="226"/>
    </row>
    <row r="554" spans="2:5">
      <c r="B554" s="1032"/>
      <c r="C554" s="1032"/>
      <c r="E554" s="226"/>
    </row>
    <row r="555" spans="2:5">
      <c r="B555" s="1032"/>
      <c r="C555" s="1032"/>
      <c r="E555" s="226"/>
    </row>
    <row r="556" spans="2:5">
      <c r="B556" s="1032"/>
      <c r="C556" s="1032"/>
      <c r="E556" s="226"/>
    </row>
    <row r="557" spans="2:5">
      <c r="B557" s="1032"/>
      <c r="C557" s="1032"/>
      <c r="E557" s="226"/>
    </row>
    <row r="558" spans="2:5">
      <c r="B558" s="1032"/>
      <c r="C558" s="1032"/>
      <c r="E558" s="226"/>
    </row>
    <row r="559" spans="2:5">
      <c r="B559" s="1032"/>
      <c r="C559" s="1032"/>
      <c r="E559" s="226"/>
    </row>
    <row r="560" spans="2:5">
      <c r="B560" s="1032"/>
      <c r="C560" s="1032"/>
      <c r="E560" s="226"/>
    </row>
    <row r="561" spans="2:5">
      <c r="B561" s="1032"/>
      <c r="C561" s="1032"/>
      <c r="E561" s="226"/>
    </row>
    <row r="562" spans="2:5">
      <c r="B562" s="1032"/>
      <c r="C562" s="1032"/>
      <c r="E562" s="226"/>
    </row>
    <row r="563" spans="2:5">
      <c r="B563" s="1032"/>
      <c r="C563" s="1032"/>
      <c r="E563" s="226"/>
    </row>
    <row r="564" spans="2:5">
      <c r="B564" s="1032"/>
      <c r="C564" s="1032"/>
      <c r="E564" s="226"/>
    </row>
    <row r="565" spans="2:5">
      <c r="B565" s="1032"/>
      <c r="C565" s="1032"/>
      <c r="E565" s="226"/>
    </row>
    <row r="566" spans="2:5">
      <c r="B566" s="1032"/>
      <c r="C566" s="1032"/>
      <c r="E566" s="226"/>
    </row>
    <row r="567" spans="2:5">
      <c r="B567" s="1032"/>
      <c r="C567" s="1032"/>
      <c r="E567" s="226"/>
    </row>
    <row r="568" spans="2:5">
      <c r="B568" s="1032"/>
      <c r="C568" s="1032"/>
      <c r="E568" s="226"/>
    </row>
    <row r="569" spans="2:5">
      <c r="B569" s="1032"/>
      <c r="C569" s="1032"/>
      <c r="E569" s="226"/>
    </row>
    <row r="570" spans="2:5">
      <c r="E570" s="226"/>
    </row>
    <row r="571" spans="2:5">
      <c r="E571" s="226"/>
    </row>
    <row r="572" spans="2:5">
      <c r="E572" s="226"/>
    </row>
    <row r="573" spans="2:5">
      <c r="E573" s="226"/>
    </row>
    <row r="574" spans="2:5">
      <c r="E574" s="226"/>
    </row>
    <row r="575" spans="2:5">
      <c r="E575" s="226"/>
    </row>
    <row r="576" spans="2:5">
      <c r="E576" s="226"/>
    </row>
    <row r="577" spans="5:5">
      <c r="E577" s="226"/>
    </row>
    <row r="578" spans="5:5">
      <c r="E578" s="226"/>
    </row>
    <row r="579" spans="5:5">
      <c r="E579" s="226"/>
    </row>
    <row r="580" spans="5:5">
      <c r="E580" s="226"/>
    </row>
    <row r="581" spans="5:5">
      <c r="E581" s="226"/>
    </row>
    <row r="582" spans="5:5">
      <c r="E582" s="226"/>
    </row>
    <row r="583" spans="5:5">
      <c r="E583" s="226"/>
    </row>
    <row r="584" spans="5:5">
      <c r="E584" s="226"/>
    </row>
    <row r="585" spans="5:5">
      <c r="E585" s="226"/>
    </row>
    <row r="586" spans="5:5">
      <c r="E586" s="226"/>
    </row>
    <row r="587" spans="5:5">
      <c r="E587" s="226"/>
    </row>
    <row r="588" spans="5:5">
      <c r="E588" s="226"/>
    </row>
    <row r="589" spans="5:5">
      <c r="E589" s="226"/>
    </row>
    <row r="590" spans="5:5">
      <c r="E590" s="226"/>
    </row>
    <row r="591" spans="5:5">
      <c r="E591" s="226"/>
    </row>
    <row r="592" spans="5:5">
      <c r="E592" s="226"/>
    </row>
    <row r="593" spans="5:5">
      <c r="E593" s="226"/>
    </row>
    <row r="594" spans="5:5">
      <c r="E594" s="226"/>
    </row>
    <row r="595" spans="5:5">
      <c r="E595" s="226"/>
    </row>
    <row r="596" spans="5:5">
      <c r="E596" s="226"/>
    </row>
    <row r="597" spans="5:5">
      <c r="E597" s="226"/>
    </row>
    <row r="598" spans="5:5">
      <c r="E598" s="226"/>
    </row>
    <row r="599" spans="5:5">
      <c r="E599" s="226"/>
    </row>
    <row r="600" spans="5:5">
      <c r="E600" s="226"/>
    </row>
    <row r="601" spans="5:5">
      <c r="E601" s="226"/>
    </row>
    <row r="602" spans="5:5">
      <c r="E602" s="226"/>
    </row>
    <row r="603" spans="5:5">
      <c r="E603" s="226"/>
    </row>
    <row r="604" spans="5:5">
      <c r="E604" s="226"/>
    </row>
    <row r="605" spans="5:5">
      <c r="E605" s="226"/>
    </row>
    <row r="606" spans="5:5">
      <c r="E606" s="226"/>
    </row>
    <row r="607" spans="5:5">
      <c r="E607" s="226"/>
    </row>
    <row r="608" spans="5:5">
      <c r="E608" s="226"/>
    </row>
    <row r="609" spans="5:5">
      <c r="E609" s="226"/>
    </row>
    <row r="610" spans="5:5">
      <c r="E610" s="226"/>
    </row>
    <row r="611" spans="5:5">
      <c r="E611" s="226"/>
    </row>
    <row r="612" spans="5:5">
      <c r="E612" s="226"/>
    </row>
    <row r="613" spans="5:5">
      <c r="E613" s="226"/>
    </row>
    <row r="614" spans="5:5">
      <c r="E614" s="226"/>
    </row>
    <row r="615" spans="5:5">
      <c r="E615" s="226"/>
    </row>
    <row r="616" spans="5:5">
      <c r="E616" s="226"/>
    </row>
    <row r="617" spans="5:5">
      <c r="E617" s="226"/>
    </row>
    <row r="618" spans="5:5">
      <c r="E618" s="226"/>
    </row>
    <row r="619" spans="5:5">
      <c r="E619" s="226"/>
    </row>
    <row r="620" spans="5:5">
      <c r="E620" s="226"/>
    </row>
    <row r="621" spans="5:5">
      <c r="E621" s="226"/>
    </row>
    <row r="622" spans="5:5">
      <c r="E622" s="226"/>
    </row>
    <row r="623" spans="5:5">
      <c r="E623" s="226"/>
    </row>
    <row r="624" spans="5:5">
      <c r="E624" s="226"/>
    </row>
    <row r="625" spans="5:5">
      <c r="E625" s="226"/>
    </row>
    <row r="626" spans="5:5">
      <c r="E626" s="226"/>
    </row>
    <row r="627" spans="5:5">
      <c r="E627" s="226"/>
    </row>
    <row r="628" spans="5:5">
      <c r="E628" s="226"/>
    </row>
    <row r="629" spans="5:5">
      <c r="E629" s="226"/>
    </row>
    <row r="630" spans="5:5">
      <c r="E630" s="226"/>
    </row>
    <row r="631" spans="5:5">
      <c r="E631" s="226"/>
    </row>
    <row r="632" spans="5:5">
      <c r="E632" s="226"/>
    </row>
    <row r="633" spans="5:5">
      <c r="E633" s="226"/>
    </row>
    <row r="634" spans="5:5">
      <c r="E634" s="226"/>
    </row>
    <row r="635" spans="5:5">
      <c r="E635" s="226"/>
    </row>
    <row r="636" spans="5:5">
      <c r="E636" s="226"/>
    </row>
    <row r="637" spans="5:5">
      <c r="E637" s="226"/>
    </row>
    <row r="638" spans="5:5">
      <c r="E638" s="226"/>
    </row>
    <row r="639" spans="5:5">
      <c r="E639" s="226"/>
    </row>
    <row r="640" spans="5:5">
      <c r="E640" s="226"/>
    </row>
    <row r="641" spans="5:5">
      <c r="E641" s="226"/>
    </row>
    <row r="642" spans="5:5">
      <c r="E642" s="226"/>
    </row>
    <row r="643" spans="5:5">
      <c r="E643" s="226"/>
    </row>
    <row r="644" spans="5:5">
      <c r="E644" s="226"/>
    </row>
    <row r="645" spans="5:5">
      <c r="E645" s="226"/>
    </row>
    <row r="646" spans="5:5">
      <c r="E646" s="226"/>
    </row>
    <row r="647" spans="5:5">
      <c r="E647" s="226"/>
    </row>
    <row r="648" spans="5:5">
      <c r="E648" s="226"/>
    </row>
    <row r="649" spans="5:5">
      <c r="E649" s="226"/>
    </row>
    <row r="650" spans="5:5">
      <c r="E650" s="226"/>
    </row>
    <row r="651" spans="5:5">
      <c r="E651" s="226"/>
    </row>
    <row r="652" spans="5:5">
      <c r="E652" s="226"/>
    </row>
    <row r="653" spans="5:5">
      <c r="E653" s="226"/>
    </row>
    <row r="654" spans="5:5">
      <c r="E654" s="226"/>
    </row>
    <row r="655" spans="5:5">
      <c r="E655" s="226"/>
    </row>
    <row r="656" spans="5:5">
      <c r="E656" s="226"/>
    </row>
    <row r="657" spans="5:5">
      <c r="E657" s="226"/>
    </row>
    <row r="658" spans="5:5">
      <c r="E658" s="226"/>
    </row>
    <row r="659" spans="5:5">
      <c r="E659" s="226"/>
    </row>
    <row r="660" spans="5:5">
      <c r="E660" s="226"/>
    </row>
    <row r="661" spans="5:5">
      <c r="E661" s="226"/>
    </row>
  </sheetData>
  <autoFilter ref="B10:D169" xr:uid="{00000000-0009-0000-0000-000014000000}">
    <filterColumn colId="0" showButton="0">
      <filters>
        <filter val="FEBRERO 6 (2)"/>
      </filters>
    </filterColumn>
  </autoFilter>
  <mergeCells count="566">
    <mergeCell ref="J3:K3"/>
    <mergeCell ref="J2:K2"/>
    <mergeCell ref="B566:C566"/>
    <mergeCell ref="B567:C567"/>
    <mergeCell ref="B568:C568"/>
    <mergeCell ref="B569:C569"/>
    <mergeCell ref="B561:C561"/>
    <mergeCell ref="B562:C562"/>
    <mergeCell ref="B563:C563"/>
    <mergeCell ref="B564:C564"/>
    <mergeCell ref="B565:C565"/>
    <mergeCell ref="B556:C556"/>
    <mergeCell ref="B557:C557"/>
    <mergeCell ref="B558:C558"/>
    <mergeCell ref="B559:C559"/>
    <mergeCell ref="B560:C560"/>
    <mergeCell ref="B551:C551"/>
    <mergeCell ref="B552:C552"/>
    <mergeCell ref="B553:C553"/>
    <mergeCell ref="B554:C554"/>
    <mergeCell ref="B555:C555"/>
    <mergeCell ref="B546:C546"/>
    <mergeCell ref="B547:C547"/>
    <mergeCell ref="B548:C548"/>
    <mergeCell ref="B549:C549"/>
    <mergeCell ref="B550:C550"/>
    <mergeCell ref="B541:C541"/>
    <mergeCell ref="B542:C542"/>
    <mergeCell ref="B543:C543"/>
    <mergeCell ref="B544:C544"/>
    <mergeCell ref="B545:C545"/>
    <mergeCell ref="B536:C536"/>
    <mergeCell ref="B537:C537"/>
    <mergeCell ref="B538:C538"/>
    <mergeCell ref="B539:C539"/>
    <mergeCell ref="B540:C540"/>
    <mergeCell ref="B531:C531"/>
    <mergeCell ref="B532:C532"/>
    <mergeCell ref="B533:C533"/>
    <mergeCell ref="B534:C534"/>
    <mergeCell ref="B535:C535"/>
    <mergeCell ref="B526:C526"/>
    <mergeCell ref="B527:C527"/>
    <mergeCell ref="B528:C528"/>
    <mergeCell ref="B529:C529"/>
    <mergeCell ref="B530:C530"/>
    <mergeCell ref="B521:C521"/>
    <mergeCell ref="B522:C522"/>
    <mergeCell ref="B523:C523"/>
    <mergeCell ref="B524:C524"/>
    <mergeCell ref="B525:C525"/>
    <mergeCell ref="B516:C516"/>
    <mergeCell ref="B517:C517"/>
    <mergeCell ref="B518:C518"/>
    <mergeCell ref="B519:C519"/>
    <mergeCell ref="B520:C520"/>
    <mergeCell ref="B511:C511"/>
    <mergeCell ref="B512:C512"/>
    <mergeCell ref="B513:C513"/>
    <mergeCell ref="B514:C514"/>
    <mergeCell ref="B515:C515"/>
    <mergeCell ref="B506:C506"/>
    <mergeCell ref="B507:C507"/>
    <mergeCell ref="B508:C508"/>
    <mergeCell ref="B509:C509"/>
    <mergeCell ref="B510:C510"/>
    <mergeCell ref="B501:C501"/>
    <mergeCell ref="B502:C502"/>
    <mergeCell ref="B503:C503"/>
    <mergeCell ref="B504:C504"/>
    <mergeCell ref="B505:C505"/>
    <mergeCell ref="B496:C496"/>
    <mergeCell ref="B497:C497"/>
    <mergeCell ref="B498:C498"/>
    <mergeCell ref="B499:C499"/>
    <mergeCell ref="B500:C500"/>
    <mergeCell ref="B491:C491"/>
    <mergeCell ref="B492:C492"/>
    <mergeCell ref="B493:C493"/>
    <mergeCell ref="B494:C494"/>
    <mergeCell ref="B495:C495"/>
    <mergeCell ref="B486:C486"/>
    <mergeCell ref="B487:C487"/>
    <mergeCell ref="B488:C488"/>
    <mergeCell ref="B489:C489"/>
    <mergeCell ref="B490:C490"/>
    <mergeCell ref="B481:C481"/>
    <mergeCell ref="B482:C482"/>
    <mergeCell ref="B483:C483"/>
    <mergeCell ref="B484:C484"/>
    <mergeCell ref="B485:C485"/>
    <mergeCell ref="B476:C476"/>
    <mergeCell ref="B477:C477"/>
    <mergeCell ref="B478:C478"/>
    <mergeCell ref="B479:C479"/>
    <mergeCell ref="B480:C480"/>
    <mergeCell ref="B471:C471"/>
    <mergeCell ref="B472:C472"/>
    <mergeCell ref="B473:C473"/>
    <mergeCell ref="B474:C474"/>
    <mergeCell ref="B475:C475"/>
    <mergeCell ref="B466:C466"/>
    <mergeCell ref="B467:C467"/>
    <mergeCell ref="B468:C468"/>
    <mergeCell ref="B469:C469"/>
    <mergeCell ref="B470:C470"/>
    <mergeCell ref="B461:C461"/>
    <mergeCell ref="B462:C462"/>
    <mergeCell ref="B463:C463"/>
    <mergeCell ref="B464:C464"/>
    <mergeCell ref="B465:C465"/>
    <mergeCell ref="B456:C456"/>
    <mergeCell ref="B457:C457"/>
    <mergeCell ref="B458:C458"/>
    <mergeCell ref="B459:C459"/>
    <mergeCell ref="B460:C460"/>
    <mergeCell ref="B451:C451"/>
    <mergeCell ref="B452:C452"/>
    <mergeCell ref="B453:C453"/>
    <mergeCell ref="B454:C454"/>
    <mergeCell ref="B455:C455"/>
    <mergeCell ref="B446:C446"/>
    <mergeCell ref="B447:C447"/>
    <mergeCell ref="B448:C448"/>
    <mergeCell ref="B449:C449"/>
    <mergeCell ref="B450:C450"/>
    <mergeCell ref="B441:C441"/>
    <mergeCell ref="B442:C442"/>
    <mergeCell ref="B443:C443"/>
    <mergeCell ref="B444:C444"/>
    <mergeCell ref="B445:C445"/>
    <mergeCell ref="B436:C436"/>
    <mergeCell ref="B437:C437"/>
    <mergeCell ref="B438:C438"/>
    <mergeCell ref="B439:C439"/>
    <mergeCell ref="B440:C440"/>
    <mergeCell ref="B431:C431"/>
    <mergeCell ref="B432:C432"/>
    <mergeCell ref="B433:C433"/>
    <mergeCell ref="B434:C434"/>
    <mergeCell ref="B435:C435"/>
    <mergeCell ref="B426:C426"/>
    <mergeCell ref="B427:C427"/>
    <mergeCell ref="B428:C428"/>
    <mergeCell ref="B429:C429"/>
    <mergeCell ref="B430:C430"/>
    <mergeCell ref="B421:C421"/>
    <mergeCell ref="B422:C422"/>
    <mergeCell ref="B423:C423"/>
    <mergeCell ref="B424:C424"/>
    <mergeCell ref="B425:C425"/>
    <mergeCell ref="B416:C416"/>
    <mergeCell ref="B417:C417"/>
    <mergeCell ref="B418:C418"/>
    <mergeCell ref="B419:C419"/>
    <mergeCell ref="B420:C420"/>
    <mergeCell ref="B411:C411"/>
    <mergeCell ref="B412:C412"/>
    <mergeCell ref="B413:C413"/>
    <mergeCell ref="B414:C414"/>
    <mergeCell ref="B415:C415"/>
    <mergeCell ref="B406:C406"/>
    <mergeCell ref="B407:C407"/>
    <mergeCell ref="B408:C408"/>
    <mergeCell ref="B409:C409"/>
    <mergeCell ref="B410:C410"/>
    <mergeCell ref="B401:C401"/>
    <mergeCell ref="B402:C402"/>
    <mergeCell ref="B403:C403"/>
    <mergeCell ref="B404:C404"/>
    <mergeCell ref="B405:C405"/>
    <mergeCell ref="B396:C396"/>
    <mergeCell ref="B397:C397"/>
    <mergeCell ref="B398:C398"/>
    <mergeCell ref="B399:C399"/>
    <mergeCell ref="B400:C400"/>
    <mergeCell ref="B391:C391"/>
    <mergeCell ref="B392:C392"/>
    <mergeCell ref="B393:C393"/>
    <mergeCell ref="B394:C394"/>
    <mergeCell ref="B395:C395"/>
    <mergeCell ref="B386:C386"/>
    <mergeCell ref="B387:C387"/>
    <mergeCell ref="B388:C388"/>
    <mergeCell ref="B389:C389"/>
    <mergeCell ref="B390:C390"/>
    <mergeCell ref="B381:C381"/>
    <mergeCell ref="B382:C382"/>
    <mergeCell ref="B383:C383"/>
    <mergeCell ref="B384:C384"/>
    <mergeCell ref="B385:C385"/>
    <mergeCell ref="B376:C376"/>
    <mergeCell ref="B377:C377"/>
    <mergeCell ref="B378:C378"/>
    <mergeCell ref="B379:C379"/>
    <mergeCell ref="B380:C380"/>
    <mergeCell ref="B371:C371"/>
    <mergeCell ref="B372:C372"/>
    <mergeCell ref="B373:C373"/>
    <mergeCell ref="B374:C374"/>
    <mergeCell ref="B375:C375"/>
    <mergeCell ref="B366:C366"/>
    <mergeCell ref="B367:C367"/>
    <mergeCell ref="B368:C368"/>
    <mergeCell ref="B369:C369"/>
    <mergeCell ref="B370:C370"/>
    <mergeCell ref="B361:C361"/>
    <mergeCell ref="B362:C362"/>
    <mergeCell ref="B363:C363"/>
    <mergeCell ref="B364:C364"/>
    <mergeCell ref="B365:C365"/>
    <mergeCell ref="B356:C356"/>
    <mergeCell ref="B357:C357"/>
    <mergeCell ref="B358:C358"/>
    <mergeCell ref="B359:C359"/>
    <mergeCell ref="B360:C360"/>
    <mergeCell ref="B351:C351"/>
    <mergeCell ref="B352:C352"/>
    <mergeCell ref="B353:C353"/>
    <mergeCell ref="B354:C354"/>
    <mergeCell ref="B355:C355"/>
    <mergeCell ref="B346:C346"/>
    <mergeCell ref="B347:C347"/>
    <mergeCell ref="B348:C348"/>
    <mergeCell ref="B349:C349"/>
    <mergeCell ref="B350:C350"/>
    <mergeCell ref="B341:C341"/>
    <mergeCell ref="B342:C342"/>
    <mergeCell ref="B343:C343"/>
    <mergeCell ref="B344:C344"/>
    <mergeCell ref="B345:C345"/>
    <mergeCell ref="B336:C336"/>
    <mergeCell ref="B337:C337"/>
    <mergeCell ref="B338:C338"/>
    <mergeCell ref="B339:C339"/>
    <mergeCell ref="B340:C340"/>
    <mergeCell ref="B331:C331"/>
    <mergeCell ref="B332:C332"/>
    <mergeCell ref="B333:C333"/>
    <mergeCell ref="B334:C334"/>
    <mergeCell ref="B335:C335"/>
    <mergeCell ref="B326:C326"/>
    <mergeCell ref="B327:C327"/>
    <mergeCell ref="B328:C328"/>
    <mergeCell ref="B329:C329"/>
    <mergeCell ref="B330:C330"/>
    <mergeCell ref="B321:C321"/>
    <mergeCell ref="B322:C322"/>
    <mergeCell ref="B323:C323"/>
    <mergeCell ref="B324:C324"/>
    <mergeCell ref="B325:C325"/>
    <mergeCell ref="B316:C316"/>
    <mergeCell ref="B317:C317"/>
    <mergeCell ref="B318:C318"/>
    <mergeCell ref="B319:C319"/>
    <mergeCell ref="B320:C320"/>
    <mergeCell ref="B311:C311"/>
    <mergeCell ref="B312:C312"/>
    <mergeCell ref="B313:C313"/>
    <mergeCell ref="B314:C314"/>
    <mergeCell ref="B315:C315"/>
    <mergeCell ref="B306:C306"/>
    <mergeCell ref="B307:C307"/>
    <mergeCell ref="B308:C308"/>
    <mergeCell ref="B309:C309"/>
    <mergeCell ref="B310:C310"/>
    <mergeCell ref="B301:C301"/>
    <mergeCell ref="B302:C302"/>
    <mergeCell ref="B303:C303"/>
    <mergeCell ref="B304:C304"/>
    <mergeCell ref="B305:C305"/>
    <mergeCell ref="B296:C296"/>
    <mergeCell ref="B297:C297"/>
    <mergeCell ref="B298:C298"/>
    <mergeCell ref="B299:C299"/>
    <mergeCell ref="B300:C300"/>
    <mergeCell ref="B291:C291"/>
    <mergeCell ref="B292:C292"/>
    <mergeCell ref="B293:C293"/>
    <mergeCell ref="B294:C294"/>
    <mergeCell ref="B295:C295"/>
    <mergeCell ref="B286:C286"/>
    <mergeCell ref="B287:C287"/>
    <mergeCell ref="B288:C288"/>
    <mergeCell ref="B289:C289"/>
    <mergeCell ref="B290:C290"/>
    <mergeCell ref="B281:C281"/>
    <mergeCell ref="B282:C282"/>
    <mergeCell ref="B283:C283"/>
    <mergeCell ref="B284:C284"/>
    <mergeCell ref="B285:C285"/>
    <mergeCell ref="B276:C276"/>
    <mergeCell ref="B277:C277"/>
    <mergeCell ref="B278:C278"/>
    <mergeCell ref="B279:C279"/>
    <mergeCell ref="B280:C280"/>
    <mergeCell ref="B271:C271"/>
    <mergeCell ref="B272:C272"/>
    <mergeCell ref="B273:C273"/>
    <mergeCell ref="B274:C274"/>
    <mergeCell ref="B275:C275"/>
    <mergeCell ref="B266:C266"/>
    <mergeCell ref="B267:C267"/>
    <mergeCell ref="B268:C268"/>
    <mergeCell ref="B269:C269"/>
    <mergeCell ref="B270:C270"/>
    <mergeCell ref="B261:C261"/>
    <mergeCell ref="B262:C262"/>
    <mergeCell ref="B263:C263"/>
    <mergeCell ref="B264:C264"/>
    <mergeCell ref="B265:C265"/>
    <mergeCell ref="B256:C256"/>
    <mergeCell ref="B257:C257"/>
    <mergeCell ref="B258:C258"/>
    <mergeCell ref="B259:C259"/>
    <mergeCell ref="B260:C260"/>
    <mergeCell ref="B251:C251"/>
    <mergeCell ref="B252:C252"/>
    <mergeCell ref="B253:C253"/>
    <mergeCell ref="B254:C254"/>
    <mergeCell ref="B255:C255"/>
    <mergeCell ref="B246:C246"/>
    <mergeCell ref="B247:C247"/>
    <mergeCell ref="B248:C248"/>
    <mergeCell ref="B249:C249"/>
    <mergeCell ref="B250:C250"/>
    <mergeCell ref="B241:C241"/>
    <mergeCell ref="B242:C242"/>
    <mergeCell ref="B243:C243"/>
    <mergeCell ref="B244:C244"/>
    <mergeCell ref="B245:C245"/>
    <mergeCell ref="B236:C236"/>
    <mergeCell ref="B237:C237"/>
    <mergeCell ref="B238:C238"/>
    <mergeCell ref="B239:C239"/>
    <mergeCell ref="B240:C240"/>
    <mergeCell ref="B231:C231"/>
    <mergeCell ref="B232:C232"/>
    <mergeCell ref="B233:C233"/>
    <mergeCell ref="B234:C234"/>
    <mergeCell ref="B235:C235"/>
    <mergeCell ref="B226:C226"/>
    <mergeCell ref="B227:C227"/>
    <mergeCell ref="B228:C228"/>
    <mergeCell ref="B229:C229"/>
    <mergeCell ref="B230:C230"/>
    <mergeCell ref="B221:C221"/>
    <mergeCell ref="B222:C222"/>
    <mergeCell ref="B223:C223"/>
    <mergeCell ref="B224:C224"/>
    <mergeCell ref="B225:C225"/>
    <mergeCell ref="B216:C216"/>
    <mergeCell ref="B217:C217"/>
    <mergeCell ref="B218:C218"/>
    <mergeCell ref="B219:C219"/>
    <mergeCell ref="B220:C220"/>
    <mergeCell ref="B211:C211"/>
    <mergeCell ref="B212:C212"/>
    <mergeCell ref="B213:C213"/>
    <mergeCell ref="B214:C214"/>
    <mergeCell ref="B215:C215"/>
    <mergeCell ref="B206:C206"/>
    <mergeCell ref="B207:C207"/>
    <mergeCell ref="B208:C208"/>
    <mergeCell ref="B209:C209"/>
    <mergeCell ref="B210:C210"/>
    <mergeCell ref="B201:C201"/>
    <mergeCell ref="B202:C202"/>
    <mergeCell ref="B203:C203"/>
    <mergeCell ref="B204:C204"/>
    <mergeCell ref="B205:C205"/>
    <mergeCell ref="B196:C196"/>
    <mergeCell ref="B197:C197"/>
    <mergeCell ref="B198:C198"/>
    <mergeCell ref="B199:C199"/>
    <mergeCell ref="B200:C200"/>
    <mergeCell ref="B191:C191"/>
    <mergeCell ref="B192:C192"/>
    <mergeCell ref="B193:C193"/>
    <mergeCell ref="B194:C194"/>
    <mergeCell ref="B195:C195"/>
    <mergeCell ref="B186:C186"/>
    <mergeCell ref="B187:C187"/>
    <mergeCell ref="B188:C188"/>
    <mergeCell ref="B189:C189"/>
    <mergeCell ref="B190:C190"/>
    <mergeCell ref="B181:C181"/>
    <mergeCell ref="B182:C182"/>
    <mergeCell ref="B183:C183"/>
    <mergeCell ref="B184:C184"/>
    <mergeCell ref="B185:C185"/>
    <mergeCell ref="B176:C176"/>
    <mergeCell ref="B177:C177"/>
    <mergeCell ref="B178:C178"/>
    <mergeCell ref="B179:C179"/>
    <mergeCell ref="B180:C180"/>
    <mergeCell ref="B171:C171"/>
    <mergeCell ref="B172:C172"/>
    <mergeCell ref="B173:C173"/>
    <mergeCell ref="B174:C174"/>
    <mergeCell ref="B175:C175"/>
    <mergeCell ref="B166:C166"/>
    <mergeCell ref="B167:C167"/>
    <mergeCell ref="B168:C168"/>
    <mergeCell ref="B169:C169"/>
    <mergeCell ref="B170:C170"/>
    <mergeCell ref="B161:C161"/>
    <mergeCell ref="B162:C162"/>
    <mergeCell ref="B163:C163"/>
    <mergeCell ref="B164:C164"/>
    <mergeCell ref="B165:C165"/>
    <mergeCell ref="B156:C156"/>
    <mergeCell ref="B157:C157"/>
    <mergeCell ref="B158:C158"/>
    <mergeCell ref="B159:C159"/>
    <mergeCell ref="B160:C160"/>
    <mergeCell ref="B151:C151"/>
    <mergeCell ref="B152:C152"/>
    <mergeCell ref="B153:C153"/>
    <mergeCell ref="B154:C154"/>
    <mergeCell ref="B155:C155"/>
    <mergeCell ref="B146:C146"/>
    <mergeCell ref="B147:C147"/>
    <mergeCell ref="B148:C148"/>
    <mergeCell ref="B149:C149"/>
    <mergeCell ref="B150:C150"/>
    <mergeCell ref="B141:C141"/>
    <mergeCell ref="B142:C142"/>
    <mergeCell ref="B143:C143"/>
    <mergeCell ref="B144:C144"/>
    <mergeCell ref="B145:C145"/>
    <mergeCell ref="B136:C136"/>
    <mergeCell ref="B137:C137"/>
    <mergeCell ref="B138:C138"/>
    <mergeCell ref="B139:C139"/>
    <mergeCell ref="B140:C140"/>
    <mergeCell ref="B131:C131"/>
    <mergeCell ref="B132:C132"/>
    <mergeCell ref="B133:C133"/>
    <mergeCell ref="B134:C134"/>
    <mergeCell ref="B135:C135"/>
    <mergeCell ref="B126:C126"/>
    <mergeCell ref="B127:C127"/>
    <mergeCell ref="B128:C128"/>
    <mergeCell ref="B129:C129"/>
    <mergeCell ref="B130:C130"/>
    <mergeCell ref="B121:C121"/>
    <mergeCell ref="B122:C122"/>
    <mergeCell ref="B123:C123"/>
    <mergeCell ref="B124:C124"/>
    <mergeCell ref="B125:C125"/>
    <mergeCell ref="B116:C116"/>
    <mergeCell ref="B117:C117"/>
    <mergeCell ref="B118:C118"/>
    <mergeCell ref="B119:C119"/>
    <mergeCell ref="B120:C120"/>
    <mergeCell ref="B111:C111"/>
    <mergeCell ref="B112:C112"/>
    <mergeCell ref="B113:C113"/>
    <mergeCell ref="B114:C114"/>
    <mergeCell ref="B115:C115"/>
    <mergeCell ref="B106:C106"/>
    <mergeCell ref="B107:C107"/>
    <mergeCell ref="B108:C108"/>
    <mergeCell ref="B109:C109"/>
    <mergeCell ref="B110:C110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B99:C99"/>
    <mergeCell ref="B100:C100"/>
    <mergeCell ref="B91:C91"/>
    <mergeCell ref="B92:C92"/>
    <mergeCell ref="B93:C93"/>
    <mergeCell ref="B94:C94"/>
    <mergeCell ref="B95:C95"/>
    <mergeCell ref="B86:C86"/>
    <mergeCell ref="B87:C87"/>
    <mergeCell ref="B88:C88"/>
    <mergeCell ref="B89:C89"/>
    <mergeCell ref="B90:C90"/>
    <mergeCell ref="B81:C81"/>
    <mergeCell ref="B82:C82"/>
    <mergeCell ref="B83:C83"/>
    <mergeCell ref="B84:C84"/>
    <mergeCell ref="B85:C85"/>
    <mergeCell ref="B76:C76"/>
    <mergeCell ref="B77:C77"/>
    <mergeCell ref="B78:C78"/>
    <mergeCell ref="B79:C79"/>
    <mergeCell ref="B80:C80"/>
    <mergeCell ref="B71:C71"/>
    <mergeCell ref="B72:C72"/>
    <mergeCell ref="B73:C73"/>
    <mergeCell ref="B74:C74"/>
    <mergeCell ref="B75:C75"/>
    <mergeCell ref="B67:C67"/>
    <mergeCell ref="B68:C68"/>
    <mergeCell ref="B69:C69"/>
    <mergeCell ref="B70:C70"/>
    <mergeCell ref="B62:C62"/>
    <mergeCell ref="B63:C63"/>
    <mergeCell ref="B64:C64"/>
    <mergeCell ref="B65:C65"/>
    <mergeCell ref="B66:C66"/>
    <mergeCell ref="B57:C57"/>
    <mergeCell ref="B58:C58"/>
    <mergeCell ref="B59:C59"/>
    <mergeCell ref="B60:C60"/>
    <mergeCell ref="B61:C61"/>
    <mergeCell ref="B52:C52"/>
    <mergeCell ref="B53:C53"/>
    <mergeCell ref="B54:C54"/>
    <mergeCell ref="B55:C55"/>
    <mergeCell ref="B56:C56"/>
    <mergeCell ref="B2:F2"/>
    <mergeCell ref="H2:H3"/>
    <mergeCell ref="B3:F3"/>
    <mergeCell ref="C4:E4"/>
    <mergeCell ref="B41:C41"/>
    <mergeCell ref="B10:C10"/>
    <mergeCell ref="B11:C11"/>
    <mergeCell ref="B12:C12"/>
    <mergeCell ref="B13:C13"/>
    <mergeCell ref="B14:C14"/>
    <mergeCell ref="B15:C15"/>
    <mergeCell ref="B16:C16"/>
    <mergeCell ref="B17:C17"/>
    <mergeCell ref="B22:C22"/>
    <mergeCell ref="B23:C23"/>
    <mergeCell ref="B24:C24"/>
    <mergeCell ref="B18:C18"/>
    <mergeCell ref="B19:C19"/>
    <mergeCell ref="B20:C20"/>
    <mergeCell ref="B21:C21"/>
    <mergeCell ref="B25:C25"/>
    <mergeCell ref="B26:C26"/>
    <mergeCell ref="B27:C27"/>
    <mergeCell ref="B28:C28"/>
    <mergeCell ref="B29:C29"/>
    <mergeCell ref="B42:C42"/>
    <mergeCell ref="B32:C32"/>
    <mergeCell ref="B33:C33"/>
    <mergeCell ref="B34:C34"/>
    <mergeCell ref="B35:C35"/>
    <mergeCell ref="B36:C36"/>
    <mergeCell ref="B37:C37"/>
    <mergeCell ref="B38:C38"/>
    <mergeCell ref="B39:C39"/>
    <mergeCell ref="B40:C40"/>
    <mergeCell ref="B30:C30"/>
    <mergeCell ref="B31:C31"/>
    <mergeCell ref="B49:C49"/>
    <mergeCell ref="B50:C50"/>
    <mergeCell ref="B51:C51"/>
    <mergeCell ref="B43:C43"/>
    <mergeCell ref="B44:C44"/>
    <mergeCell ref="B45:C45"/>
    <mergeCell ref="B46:C46"/>
    <mergeCell ref="B47:C47"/>
    <mergeCell ref="B48:C48"/>
  </mergeCells>
  <conditionalFormatting sqref="F11:F30">
    <cfRule type="cellIs" dxfId="83" priority="33" operator="equal">
      <formula>"AVANZADO"</formula>
    </cfRule>
    <cfRule type="cellIs" dxfId="82" priority="34" operator="equal">
      <formula>"INTERMEDIO"</formula>
    </cfRule>
    <cfRule type="cellIs" dxfId="81" priority="35" operator="equal">
      <formula>"INICIAL"</formula>
    </cfRule>
  </conditionalFormatting>
  <conditionalFormatting sqref="D9">
    <cfRule type="cellIs" dxfId="80" priority="8" operator="lessThan">
      <formula>7</formula>
    </cfRule>
    <cfRule type="cellIs" dxfId="79" priority="9" operator="lessThan">
      <formula>5</formula>
    </cfRule>
  </conditionalFormatting>
  <conditionalFormatting sqref="J3">
    <cfRule type="dataBar" priority="1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{5C9C8C08-72D5-4E3C-AE49-F77F47241F18}</x14:id>
        </ext>
      </extLst>
    </cfRule>
  </conditionalFormatting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0" r:id="rId4" name="Check Box 4">
              <controlPr defaultSize="0" autoFill="0" autoLine="0" autoPict="0">
                <anchor moveWithCells="1">
                  <from>
                    <xdr:col>10</xdr:col>
                    <xdr:colOff>9525</xdr:colOff>
                    <xdr:row>5</xdr:row>
                    <xdr:rowOff>238125</xdr:rowOff>
                  </from>
                  <to>
                    <xdr:col>10</xdr:col>
                    <xdr:colOff>314325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Check Box 5">
              <controlPr defaultSize="0" autoFill="0" autoLine="0" autoPict="0">
                <anchor moveWithCells="1">
                  <from>
                    <xdr:col>10</xdr:col>
                    <xdr:colOff>9525</xdr:colOff>
                    <xdr:row>6</xdr:row>
                    <xdr:rowOff>238125</xdr:rowOff>
                  </from>
                  <to>
                    <xdr:col>10</xdr:col>
                    <xdr:colOff>314325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6" name="Check Box 7">
              <controlPr defaultSize="0" autoFill="0" autoLine="0" autoPict="0">
                <anchor moveWithCells="1">
                  <from>
                    <xdr:col>10</xdr:col>
                    <xdr:colOff>9525</xdr:colOff>
                    <xdr:row>3</xdr:row>
                    <xdr:rowOff>0</xdr:rowOff>
                  </from>
                  <to>
                    <xdr:col>10</xdr:col>
                    <xdr:colOff>314325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7" name="Check Box 8">
              <controlPr defaultSize="0" autoFill="0" autoLine="0" autoPict="0">
                <anchor moveWithCells="1">
                  <from>
                    <xdr:col>10</xdr:col>
                    <xdr:colOff>9525</xdr:colOff>
                    <xdr:row>3</xdr:row>
                    <xdr:rowOff>238125</xdr:rowOff>
                  </from>
                  <to>
                    <xdr:col>10</xdr:col>
                    <xdr:colOff>314325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8" name="Check Box 9">
              <controlPr defaultSize="0" autoFill="0" autoLine="0" autoPict="0">
                <anchor moveWithCells="1">
                  <from>
                    <xdr:col>10</xdr:col>
                    <xdr:colOff>9525</xdr:colOff>
                    <xdr:row>4</xdr:row>
                    <xdr:rowOff>238125</xdr:rowOff>
                  </from>
                  <to>
                    <xdr:col>10</xdr:col>
                    <xdr:colOff>314325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9" name="Check Box 10">
              <controlPr defaultSize="0" autoFill="0" autoLine="0" autoPict="0">
                <anchor moveWithCells="1">
                  <from>
                    <xdr:col>10</xdr:col>
                    <xdr:colOff>9525</xdr:colOff>
                    <xdr:row>7</xdr:row>
                    <xdr:rowOff>238125</xdr:rowOff>
                  </from>
                  <to>
                    <xdr:col>10</xdr:col>
                    <xdr:colOff>314325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C9C8C08-72D5-4E3C-AE49-F77F47241F1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J3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7">
    <tabColor theme="4" tint="-0.249977111117893"/>
  </sheetPr>
  <dimension ref="A1:P37"/>
  <sheetViews>
    <sheetView showGridLines="0" zoomScale="87" zoomScaleNormal="100" workbookViewId="0">
      <selection activeCell="G18" sqref="G18"/>
    </sheetView>
  </sheetViews>
  <sheetFormatPr baseColWidth="10" defaultRowHeight="15"/>
  <cols>
    <col min="1" max="1" width="17.140625" customWidth="1"/>
    <col min="2" max="2" width="12" customWidth="1"/>
    <col min="3" max="3" width="21.140625" customWidth="1"/>
    <col min="4" max="4" width="14.28515625" customWidth="1"/>
    <col min="5" max="5" width="14" customWidth="1"/>
    <col min="6" max="6" width="12.140625" customWidth="1"/>
    <col min="7" max="7" width="13.42578125" customWidth="1"/>
    <col min="8" max="8" width="13" style="102" customWidth="1"/>
    <col min="9" max="10" width="11.42578125" style="102"/>
  </cols>
  <sheetData>
    <row r="1" spans="1:16" ht="8.25" customHeight="1" thickBot="1">
      <c r="J1" s="187"/>
      <c r="K1" s="187"/>
      <c r="L1" s="132"/>
      <c r="M1" s="132"/>
      <c r="N1" s="132"/>
    </row>
    <row r="2" spans="1:16" ht="22.5">
      <c r="A2" s="1067">
        <f>'REGISTRO DATOS'!I3</f>
        <v>0</v>
      </c>
      <c r="B2" s="1067"/>
      <c r="C2" s="1067"/>
      <c r="D2" s="1067"/>
      <c r="E2" s="1067"/>
      <c r="G2" s="1064" t="s">
        <v>72</v>
      </c>
      <c r="J2" s="229"/>
      <c r="K2" s="769"/>
      <c r="L2" s="770"/>
      <c r="M2" s="132"/>
      <c r="N2" s="132"/>
    </row>
    <row r="3" spans="1:16" ht="24" customHeight="1" thickBot="1">
      <c r="A3" s="1020" t="s">
        <v>159</v>
      </c>
      <c r="B3" s="1020"/>
      <c r="C3" s="1020"/>
      <c r="D3" s="1020"/>
      <c r="E3" s="1020"/>
      <c r="G3" s="1065"/>
      <c r="J3" s="230"/>
      <c r="K3" s="770"/>
      <c r="L3" s="770"/>
      <c r="M3" s="132"/>
      <c r="N3" s="132"/>
      <c r="O3" s="1055"/>
      <c r="P3" s="1055"/>
    </row>
    <row r="4" spans="1:16" ht="21" customHeight="1" thickBot="1">
      <c r="A4" s="148" t="s">
        <v>62</v>
      </c>
      <c r="B4" s="1066">
        <f>'REGISTRO DATOS'!I6</f>
        <v>0</v>
      </c>
      <c r="C4" s="1066"/>
      <c r="D4" s="1066"/>
      <c r="E4" s="108"/>
      <c r="G4" s="355">
        <v>1</v>
      </c>
      <c r="J4" s="230"/>
      <c r="K4" s="771" t="b">
        <v>1</v>
      </c>
      <c r="L4" s="770"/>
      <c r="M4" s="132"/>
      <c r="N4" s="132"/>
      <c r="O4" s="1056"/>
      <c r="P4" s="1055"/>
    </row>
    <row r="5" spans="1:16" ht="17.25" customHeight="1">
      <c r="A5" s="588" t="s">
        <v>65</v>
      </c>
      <c r="B5" s="359">
        <f>'REGISTRO DATOS'!I7</f>
        <v>0</v>
      </c>
      <c r="C5" s="589"/>
      <c r="D5" s="589"/>
      <c r="E5" s="108"/>
      <c r="J5" s="230"/>
      <c r="K5" s="771" t="b">
        <v>1</v>
      </c>
      <c r="L5" s="770"/>
      <c r="M5" s="132"/>
      <c r="N5" s="132"/>
      <c r="O5" s="1056"/>
      <c r="P5" s="1055"/>
    </row>
    <row r="6" spans="1:16" ht="15.75">
      <c r="A6" s="148" t="s">
        <v>63</v>
      </c>
      <c r="B6" s="1037" t="str">
        <f>VLOOKUP(G4,'Registro General'!A15:D55,4,FALSE)</f>
        <v>MARIANELA</v>
      </c>
      <c r="C6" s="1037"/>
      <c r="D6" s="781" t="str">
        <f>VLOOKUP(G4,'Registro General'!A15:D55,2,FALSE)</f>
        <v/>
      </c>
      <c r="E6" s="782" t="str">
        <f>VLOOKUP(G4,'Registro General'!A15:D55,3,FALSE)</f>
        <v/>
      </c>
      <c r="I6" s="1060"/>
      <c r="J6" s="1060"/>
      <c r="K6" s="772"/>
      <c r="L6" s="770"/>
      <c r="M6" s="132"/>
      <c r="N6" s="132"/>
    </row>
    <row r="7" spans="1:16" ht="17.25" customHeight="1">
      <c r="A7" s="149" t="s">
        <v>64</v>
      </c>
      <c r="B7" s="348" t="str">
        <f>VLOOKUP(G4,'REGISTRO DATOS'!B13:I52,8,FALSE)</f>
        <v>@est.mep.go.cr</v>
      </c>
      <c r="C7" s="349"/>
      <c r="D7" s="350" t="s">
        <v>66</v>
      </c>
      <c r="E7" s="351">
        <f ca="1">TODAY()</f>
        <v>46178</v>
      </c>
      <c r="I7" s="1061"/>
      <c r="J7" s="1061"/>
      <c r="K7" s="102">
        <f>(SUM(K11:K17)/6)*1</f>
        <v>1</v>
      </c>
      <c r="L7" s="770"/>
      <c r="M7" s="132"/>
      <c r="N7" s="132"/>
    </row>
    <row r="8" spans="1:16" ht="45" customHeight="1" thickBot="1">
      <c r="A8" s="150" t="s">
        <v>67</v>
      </c>
      <c r="B8" s="352">
        <f>'Registro General'!X5</f>
        <v>0</v>
      </c>
      <c r="C8" s="353" t="s">
        <v>96</v>
      </c>
      <c r="D8" s="1054" t="str">
        <f>VLOOKUP(G4,'Registro General'!A16:Z55,26,FALSE)</f>
        <v>Desempeño Impresionante</v>
      </c>
      <c r="E8" s="1054"/>
      <c r="I8" s="244"/>
      <c r="J8" s="245"/>
      <c r="K8" s="194"/>
      <c r="L8" s="770"/>
      <c r="M8" s="132"/>
      <c r="N8" s="132"/>
    </row>
    <row r="9" spans="1:16" ht="14.25" customHeight="1" thickBot="1">
      <c r="A9" s="169"/>
      <c r="B9" s="356" t="s">
        <v>97</v>
      </c>
      <c r="C9" s="356" t="s">
        <v>73</v>
      </c>
      <c r="D9" s="1062" t="s">
        <v>271</v>
      </c>
      <c r="E9" s="1063"/>
      <c r="I9" s="1035" t="s">
        <v>275</v>
      </c>
      <c r="J9" s="1036"/>
      <c r="K9" s="226"/>
      <c r="L9" s="132"/>
      <c r="M9" s="132"/>
      <c r="N9" s="132"/>
    </row>
    <row r="10" spans="1:16" ht="18" customHeight="1" thickBot="1">
      <c r="A10" s="590" t="s">
        <v>272</v>
      </c>
      <c r="B10" s="357">
        <f>'Registro General'!AA15</f>
        <v>0.6</v>
      </c>
      <c r="C10" s="358">
        <f>VLOOKUP(G4,'Registro General'!A13:AG55,27,FALSE)</f>
        <v>60</v>
      </c>
      <c r="D10" s="1057" t="str">
        <f>IF(C10=0,"","Evaluado")</f>
        <v>Evaluado</v>
      </c>
      <c r="E10" s="1057"/>
      <c r="I10" s="1058">
        <f>K7</f>
        <v>1</v>
      </c>
      <c r="J10" s="1059"/>
      <c r="K10" s="226"/>
      <c r="L10" s="132"/>
      <c r="M10" s="132"/>
      <c r="N10" s="132"/>
    </row>
    <row r="11" spans="1:16" ht="17.25" customHeight="1">
      <c r="A11" s="591" t="s">
        <v>106</v>
      </c>
      <c r="B11" s="357">
        <f>'Registro General'!AI15</f>
        <v>0.1</v>
      </c>
      <c r="C11" s="358">
        <f>VLOOKUP(G4,'Registro General'!A13:AJ55,35,FALSE)</f>
        <v>10</v>
      </c>
      <c r="D11" s="1057" t="str">
        <f>IF(C11=0,"","Evaluado")</f>
        <v>Evaluado</v>
      </c>
      <c r="E11" s="1057"/>
      <c r="I11" s="599" t="s">
        <v>197</v>
      </c>
      <c r="J11" s="600" t="b">
        <v>1</v>
      </c>
      <c r="K11" s="226">
        <f t="shared" ref="K11:K17" si="0">IF(J11=TRUE,1,0)</f>
        <v>1</v>
      </c>
      <c r="L11" s="132"/>
      <c r="M11" s="132"/>
    </row>
    <row r="12" spans="1:16" ht="17.25" customHeight="1">
      <c r="A12" s="590" t="s">
        <v>105</v>
      </c>
      <c r="B12" s="357">
        <f>'Registro General'!AH15</f>
        <v>0.1</v>
      </c>
      <c r="C12" s="358">
        <f>VLOOKUP(G4,'Registro General'!A13:AJ55,34,FALSE)</f>
        <v>10</v>
      </c>
      <c r="D12" s="1057" t="str">
        <f>IF(C12=0,"","Evaluado")</f>
        <v>Evaluado</v>
      </c>
      <c r="E12" s="1057"/>
      <c r="I12" s="601" t="s">
        <v>198</v>
      </c>
      <c r="J12" s="602" t="b">
        <v>1</v>
      </c>
      <c r="K12" s="226">
        <f t="shared" si="0"/>
        <v>1</v>
      </c>
      <c r="L12" s="132"/>
      <c r="M12" s="132"/>
    </row>
    <row r="13" spans="1:16" ht="18.75" hidden="1" customHeight="1">
      <c r="A13" s="591" t="s">
        <v>104</v>
      </c>
      <c r="B13" s="357">
        <f>'Registro General'!AC15</f>
        <v>0</v>
      </c>
      <c r="C13" s="358">
        <f>VLOOKUP(G4,'Registro General'!A13:AG55,29,FALSE)</f>
        <v>0</v>
      </c>
      <c r="D13" s="592" t="s">
        <v>274</v>
      </c>
      <c r="E13" s="593" t="e">
        <f t="shared" ref="E13:E14" si="1">SUM(C13/B13)</f>
        <v>#DIV/0!</v>
      </c>
      <c r="I13" s="601" t="s">
        <v>199</v>
      </c>
      <c r="J13" s="602" t="b">
        <v>0</v>
      </c>
      <c r="K13" s="226">
        <f t="shared" si="0"/>
        <v>0</v>
      </c>
      <c r="L13" s="132"/>
      <c r="M13" s="132"/>
    </row>
    <row r="14" spans="1:16" ht="19.5" customHeight="1" thickBot="1">
      <c r="A14" s="590" t="s">
        <v>319</v>
      </c>
      <c r="B14" s="416">
        <f>'Registro General'!AF15</f>
        <v>0.25</v>
      </c>
      <c r="C14" s="594">
        <f>VLOOKUP(G4,'Registro General'!A13:AG55,32,FALSE)</f>
        <v>22.222222222222221</v>
      </c>
      <c r="D14" s="592" t="s">
        <v>274</v>
      </c>
      <c r="E14" s="593">
        <f t="shared" si="1"/>
        <v>88.888888888888886</v>
      </c>
      <c r="I14" s="601" t="s">
        <v>199</v>
      </c>
      <c r="J14" s="602" t="b">
        <v>1</v>
      </c>
      <c r="K14" s="226">
        <f t="shared" si="0"/>
        <v>1</v>
      </c>
      <c r="L14" s="132"/>
      <c r="M14" s="132"/>
    </row>
    <row r="15" spans="1:16" ht="19.5" customHeight="1">
      <c r="A15" s="595"/>
      <c r="B15" s="1038" t="s">
        <v>273</v>
      </c>
      <c r="C15" s="1040">
        <f>SUM(C10:C14)</f>
        <v>102.22222222222223</v>
      </c>
      <c r="D15" s="596"/>
      <c r="E15" s="354"/>
      <c r="I15" s="601" t="s">
        <v>200</v>
      </c>
      <c r="J15" s="602" t="b">
        <v>1</v>
      </c>
      <c r="K15" s="226">
        <f t="shared" si="0"/>
        <v>1</v>
      </c>
      <c r="L15" s="132"/>
      <c r="M15" s="132"/>
    </row>
    <row r="16" spans="1:16" s="2" customFormat="1" ht="19.5" customHeight="1" thickBot="1">
      <c r="A16" s="597"/>
      <c r="B16" s="1039"/>
      <c r="C16" s="1041"/>
      <c r="D16" s="598"/>
      <c r="E16" s="162"/>
      <c r="H16" s="191"/>
      <c r="I16" s="601" t="s">
        <v>317</v>
      </c>
      <c r="J16" s="602" t="b">
        <v>1</v>
      </c>
      <c r="K16" s="226">
        <f t="shared" si="0"/>
        <v>1</v>
      </c>
      <c r="L16" s="132"/>
      <c r="M16" s="132"/>
    </row>
    <row r="17" spans="1:13" ht="17.25" customHeight="1" thickBot="1">
      <c r="A17" s="1045" t="s">
        <v>98</v>
      </c>
      <c r="B17" s="1046"/>
      <c r="C17" s="1046"/>
      <c r="D17" s="1047"/>
      <c r="E17" s="207" t="s">
        <v>61</v>
      </c>
      <c r="I17" s="768" t="s">
        <v>318</v>
      </c>
      <c r="J17" s="604" t="b">
        <v>1</v>
      </c>
      <c r="K17" s="226">
        <f t="shared" si="0"/>
        <v>1</v>
      </c>
      <c r="L17" s="132"/>
      <c r="M17" s="132"/>
    </row>
    <row r="18" spans="1:13" ht="65.25" customHeight="1" thickBot="1">
      <c r="A18" s="1048" t="str">
        <f>IF(H18=0," ",H18)</f>
        <v>CAMINAR</v>
      </c>
      <c r="B18" s="1049"/>
      <c r="C18" s="1049"/>
      <c r="D18" s="1050"/>
      <c r="E18" s="170" t="str">
        <f>IF(I18="-","",J18)</f>
        <v>AVANZADO</v>
      </c>
      <c r="H18" s="102" t="str">
        <f>'Indicadores + Descripción'!B12</f>
        <v>CAMINAR</v>
      </c>
      <c r="I18" s="103">
        <f>VLOOKUP($G$4,'Registro General'!$A$13:$X$55,5,FALSE)</f>
        <v>3</v>
      </c>
      <c r="J18" s="110" t="str">
        <f t="shared" ref="J18:J37" si="2">IF(I18=0,"No presentó Evidencia",IF(I18&lt;2,"INICIAL",IF(I18&lt;3,"INTERMEDIO",IF(I18&lt;4,"AVANZADO"))))</f>
        <v>AVANZADO</v>
      </c>
      <c r="K18" s="132"/>
      <c r="L18" s="132"/>
      <c r="M18" s="132"/>
    </row>
    <row r="19" spans="1:13" ht="60.75" customHeight="1" thickBot="1">
      <c r="A19" s="1051" t="str">
        <f t="shared" ref="A19:A37" si="3">IF(H19=0," ",H19)</f>
        <v xml:space="preserve"> </v>
      </c>
      <c r="B19" s="1052"/>
      <c r="C19" s="1052"/>
      <c r="D19" s="1053"/>
      <c r="E19" s="170" t="str">
        <f t="shared" ref="E19:E37" si="4">IF(I19="-","",J19)</f>
        <v/>
      </c>
      <c r="H19" s="102">
        <f>'Indicadores + Descripción'!B15</f>
        <v>0</v>
      </c>
      <c r="I19" s="103" t="str">
        <f>VLOOKUP($G$4,'Registro General'!$A$13:$X$55,6,FALSE)</f>
        <v>-</v>
      </c>
      <c r="J19" s="110" t="b">
        <f t="shared" si="2"/>
        <v>0</v>
      </c>
      <c r="K19" s="132"/>
      <c r="L19" s="132"/>
      <c r="M19" s="132"/>
    </row>
    <row r="20" spans="1:13" ht="80.25" customHeight="1" thickBot="1">
      <c r="A20" s="1051" t="str">
        <f t="shared" si="3"/>
        <v xml:space="preserve"> </v>
      </c>
      <c r="B20" s="1052"/>
      <c r="C20" s="1052"/>
      <c r="D20" s="1053"/>
      <c r="E20" s="170" t="str">
        <f>IF(I20="-","",J20)</f>
        <v/>
      </c>
      <c r="H20" s="102">
        <f>'Indicadores + Descripción'!B18</f>
        <v>0</v>
      </c>
      <c r="I20" s="103" t="str">
        <f>VLOOKUP($G$4,'Registro General'!$A$13:$X$55,7,FALSE)</f>
        <v>-</v>
      </c>
      <c r="J20" s="110" t="b">
        <f t="shared" si="2"/>
        <v>0</v>
      </c>
    </row>
    <row r="21" spans="1:13" ht="87" customHeight="1" thickBot="1">
      <c r="A21" s="1051" t="str">
        <f t="shared" si="3"/>
        <v xml:space="preserve"> </v>
      </c>
      <c r="B21" s="1052"/>
      <c r="C21" s="1052"/>
      <c r="D21" s="1053"/>
      <c r="E21" s="170" t="str">
        <f t="shared" si="4"/>
        <v/>
      </c>
      <c r="H21" s="102">
        <f>'Indicadores + Descripción'!B21</f>
        <v>0</v>
      </c>
      <c r="I21" s="103" t="str">
        <f>VLOOKUP($G$4,'Registro General'!$A$13:$X$55,8,FALSE)</f>
        <v>-</v>
      </c>
      <c r="J21" s="110" t="b">
        <f t="shared" si="2"/>
        <v>0</v>
      </c>
    </row>
    <row r="22" spans="1:13" ht="53.25" customHeight="1" thickBot="1">
      <c r="A22" s="1042" t="str">
        <f t="shared" si="3"/>
        <v xml:space="preserve"> </v>
      </c>
      <c r="B22" s="1043"/>
      <c r="C22" s="1043"/>
      <c r="D22" s="1044"/>
      <c r="E22" s="171" t="str">
        <f t="shared" si="4"/>
        <v/>
      </c>
      <c r="H22" s="102">
        <f>'Indicadores + Descripción'!B24</f>
        <v>0</v>
      </c>
      <c r="I22" s="103" t="str">
        <f>VLOOKUP($G$4,'Registro General'!$A$13:$X$55,9,FALSE)</f>
        <v>-</v>
      </c>
      <c r="J22" s="110" t="b">
        <f t="shared" si="2"/>
        <v>0</v>
      </c>
    </row>
    <row r="23" spans="1:13" ht="53.25" customHeight="1" thickBot="1">
      <c r="A23" s="1042" t="str">
        <f>IF(H23=0," ",H23)</f>
        <v xml:space="preserve"> </v>
      </c>
      <c r="B23" s="1043"/>
      <c r="C23" s="1043"/>
      <c r="D23" s="1044"/>
      <c r="E23" s="171" t="str">
        <f t="shared" si="4"/>
        <v/>
      </c>
      <c r="H23" s="102">
        <f>'Indicadores + Descripción'!B27</f>
        <v>0</v>
      </c>
      <c r="I23" s="103" t="str">
        <f>VLOOKUP($G$4,'Registro General'!$A$13:$X$55,10,FALSE)</f>
        <v>-</v>
      </c>
      <c r="J23" s="110" t="b">
        <f t="shared" si="2"/>
        <v>0</v>
      </c>
    </row>
    <row r="24" spans="1:13" ht="53.25" customHeight="1" thickBot="1">
      <c r="A24" s="1042" t="str">
        <f t="shared" si="3"/>
        <v xml:space="preserve"> </v>
      </c>
      <c r="B24" s="1043"/>
      <c r="C24" s="1043"/>
      <c r="D24" s="1044"/>
      <c r="E24" s="171" t="str">
        <f t="shared" si="4"/>
        <v/>
      </c>
      <c r="H24" s="102">
        <f>'Indicadores + Descripción'!B30</f>
        <v>0</v>
      </c>
      <c r="I24" s="103" t="str">
        <f>VLOOKUP($G$4,'Registro General'!$A$13:$X$55,11,FALSE)</f>
        <v>-</v>
      </c>
      <c r="J24" s="110" t="b">
        <f t="shared" si="2"/>
        <v>0</v>
      </c>
    </row>
    <row r="25" spans="1:13" ht="53.25" customHeight="1" thickBot="1">
      <c r="A25" s="1042" t="str">
        <f t="shared" si="3"/>
        <v xml:space="preserve"> </v>
      </c>
      <c r="B25" s="1043"/>
      <c r="C25" s="1043"/>
      <c r="D25" s="1044"/>
      <c r="E25" s="171" t="str">
        <f t="shared" si="4"/>
        <v/>
      </c>
      <c r="H25" s="102">
        <f>'Indicadores + Descripción'!B33</f>
        <v>0</v>
      </c>
      <c r="I25" s="103" t="str">
        <f>VLOOKUP($G$4,'Registro General'!$A$13:$X$55,12,FALSE)</f>
        <v>-</v>
      </c>
      <c r="J25" s="110" t="b">
        <f t="shared" si="2"/>
        <v>0</v>
      </c>
    </row>
    <row r="26" spans="1:13" ht="50.1" customHeight="1" thickBot="1">
      <c r="A26" s="1042" t="str">
        <f t="shared" si="3"/>
        <v xml:space="preserve"> </v>
      </c>
      <c r="B26" s="1043"/>
      <c r="C26" s="1043"/>
      <c r="D26" s="1044"/>
      <c r="E26" s="171" t="str">
        <f t="shared" si="4"/>
        <v/>
      </c>
      <c r="H26" s="102">
        <f>'Indicadores + Descripción'!B36</f>
        <v>0</v>
      </c>
      <c r="I26" s="103" t="str">
        <f>VLOOKUP($G$4,'Registro General'!$A$13:$X$55,13,FALSE)</f>
        <v>-</v>
      </c>
      <c r="J26" s="110" t="b">
        <f t="shared" si="2"/>
        <v>0</v>
      </c>
    </row>
    <row r="27" spans="1:13" ht="50.1" customHeight="1" thickBot="1">
      <c r="A27" s="1042" t="str">
        <f t="shared" si="3"/>
        <v xml:space="preserve"> </v>
      </c>
      <c r="B27" s="1043"/>
      <c r="C27" s="1043"/>
      <c r="D27" s="1044"/>
      <c r="E27" s="171" t="str">
        <f t="shared" si="4"/>
        <v/>
      </c>
      <c r="H27" s="102">
        <f>'Indicadores + Descripción'!B39</f>
        <v>0</v>
      </c>
      <c r="I27" s="103" t="str">
        <f>VLOOKUP($G$4,'Registro General'!$A$13:$X$55,14,FALSE)</f>
        <v>-</v>
      </c>
      <c r="J27" s="110" t="b">
        <f t="shared" si="2"/>
        <v>0</v>
      </c>
    </row>
    <row r="28" spans="1:13" ht="50.1" customHeight="1" thickBot="1">
      <c r="A28" s="1042" t="str">
        <f t="shared" si="3"/>
        <v xml:space="preserve"> </v>
      </c>
      <c r="B28" s="1043"/>
      <c r="C28" s="1043"/>
      <c r="D28" s="1044"/>
      <c r="E28" s="171" t="str">
        <f t="shared" si="4"/>
        <v/>
      </c>
      <c r="H28" s="102">
        <f>'Indicadores + Descripción'!B42</f>
        <v>0</v>
      </c>
      <c r="I28" s="103" t="str">
        <f>VLOOKUP($G$4,'Registro General'!$A$13:$X$55,15,FALSE)</f>
        <v>-</v>
      </c>
      <c r="J28" s="110" t="b">
        <f t="shared" si="2"/>
        <v>0</v>
      </c>
    </row>
    <row r="29" spans="1:13" ht="50.1" customHeight="1" thickBot="1">
      <c r="A29" s="1042" t="str">
        <f t="shared" si="3"/>
        <v xml:space="preserve"> </v>
      </c>
      <c r="B29" s="1043"/>
      <c r="C29" s="1043"/>
      <c r="D29" s="1044"/>
      <c r="E29" s="171" t="str">
        <f t="shared" si="4"/>
        <v/>
      </c>
      <c r="H29" s="102">
        <f>'Indicadores + Descripción'!B45</f>
        <v>0</v>
      </c>
      <c r="I29" s="103" t="str">
        <f>VLOOKUP($G$4,'Registro General'!$A$13:$X$55,16,FALSE)</f>
        <v>-</v>
      </c>
      <c r="J29" s="110" t="b">
        <f t="shared" si="2"/>
        <v>0</v>
      </c>
    </row>
    <row r="30" spans="1:13" ht="50.1" customHeight="1" thickBot="1">
      <c r="A30" s="1042" t="str">
        <f t="shared" si="3"/>
        <v xml:space="preserve"> </v>
      </c>
      <c r="B30" s="1043"/>
      <c r="C30" s="1043"/>
      <c r="D30" s="1044"/>
      <c r="E30" s="171" t="str">
        <f t="shared" si="4"/>
        <v/>
      </c>
      <c r="H30" s="102">
        <f>'Indicadores + Descripción'!B48</f>
        <v>0</v>
      </c>
      <c r="I30" s="103" t="str">
        <f>VLOOKUP($G$4,'Registro General'!$A$13:$X$55,17,FALSE)</f>
        <v>-</v>
      </c>
      <c r="J30" s="110" t="b">
        <f t="shared" si="2"/>
        <v>0</v>
      </c>
    </row>
    <row r="31" spans="1:13" ht="50.1" customHeight="1" thickBot="1">
      <c r="A31" s="1042" t="str">
        <f t="shared" si="3"/>
        <v xml:space="preserve"> </v>
      </c>
      <c r="B31" s="1043"/>
      <c r="C31" s="1043"/>
      <c r="D31" s="1044"/>
      <c r="E31" s="171" t="str">
        <f t="shared" si="4"/>
        <v/>
      </c>
      <c r="H31" s="102">
        <f>'Indicadores + Descripción'!B51</f>
        <v>0</v>
      </c>
      <c r="I31" s="103" t="str">
        <f>VLOOKUP($G$4,'Registro General'!$A$13:$X$55,18,FALSE)</f>
        <v>-</v>
      </c>
      <c r="J31" s="110" t="b">
        <f t="shared" si="2"/>
        <v>0</v>
      </c>
    </row>
    <row r="32" spans="1:13" ht="50.1" customHeight="1" thickBot="1">
      <c r="A32" s="1042" t="str">
        <f t="shared" si="3"/>
        <v xml:space="preserve"> </v>
      </c>
      <c r="B32" s="1043"/>
      <c r="C32" s="1043"/>
      <c r="D32" s="1044"/>
      <c r="E32" s="171" t="str">
        <f t="shared" si="4"/>
        <v/>
      </c>
      <c r="H32" s="102">
        <f>'Indicadores + Descripción'!B54</f>
        <v>0</v>
      </c>
      <c r="I32" s="103" t="str">
        <f>VLOOKUP($G$4,'Registro General'!$A$13:$X$55,19,FALSE)</f>
        <v>-</v>
      </c>
      <c r="J32" s="110" t="b">
        <f t="shared" si="2"/>
        <v>0</v>
      </c>
    </row>
    <row r="33" spans="1:10" ht="50.1" customHeight="1" thickBot="1">
      <c r="A33" s="1042" t="str">
        <f t="shared" si="3"/>
        <v xml:space="preserve"> </v>
      </c>
      <c r="B33" s="1043"/>
      <c r="C33" s="1043"/>
      <c r="D33" s="1044"/>
      <c r="E33" s="171" t="str">
        <f t="shared" si="4"/>
        <v/>
      </c>
      <c r="H33" s="102">
        <f>'Indicadores + Descripción'!B57</f>
        <v>0</v>
      </c>
      <c r="I33" s="103" t="str">
        <f>VLOOKUP($G$4,'Registro General'!$A$13:$X$55,20,FALSE)</f>
        <v>-</v>
      </c>
      <c r="J33" s="110" t="b">
        <f t="shared" si="2"/>
        <v>0</v>
      </c>
    </row>
    <row r="34" spans="1:10" ht="50.1" customHeight="1" thickBot="1">
      <c r="A34" s="1042" t="str">
        <f t="shared" si="3"/>
        <v xml:space="preserve"> </v>
      </c>
      <c r="B34" s="1043"/>
      <c r="C34" s="1043"/>
      <c r="D34" s="1044"/>
      <c r="E34" s="171" t="str">
        <f t="shared" si="4"/>
        <v/>
      </c>
      <c r="H34" s="102">
        <f>'Indicadores + Descripción'!B60</f>
        <v>0</v>
      </c>
      <c r="I34" s="103" t="str">
        <f>VLOOKUP($G$4,'Registro General'!$A$13:$X$55,21,FALSE)</f>
        <v>-</v>
      </c>
      <c r="J34" s="110" t="b">
        <f t="shared" si="2"/>
        <v>0</v>
      </c>
    </row>
    <row r="35" spans="1:10" ht="50.1" customHeight="1" thickBot="1">
      <c r="A35" s="1042" t="str">
        <f t="shared" si="3"/>
        <v xml:space="preserve"> </v>
      </c>
      <c r="B35" s="1043"/>
      <c r="C35" s="1043"/>
      <c r="D35" s="1044"/>
      <c r="E35" s="171" t="str">
        <f t="shared" si="4"/>
        <v/>
      </c>
      <c r="H35" s="102">
        <f>'Indicadores + Descripción'!B63</f>
        <v>0</v>
      </c>
      <c r="I35" s="103" t="str">
        <f>VLOOKUP($G$4,'Registro General'!$A$13:$X$55,22,FALSE)</f>
        <v>-</v>
      </c>
      <c r="J35" s="110" t="b">
        <f t="shared" si="2"/>
        <v>0</v>
      </c>
    </row>
    <row r="36" spans="1:10" ht="50.1" customHeight="1" thickBot="1">
      <c r="A36" s="1042" t="str">
        <f t="shared" si="3"/>
        <v xml:space="preserve"> </v>
      </c>
      <c r="B36" s="1043"/>
      <c r="C36" s="1043"/>
      <c r="D36" s="1044"/>
      <c r="E36" s="171" t="str">
        <f t="shared" si="4"/>
        <v/>
      </c>
      <c r="H36" s="102">
        <f>'Indicadores + Descripción'!B66</f>
        <v>0</v>
      </c>
      <c r="I36" s="103" t="str">
        <f>VLOOKUP($G$4,'Registro General'!$A$13:$X$55,23,FALSE)</f>
        <v>-</v>
      </c>
      <c r="J36" s="110" t="b">
        <f t="shared" si="2"/>
        <v>0</v>
      </c>
    </row>
    <row r="37" spans="1:10" ht="50.1" customHeight="1" thickBot="1">
      <c r="A37" s="1042" t="str">
        <f t="shared" si="3"/>
        <v xml:space="preserve"> </v>
      </c>
      <c r="B37" s="1043"/>
      <c r="C37" s="1043"/>
      <c r="D37" s="1044"/>
      <c r="E37" s="171" t="str">
        <f t="shared" si="4"/>
        <v/>
      </c>
      <c r="H37" s="102">
        <f>'Indicadores + Descripción'!B69</f>
        <v>0</v>
      </c>
      <c r="I37" s="103" t="str">
        <f>VLOOKUP($G$4,'Registro General'!$A$13:$X$55,24,FALSE)</f>
        <v>-</v>
      </c>
      <c r="J37" s="110" t="b">
        <f t="shared" si="2"/>
        <v>0</v>
      </c>
    </row>
  </sheetData>
  <mergeCells count="40">
    <mergeCell ref="A3:E3"/>
    <mergeCell ref="A28:D28"/>
    <mergeCell ref="O3:P3"/>
    <mergeCell ref="O4:P4"/>
    <mergeCell ref="O5:P5"/>
    <mergeCell ref="D12:E12"/>
    <mergeCell ref="I10:J10"/>
    <mergeCell ref="I9:J9"/>
    <mergeCell ref="I6:J6"/>
    <mergeCell ref="I7:J7"/>
    <mergeCell ref="D10:E10"/>
    <mergeCell ref="D9:E9"/>
    <mergeCell ref="D11:E11"/>
    <mergeCell ref="G2:G3"/>
    <mergeCell ref="B4:D4"/>
    <mergeCell ref="A2:E2"/>
    <mergeCell ref="D8:E8"/>
    <mergeCell ref="A37:D37"/>
    <mergeCell ref="A29:D29"/>
    <mergeCell ref="A30:D30"/>
    <mergeCell ref="A31:D31"/>
    <mergeCell ref="A32:D32"/>
    <mergeCell ref="A33:D33"/>
    <mergeCell ref="A34:D34"/>
    <mergeCell ref="B6:C6"/>
    <mergeCell ref="B15:B16"/>
    <mergeCell ref="C15:C16"/>
    <mergeCell ref="A35:D35"/>
    <mergeCell ref="A36:D36"/>
    <mergeCell ref="A23:D23"/>
    <mergeCell ref="A17:D17"/>
    <mergeCell ref="A18:D18"/>
    <mergeCell ref="A19:D19"/>
    <mergeCell ref="A20:D20"/>
    <mergeCell ref="A21:D21"/>
    <mergeCell ref="A22:D22"/>
    <mergeCell ref="A24:D24"/>
    <mergeCell ref="A25:D25"/>
    <mergeCell ref="A26:D26"/>
    <mergeCell ref="A27:D27"/>
  </mergeCells>
  <conditionalFormatting sqref="E18:E22">
    <cfRule type="cellIs" dxfId="78" priority="39" operator="equal">
      <formula>"AVANZADO"</formula>
    </cfRule>
    <cfRule type="cellIs" dxfId="77" priority="40" operator="equal">
      <formula>"INTERMEDIO"</formula>
    </cfRule>
    <cfRule type="cellIs" dxfId="76" priority="41" operator="equal">
      <formula>"INICIAL"</formula>
    </cfRule>
  </conditionalFormatting>
  <conditionalFormatting sqref="E23:E25">
    <cfRule type="cellIs" dxfId="75" priority="16" operator="equal">
      <formula>"AVANZADO"</formula>
    </cfRule>
    <cfRule type="cellIs" dxfId="74" priority="17" operator="equal">
      <formula>"INTERMEDIO"</formula>
    </cfRule>
    <cfRule type="cellIs" dxfId="73" priority="18" operator="equal">
      <formula>"INICIAL"</formula>
    </cfRule>
  </conditionalFormatting>
  <conditionalFormatting sqref="C15">
    <cfRule type="containsText" dxfId="72" priority="10" operator="containsText" text="APROBADO">
      <formula>NOT(ISERROR(SEARCH("APROBADO",C15)))</formula>
    </cfRule>
    <cfRule type="containsText" dxfId="71" priority="11" operator="containsText" text="APLAZADO">
      <formula>NOT(ISERROR(SEARCH("APLAZADO",C15)))</formula>
    </cfRule>
  </conditionalFormatting>
  <conditionalFormatting sqref="J2">
    <cfRule type="dataBar" priority="7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{B51CD6A8-C26F-47B7-A8E1-9AD3FE82E018}</x14:id>
        </ext>
      </extLst>
    </cfRule>
  </conditionalFormatting>
  <conditionalFormatting sqref="I10">
    <cfRule type="dataBar" priority="4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{9204EACE-2950-4D67-A6EC-EAD295E9FA13}</x14:id>
        </ext>
      </extLst>
    </cfRule>
  </conditionalFormatting>
  <conditionalFormatting sqref="I7">
    <cfRule type="dataBar" priority="5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{45AB4135-D85F-44C9-9A3A-3DD58E122AC6}</x14:id>
        </ext>
      </extLst>
    </cfRule>
  </conditionalFormatting>
  <conditionalFormatting sqref="E26:E37">
    <cfRule type="cellIs" dxfId="70" priority="1" operator="equal">
      <formula>"AVANZADO"</formula>
    </cfRule>
    <cfRule type="cellIs" dxfId="69" priority="2" operator="equal">
      <formula>"INTERMEDIO"</formula>
    </cfRule>
    <cfRule type="cellIs" dxfId="68" priority="3" operator="equal">
      <formula>"INICIAL"</formula>
    </cfRule>
  </conditionalFormatting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43" r:id="rId4" name="Check Box 31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238125</xdr:rowOff>
                  </from>
                  <to>
                    <xdr:col>9</xdr:col>
                    <xdr:colOff>314325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5" name="Check Box 32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238125</xdr:rowOff>
                  </from>
                  <to>
                    <xdr:col>9</xdr:col>
                    <xdr:colOff>314325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6" name="Check Box 33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0</xdr:rowOff>
                  </from>
                  <to>
                    <xdr:col>9</xdr:col>
                    <xdr:colOff>314325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7" name="Check Box 3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238125</xdr:rowOff>
                  </from>
                  <to>
                    <xdr:col>9</xdr:col>
                    <xdr:colOff>314325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8" name="Check Box 35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238125</xdr:rowOff>
                  </from>
                  <to>
                    <xdr:col>9</xdr:col>
                    <xdr:colOff>314325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9" name="Check Box 36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238125</xdr:rowOff>
                  </from>
                  <to>
                    <xdr:col>9</xdr:col>
                    <xdr:colOff>314325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10" name="Check Box 36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238125</xdr:rowOff>
                  </from>
                  <to>
                    <xdr:col>9</xdr:col>
                    <xdr:colOff>314325</xdr:colOff>
                    <xdr:row>16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1CD6A8-C26F-47B7-A8E1-9AD3FE82E01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J2</xm:sqref>
        </x14:conditionalFormatting>
        <x14:conditionalFormatting xmlns:xm="http://schemas.microsoft.com/office/excel/2006/main">
          <x14:cfRule type="dataBar" id="{9204EACE-2950-4D67-A6EC-EAD295E9FA1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45AB4135-D85F-44C9-9A3A-3DD58E122AC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I7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5">
    <tabColor rgb="FF9F480D"/>
  </sheetPr>
  <dimension ref="A1:M45"/>
  <sheetViews>
    <sheetView showGridLines="0" zoomScale="102" zoomScaleNormal="100" workbookViewId="0"/>
  </sheetViews>
  <sheetFormatPr baseColWidth="10" defaultRowHeight="15"/>
  <cols>
    <col min="1" max="1" width="17.140625" customWidth="1"/>
    <col min="2" max="2" width="10.42578125" customWidth="1"/>
    <col min="3" max="3" width="15.85546875" customWidth="1"/>
    <col min="4" max="4" width="14.7109375" customWidth="1"/>
    <col min="5" max="5" width="14.5703125" customWidth="1"/>
    <col min="6" max="6" width="12.140625" customWidth="1"/>
    <col min="7" max="7" width="13.42578125" customWidth="1"/>
    <col min="8" max="8" width="13" style="226" customWidth="1"/>
    <col min="9" max="10" width="11.42578125" style="226"/>
  </cols>
  <sheetData>
    <row r="1" spans="1:13" ht="15.75" thickBot="1"/>
    <row r="2" spans="1:13" ht="20.25">
      <c r="A2" s="1069">
        <f>'REGISTRO DATOS'!I3</f>
        <v>0</v>
      </c>
      <c r="B2" s="1069"/>
      <c r="C2" s="1069"/>
      <c r="D2" s="1069"/>
      <c r="E2" s="1069"/>
      <c r="G2" s="1064" t="s">
        <v>72</v>
      </c>
    </row>
    <row r="3" spans="1:13" ht="21" thickBot="1">
      <c r="A3" s="1020" t="s">
        <v>169</v>
      </c>
      <c r="B3" s="1020"/>
      <c r="C3" s="1020"/>
      <c r="D3" s="1020"/>
      <c r="E3" s="1020"/>
      <c r="G3" s="1065"/>
    </row>
    <row r="4" spans="1:13" ht="16.5" thickBot="1">
      <c r="A4" s="148" t="s">
        <v>62</v>
      </c>
      <c r="B4" s="1066">
        <f>'REGISTRO DATOS'!I6</f>
        <v>0</v>
      </c>
      <c r="C4" s="1066"/>
      <c r="D4" s="1066"/>
      <c r="E4" s="108"/>
      <c r="G4" s="104">
        <v>1</v>
      </c>
    </row>
    <row r="5" spans="1:13" ht="18">
      <c r="A5" s="588" t="s">
        <v>65</v>
      </c>
      <c r="B5" s="359">
        <f>'REGISTRO DATOS'!I7</f>
        <v>0</v>
      </c>
      <c r="C5" s="589"/>
      <c r="D5" s="589"/>
      <c r="E5" s="108"/>
    </row>
    <row r="6" spans="1:13" ht="15.75">
      <c r="A6" s="148" t="s">
        <v>63</v>
      </c>
      <c r="B6" s="777" t="str">
        <f>VLOOKUP(G4,'Registro General'!A15:D55,4,FALSE)</f>
        <v>MARIANELA</v>
      </c>
      <c r="C6" s="777" t="str">
        <f>VLOOKUP(G4,'Registro General'!A15:D55,2,FALSE)</f>
        <v/>
      </c>
      <c r="D6" s="778" t="str">
        <f>VLOOKUP(G4,'Registro General'!A15:D55,3,FALSE)</f>
        <v/>
      </c>
      <c r="E6" s="783"/>
      <c r="K6" s="606">
        <f>(SUM(K11:K17)/6)*1</f>
        <v>1</v>
      </c>
    </row>
    <row r="7" spans="1:13" ht="17.25" customHeight="1">
      <c r="A7" s="149" t="s">
        <v>64</v>
      </c>
      <c r="B7" s="106" t="str">
        <f>VLOOKUP(G4,'REGISTRO DATOS'!B13:I52,8,FALSE)</f>
        <v>@est.mep.go.cr</v>
      </c>
      <c r="C7" s="107"/>
      <c r="D7" s="147" t="s">
        <v>66</v>
      </c>
      <c r="E7" s="109">
        <f ca="1">TODAY()</f>
        <v>46178</v>
      </c>
      <c r="J7" s="605"/>
      <c r="K7" s="606"/>
      <c r="L7" s="226"/>
      <c r="M7" s="132"/>
    </row>
    <row r="8" spans="1:13" ht="45" customHeight="1" thickBot="1">
      <c r="A8" s="150" t="s">
        <v>67</v>
      </c>
      <c r="B8" s="105">
        <f>'Registro General'!X5</f>
        <v>0</v>
      </c>
      <c r="C8" s="151" t="s">
        <v>96</v>
      </c>
      <c r="D8" s="1070" t="str">
        <f>VLOOKUP(G4,'Registro General'!A16:Z55,26,FALSE)</f>
        <v>Desempeño Impresionante</v>
      </c>
      <c r="E8" s="1070"/>
      <c r="I8" s="1030"/>
      <c r="J8" s="1030"/>
      <c r="K8" s="132"/>
      <c r="L8" s="132"/>
      <c r="M8" s="132"/>
    </row>
    <row r="9" spans="1:13" ht="14.25" customHeight="1" thickBot="1">
      <c r="A9" s="169"/>
      <c r="B9" s="356" t="s">
        <v>97</v>
      </c>
      <c r="C9" s="356" t="s">
        <v>73</v>
      </c>
      <c r="D9" s="1062" t="s">
        <v>271</v>
      </c>
      <c r="E9" s="1063"/>
      <c r="I9" s="1074" t="s">
        <v>205</v>
      </c>
      <c r="J9" s="1075"/>
      <c r="K9" s="132"/>
      <c r="L9" s="132"/>
      <c r="M9" s="132"/>
    </row>
    <row r="10" spans="1:13" ht="18" customHeight="1" thickBot="1">
      <c r="A10" s="590" t="s">
        <v>272</v>
      </c>
      <c r="B10" s="357">
        <f>'Registro General'!AA15</f>
        <v>0.6</v>
      </c>
      <c r="C10" s="358">
        <f>VLOOKUP(G4,'REGISTRO IIS'!A13:AG55,29,FALSE)</f>
        <v>0</v>
      </c>
      <c r="D10" s="1057" t="str">
        <f>IF(C10=0,"","Evaluado")</f>
        <v/>
      </c>
      <c r="E10" s="1057"/>
      <c r="I10" s="1076">
        <f>K6</f>
        <v>1</v>
      </c>
      <c r="J10" s="1077"/>
      <c r="K10" s="132"/>
      <c r="L10" s="132"/>
      <c r="M10" s="132"/>
    </row>
    <row r="11" spans="1:13" ht="17.25" customHeight="1">
      <c r="A11" s="591" t="s">
        <v>106</v>
      </c>
      <c r="B11" s="357">
        <f>'Registro General'!AI15</f>
        <v>0.1</v>
      </c>
      <c r="C11" s="358">
        <f>VLOOKUP(G4,'REGISTRO IIS'!A13:AJ55,35,FALSE)</f>
        <v>10</v>
      </c>
      <c r="D11" s="1057" t="str">
        <f>IF(C11=0,"","Evaluado")</f>
        <v>Evaluado</v>
      </c>
      <c r="E11" s="1057"/>
      <c r="I11" s="599" t="s">
        <v>202</v>
      </c>
      <c r="J11" s="600" t="b">
        <v>1</v>
      </c>
      <c r="K11" s="226">
        <f t="shared" ref="K11:K17" si="0">IF(J11=TRUE,1,0)</f>
        <v>1</v>
      </c>
      <c r="L11" s="132"/>
      <c r="M11" s="132"/>
    </row>
    <row r="12" spans="1:13" ht="17.25" customHeight="1">
      <c r="A12" s="590" t="s">
        <v>105</v>
      </c>
      <c r="B12" s="357">
        <f>'Registro General'!AH15</f>
        <v>0.1</v>
      </c>
      <c r="C12" s="358">
        <f>VLOOKUP(G4,'REGISTRO IIS'!A13:AJ55,34,FALSE)</f>
        <v>0</v>
      </c>
      <c r="D12" s="1057" t="str">
        <f>IF(C12=0,"","Evaluado")</f>
        <v/>
      </c>
      <c r="E12" s="1057"/>
      <c r="I12" s="601" t="s">
        <v>312</v>
      </c>
      <c r="J12" s="602" t="b">
        <v>1</v>
      </c>
      <c r="K12" s="226">
        <f t="shared" si="0"/>
        <v>1</v>
      </c>
      <c r="L12" s="132"/>
      <c r="M12" s="132"/>
    </row>
    <row r="13" spans="1:13" ht="18.75" hidden="1" customHeight="1">
      <c r="A13" s="591" t="s">
        <v>104</v>
      </c>
      <c r="B13" s="357">
        <f>'Registro General'!AC15</f>
        <v>0</v>
      </c>
      <c r="C13" s="358">
        <f>VLOOKUP(G4,'REGISTRO IIS'!A13:AG55,29,FALSE)</f>
        <v>0</v>
      </c>
      <c r="D13" s="592" t="s">
        <v>274</v>
      </c>
      <c r="E13" s="593" t="e">
        <f t="shared" ref="E13:E14" si="1">SUM(C13/B13)</f>
        <v>#DIV/0!</v>
      </c>
      <c r="I13" s="601" t="s">
        <v>199</v>
      </c>
      <c r="J13" s="602" t="b">
        <v>1</v>
      </c>
      <c r="K13" s="226">
        <f t="shared" si="0"/>
        <v>1</v>
      </c>
      <c r="L13" s="132"/>
      <c r="M13" s="132"/>
    </row>
    <row r="14" spans="1:13" ht="19.5" customHeight="1" thickBot="1">
      <c r="A14" s="590" t="s">
        <v>306</v>
      </c>
      <c r="B14" s="416">
        <f>'Registro General'!AF15</f>
        <v>0.25</v>
      </c>
      <c r="C14" s="594" t="e">
        <f>VLOOKUP(G4,'REGISTRO IIS'!A13:AG55,32,FALSE)</f>
        <v>#DIV/0!</v>
      </c>
      <c r="D14" s="592" t="s">
        <v>274</v>
      </c>
      <c r="E14" s="593" t="e">
        <f t="shared" si="1"/>
        <v>#DIV/0!</v>
      </c>
      <c r="I14" s="601" t="s">
        <v>313</v>
      </c>
      <c r="J14" s="602" t="b">
        <v>0</v>
      </c>
      <c r="K14" s="226">
        <f t="shared" si="0"/>
        <v>0</v>
      </c>
      <c r="L14" s="132"/>
      <c r="M14" s="132"/>
    </row>
    <row r="15" spans="1:13" ht="19.5" customHeight="1">
      <c r="A15" s="595"/>
      <c r="B15" s="1038" t="s">
        <v>273</v>
      </c>
      <c r="C15" s="1040" t="e">
        <f>SUM(C10:C14)</f>
        <v>#DIV/0!</v>
      </c>
      <c r="D15" s="596"/>
      <c r="E15" s="354"/>
      <c r="I15" s="601" t="s">
        <v>314</v>
      </c>
      <c r="J15" s="602" t="b">
        <v>1</v>
      </c>
      <c r="K15" s="226">
        <f t="shared" si="0"/>
        <v>1</v>
      </c>
      <c r="L15" s="132"/>
      <c r="M15" s="132"/>
    </row>
    <row r="16" spans="1:13" s="2" customFormat="1" ht="19.5" customHeight="1" thickBot="1">
      <c r="A16" s="597"/>
      <c r="B16" s="1039"/>
      <c r="C16" s="1041"/>
      <c r="D16" s="598"/>
      <c r="E16" s="162"/>
      <c r="H16" s="194"/>
      <c r="I16" s="601" t="s">
        <v>315</v>
      </c>
      <c r="J16" s="602" t="b">
        <v>1</v>
      </c>
      <c r="K16" s="226">
        <f t="shared" si="0"/>
        <v>1</v>
      </c>
      <c r="L16" s="132"/>
      <c r="M16" s="132"/>
    </row>
    <row r="17" spans="1:11" ht="17.25" customHeight="1" thickBot="1">
      <c r="A17" s="1068" t="s">
        <v>98</v>
      </c>
      <c r="B17" s="1068"/>
      <c r="C17" s="1068"/>
      <c r="D17" s="1068"/>
      <c r="E17" s="361" t="s">
        <v>61</v>
      </c>
      <c r="I17" s="603" t="s">
        <v>315</v>
      </c>
      <c r="J17" s="604" t="b">
        <v>1</v>
      </c>
      <c r="K17" s="226">
        <f t="shared" si="0"/>
        <v>1</v>
      </c>
    </row>
    <row r="18" spans="1:11" ht="61.5" customHeight="1">
      <c r="A18" s="1078" t="str">
        <f>IF(H18=0," ",H18)</f>
        <v xml:space="preserve"> </v>
      </c>
      <c r="B18" s="1078"/>
      <c r="C18" s="1078"/>
      <c r="D18" s="1078"/>
      <c r="E18" s="360" t="str">
        <f>IF(I18="-","",J18)</f>
        <v/>
      </c>
      <c r="H18" s="226">
        <f>'Indicadores + Descripción IIS'!B12</f>
        <v>0</v>
      </c>
      <c r="I18" s="607" t="str">
        <f>VLOOKUP($G$4,'REGISTRO IIS'!$A$13:$X$55,5,FALSE)</f>
        <v>-</v>
      </c>
      <c r="J18" s="608" t="b">
        <f>IF(I18=0,"No presentó Evidencia",IF(I18&lt;2,"INICIAL",IF(I18&lt;3,"INTERMEDIO",IF(I18&lt;4,"AVANZADO"))))</f>
        <v>0</v>
      </c>
      <c r="K18" s="132"/>
    </row>
    <row r="19" spans="1:11" ht="63" customHeight="1">
      <c r="A19" s="1078" t="str">
        <f t="shared" ref="A19:A37" si="2">IF(H19=0," ",H19)</f>
        <v xml:space="preserve"> </v>
      </c>
      <c r="B19" s="1078"/>
      <c r="C19" s="1078"/>
      <c r="D19" s="1078"/>
      <c r="E19" s="360" t="str">
        <f t="shared" ref="E19:E37" si="3">IF(I19="-","",J19)</f>
        <v/>
      </c>
      <c r="H19" s="226">
        <f>'Indicadores + Descripción IIS'!B15</f>
        <v>0</v>
      </c>
      <c r="I19" s="607" t="str">
        <f>VLOOKUP($G$4,'REGISTRO IIS'!$A$13:$X$55,6,FALSE)</f>
        <v>-</v>
      </c>
      <c r="J19" s="608" t="b">
        <f t="shared" ref="J19:J37" si="4">IF(I19=0,"No presentó Evidencia",IF(I19&lt;2,"INICIAL",IF(I19&lt;3,"INTERMEDIO",IF(I19&lt;4,"AVANZADO"))))</f>
        <v>0</v>
      </c>
    </row>
    <row r="20" spans="1:11" ht="63" customHeight="1">
      <c r="A20" s="1078" t="str">
        <f t="shared" si="2"/>
        <v xml:space="preserve"> </v>
      </c>
      <c r="B20" s="1078"/>
      <c r="C20" s="1078"/>
      <c r="D20" s="1078"/>
      <c r="E20" s="360" t="str">
        <f t="shared" si="3"/>
        <v/>
      </c>
      <c r="H20" s="226">
        <f>'Indicadores + Descripción IIS'!B18</f>
        <v>0</v>
      </c>
      <c r="I20" s="607" t="str">
        <f>VLOOKUP($G$4,'REGISTRO IIS'!$A$13:$X$55,7,FALSE)</f>
        <v>-</v>
      </c>
      <c r="J20" s="608" t="b">
        <f t="shared" si="4"/>
        <v>0</v>
      </c>
    </row>
    <row r="21" spans="1:11" ht="105.75" customHeight="1">
      <c r="A21" s="1078" t="str">
        <f t="shared" si="2"/>
        <v xml:space="preserve"> </v>
      </c>
      <c r="B21" s="1078"/>
      <c r="C21" s="1078"/>
      <c r="D21" s="1078"/>
      <c r="E21" s="360" t="str">
        <f t="shared" si="3"/>
        <v/>
      </c>
      <c r="H21" s="226">
        <f>'Indicadores + Descripción IIS'!B21</f>
        <v>0</v>
      </c>
      <c r="I21" s="607" t="str">
        <f>VLOOKUP($G$4,'REGISTRO IIS'!$A$13:$X$55,8,FALSE)</f>
        <v>-</v>
      </c>
      <c r="J21" s="608" t="b">
        <f t="shared" si="4"/>
        <v>0</v>
      </c>
    </row>
    <row r="22" spans="1:11" ht="60.75" customHeight="1">
      <c r="A22" s="1073" t="str">
        <f t="shared" si="2"/>
        <v xml:space="preserve"> </v>
      </c>
      <c r="B22" s="1073"/>
      <c r="C22" s="1073"/>
      <c r="D22" s="1073"/>
      <c r="E22" s="362" t="str">
        <f t="shared" si="3"/>
        <v/>
      </c>
      <c r="H22" s="226">
        <f>'Indicadores + Descripción IIS'!B24</f>
        <v>0</v>
      </c>
      <c r="I22" s="607" t="str">
        <f>VLOOKUP($G$4,'REGISTRO IIS'!$A$13:$X$55,9,FALSE)</f>
        <v>-</v>
      </c>
      <c r="J22" s="608" t="b">
        <f t="shared" si="4"/>
        <v>0</v>
      </c>
    </row>
    <row r="23" spans="1:11" ht="53.25" customHeight="1">
      <c r="A23" s="1073" t="str">
        <f>IF(H23=0," ",H23)</f>
        <v xml:space="preserve"> </v>
      </c>
      <c r="B23" s="1073"/>
      <c r="C23" s="1073"/>
      <c r="D23" s="1073"/>
      <c r="E23" s="362" t="str">
        <f t="shared" si="3"/>
        <v/>
      </c>
      <c r="H23" s="226">
        <f>'Indicadores + Descripción IIS'!B27</f>
        <v>0</v>
      </c>
      <c r="I23" s="607" t="str">
        <f>VLOOKUP($G$4,'REGISTRO IIS'!$A$13:$X$55,10,FALSE)</f>
        <v>-</v>
      </c>
      <c r="J23" s="608" t="b">
        <f t="shared" si="4"/>
        <v>0</v>
      </c>
    </row>
    <row r="24" spans="1:11" ht="61.5" customHeight="1">
      <c r="A24" s="1073" t="str">
        <f t="shared" si="2"/>
        <v xml:space="preserve"> </v>
      </c>
      <c r="B24" s="1073"/>
      <c r="C24" s="1073"/>
      <c r="D24" s="1073"/>
      <c r="E24" s="362" t="str">
        <f t="shared" si="3"/>
        <v/>
      </c>
      <c r="H24" s="226">
        <f>'Indicadores + Descripción IIS'!B30</f>
        <v>0</v>
      </c>
      <c r="I24" s="607" t="str">
        <f>VLOOKUP($G$4,'REGISTRO IIS'!$A$13:$X$55,11,FALSE)</f>
        <v>-</v>
      </c>
      <c r="J24" s="608" t="b">
        <f t="shared" si="4"/>
        <v>0</v>
      </c>
    </row>
    <row r="25" spans="1:11" ht="77.25" customHeight="1">
      <c r="A25" s="1073" t="str">
        <f t="shared" si="2"/>
        <v xml:space="preserve"> </v>
      </c>
      <c r="B25" s="1073"/>
      <c r="C25" s="1073"/>
      <c r="D25" s="1073"/>
      <c r="E25" s="362" t="str">
        <f t="shared" si="3"/>
        <v/>
      </c>
      <c r="H25" s="226">
        <f>'Indicadores + Descripción IIS'!B33</f>
        <v>0</v>
      </c>
      <c r="I25" s="607" t="str">
        <f>VLOOKUP($G$4,'REGISTRO IIS'!$A$13:$X$55,12,FALSE)</f>
        <v>-</v>
      </c>
      <c r="J25" s="608" t="b">
        <f t="shared" si="4"/>
        <v>0</v>
      </c>
    </row>
    <row r="26" spans="1:11" ht="44.25" customHeight="1">
      <c r="A26" s="1071" t="str">
        <f t="shared" si="2"/>
        <v xml:space="preserve"> </v>
      </c>
      <c r="B26" s="1071"/>
      <c r="C26" s="1071"/>
      <c r="D26" s="1071"/>
      <c r="E26" s="360" t="str">
        <f t="shared" si="3"/>
        <v/>
      </c>
      <c r="H26" s="226">
        <f>'Indicadores + Descripción IIS'!B36</f>
        <v>0</v>
      </c>
      <c r="I26" s="607" t="str">
        <f>VLOOKUP($G$4,'REGISTRO IIS'!$A$13:$X$55,13,FALSE)</f>
        <v>-</v>
      </c>
      <c r="J26" s="608" t="b">
        <f t="shared" si="4"/>
        <v>0</v>
      </c>
    </row>
    <row r="27" spans="1:11" ht="33" customHeight="1">
      <c r="A27" s="1071" t="str">
        <f t="shared" si="2"/>
        <v xml:space="preserve"> </v>
      </c>
      <c r="B27" s="1071"/>
      <c r="C27" s="1071"/>
      <c r="D27" s="1071"/>
      <c r="E27" s="360" t="str">
        <f t="shared" si="3"/>
        <v/>
      </c>
      <c r="H27" s="226">
        <f>'Indicadores + Descripción IIS'!B39</f>
        <v>0</v>
      </c>
      <c r="I27" s="607" t="str">
        <f>VLOOKUP($G$4,'REGISTRO IIS'!$A$13:$X$55,14,FALSE)</f>
        <v>-</v>
      </c>
      <c r="J27" s="608" t="b">
        <f t="shared" si="4"/>
        <v>0</v>
      </c>
    </row>
    <row r="28" spans="1:11" ht="31.5" customHeight="1">
      <c r="A28" s="1072" t="str">
        <f t="shared" si="2"/>
        <v xml:space="preserve"> </v>
      </c>
      <c r="B28" s="1072"/>
      <c r="C28" s="1072"/>
      <c r="D28" s="1072"/>
      <c r="E28" s="265" t="str">
        <f t="shared" si="3"/>
        <v/>
      </c>
      <c r="H28" s="226">
        <f>'Indicadores + Descripción IIS'!B42</f>
        <v>0</v>
      </c>
      <c r="I28" s="607" t="str">
        <f>VLOOKUP($G$4,'REGISTRO IIS'!$A$13:$X$55,15,FALSE)</f>
        <v>-</v>
      </c>
      <c r="J28" s="608" t="b">
        <f t="shared" si="4"/>
        <v>0</v>
      </c>
    </row>
    <row r="29" spans="1:11" ht="31.5" customHeight="1">
      <c r="A29" s="1072" t="str">
        <f t="shared" si="2"/>
        <v xml:space="preserve"> </v>
      </c>
      <c r="B29" s="1072"/>
      <c r="C29" s="1072"/>
      <c r="D29" s="1072"/>
      <c r="E29" s="265" t="str">
        <f t="shared" si="3"/>
        <v/>
      </c>
      <c r="H29" s="226">
        <f>'Indicadores + Descripción IIS'!B45</f>
        <v>0</v>
      </c>
      <c r="I29" s="607" t="str">
        <f>VLOOKUP($G$4,'REGISTRO IIS'!$A$13:$X$55,16,FALSE)</f>
        <v>-</v>
      </c>
      <c r="J29" s="608" t="b">
        <f t="shared" si="4"/>
        <v>0</v>
      </c>
    </row>
    <row r="30" spans="1:11" ht="33" customHeight="1">
      <c r="A30" s="1072" t="str">
        <f t="shared" si="2"/>
        <v xml:space="preserve"> </v>
      </c>
      <c r="B30" s="1072"/>
      <c r="C30" s="1072"/>
      <c r="D30" s="1072"/>
      <c r="E30" s="265" t="str">
        <f t="shared" si="3"/>
        <v/>
      </c>
      <c r="H30" s="226">
        <f>'Indicadores + Descripción IIS'!B48</f>
        <v>0</v>
      </c>
      <c r="I30" s="607" t="str">
        <f>VLOOKUP($G$4,'REGISTRO IIS'!$A$13:$X$55,17,FALSE)</f>
        <v>-</v>
      </c>
      <c r="J30" s="608" t="b">
        <f t="shared" si="4"/>
        <v>0</v>
      </c>
    </row>
    <row r="31" spans="1:11" ht="31.5" customHeight="1">
      <c r="A31" s="1072" t="str">
        <f t="shared" si="2"/>
        <v xml:space="preserve"> </v>
      </c>
      <c r="B31" s="1072"/>
      <c r="C31" s="1072"/>
      <c r="D31" s="1072"/>
      <c r="E31" s="265" t="str">
        <f t="shared" si="3"/>
        <v/>
      </c>
      <c r="H31" s="226">
        <f>'Indicadores + Descripción IIS'!B51</f>
        <v>0</v>
      </c>
      <c r="I31" s="607" t="str">
        <f>VLOOKUP($G$4,'REGISTRO IIS'!$A$13:$X$55,18,FALSE)</f>
        <v>-</v>
      </c>
      <c r="J31" s="608" t="b">
        <f t="shared" si="4"/>
        <v>0</v>
      </c>
    </row>
    <row r="32" spans="1:11" ht="39.950000000000003" customHeight="1">
      <c r="A32" s="1072" t="str">
        <f t="shared" si="2"/>
        <v xml:space="preserve"> </v>
      </c>
      <c r="B32" s="1072"/>
      <c r="C32" s="1072"/>
      <c r="D32" s="1072"/>
      <c r="E32" s="265" t="str">
        <f t="shared" si="3"/>
        <v/>
      </c>
      <c r="H32" s="226">
        <f>'Indicadores + Descripción IIS'!B54</f>
        <v>0</v>
      </c>
      <c r="I32" s="607" t="str">
        <f>VLOOKUP($G$4,'REGISTRO IIS'!$A$13:$X$55,19,FALSE)</f>
        <v>-</v>
      </c>
      <c r="J32" s="608" t="b">
        <f t="shared" si="4"/>
        <v>0</v>
      </c>
    </row>
    <row r="33" spans="1:10" ht="30.75" customHeight="1">
      <c r="A33" s="1072" t="str">
        <f t="shared" si="2"/>
        <v xml:space="preserve"> </v>
      </c>
      <c r="B33" s="1072"/>
      <c r="C33" s="1072"/>
      <c r="D33" s="1072"/>
      <c r="E33" s="265" t="str">
        <f t="shared" si="3"/>
        <v/>
      </c>
      <c r="H33" s="226">
        <f>'Indicadores + Descripción IIS'!B57</f>
        <v>0</v>
      </c>
      <c r="I33" s="607" t="str">
        <f>VLOOKUP($G$4,'REGISTRO IIS'!$A$13:$X$55,20,FALSE)</f>
        <v>-</v>
      </c>
      <c r="J33" s="608" t="b">
        <f t="shared" si="4"/>
        <v>0</v>
      </c>
    </row>
    <row r="34" spans="1:10" ht="30.75" customHeight="1">
      <c r="A34" s="1072" t="str">
        <f t="shared" si="2"/>
        <v xml:space="preserve"> </v>
      </c>
      <c r="B34" s="1072"/>
      <c r="C34" s="1072"/>
      <c r="D34" s="1072"/>
      <c r="E34" s="265" t="str">
        <f t="shared" si="3"/>
        <v/>
      </c>
      <c r="H34" s="226">
        <f>'Indicadores + Descripción IIS'!B60</f>
        <v>0</v>
      </c>
      <c r="I34" s="607" t="str">
        <f>VLOOKUP($G$4,'REGISTRO IIS'!$A$13:$X$55,21,FALSE)</f>
        <v>-</v>
      </c>
      <c r="J34" s="608" t="b">
        <f t="shared" si="4"/>
        <v>0</v>
      </c>
    </row>
    <row r="35" spans="1:10" ht="30" customHeight="1">
      <c r="A35" s="1072" t="str">
        <f t="shared" si="2"/>
        <v xml:space="preserve"> </v>
      </c>
      <c r="B35" s="1072"/>
      <c r="C35" s="1072"/>
      <c r="D35" s="1072"/>
      <c r="E35" s="265" t="str">
        <f t="shared" si="3"/>
        <v/>
      </c>
      <c r="H35" s="226">
        <f>'Indicadores + Descripción IIS'!B63</f>
        <v>0</v>
      </c>
      <c r="I35" s="607" t="str">
        <f>VLOOKUP($G$4,'REGISTRO IIS'!$A$13:$X$55,22,FALSE)</f>
        <v>-</v>
      </c>
      <c r="J35" s="608" t="b">
        <f t="shared" si="4"/>
        <v>0</v>
      </c>
    </row>
    <row r="36" spans="1:10" ht="34.5" customHeight="1">
      <c r="A36" s="1072" t="str">
        <f t="shared" si="2"/>
        <v xml:space="preserve"> </v>
      </c>
      <c r="B36" s="1072"/>
      <c r="C36" s="1072"/>
      <c r="D36" s="1072"/>
      <c r="E36" s="265" t="str">
        <f t="shared" si="3"/>
        <v/>
      </c>
      <c r="H36" s="226">
        <f>'Indicadores + Descripción IIS'!B66</f>
        <v>0</v>
      </c>
      <c r="I36" s="607" t="str">
        <f>VLOOKUP($G$4,'REGISTRO IIS'!$A$13:$X$55,23,FALSE)</f>
        <v>-</v>
      </c>
      <c r="J36" s="608" t="b">
        <f t="shared" si="4"/>
        <v>0</v>
      </c>
    </row>
    <row r="37" spans="1:10" ht="28.5" customHeight="1">
      <c r="A37" s="1072" t="str">
        <f t="shared" si="2"/>
        <v xml:space="preserve"> </v>
      </c>
      <c r="B37" s="1072"/>
      <c r="C37" s="1072"/>
      <c r="D37" s="1072"/>
      <c r="E37" s="265" t="str">
        <f t="shared" si="3"/>
        <v/>
      </c>
      <c r="H37" s="226">
        <f>'Indicadores + Descripción IIS'!B69</f>
        <v>0</v>
      </c>
      <c r="I37" s="607" t="str">
        <f>VLOOKUP($G$4,'REGISTRO IIS'!$A$13:$X$55,24,FALSE)</f>
        <v>-</v>
      </c>
      <c r="J37" s="608" t="b">
        <f t="shared" si="4"/>
        <v>0</v>
      </c>
    </row>
    <row r="38" spans="1:10">
      <c r="A38" s="609"/>
      <c r="B38" s="609"/>
      <c r="C38" s="609"/>
      <c r="D38" s="609"/>
    </row>
    <row r="39" spans="1:10">
      <c r="A39" s="609"/>
      <c r="B39" s="609"/>
      <c r="C39" s="609"/>
      <c r="D39" s="609"/>
    </row>
    <row r="40" spans="1:10">
      <c r="A40" s="609"/>
      <c r="B40" s="609"/>
      <c r="C40" s="609"/>
      <c r="D40" s="609"/>
    </row>
    <row r="41" spans="1:10">
      <c r="A41" s="609"/>
      <c r="B41" s="609"/>
      <c r="C41" s="609"/>
      <c r="D41" s="609"/>
    </row>
    <row r="42" spans="1:10">
      <c r="A42" s="609"/>
      <c r="B42" s="609"/>
      <c r="C42" s="609"/>
      <c r="D42" s="609"/>
    </row>
    <row r="43" spans="1:10">
      <c r="A43" s="609"/>
      <c r="B43" s="609"/>
      <c r="C43" s="609"/>
      <c r="D43" s="609"/>
    </row>
    <row r="44" spans="1:10">
      <c r="A44" s="609"/>
      <c r="B44" s="609"/>
      <c r="C44" s="609"/>
      <c r="D44" s="609"/>
    </row>
    <row r="45" spans="1:10">
      <c r="A45" s="609"/>
      <c r="B45" s="609"/>
      <c r="C45" s="609"/>
      <c r="D45" s="609"/>
    </row>
  </sheetData>
  <mergeCells count="35">
    <mergeCell ref="I8:J8"/>
    <mergeCell ref="I9:J9"/>
    <mergeCell ref="I10:J10"/>
    <mergeCell ref="A36:D36"/>
    <mergeCell ref="A37:D37"/>
    <mergeCell ref="A30:D30"/>
    <mergeCell ref="A31:D31"/>
    <mergeCell ref="A32:D32"/>
    <mergeCell ref="A33:D33"/>
    <mergeCell ref="A34:D34"/>
    <mergeCell ref="A35:D35"/>
    <mergeCell ref="A29:D29"/>
    <mergeCell ref="A18:D18"/>
    <mergeCell ref="A19:D19"/>
    <mergeCell ref="A20:D20"/>
    <mergeCell ref="A21:D21"/>
    <mergeCell ref="A27:D27"/>
    <mergeCell ref="A28:D28"/>
    <mergeCell ref="A22:D22"/>
    <mergeCell ref="A23:D23"/>
    <mergeCell ref="A24:D24"/>
    <mergeCell ref="A25:D25"/>
    <mergeCell ref="A26:D26"/>
    <mergeCell ref="A17:D17"/>
    <mergeCell ref="A2:E2"/>
    <mergeCell ref="G2:G3"/>
    <mergeCell ref="A3:E3"/>
    <mergeCell ref="B4:D4"/>
    <mergeCell ref="D8:E8"/>
    <mergeCell ref="D9:E9"/>
    <mergeCell ref="D10:E10"/>
    <mergeCell ref="D11:E11"/>
    <mergeCell ref="B15:B16"/>
    <mergeCell ref="D12:E12"/>
    <mergeCell ref="C15:C16"/>
  </mergeCells>
  <conditionalFormatting sqref="E18:E22 E26:E37">
    <cfRule type="cellIs" dxfId="67" priority="18" operator="equal">
      <formula>"AVANZADO"</formula>
    </cfRule>
    <cfRule type="cellIs" dxfId="66" priority="19" operator="equal">
      <formula>"INTERMEDIO"</formula>
    </cfRule>
    <cfRule type="cellIs" dxfId="65" priority="20" operator="equal">
      <formula>"INICIAL"</formula>
    </cfRule>
  </conditionalFormatting>
  <conditionalFormatting sqref="E23:E25">
    <cfRule type="cellIs" dxfId="64" priority="15" operator="equal">
      <formula>"AVANZADO"</formula>
    </cfRule>
    <cfRule type="cellIs" dxfId="63" priority="16" operator="equal">
      <formula>"INTERMEDIO"</formula>
    </cfRule>
    <cfRule type="cellIs" dxfId="62" priority="17" operator="equal">
      <formula>"INICIAL"</formula>
    </cfRule>
  </conditionalFormatting>
  <conditionalFormatting sqref="I9">
    <cfRule type="dataBar" priority="8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{8C99CD92-83B3-4064-8DD1-6BFA116FA125}</x14:id>
        </ext>
      </extLst>
    </cfRule>
  </conditionalFormatting>
  <conditionalFormatting sqref="I11">
    <cfRule type="dataBar" priority="7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{6C640017-B2B0-4FB2-942D-217C3EB7CFC2}</x14:id>
        </ext>
      </extLst>
    </cfRule>
  </conditionalFormatting>
  <conditionalFormatting sqref="I10">
    <cfRule type="dataBar" priority="5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{3919B42C-AC43-495E-9531-D3BB84FE63D6}</x14:id>
        </ext>
      </extLst>
    </cfRule>
  </conditionalFormatting>
  <conditionalFormatting sqref="C15">
    <cfRule type="containsText" dxfId="61" priority="1" operator="containsText" text="APROBADO">
      <formula>NOT(ISERROR(SEARCH("APROBADO",C15)))</formula>
    </cfRule>
    <cfRule type="containsText" dxfId="60" priority="2" operator="containsText" text="APLAZADO">
      <formula>NOT(ISERROR(SEARCH("APLAZADO",C15)))</formula>
    </cfRule>
  </conditionalFormatting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4" name="Check Box 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238125</xdr:rowOff>
                  </from>
                  <to>
                    <xdr:col>9</xdr:col>
                    <xdr:colOff>314325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5" name="Check Box 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238125</xdr:rowOff>
                  </from>
                  <to>
                    <xdr:col>9</xdr:col>
                    <xdr:colOff>314325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6" name="Check Box 9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0</xdr:rowOff>
                  </from>
                  <to>
                    <xdr:col>9</xdr:col>
                    <xdr:colOff>314325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7" name="Check Box 10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238125</xdr:rowOff>
                  </from>
                  <to>
                    <xdr:col>9</xdr:col>
                    <xdr:colOff>314325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8" name="Check Box 11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238125</xdr:rowOff>
                  </from>
                  <to>
                    <xdr:col>9</xdr:col>
                    <xdr:colOff>314325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9" name="Check Box 13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238125</xdr:rowOff>
                  </from>
                  <to>
                    <xdr:col>9</xdr:col>
                    <xdr:colOff>314325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0" name="Check Box 14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238125</xdr:rowOff>
                  </from>
                  <to>
                    <xdr:col>9</xdr:col>
                    <xdr:colOff>314325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1" name="Check Box 15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0</xdr:rowOff>
                  </from>
                  <to>
                    <xdr:col>9</xdr:col>
                    <xdr:colOff>314325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12" name="Check Box 16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238125</xdr:rowOff>
                  </from>
                  <to>
                    <xdr:col>9</xdr:col>
                    <xdr:colOff>314325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13" name="Check Box 17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238125</xdr:rowOff>
                  </from>
                  <to>
                    <xdr:col>9</xdr:col>
                    <xdr:colOff>314325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14" name="Check Box 1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238125</xdr:rowOff>
                  </from>
                  <to>
                    <xdr:col>9</xdr:col>
                    <xdr:colOff>314325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15" name="Check Box 8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238125</xdr:rowOff>
                  </from>
                  <to>
                    <xdr:col>9</xdr:col>
                    <xdr:colOff>314325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16" name="Check Box 18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238125</xdr:rowOff>
                  </from>
                  <to>
                    <xdr:col>9</xdr:col>
                    <xdr:colOff>314325</xdr:colOff>
                    <xdr:row>16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C99CD92-83B3-4064-8DD1-6BFA116FA12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6C640017-B2B0-4FB2-942D-217C3EB7CFC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3919B42C-AC43-495E-9531-D3BB84FE63D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I10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8">
    <tabColor theme="4" tint="-0.249977111117893"/>
  </sheetPr>
  <dimension ref="A1:GP146"/>
  <sheetViews>
    <sheetView showGridLines="0" showRowColHeaders="0" tabSelected="1" zoomScale="70" zoomScaleNormal="100" workbookViewId="0"/>
  </sheetViews>
  <sheetFormatPr baseColWidth="10" defaultColWidth="0" defaultRowHeight="15" zeroHeight="1"/>
  <cols>
    <col min="1" max="1" width="3.85546875" style="85" customWidth="1" collapsed="1"/>
    <col min="2" max="3" width="14.140625" style="113" bestFit="1" customWidth="1" collapsed="1"/>
    <col min="4" max="4" width="23.85546875" style="113" customWidth="1" collapsed="1"/>
    <col min="5" max="5" width="2.28515625" customWidth="1"/>
    <col min="6" max="6" width="17.140625" style="88" customWidth="1"/>
    <col min="7" max="7" width="15.7109375" style="88" customWidth="1"/>
    <col min="8" max="8" width="18" style="88" customWidth="1"/>
    <col min="9" max="9" width="16.7109375" style="88" bestFit="1" customWidth="1"/>
    <col min="10" max="10" width="4.42578125" customWidth="1"/>
    <col min="11" max="12" width="4.7109375" style="625" customWidth="1"/>
    <col min="13" max="48" width="4.7109375" style="625" customWidth="1" collapsed="1"/>
    <col min="49" max="49" width="4.5703125" style="625" bestFit="1" customWidth="1" collapsed="1"/>
    <col min="50" max="64" width="4.7109375" style="625" customWidth="1" collapsed="1"/>
    <col min="65" max="65" width="4.7109375" style="626" customWidth="1" collapsed="1"/>
    <col min="66" max="167" width="4.7109375" hidden="1" customWidth="1" collapsed="1"/>
    <col min="168" max="193" width="10.85546875" hidden="1" customWidth="1"/>
    <col min="194" max="194" width="10.85546875" hidden="1" customWidth="1" collapsed="1"/>
    <col min="195" max="198" width="10.85546875" hidden="1" customWidth="1"/>
    <col min="199" max="16384" width="10.85546875" hidden="1" collapsed="1"/>
  </cols>
  <sheetData>
    <row r="1" spans="1:179" ht="15.75" thickBot="1">
      <c r="A1" s="43"/>
      <c r="B1"/>
      <c r="C1"/>
      <c r="D1"/>
      <c r="F1"/>
      <c r="G1"/>
      <c r="H1"/>
      <c r="I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</row>
    <row r="2" spans="1:179" ht="19.5" thickBot="1">
      <c r="A2" s="43"/>
      <c r="B2"/>
      <c r="C2"/>
      <c r="D2"/>
      <c r="F2"/>
      <c r="G2"/>
      <c r="H2"/>
      <c r="I2"/>
      <c r="J2" s="1083" t="s">
        <v>15</v>
      </c>
      <c r="K2" s="1084"/>
      <c r="L2" s="1084"/>
      <c r="M2" s="1084"/>
      <c r="N2" s="1085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</row>
    <row r="3" spans="1:179" ht="23.25" customHeight="1">
      <c r="A3" s="43"/>
      <c r="B3"/>
      <c r="C3" s="1089" t="s">
        <v>235</v>
      </c>
      <c r="D3" s="1089"/>
      <c r="E3" s="1089"/>
      <c r="F3" s="1089"/>
      <c r="G3" s="1089"/>
      <c r="H3" s="1089"/>
      <c r="I3" s="1090"/>
      <c r="J3" s="491"/>
      <c r="K3" s="492"/>
      <c r="L3" s="492"/>
      <c r="M3" s="492"/>
      <c r="N3" s="492"/>
      <c r="O3" s="492"/>
      <c r="P3" s="492"/>
      <c r="Q3" s="492"/>
      <c r="R3" s="492"/>
      <c r="S3" s="492"/>
      <c r="T3" s="492"/>
      <c r="U3" s="492"/>
      <c r="V3" s="492"/>
      <c r="W3" s="492"/>
      <c r="X3" s="492"/>
      <c r="Y3" s="492"/>
      <c r="Z3" s="492"/>
      <c r="AA3" s="492"/>
      <c r="AB3" s="492"/>
      <c r="AC3" s="492"/>
      <c r="AD3" s="492"/>
      <c r="AE3" s="492"/>
      <c r="AF3" s="492"/>
      <c r="AG3" s="492"/>
      <c r="AH3" s="492"/>
      <c r="AI3" s="492"/>
      <c r="AJ3" s="492"/>
      <c r="AK3" s="492"/>
      <c r="AL3" s="492"/>
      <c r="AM3" s="492"/>
      <c r="AN3" s="49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</row>
    <row r="4" spans="1:179" ht="45" customHeight="1" thickBot="1">
      <c r="A4" s="494"/>
      <c r="B4" s="898"/>
      <c r="C4" s="898"/>
      <c r="D4" s="898"/>
      <c r="F4"/>
      <c r="G4"/>
      <c r="H4"/>
      <c r="I4"/>
      <c r="J4" s="495"/>
      <c r="K4" s="496"/>
      <c r="L4" s="496"/>
      <c r="M4" s="496"/>
      <c r="N4" s="496"/>
      <c r="O4" s="496"/>
      <c r="P4" s="496"/>
      <c r="Q4" s="496"/>
      <c r="R4" s="496"/>
      <c r="S4" s="496"/>
      <c r="T4" s="496"/>
      <c r="U4" s="496"/>
      <c r="V4" s="496"/>
      <c r="W4" s="496"/>
      <c r="X4" s="496"/>
      <c r="Y4" s="496"/>
      <c r="Z4" s="496"/>
      <c r="AA4" s="496"/>
      <c r="AB4" s="496"/>
      <c r="AC4" s="496"/>
      <c r="AD4" s="496"/>
      <c r="AE4" s="496"/>
      <c r="AF4" s="496"/>
      <c r="AG4" s="496"/>
      <c r="AH4" s="496"/>
      <c r="AI4" s="496"/>
      <c r="AJ4" s="496"/>
      <c r="AK4" s="496"/>
      <c r="AL4" s="496"/>
      <c r="AM4" s="496"/>
      <c r="AN4" s="497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</row>
    <row r="5" spans="1:179" ht="29.25" customHeight="1" thickBot="1">
      <c r="A5" s="494"/>
      <c r="B5" s="494"/>
      <c r="C5" s="494"/>
      <c r="D5" s="498"/>
      <c r="E5" s="498"/>
      <c r="F5" s="498"/>
      <c r="G5" s="498"/>
      <c r="H5" s="498"/>
      <c r="I5"/>
      <c r="J5" s="1086" t="s">
        <v>95</v>
      </c>
      <c r="K5" s="1087"/>
      <c r="L5" s="1087"/>
      <c r="M5" s="1088"/>
      <c r="N5" s="499">
        <f>SUM(K6:FK6)</f>
        <v>32</v>
      </c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 s="2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</row>
    <row r="6" spans="1:179" ht="24" thickBot="1">
      <c r="A6" s="43"/>
      <c r="B6"/>
      <c r="C6"/>
      <c r="D6"/>
      <c r="F6" s="1080" t="s">
        <v>144</v>
      </c>
      <c r="G6" s="1081"/>
      <c r="H6" s="1081"/>
      <c r="I6" s="1082"/>
      <c r="J6" s="611" t="s">
        <v>35</v>
      </c>
      <c r="K6" s="627">
        <v>4</v>
      </c>
      <c r="L6" s="627">
        <v>4</v>
      </c>
      <c r="M6" s="627">
        <v>4</v>
      </c>
      <c r="N6" s="627">
        <v>4</v>
      </c>
      <c r="O6" s="628">
        <v>4</v>
      </c>
      <c r="P6" s="628">
        <v>4</v>
      </c>
      <c r="Q6" s="628">
        <v>4</v>
      </c>
      <c r="R6" s="628">
        <v>4</v>
      </c>
      <c r="S6" s="628"/>
      <c r="T6" s="628"/>
      <c r="U6" s="628"/>
      <c r="V6" s="628"/>
      <c r="W6" s="628"/>
      <c r="X6" s="628"/>
      <c r="Y6" s="628"/>
      <c r="Z6" s="628"/>
      <c r="AA6" s="628"/>
      <c r="AB6" s="628"/>
      <c r="AC6" s="628"/>
      <c r="AD6" s="628"/>
      <c r="AE6" s="628"/>
      <c r="AF6" s="628"/>
      <c r="AG6" s="628"/>
      <c r="AH6" s="628"/>
      <c r="AI6" s="628"/>
      <c r="AJ6" s="628"/>
      <c r="AK6" s="628"/>
      <c r="AL6" s="628"/>
      <c r="AM6" s="628"/>
      <c r="AN6" s="628"/>
      <c r="AO6" s="628"/>
      <c r="AP6" s="628"/>
      <c r="AQ6" s="628"/>
      <c r="AR6" s="628"/>
      <c r="AS6" s="628"/>
      <c r="AT6" s="628"/>
      <c r="AU6" s="628"/>
      <c r="AV6" s="628"/>
      <c r="AW6" s="628"/>
      <c r="AX6" s="628"/>
      <c r="AY6" s="628"/>
      <c r="AZ6" s="628"/>
      <c r="BA6" s="628"/>
      <c r="BB6" s="628"/>
      <c r="BC6" s="628"/>
      <c r="BD6" s="628"/>
      <c r="BE6" s="628"/>
      <c r="BF6" s="628"/>
      <c r="BG6" s="628"/>
      <c r="BH6" s="628"/>
      <c r="BI6" s="628"/>
      <c r="BJ6" s="628"/>
      <c r="BK6" s="628"/>
      <c r="BL6" s="629"/>
      <c r="BM6" s="628"/>
      <c r="BN6" s="179"/>
      <c r="BO6" s="179"/>
      <c r="BP6" s="179"/>
      <c r="BQ6" s="179"/>
      <c r="BR6" s="179"/>
      <c r="BS6" s="179"/>
      <c r="BT6" s="179"/>
      <c r="BU6" s="179"/>
      <c r="BV6" s="179"/>
      <c r="BW6" s="179"/>
      <c r="BX6" s="179"/>
      <c r="BY6" s="179"/>
      <c r="BZ6" s="179"/>
      <c r="CA6" s="179"/>
      <c r="CB6" s="179"/>
      <c r="CC6" s="179"/>
      <c r="CD6" s="179"/>
      <c r="CE6" s="179"/>
      <c r="CF6" s="179"/>
      <c r="CG6" s="179"/>
      <c r="CH6" s="179"/>
      <c r="CI6" s="179"/>
      <c r="CJ6" s="179"/>
      <c r="CK6" s="179"/>
      <c r="CL6" s="179"/>
      <c r="CM6" s="179"/>
      <c r="CN6" s="179"/>
      <c r="CO6" s="179"/>
      <c r="CP6" s="179"/>
      <c r="CQ6" s="179"/>
      <c r="CR6" s="179"/>
      <c r="CS6" s="179"/>
      <c r="CT6" s="179"/>
      <c r="CU6" s="179"/>
      <c r="CV6" s="179"/>
      <c r="CW6" s="179"/>
      <c r="CX6" s="179"/>
      <c r="CY6" s="179"/>
      <c r="CZ6" s="179"/>
      <c r="DA6" s="179"/>
      <c r="DB6" s="179"/>
      <c r="DC6" s="179"/>
      <c r="DD6" s="179"/>
      <c r="DE6" s="179"/>
      <c r="DF6" s="179"/>
      <c r="DG6" s="179"/>
      <c r="DH6" s="179"/>
      <c r="DI6" s="179"/>
      <c r="DJ6" s="179"/>
      <c r="DK6" s="179"/>
      <c r="DL6" s="179"/>
      <c r="DM6" s="179"/>
      <c r="DN6" s="179"/>
      <c r="DO6" s="179"/>
      <c r="DP6" s="179"/>
      <c r="DQ6" s="179"/>
      <c r="DR6" s="179"/>
      <c r="DS6" s="179"/>
      <c r="DT6" s="179"/>
      <c r="DU6" s="179"/>
      <c r="DV6" s="179"/>
      <c r="DW6" s="179"/>
      <c r="DX6" s="179"/>
      <c r="DY6" s="179"/>
      <c r="DZ6" s="179"/>
      <c r="EA6" s="179"/>
      <c r="EB6" s="179"/>
      <c r="EC6" s="179"/>
      <c r="ED6" s="179"/>
      <c r="EE6" s="179"/>
      <c r="EF6" s="179"/>
      <c r="EG6" s="179"/>
      <c r="EH6" s="179"/>
      <c r="EI6" s="179"/>
      <c r="EJ6" s="179"/>
      <c r="EK6" s="179"/>
      <c r="EL6" s="179"/>
      <c r="EM6" s="179"/>
      <c r="EN6" s="179"/>
      <c r="EO6" s="179"/>
      <c r="EP6" s="179"/>
      <c r="EQ6" s="179"/>
      <c r="ER6" s="179"/>
      <c r="ES6" s="179"/>
      <c r="ET6" s="179"/>
      <c r="EU6" s="179"/>
      <c r="EV6" s="179"/>
      <c r="EW6" s="179"/>
      <c r="EX6" s="179"/>
      <c r="EY6" s="179"/>
      <c r="EZ6" s="179"/>
      <c r="FA6" s="179"/>
      <c r="FB6" s="179"/>
      <c r="FC6" s="179"/>
      <c r="FD6" s="179"/>
      <c r="FE6" s="179"/>
      <c r="FF6" s="179"/>
      <c r="FG6" s="179"/>
      <c r="FH6" s="179"/>
      <c r="FI6" s="179"/>
      <c r="FJ6" s="179"/>
      <c r="FK6" s="179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</row>
    <row r="7" spans="1:179" ht="108" customHeight="1" thickBot="1">
      <c r="A7" s="612" t="s">
        <v>37</v>
      </c>
      <c r="B7" s="613" t="s">
        <v>38</v>
      </c>
      <c r="C7" s="613" t="s">
        <v>39</v>
      </c>
      <c r="D7" s="614" t="s">
        <v>36</v>
      </c>
      <c r="E7" s="1079"/>
      <c r="F7" s="398" t="s">
        <v>143</v>
      </c>
      <c r="G7" s="399" t="s">
        <v>149</v>
      </c>
      <c r="H7" s="399" t="s">
        <v>145</v>
      </c>
      <c r="I7" s="615" t="s">
        <v>73</v>
      </c>
      <c r="J7" s="505" t="s">
        <v>94</v>
      </c>
      <c r="K7" s="630" t="s">
        <v>348</v>
      </c>
      <c r="L7" s="631" t="s">
        <v>349</v>
      </c>
      <c r="M7" s="631" t="s">
        <v>353</v>
      </c>
      <c r="N7" s="631" t="s">
        <v>354</v>
      </c>
      <c r="O7" s="631" t="s">
        <v>356</v>
      </c>
      <c r="P7" s="631" t="s">
        <v>357</v>
      </c>
      <c r="Q7" s="631" t="s">
        <v>358</v>
      </c>
      <c r="R7" s="631" t="s">
        <v>361</v>
      </c>
      <c r="S7" s="631"/>
      <c r="T7" s="631"/>
      <c r="U7" s="631"/>
      <c r="V7" s="631"/>
      <c r="W7" s="631"/>
      <c r="X7" s="631"/>
      <c r="Y7" s="631"/>
      <c r="Z7" s="631"/>
      <c r="AA7" s="631"/>
      <c r="AB7" s="631"/>
      <c r="AC7" s="631"/>
      <c r="AD7" s="631"/>
      <c r="AE7" s="631"/>
      <c r="AF7" s="631"/>
      <c r="AG7" s="631"/>
      <c r="AH7" s="631"/>
      <c r="AI7" s="631"/>
      <c r="AJ7" s="631"/>
      <c r="AK7" s="631"/>
      <c r="AL7" s="631"/>
      <c r="AM7" s="631"/>
      <c r="AN7" s="631"/>
      <c r="AO7" s="631"/>
      <c r="AP7" s="631"/>
      <c r="AQ7" s="631"/>
      <c r="AR7" s="631"/>
      <c r="AS7" s="631"/>
      <c r="AT7" s="631"/>
      <c r="AU7" s="631"/>
      <c r="AV7" s="631"/>
      <c r="AW7" s="631"/>
      <c r="AX7" s="631"/>
      <c r="AY7" s="631"/>
      <c r="AZ7" s="631"/>
      <c r="BA7" s="631"/>
      <c r="BB7" s="631"/>
      <c r="BC7" s="631"/>
      <c r="BD7" s="631"/>
      <c r="BE7" s="631"/>
      <c r="BF7" s="631"/>
      <c r="BG7" s="631"/>
      <c r="BH7" s="631"/>
      <c r="BI7" s="631"/>
      <c r="BJ7" s="631"/>
      <c r="BK7" s="631"/>
      <c r="BL7" s="632"/>
      <c r="BM7" s="631"/>
      <c r="BN7" s="116" t="s">
        <v>133</v>
      </c>
      <c r="BO7" s="115" t="s">
        <v>134</v>
      </c>
      <c r="BP7" s="115" t="s">
        <v>136</v>
      </c>
      <c r="BQ7" s="115" t="s">
        <v>135</v>
      </c>
      <c r="BR7" s="115" t="s">
        <v>137</v>
      </c>
      <c r="BS7" s="115" t="s">
        <v>138</v>
      </c>
      <c r="BT7" s="115" t="s">
        <v>139</v>
      </c>
      <c r="BU7" s="115" t="s">
        <v>140</v>
      </c>
      <c r="BV7" s="115" t="s">
        <v>141</v>
      </c>
      <c r="BW7" s="184" t="s">
        <v>54</v>
      </c>
      <c r="BX7" s="616">
        <v>0.1</v>
      </c>
      <c r="BY7" s="180"/>
      <c r="BZ7" s="180"/>
      <c r="CA7" s="180"/>
      <c r="CB7" s="180"/>
      <c r="CC7" s="181" t="s">
        <v>133</v>
      </c>
      <c r="CD7" s="181" t="s">
        <v>134</v>
      </c>
      <c r="CE7" s="181" t="s">
        <v>136</v>
      </c>
      <c r="CF7" s="181" t="s">
        <v>135</v>
      </c>
      <c r="CG7" s="181" t="s">
        <v>137</v>
      </c>
      <c r="CH7" s="181" t="s">
        <v>138</v>
      </c>
      <c r="CI7" s="181" t="s">
        <v>139</v>
      </c>
      <c r="CJ7" s="181" t="s">
        <v>140</v>
      </c>
      <c r="CK7" s="181" t="s">
        <v>141</v>
      </c>
      <c r="CL7" s="182" t="s">
        <v>142</v>
      </c>
      <c r="CM7" s="180"/>
      <c r="CN7" s="180"/>
      <c r="CO7" s="180"/>
      <c r="CP7" s="180"/>
      <c r="CQ7" s="180"/>
      <c r="CR7" s="180"/>
      <c r="CS7" s="180"/>
      <c r="CT7" s="180"/>
      <c r="CU7" s="180"/>
      <c r="CV7" s="180"/>
      <c r="CW7" s="180"/>
      <c r="CX7" s="180"/>
      <c r="CY7" s="180"/>
      <c r="CZ7" s="180"/>
      <c r="DA7" s="180"/>
      <c r="DB7" s="180"/>
      <c r="DC7" s="180"/>
      <c r="DD7" s="180"/>
      <c r="DE7" s="180"/>
      <c r="DF7" s="180"/>
      <c r="DG7" s="180"/>
      <c r="DH7" s="180"/>
      <c r="DI7" s="180"/>
      <c r="DJ7" s="180"/>
      <c r="DK7" s="180"/>
      <c r="DL7" s="180"/>
      <c r="DM7" s="180"/>
      <c r="DN7" s="180"/>
      <c r="DO7" s="180"/>
      <c r="DP7" s="180"/>
      <c r="DQ7" s="180"/>
      <c r="DR7" s="180"/>
      <c r="DS7" s="180"/>
      <c r="DT7" s="180"/>
      <c r="DU7" s="180"/>
      <c r="DV7" s="180"/>
      <c r="DW7" s="180"/>
      <c r="DX7" s="180"/>
      <c r="DY7" s="180"/>
      <c r="DZ7" s="180"/>
      <c r="EA7" s="180"/>
      <c r="EB7" s="180"/>
      <c r="EC7" s="180"/>
      <c r="ED7" s="180"/>
      <c r="EE7" s="180"/>
      <c r="EF7" s="180"/>
      <c r="EG7" s="180"/>
      <c r="EH7" s="180"/>
      <c r="EI7" s="180"/>
      <c r="EJ7" s="180"/>
      <c r="EK7" s="180"/>
      <c r="EL7" s="180"/>
      <c r="EM7" s="180"/>
      <c r="EN7" s="180"/>
      <c r="EO7" s="180"/>
      <c r="EP7" s="180"/>
      <c r="EQ7" s="180"/>
      <c r="ER7" s="180"/>
      <c r="ES7" s="180"/>
      <c r="ET7" s="180"/>
      <c r="EU7" s="180"/>
      <c r="EV7" s="180"/>
      <c r="EW7" s="180"/>
      <c r="EX7" s="180"/>
      <c r="EY7" s="180"/>
      <c r="EZ7" s="180"/>
      <c r="FA7" s="180"/>
      <c r="FB7" s="180"/>
      <c r="FC7" s="180"/>
      <c r="FD7" s="180"/>
      <c r="FE7" s="180"/>
      <c r="FF7" s="180"/>
      <c r="FG7" s="180"/>
      <c r="FH7" s="180"/>
      <c r="FI7" s="180"/>
      <c r="FJ7" s="180"/>
      <c r="FK7" s="180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</row>
    <row r="8" spans="1:179" s="610" customFormat="1" ht="18.75">
      <c r="A8" s="617">
        <v>1</v>
      </c>
      <c r="B8" s="618">
        <f>'REGISTRO DATOS'!C13</f>
        <v>0</v>
      </c>
      <c r="C8" s="618">
        <f>'REGISTRO DATOS'!D13</f>
        <v>0</v>
      </c>
      <c r="D8" s="618" t="str">
        <f>'REGISTRO DATOS'!E13</f>
        <v>MARIANELA</v>
      </c>
      <c r="E8" s="1079"/>
      <c r="F8" s="619">
        <f>CL8</f>
        <v>0</v>
      </c>
      <c r="G8" s="619">
        <f>CC8</f>
        <v>0</v>
      </c>
      <c r="H8" s="619">
        <f>CE8</f>
        <v>0</v>
      </c>
      <c r="I8" s="620">
        <f>BX8</f>
        <v>10</v>
      </c>
      <c r="J8" s="511"/>
      <c r="K8" s="633" t="s">
        <v>344</v>
      </c>
      <c r="L8" s="634" t="s">
        <v>134</v>
      </c>
      <c r="M8" s="634" t="s">
        <v>134</v>
      </c>
      <c r="N8" s="634" t="s">
        <v>344</v>
      </c>
      <c r="O8" s="634" t="s">
        <v>344</v>
      </c>
      <c r="P8" s="634" t="s">
        <v>344</v>
      </c>
      <c r="Q8" s="634" t="s">
        <v>344</v>
      </c>
      <c r="R8" s="634" t="s">
        <v>344</v>
      </c>
      <c r="S8" s="634"/>
      <c r="T8" s="634"/>
      <c r="U8" s="634"/>
      <c r="V8" s="634"/>
      <c r="W8" s="634"/>
      <c r="X8" s="634"/>
      <c r="Y8" s="634"/>
      <c r="Z8" s="634"/>
      <c r="AA8" s="634"/>
      <c r="AB8" s="634"/>
      <c r="AC8" s="634"/>
      <c r="AD8" s="634"/>
      <c r="AE8" s="634"/>
      <c r="AF8" s="634"/>
      <c r="AG8" s="634"/>
      <c r="AH8" s="634"/>
      <c r="AI8" s="634"/>
      <c r="AJ8" s="634"/>
      <c r="AK8" s="634"/>
      <c r="AL8" s="634"/>
      <c r="AM8" s="634"/>
      <c r="AN8" s="634"/>
      <c r="AO8" s="634"/>
      <c r="AP8" s="634"/>
      <c r="AQ8" s="634"/>
      <c r="AR8" s="634"/>
      <c r="AS8" s="634"/>
      <c r="AT8" s="634"/>
      <c r="AU8" s="634"/>
      <c r="AV8" s="634"/>
      <c r="AW8" s="634"/>
      <c r="AX8" s="634"/>
      <c r="AY8" s="634"/>
      <c r="AZ8" s="634"/>
      <c r="BA8" s="634"/>
      <c r="BB8" s="634"/>
      <c r="BC8" s="634"/>
      <c r="BD8" s="634"/>
      <c r="BE8" s="634"/>
      <c r="BF8" s="634"/>
      <c r="BG8" s="634"/>
      <c r="BH8" s="634"/>
      <c r="BI8" s="634"/>
      <c r="BJ8" s="634"/>
      <c r="BK8" s="634"/>
      <c r="BL8" s="634"/>
      <c r="BM8" s="634"/>
      <c r="BN8" s="610">
        <f>CC8*0.5</f>
        <v>0</v>
      </c>
      <c r="BO8" s="610">
        <f>CD8*0</f>
        <v>0</v>
      </c>
      <c r="BP8" s="610">
        <f>CE8*0</f>
        <v>0</v>
      </c>
      <c r="BQ8" s="610">
        <f>CF8*1</f>
        <v>0</v>
      </c>
      <c r="BR8" s="610">
        <f>CG8*2</f>
        <v>0</v>
      </c>
      <c r="BS8" s="610">
        <f>CH8*3</f>
        <v>0</v>
      </c>
      <c r="BT8" s="610">
        <f>CI8*4</f>
        <v>0</v>
      </c>
      <c r="BU8" s="610">
        <f>CJ8*5</f>
        <v>0</v>
      </c>
      <c r="BV8" s="610">
        <f>CK8*6</f>
        <v>0</v>
      </c>
      <c r="BW8" s="610">
        <f>SUM(BN8:BV8)</f>
        <v>0</v>
      </c>
      <c r="BX8" s="610">
        <f>(($N$5-BW8)/$N$5)*10</f>
        <v>10</v>
      </c>
      <c r="CC8" s="610">
        <f>COUNTIF(K8:BM8,"T")</f>
        <v>0</v>
      </c>
      <c r="CD8" s="610">
        <f>COUNTIF(K8:BM8,"P")</f>
        <v>8</v>
      </c>
      <c r="CE8" s="610">
        <f>COUNTIF(K8:BM8,"J")</f>
        <v>0</v>
      </c>
      <c r="CF8" s="610">
        <f>COUNTIF(K8:BM8,"A")</f>
        <v>0</v>
      </c>
      <c r="CG8" s="610">
        <f>COUNTIF(K8:BM8,"2A")</f>
        <v>0</v>
      </c>
      <c r="CH8" s="610">
        <f>COUNTIF(K8:BM8,"3A")</f>
        <v>0</v>
      </c>
      <c r="CI8" s="610">
        <f>COUNTIF(K8:BM8,"4A")</f>
        <v>0</v>
      </c>
      <c r="CJ8" s="610">
        <f>COUNTIF(K8:BM8,"5A")</f>
        <v>0</v>
      </c>
      <c r="CK8" s="610">
        <f>COUNTIF(K8:BM8,"6A")</f>
        <v>0</v>
      </c>
      <c r="CL8" s="610">
        <f>SUM(BQ8:BV8)</f>
        <v>0</v>
      </c>
    </row>
    <row r="9" spans="1:179" s="610" customFormat="1" ht="18.75">
      <c r="A9" s="621">
        <v>2</v>
      </c>
      <c r="B9" s="622">
        <f>'REGISTRO DATOS'!C14</f>
        <v>0</v>
      </c>
      <c r="C9" s="622">
        <f>'REGISTRO DATOS'!D14</f>
        <v>0</v>
      </c>
      <c r="D9" s="622" t="str">
        <f>'REGISTRO DATOS'!E14</f>
        <v>GENESIS</v>
      </c>
      <c r="E9" s="1079"/>
      <c r="F9" s="623">
        <f t="shared" ref="F9:F47" si="0">CL9</f>
        <v>0</v>
      </c>
      <c r="G9" s="623">
        <f t="shared" ref="G9:G47" si="1">CC9</f>
        <v>0</v>
      </c>
      <c r="H9" s="623">
        <f t="shared" ref="H9:H47" si="2">CE9</f>
        <v>0</v>
      </c>
      <c r="I9" s="624">
        <f t="shared" ref="I9:I47" si="3">BX9</f>
        <v>10</v>
      </c>
      <c r="J9" s="514"/>
      <c r="K9" s="634" t="s">
        <v>344</v>
      </c>
      <c r="L9" s="634" t="s">
        <v>134</v>
      </c>
      <c r="M9" s="634" t="s">
        <v>134</v>
      </c>
      <c r="N9" s="634" t="s">
        <v>344</v>
      </c>
      <c r="O9" s="634" t="s">
        <v>344</v>
      </c>
      <c r="P9" s="634" t="s">
        <v>344</v>
      </c>
      <c r="Q9" s="634" t="s">
        <v>344</v>
      </c>
      <c r="R9" s="634" t="s">
        <v>344</v>
      </c>
      <c r="S9" s="634"/>
      <c r="T9" s="634"/>
      <c r="U9" s="634"/>
      <c r="V9" s="634"/>
      <c r="W9" s="634"/>
      <c r="X9" s="634"/>
      <c r="Y9" s="634"/>
      <c r="Z9" s="634"/>
      <c r="AA9" s="634"/>
      <c r="AB9" s="634"/>
      <c r="AC9" s="634"/>
      <c r="AD9" s="634"/>
      <c r="AE9" s="634"/>
      <c r="AF9" s="634"/>
      <c r="AG9" s="634"/>
      <c r="AH9" s="634"/>
      <c r="AI9" s="634"/>
      <c r="AJ9" s="634"/>
      <c r="AK9" s="634"/>
      <c r="AL9" s="634"/>
      <c r="AM9" s="634"/>
      <c r="AN9" s="634"/>
      <c r="AO9" s="634"/>
      <c r="AP9" s="634"/>
      <c r="AQ9" s="634"/>
      <c r="AR9" s="634"/>
      <c r="AS9" s="634"/>
      <c r="AT9" s="634"/>
      <c r="AU9" s="634"/>
      <c r="AV9" s="634"/>
      <c r="AW9" s="634"/>
      <c r="AX9" s="634"/>
      <c r="AY9" s="634"/>
      <c r="AZ9" s="634"/>
      <c r="BA9" s="634"/>
      <c r="BB9" s="634"/>
      <c r="BC9" s="634"/>
      <c r="BD9" s="634"/>
      <c r="BE9" s="634"/>
      <c r="BF9" s="634"/>
      <c r="BG9" s="634"/>
      <c r="BH9" s="634"/>
      <c r="BI9" s="634"/>
      <c r="BJ9" s="634"/>
      <c r="BK9" s="634"/>
      <c r="BL9" s="634"/>
      <c r="BM9" s="634"/>
      <c r="BN9" s="610">
        <f t="shared" ref="BN9:BN47" si="4">CC9*0.5</f>
        <v>0</v>
      </c>
      <c r="BO9" s="610">
        <f t="shared" ref="BO9:BO47" si="5">CD9*0</f>
        <v>0</v>
      </c>
      <c r="BP9" s="610">
        <f t="shared" ref="BP9:BP47" si="6">CE9*0</f>
        <v>0</v>
      </c>
      <c r="BQ9" s="610">
        <f t="shared" ref="BQ9:BQ47" si="7">CF9*1</f>
        <v>0</v>
      </c>
      <c r="BR9" s="610">
        <f t="shared" ref="BR9:BR47" si="8">CG9*2</f>
        <v>0</v>
      </c>
      <c r="BS9" s="610">
        <f t="shared" ref="BS9:BS47" si="9">CH9*3</f>
        <v>0</v>
      </c>
      <c r="BT9" s="610">
        <f t="shared" ref="BT9:BT47" si="10">CI9*4</f>
        <v>0</v>
      </c>
      <c r="BU9" s="610">
        <f t="shared" ref="BU9:BU47" si="11">CJ9*5</f>
        <v>0</v>
      </c>
      <c r="BV9" s="610">
        <f t="shared" ref="BV9:BV47" si="12">CK9*6</f>
        <v>0</v>
      </c>
      <c r="BW9" s="610">
        <f t="shared" ref="BW9:BW47" si="13">SUM(BN9:BV9)</f>
        <v>0</v>
      </c>
      <c r="BX9" s="610">
        <f t="shared" ref="BX9:BX47" si="14">(($N$5-BW9)/$N$5)*10</f>
        <v>10</v>
      </c>
      <c r="CC9" s="610">
        <f t="shared" ref="CC9:CC47" si="15">COUNTIF(K9:BM9,"T")</f>
        <v>0</v>
      </c>
      <c r="CD9" s="610">
        <f t="shared" ref="CD9:CD47" si="16">COUNTIF(K9:BM9,"P")</f>
        <v>8</v>
      </c>
      <c r="CE9" s="610">
        <f t="shared" ref="CE9:CE47" si="17">COUNTIF(K9:BM9,"J")</f>
        <v>0</v>
      </c>
      <c r="CF9" s="610">
        <f t="shared" ref="CF9:CF47" si="18">COUNTIF(K9:BM9,"A")</f>
        <v>0</v>
      </c>
      <c r="CG9" s="610">
        <f t="shared" ref="CG9:CG47" si="19">COUNTIF(K9:BM9,"2A")</f>
        <v>0</v>
      </c>
      <c r="CH9" s="610">
        <f t="shared" ref="CH9:CH47" si="20">COUNTIF(K9:BM9,"3A")</f>
        <v>0</v>
      </c>
      <c r="CI9" s="610">
        <f t="shared" ref="CI9:CI47" si="21">COUNTIF(K9:BM9,"4A")</f>
        <v>0</v>
      </c>
      <c r="CJ9" s="610">
        <f t="shared" ref="CJ9:CJ47" si="22">COUNTIF(K9:BM9,"5A")</f>
        <v>0</v>
      </c>
      <c r="CK9" s="610">
        <f t="shared" ref="CK9:CK47" si="23">COUNTIF(K9:BM9,"6A")</f>
        <v>0</v>
      </c>
      <c r="CL9" s="610">
        <f t="shared" ref="CL9:CL47" si="24">SUM(BQ9:BV9)</f>
        <v>0</v>
      </c>
    </row>
    <row r="10" spans="1:179" s="610" customFormat="1" ht="18.75">
      <c r="A10" s="621">
        <v>3</v>
      </c>
      <c r="B10" s="622">
        <f>'REGISTRO DATOS'!C15</f>
        <v>0</v>
      </c>
      <c r="C10" s="622">
        <f>'REGISTRO DATOS'!D15</f>
        <v>0</v>
      </c>
      <c r="D10" s="622" t="str">
        <f>'REGISTRO DATOS'!E15</f>
        <v>EILEEN</v>
      </c>
      <c r="E10" s="1079"/>
      <c r="F10" s="623">
        <f t="shared" si="0"/>
        <v>0</v>
      </c>
      <c r="G10" s="623">
        <f t="shared" si="1"/>
        <v>0</v>
      </c>
      <c r="H10" s="623">
        <f t="shared" si="2"/>
        <v>0</v>
      </c>
      <c r="I10" s="624">
        <f t="shared" si="3"/>
        <v>10</v>
      </c>
      <c r="J10" s="514"/>
      <c r="K10" s="634" t="s">
        <v>344</v>
      </c>
      <c r="L10" s="634" t="s">
        <v>134</v>
      </c>
      <c r="M10" s="634" t="s">
        <v>134</v>
      </c>
      <c r="N10" s="634" t="s">
        <v>344</v>
      </c>
      <c r="O10" s="634" t="s">
        <v>344</v>
      </c>
      <c r="P10" s="634" t="s">
        <v>344</v>
      </c>
      <c r="Q10" s="634" t="s">
        <v>344</v>
      </c>
      <c r="R10" s="634" t="s">
        <v>344</v>
      </c>
      <c r="S10" s="634"/>
      <c r="T10" s="634"/>
      <c r="U10" s="634"/>
      <c r="V10" s="634"/>
      <c r="W10" s="634"/>
      <c r="X10" s="634"/>
      <c r="Y10" s="634"/>
      <c r="Z10" s="634"/>
      <c r="AA10" s="634"/>
      <c r="AB10" s="634"/>
      <c r="AC10" s="634"/>
      <c r="AD10" s="634"/>
      <c r="AE10" s="634"/>
      <c r="AF10" s="634"/>
      <c r="AG10" s="634"/>
      <c r="AH10" s="634"/>
      <c r="AI10" s="634"/>
      <c r="AJ10" s="634"/>
      <c r="AK10" s="634"/>
      <c r="AL10" s="634"/>
      <c r="AM10" s="634"/>
      <c r="AN10" s="634"/>
      <c r="AO10" s="634"/>
      <c r="AP10" s="634"/>
      <c r="AQ10" s="634"/>
      <c r="AR10" s="634"/>
      <c r="AS10" s="634"/>
      <c r="AT10" s="634"/>
      <c r="AU10" s="634"/>
      <c r="AV10" s="634"/>
      <c r="AW10" s="634"/>
      <c r="AX10" s="634"/>
      <c r="AY10" s="634"/>
      <c r="AZ10" s="634"/>
      <c r="BA10" s="634"/>
      <c r="BB10" s="634"/>
      <c r="BC10" s="634"/>
      <c r="BD10" s="634"/>
      <c r="BE10" s="634"/>
      <c r="BF10" s="634"/>
      <c r="BG10" s="634"/>
      <c r="BH10" s="634"/>
      <c r="BI10" s="634"/>
      <c r="BJ10" s="634"/>
      <c r="BK10" s="634"/>
      <c r="BL10" s="634"/>
      <c r="BM10" s="634"/>
      <c r="BN10" s="610">
        <f t="shared" si="4"/>
        <v>0</v>
      </c>
      <c r="BO10" s="610">
        <f t="shared" si="5"/>
        <v>0</v>
      </c>
      <c r="BP10" s="610">
        <f t="shared" si="6"/>
        <v>0</v>
      </c>
      <c r="BQ10" s="610">
        <f t="shared" si="7"/>
        <v>0</v>
      </c>
      <c r="BR10" s="610">
        <f t="shared" si="8"/>
        <v>0</v>
      </c>
      <c r="BS10" s="610">
        <f t="shared" si="9"/>
        <v>0</v>
      </c>
      <c r="BT10" s="610">
        <f t="shared" si="10"/>
        <v>0</v>
      </c>
      <c r="BU10" s="610">
        <f t="shared" si="11"/>
        <v>0</v>
      </c>
      <c r="BV10" s="610">
        <f t="shared" si="12"/>
        <v>0</v>
      </c>
      <c r="BW10" s="610">
        <f t="shared" si="13"/>
        <v>0</v>
      </c>
      <c r="BX10" s="610">
        <f t="shared" si="14"/>
        <v>10</v>
      </c>
      <c r="CC10" s="610">
        <f t="shared" si="15"/>
        <v>0</v>
      </c>
      <c r="CD10" s="610">
        <f t="shared" si="16"/>
        <v>8</v>
      </c>
      <c r="CE10" s="610">
        <f t="shared" si="17"/>
        <v>0</v>
      </c>
      <c r="CF10" s="610">
        <f t="shared" si="18"/>
        <v>0</v>
      </c>
      <c r="CG10" s="610">
        <f t="shared" si="19"/>
        <v>0</v>
      </c>
      <c r="CH10" s="610">
        <f t="shared" si="20"/>
        <v>0</v>
      </c>
      <c r="CI10" s="610">
        <f t="shared" si="21"/>
        <v>0</v>
      </c>
      <c r="CJ10" s="610">
        <f t="shared" si="22"/>
        <v>0</v>
      </c>
      <c r="CK10" s="610">
        <f t="shared" si="23"/>
        <v>0</v>
      </c>
      <c r="CL10" s="610">
        <f t="shared" si="24"/>
        <v>0</v>
      </c>
    </row>
    <row r="11" spans="1:179" s="610" customFormat="1" ht="18.75">
      <c r="A11" s="621">
        <v>4</v>
      </c>
      <c r="B11" s="622">
        <f>'REGISTRO DATOS'!C16</f>
        <v>0</v>
      </c>
      <c r="C11" s="622">
        <f>'REGISTRO DATOS'!D16</f>
        <v>0</v>
      </c>
      <c r="D11" s="622" t="str">
        <f>'REGISTRO DATOS'!E16</f>
        <v>CINDEL</v>
      </c>
      <c r="E11" s="1079"/>
      <c r="F11" s="623">
        <f t="shared" si="0"/>
        <v>12</v>
      </c>
      <c r="G11" s="623">
        <f t="shared" si="1"/>
        <v>0</v>
      </c>
      <c r="H11" s="623">
        <f t="shared" si="2"/>
        <v>0</v>
      </c>
      <c r="I11" s="624">
        <f t="shared" si="3"/>
        <v>6.25</v>
      </c>
      <c r="J11" s="514"/>
      <c r="K11" s="634" t="s">
        <v>344</v>
      </c>
      <c r="L11" s="634" t="s">
        <v>134</v>
      </c>
      <c r="M11" s="634" t="s">
        <v>134</v>
      </c>
      <c r="N11" s="634" t="s">
        <v>344</v>
      </c>
      <c r="O11" s="634" t="s">
        <v>344</v>
      </c>
      <c r="P11" s="634" t="s">
        <v>345</v>
      </c>
      <c r="Q11" s="634" t="s">
        <v>345</v>
      </c>
      <c r="R11" s="634" t="s">
        <v>345</v>
      </c>
      <c r="S11" s="634"/>
      <c r="T11" s="634"/>
      <c r="U11" s="634"/>
      <c r="V11" s="634"/>
      <c r="W11" s="634"/>
      <c r="X11" s="634"/>
      <c r="Y11" s="634"/>
      <c r="Z11" s="634"/>
      <c r="AA11" s="634"/>
      <c r="AB11" s="634"/>
      <c r="AC11" s="634"/>
      <c r="AD11" s="634"/>
      <c r="AE11" s="634"/>
      <c r="AF11" s="634"/>
      <c r="AG11" s="634"/>
      <c r="AH11" s="634"/>
      <c r="AI11" s="634"/>
      <c r="AJ11" s="634"/>
      <c r="AK11" s="634"/>
      <c r="AL11" s="634"/>
      <c r="AM11" s="634"/>
      <c r="AN11" s="634"/>
      <c r="AO11" s="634"/>
      <c r="AP11" s="634"/>
      <c r="AQ11" s="634"/>
      <c r="AR11" s="634"/>
      <c r="AS11" s="634"/>
      <c r="AT11" s="634"/>
      <c r="AU11" s="634"/>
      <c r="AV11" s="634"/>
      <c r="AW11" s="634"/>
      <c r="AX11" s="634"/>
      <c r="AY11" s="634"/>
      <c r="AZ11" s="634"/>
      <c r="BA11" s="634"/>
      <c r="BB11" s="634"/>
      <c r="BC11" s="634"/>
      <c r="BD11" s="634"/>
      <c r="BE11" s="634"/>
      <c r="BF11" s="634"/>
      <c r="BG11" s="634"/>
      <c r="BH11" s="634"/>
      <c r="BI11" s="634"/>
      <c r="BJ11" s="634"/>
      <c r="BK11" s="634"/>
      <c r="BL11" s="634"/>
      <c r="BM11" s="634"/>
      <c r="BN11" s="610">
        <f t="shared" si="4"/>
        <v>0</v>
      </c>
      <c r="BO11" s="610">
        <f t="shared" si="5"/>
        <v>0</v>
      </c>
      <c r="BP11" s="610">
        <f t="shared" si="6"/>
        <v>0</v>
      </c>
      <c r="BQ11" s="610">
        <f t="shared" si="7"/>
        <v>0</v>
      </c>
      <c r="BR11" s="610">
        <f t="shared" si="8"/>
        <v>0</v>
      </c>
      <c r="BS11" s="610">
        <f t="shared" si="9"/>
        <v>0</v>
      </c>
      <c r="BT11" s="610">
        <f t="shared" si="10"/>
        <v>12</v>
      </c>
      <c r="BU11" s="610">
        <f t="shared" si="11"/>
        <v>0</v>
      </c>
      <c r="BV11" s="610">
        <f t="shared" si="12"/>
        <v>0</v>
      </c>
      <c r="BW11" s="610">
        <f t="shared" si="13"/>
        <v>12</v>
      </c>
      <c r="BX11" s="610">
        <f t="shared" si="14"/>
        <v>6.25</v>
      </c>
      <c r="CC11" s="610">
        <f t="shared" si="15"/>
        <v>0</v>
      </c>
      <c r="CD11" s="610">
        <f t="shared" si="16"/>
        <v>5</v>
      </c>
      <c r="CE11" s="610">
        <f t="shared" si="17"/>
        <v>0</v>
      </c>
      <c r="CF11" s="610">
        <f t="shared" si="18"/>
        <v>0</v>
      </c>
      <c r="CG11" s="610">
        <f t="shared" si="19"/>
        <v>0</v>
      </c>
      <c r="CH11" s="610">
        <f t="shared" si="20"/>
        <v>0</v>
      </c>
      <c r="CI11" s="610">
        <f t="shared" si="21"/>
        <v>3</v>
      </c>
      <c r="CJ11" s="610">
        <f t="shared" si="22"/>
        <v>0</v>
      </c>
      <c r="CK11" s="610">
        <f t="shared" si="23"/>
        <v>0</v>
      </c>
      <c r="CL11" s="610">
        <f t="shared" si="24"/>
        <v>12</v>
      </c>
    </row>
    <row r="12" spans="1:179" s="610" customFormat="1" ht="18.75">
      <c r="A12" s="621">
        <v>5</v>
      </c>
      <c r="B12" s="622">
        <f>'REGISTRO DATOS'!C17</f>
        <v>0</v>
      </c>
      <c r="C12" s="622">
        <f>'REGISTRO DATOS'!D17</f>
        <v>0</v>
      </c>
      <c r="D12" s="622" t="str">
        <f>'REGISTRO DATOS'!E17</f>
        <v>NANCY</v>
      </c>
      <c r="E12" s="1079"/>
      <c r="F12" s="623">
        <f t="shared" si="0"/>
        <v>4</v>
      </c>
      <c r="G12" s="623">
        <f t="shared" si="1"/>
        <v>0</v>
      </c>
      <c r="H12" s="623">
        <f t="shared" si="2"/>
        <v>0</v>
      </c>
      <c r="I12" s="624">
        <f t="shared" si="3"/>
        <v>8.75</v>
      </c>
      <c r="J12" s="514"/>
      <c r="K12" s="634" t="s">
        <v>345</v>
      </c>
      <c r="L12" s="634" t="s">
        <v>134</v>
      </c>
      <c r="M12" s="634" t="s">
        <v>134</v>
      </c>
      <c r="N12" s="634" t="s">
        <v>344</v>
      </c>
      <c r="O12" s="634" t="s">
        <v>344</v>
      </c>
      <c r="P12" s="634" t="s">
        <v>344</v>
      </c>
      <c r="Q12" s="634" t="s">
        <v>344</v>
      </c>
      <c r="R12" s="634" t="s">
        <v>344</v>
      </c>
      <c r="S12" s="634"/>
      <c r="T12" s="634"/>
      <c r="U12" s="634"/>
      <c r="V12" s="634"/>
      <c r="W12" s="634"/>
      <c r="X12" s="634"/>
      <c r="Y12" s="634"/>
      <c r="Z12" s="634"/>
      <c r="AA12" s="634"/>
      <c r="AB12" s="634"/>
      <c r="AC12" s="634"/>
      <c r="AD12" s="634"/>
      <c r="AE12" s="634"/>
      <c r="AF12" s="634"/>
      <c r="AG12" s="634"/>
      <c r="AH12" s="634"/>
      <c r="AI12" s="634"/>
      <c r="AJ12" s="634"/>
      <c r="AK12" s="634"/>
      <c r="AL12" s="634"/>
      <c r="AM12" s="634"/>
      <c r="AN12" s="634"/>
      <c r="AO12" s="634"/>
      <c r="AP12" s="634"/>
      <c r="AQ12" s="634"/>
      <c r="AR12" s="634"/>
      <c r="AS12" s="634"/>
      <c r="AT12" s="634"/>
      <c r="AU12" s="634"/>
      <c r="AV12" s="634"/>
      <c r="AW12" s="634"/>
      <c r="AX12" s="634"/>
      <c r="AY12" s="634"/>
      <c r="AZ12" s="634"/>
      <c r="BA12" s="634"/>
      <c r="BB12" s="634"/>
      <c r="BC12" s="634"/>
      <c r="BD12" s="634"/>
      <c r="BE12" s="634"/>
      <c r="BF12" s="634"/>
      <c r="BG12" s="634"/>
      <c r="BH12" s="634"/>
      <c r="BI12" s="634"/>
      <c r="BJ12" s="634"/>
      <c r="BK12" s="634"/>
      <c r="BL12" s="634"/>
      <c r="BM12" s="634"/>
      <c r="BN12" s="610">
        <f t="shared" si="4"/>
        <v>0</v>
      </c>
      <c r="BO12" s="610">
        <f t="shared" si="5"/>
        <v>0</v>
      </c>
      <c r="BP12" s="610">
        <f t="shared" si="6"/>
        <v>0</v>
      </c>
      <c r="BQ12" s="610">
        <f t="shared" si="7"/>
        <v>0</v>
      </c>
      <c r="BR12" s="610">
        <f t="shared" si="8"/>
        <v>0</v>
      </c>
      <c r="BS12" s="610">
        <f t="shared" si="9"/>
        <v>0</v>
      </c>
      <c r="BT12" s="610">
        <f t="shared" si="10"/>
        <v>4</v>
      </c>
      <c r="BU12" s="610">
        <f t="shared" si="11"/>
        <v>0</v>
      </c>
      <c r="BV12" s="610">
        <f t="shared" si="12"/>
        <v>0</v>
      </c>
      <c r="BW12" s="610">
        <f t="shared" si="13"/>
        <v>4</v>
      </c>
      <c r="BX12" s="610">
        <f t="shared" si="14"/>
        <v>8.75</v>
      </c>
      <c r="CC12" s="610">
        <f t="shared" si="15"/>
        <v>0</v>
      </c>
      <c r="CD12" s="610">
        <f t="shared" si="16"/>
        <v>7</v>
      </c>
      <c r="CE12" s="610">
        <f t="shared" si="17"/>
        <v>0</v>
      </c>
      <c r="CF12" s="610">
        <f t="shared" si="18"/>
        <v>0</v>
      </c>
      <c r="CG12" s="610">
        <f t="shared" si="19"/>
        <v>0</v>
      </c>
      <c r="CH12" s="610">
        <f t="shared" si="20"/>
        <v>0</v>
      </c>
      <c r="CI12" s="610">
        <f t="shared" si="21"/>
        <v>1</v>
      </c>
      <c r="CJ12" s="610">
        <f t="shared" si="22"/>
        <v>0</v>
      </c>
      <c r="CK12" s="610">
        <f t="shared" si="23"/>
        <v>0</v>
      </c>
      <c r="CL12" s="610">
        <f t="shared" si="24"/>
        <v>4</v>
      </c>
    </row>
    <row r="13" spans="1:179" s="610" customFormat="1" ht="18.75">
      <c r="A13" s="621">
        <v>6</v>
      </c>
      <c r="B13" s="622">
        <f>'REGISTRO DATOS'!C18</f>
        <v>0</v>
      </c>
      <c r="C13" s="622">
        <f>'REGISTRO DATOS'!D18</f>
        <v>0</v>
      </c>
      <c r="D13" s="622" t="str">
        <f>'REGISTRO DATOS'!E18</f>
        <v>MARIANA</v>
      </c>
      <c r="E13" s="1079"/>
      <c r="F13" s="623">
        <f t="shared" si="0"/>
        <v>4</v>
      </c>
      <c r="G13" s="623">
        <f t="shared" si="1"/>
        <v>0</v>
      </c>
      <c r="H13" s="623">
        <f t="shared" si="2"/>
        <v>0</v>
      </c>
      <c r="I13" s="624">
        <f t="shared" si="3"/>
        <v>8.75</v>
      </c>
      <c r="J13" s="514"/>
      <c r="K13" s="634" t="s">
        <v>344</v>
      </c>
      <c r="L13" s="634" t="s">
        <v>134</v>
      </c>
      <c r="M13" s="634" t="s">
        <v>134</v>
      </c>
      <c r="N13" s="634" t="s">
        <v>344</v>
      </c>
      <c r="O13" s="634" t="s">
        <v>344</v>
      </c>
      <c r="P13" s="634" t="s">
        <v>344</v>
      </c>
      <c r="Q13" s="634" t="s">
        <v>344</v>
      </c>
      <c r="R13" s="634" t="s">
        <v>345</v>
      </c>
      <c r="S13" s="634"/>
      <c r="T13" s="634"/>
      <c r="U13" s="634"/>
      <c r="V13" s="634"/>
      <c r="W13" s="634"/>
      <c r="X13" s="634"/>
      <c r="Y13" s="634"/>
      <c r="Z13" s="634"/>
      <c r="AA13" s="634"/>
      <c r="AB13" s="634"/>
      <c r="AC13" s="634"/>
      <c r="AD13" s="634"/>
      <c r="AE13" s="634"/>
      <c r="AF13" s="634"/>
      <c r="AG13" s="634"/>
      <c r="AH13" s="634"/>
      <c r="AI13" s="634"/>
      <c r="AJ13" s="634"/>
      <c r="AK13" s="634"/>
      <c r="AL13" s="634"/>
      <c r="AM13" s="634"/>
      <c r="AN13" s="634"/>
      <c r="AO13" s="634"/>
      <c r="AP13" s="634"/>
      <c r="AQ13" s="634"/>
      <c r="AR13" s="634"/>
      <c r="AS13" s="634"/>
      <c r="AT13" s="634"/>
      <c r="AU13" s="634"/>
      <c r="AV13" s="634"/>
      <c r="AW13" s="634"/>
      <c r="AX13" s="634"/>
      <c r="AY13" s="634"/>
      <c r="AZ13" s="634"/>
      <c r="BA13" s="634"/>
      <c r="BB13" s="634"/>
      <c r="BC13" s="634"/>
      <c r="BD13" s="634"/>
      <c r="BE13" s="634"/>
      <c r="BF13" s="634"/>
      <c r="BG13" s="634"/>
      <c r="BH13" s="634"/>
      <c r="BI13" s="634"/>
      <c r="BJ13" s="634"/>
      <c r="BK13" s="634"/>
      <c r="BL13" s="634"/>
      <c r="BM13" s="634"/>
      <c r="BN13" s="610">
        <f t="shared" si="4"/>
        <v>0</v>
      </c>
      <c r="BO13" s="610">
        <f t="shared" si="5"/>
        <v>0</v>
      </c>
      <c r="BP13" s="610">
        <f t="shared" si="6"/>
        <v>0</v>
      </c>
      <c r="BQ13" s="610">
        <f t="shared" si="7"/>
        <v>0</v>
      </c>
      <c r="BR13" s="610">
        <f t="shared" si="8"/>
        <v>0</v>
      </c>
      <c r="BS13" s="610">
        <f t="shared" si="9"/>
        <v>0</v>
      </c>
      <c r="BT13" s="610">
        <f t="shared" si="10"/>
        <v>4</v>
      </c>
      <c r="BU13" s="610">
        <f t="shared" si="11"/>
        <v>0</v>
      </c>
      <c r="BV13" s="610">
        <f t="shared" si="12"/>
        <v>0</v>
      </c>
      <c r="BW13" s="610">
        <f t="shared" si="13"/>
        <v>4</v>
      </c>
      <c r="BX13" s="610">
        <f t="shared" si="14"/>
        <v>8.75</v>
      </c>
      <c r="CC13" s="610">
        <f t="shared" si="15"/>
        <v>0</v>
      </c>
      <c r="CD13" s="610">
        <f t="shared" si="16"/>
        <v>7</v>
      </c>
      <c r="CE13" s="610">
        <f t="shared" si="17"/>
        <v>0</v>
      </c>
      <c r="CF13" s="610">
        <f t="shared" si="18"/>
        <v>0</v>
      </c>
      <c r="CG13" s="610">
        <f t="shared" si="19"/>
        <v>0</v>
      </c>
      <c r="CH13" s="610">
        <f t="shared" si="20"/>
        <v>0</v>
      </c>
      <c r="CI13" s="610">
        <f t="shared" si="21"/>
        <v>1</v>
      </c>
      <c r="CJ13" s="610">
        <f t="shared" si="22"/>
        <v>0</v>
      </c>
      <c r="CK13" s="610">
        <f t="shared" si="23"/>
        <v>0</v>
      </c>
      <c r="CL13" s="610">
        <f t="shared" si="24"/>
        <v>4</v>
      </c>
    </row>
    <row r="14" spans="1:179" s="610" customFormat="1" ht="18.75">
      <c r="A14" s="621">
        <v>7</v>
      </c>
      <c r="B14" s="622" t="str">
        <f>'REGISTRO DATOS'!C19</f>
        <v xml:space="preserve">GONZALEZ </v>
      </c>
      <c r="C14" s="622" t="str">
        <f>'REGISTRO DATOS'!D19</f>
        <v>CHAVARRIA</v>
      </c>
      <c r="D14" s="622" t="str">
        <f>'REGISTRO DATOS'!E19</f>
        <v>STEPHANIE</v>
      </c>
      <c r="E14" s="1079"/>
      <c r="F14" s="623">
        <f t="shared" si="0"/>
        <v>4</v>
      </c>
      <c r="G14" s="623">
        <f t="shared" si="1"/>
        <v>0</v>
      </c>
      <c r="H14" s="623">
        <f t="shared" si="2"/>
        <v>1</v>
      </c>
      <c r="I14" s="624">
        <f t="shared" si="3"/>
        <v>8.75</v>
      </c>
      <c r="J14" s="514"/>
      <c r="K14" s="634" t="s">
        <v>344</v>
      </c>
      <c r="L14" s="634" t="s">
        <v>134</v>
      </c>
      <c r="M14" s="634" t="s">
        <v>136</v>
      </c>
      <c r="N14" s="634" t="s">
        <v>344</v>
      </c>
      <c r="O14" s="634" t="s">
        <v>345</v>
      </c>
      <c r="P14" s="634" t="s">
        <v>344</v>
      </c>
      <c r="Q14" s="634" t="s">
        <v>344</v>
      </c>
      <c r="R14" s="634" t="s">
        <v>344</v>
      </c>
      <c r="S14" s="634"/>
      <c r="T14" s="634"/>
      <c r="U14" s="634"/>
      <c r="V14" s="634"/>
      <c r="W14" s="634"/>
      <c r="X14" s="634"/>
      <c r="Y14" s="634"/>
      <c r="Z14" s="634"/>
      <c r="AA14" s="634"/>
      <c r="AB14" s="634"/>
      <c r="AC14" s="634"/>
      <c r="AD14" s="634"/>
      <c r="AE14" s="634"/>
      <c r="AF14" s="634"/>
      <c r="AG14" s="634"/>
      <c r="AH14" s="634"/>
      <c r="AI14" s="634"/>
      <c r="AJ14" s="634"/>
      <c r="AK14" s="634"/>
      <c r="AL14" s="634"/>
      <c r="AM14" s="634"/>
      <c r="AN14" s="634"/>
      <c r="AO14" s="634"/>
      <c r="AP14" s="634"/>
      <c r="AQ14" s="634"/>
      <c r="AR14" s="634"/>
      <c r="AS14" s="634"/>
      <c r="AT14" s="634"/>
      <c r="AU14" s="634"/>
      <c r="AV14" s="634"/>
      <c r="AW14" s="634"/>
      <c r="AX14" s="634"/>
      <c r="AY14" s="634"/>
      <c r="AZ14" s="634"/>
      <c r="BA14" s="634"/>
      <c r="BB14" s="634"/>
      <c r="BC14" s="634"/>
      <c r="BD14" s="634"/>
      <c r="BE14" s="634"/>
      <c r="BF14" s="634"/>
      <c r="BG14" s="634"/>
      <c r="BH14" s="634"/>
      <c r="BI14" s="634"/>
      <c r="BJ14" s="634"/>
      <c r="BK14" s="634"/>
      <c r="BL14" s="634"/>
      <c r="BM14" s="634"/>
      <c r="BN14" s="610">
        <f t="shared" si="4"/>
        <v>0</v>
      </c>
      <c r="BO14" s="610">
        <f t="shared" si="5"/>
        <v>0</v>
      </c>
      <c r="BP14" s="610">
        <f t="shared" si="6"/>
        <v>0</v>
      </c>
      <c r="BQ14" s="610">
        <f t="shared" si="7"/>
        <v>0</v>
      </c>
      <c r="BR14" s="610">
        <f t="shared" si="8"/>
        <v>0</v>
      </c>
      <c r="BS14" s="610">
        <f t="shared" si="9"/>
        <v>0</v>
      </c>
      <c r="BT14" s="610">
        <f t="shared" si="10"/>
        <v>4</v>
      </c>
      <c r="BU14" s="610">
        <f t="shared" si="11"/>
        <v>0</v>
      </c>
      <c r="BV14" s="610">
        <f t="shared" si="12"/>
        <v>0</v>
      </c>
      <c r="BW14" s="610">
        <f t="shared" si="13"/>
        <v>4</v>
      </c>
      <c r="BX14" s="610">
        <f t="shared" si="14"/>
        <v>8.75</v>
      </c>
      <c r="CC14" s="610">
        <f t="shared" si="15"/>
        <v>0</v>
      </c>
      <c r="CD14" s="610">
        <f t="shared" si="16"/>
        <v>6</v>
      </c>
      <c r="CE14" s="610">
        <f t="shared" si="17"/>
        <v>1</v>
      </c>
      <c r="CF14" s="610">
        <f t="shared" si="18"/>
        <v>0</v>
      </c>
      <c r="CG14" s="610">
        <f t="shared" si="19"/>
        <v>0</v>
      </c>
      <c r="CH14" s="610">
        <f t="shared" si="20"/>
        <v>0</v>
      </c>
      <c r="CI14" s="610">
        <f t="shared" si="21"/>
        <v>1</v>
      </c>
      <c r="CJ14" s="610">
        <f t="shared" si="22"/>
        <v>0</v>
      </c>
      <c r="CK14" s="610">
        <f t="shared" si="23"/>
        <v>0</v>
      </c>
      <c r="CL14" s="610">
        <f t="shared" si="24"/>
        <v>4</v>
      </c>
    </row>
    <row r="15" spans="1:179" s="610" customFormat="1" ht="18.75">
      <c r="A15" s="621">
        <v>8</v>
      </c>
      <c r="B15" s="622">
        <f>'REGISTRO DATOS'!C20</f>
        <v>0</v>
      </c>
      <c r="C15" s="622">
        <f>'REGISTRO DATOS'!D20</f>
        <v>0</v>
      </c>
      <c r="D15" s="622" t="str">
        <f>'REGISTRO DATOS'!E20</f>
        <v>YASCINI</v>
      </c>
      <c r="E15" s="1079"/>
      <c r="F15" s="623">
        <f t="shared" si="0"/>
        <v>4</v>
      </c>
      <c r="G15" s="623">
        <f t="shared" si="1"/>
        <v>0</v>
      </c>
      <c r="H15" s="623">
        <f t="shared" si="2"/>
        <v>1</v>
      </c>
      <c r="I15" s="624">
        <f t="shared" si="3"/>
        <v>8.75</v>
      </c>
      <c r="J15" s="514"/>
      <c r="K15" s="634" t="s">
        <v>344</v>
      </c>
      <c r="L15" s="634" t="s">
        <v>134</v>
      </c>
      <c r="M15" s="634" t="s">
        <v>134</v>
      </c>
      <c r="N15" s="634" t="s">
        <v>344</v>
      </c>
      <c r="O15" s="634" t="s">
        <v>345</v>
      </c>
      <c r="P15" s="634" t="s">
        <v>344</v>
      </c>
      <c r="Q15" s="634" t="s">
        <v>344</v>
      </c>
      <c r="R15" s="634" t="s">
        <v>362</v>
      </c>
      <c r="S15" s="634"/>
      <c r="T15" s="634"/>
      <c r="U15" s="634"/>
      <c r="V15" s="634"/>
      <c r="W15" s="634"/>
      <c r="X15" s="634"/>
      <c r="Y15" s="634"/>
      <c r="Z15" s="634"/>
      <c r="AA15" s="634"/>
      <c r="AB15" s="634"/>
      <c r="AC15" s="634"/>
      <c r="AD15" s="634"/>
      <c r="AE15" s="634"/>
      <c r="AF15" s="634"/>
      <c r="AG15" s="634"/>
      <c r="AH15" s="634"/>
      <c r="AI15" s="634"/>
      <c r="AJ15" s="634"/>
      <c r="AK15" s="634"/>
      <c r="AL15" s="634"/>
      <c r="AM15" s="634"/>
      <c r="AN15" s="634"/>
      <c r="AO15" s="634"/>
      <c r="AP15" s="634"/>
      <c r="AQ15" s="634"/>
      <c r="AR15" s="634"/>
      <c r="AS15" s="634"/>
      <c r="AT15" s="634"/>
      <c r="AU15" s="634"/>
      <c r="AV15" s="634"/>
      <c r="AW15" s="634"/>
      <c r="AX15" s="634"/>
      <c r="AY15" s="634"/>
      <c r="AZ15" s="634"/>
      <c r="BA15" s="634"/>
      <c r="BB15" s="634"/>
      <c r="BC15" s="634"/>
      <c r="BD15" s="634"/>
      <c r="BE15" s="634"/>
      <c r="BF15" s="634"/>
      <c r="BG15" s="634"/>
      <c r="BH15" s="634"/>
      <c r="BI15" s="634"/>
      <c r="BJ15" s="634"/>
      <c r="BK15" s="634"/>
      <c r="BL15" s="634"/>
      <c r="BM15" s="634"/>
      <c r="BN15" s="610">
        <f t="shared" si="4"/>
        <v>0</v>
      </c>
      <c r="BO15" s="610">
        <f t="shared" si="5"/>
        <v>0</v>
      </c>
      <c r="BP15" s="610">
        <f t="shared" si="6"/>
        <v>0</v>
      </c>
      <c r="BQ15" s="610">
        <f t="shared" si="7"/>
        <v>0</v>
      </c>
      <c r="BR15" s="610">
        <f t="shared" si="8"/>
        <v>0</v>
      </c>
      <c r="BS15" s="610">
        <f t="shared" si="9"/>
        <v>0</v>
      </c>
      <c r="BT15" s="610">
        <f t="shared" si="10"/>
        <v>4</v>
      </c>
      <c r="BU15" s="610">
        <f t="shared" si="11"/>
        <v>0</v>
      </c>
      <c r="BV15" s="610">
        <f t="shared" si="12"/>
        <v>0</v>
      </c>
      <c r="BW15" s="610">
        <f t="shared" si="13"/>
        <v>4</v>
      </c>
      <c r="BX15" s="610">
        <f t="shared" si="14"/>
        <v>8.75</v>
      </c>
      <c r="CC15" s="610">
        <f t="shared" si="15"/>
        <v>0</v>
      </c>
      <c r="CD15" s="610">
        <f t="shared" si="16"/>
        <v>6</v>
      </c>
      <c r="CE15" s="610">
        <f t="shared" si="17"/>
        <v>1</v>
      </c>
      <c r="CF15" s="610">
        <f t="shared" si="18"/>
        <v>0</v>
      </c>
      <c r="CG15" s="610">
        <f t="shared" si="19"/>
        <v>0</v>
      </c>
      <c r="CH15" s="610">
        <f t="shared" si="20"/>
        <v>0</v>
      </c>
      <c r="CI15" s="610">
        <f t="shared" si="21"/>
        <v>1</v>
      </c>
      <c r="CJ15" s="610">
        <f t="shared" si="22"/>
        <v>0</v>
      </c>
      <c r="CK15" s="610">
        <f t="shared" si="23"/>
        <v>0</v>
      </c>
      <c r="CL15" s="610">
        <f t="shared" si="24"/>
        <v>4</v>
      </c>
    </row>
    <row r="16" spans="1:179" s="610" customFormat="1" ht="18.75">
      <c r="A16" s="621">
        <v>9</v>
      </c>
      <c r="B16" s="622" t="str">
        <f>'REGISTRO DATOS'!C21</f>
        <v>CUBILLO</v>
      </c>
      <c r="C16" s="622">
        <f>'REGISTRO DATOS'!D21</f>
        <v>0</v>
      </c>
      <c r="D16" s="622" t="str">
        <f>'REGISTRO DATOS'!E21</f>
        <v xml:space="preserve">DYLAN </v>
      </c>
      <c r="E16" s="1079"/>
      <c r="F16" s="623">
        <f t="shared" si="0"/>
        <v>0</v>
      </c>
      <c r="G16" s="623">
        <f t="shared" si="1"/>
        <v>0</v>
      </c>
      <c r="H16" s="623">
        <f t="shared" si="2"/>
        <v>1</v>
      </c>
      <c r="I16" s="624">
        <f t="shared" si="3"/>
        <v>10</v>
      </c>
      <c r="J16" s="514"/>
      <c r="K16" s="634" t="s">
        <v>344</v>
      </c>
      <c r="L16" s="634" t="s">
        <v>134</v>
      </c>
      <c r="M16" s="634" t="s">
        <v>134</v>
      </c>
      <c r="N16" s="634" t="s">
        <v>344</v>
      </c>
      <c r="O16" s="634" t="s">
        <v>344</v>
      </c>
      <c r="P16" s="634" t="s">
        <v>344</v>
      </c>
      <c r="Q16" s="634" t="s">
        <v>344</v>
      </c>
      <c r="R16" s="634" t="s">
        <v>362</v>
      </c>
      <c r="S16" s="634"/>
      <c r="T16" s="634"/>
      <c r="U16" s="634"/>
      <c r="V16" s="634"/>
      <c r="W16" s="634"/>
      <c r="X16" s="634"/>
      <c r="Y16" s="634"/>
      <c r="Z16" s="634"/>
      <c r="AA16" s="634"/>
      <c r="AB16" s="634"/>
      <c r="AC16" s="634"/>
      <c r="AD16" s="634"/>
      <c r="AE16" s="634"/>
      <c r="AF16" s="634"/>
      <c r="AG16" s="634"/>
      <c r="AH16" s="634"/>
      <c r="AI16" s="634"/>
      <c r="AJ16" s="634"/>
      <c r="AK16" s="634"/>
      <c r="AL16" s="634"/>
      <c r="AM16" s="634"/>
      <c r="AN16" s="634"/>
      <c r="AO16" s="634"/>
      <c r="AP16" s="634"/>
      <c r="AQ16" s="634"/>
      <c r="AR16" s="634"/>
      <c r="AS16" s="634"/>
      <c r="AT16" s="634"/>
      <c r="AU16" s="634"/>
      <c r="AV16" s="634"/>
      <c r="AW16" s="634"/>
      <c r="AX16" s="634"/>
      <c r="AY16" s="634"/>
      <c r="AZ16" s="634"/>
      <c r="BA16" s="634"/>
      <c r="BB16" s="634"/>
      <c r="BC16" s="634"/>
      <c r="BD16" s="634"/>
      <c r="BE16" s="634"/>
      <c r="BF16" s="634"/>
      <c r="BG16" s="634"/>
      <c r="BH16" s="634"/>
      <c r="BI16" s="634"/>
      <c r="BJ16" s="634"/>
      <c r="BK16" s="634"/>
      <c r="BL16" s="634"/>
      <c r="BM16" s="634"/>
      <c r="BN16" s="610">
        <f t="shared" si="4"/>
        <v>0</v>
      </c>
      <c r="BO16" s="610">
        <f t="shared" si="5"/>
        <v>0</v>
      </c>
      <c r="BP16" s="610">
        <f t="shared" si="6"/>
        <v>0</v>
      </c>
      <c r="BQ16" s="610">
        <f t="shared" si="7"/>
        <v>0</v>
      </c>
      <c r="BR16" s="610">
        <f t="shared" si="8"/>
        <v>0</v>
      </c>
      <c r="BS16" s="610">
        <f t="shared" si="9"/>
        <v>0</v>
      </c>
      <c r="BT16" s="610">
        <f t="shared" si="10"/>
        <v>0</v>
      </c>
      <c r="BU16" s="610">
        <f t="shared" si="11"/>
        <v>0</v>
      </c>
      <c r="BV16" s="610">
        <f t="shared" si="12"/>
        <v>0</v>
      </c>
      <c r="BW16" s="610">
        <f t="shared" si="13"/>
        <v>0</v>
      </c>
      <c r="BX16" s="610">
        <f t="shared" si="14"/>
        <v>10</v>
      </c>
      <c r="CC16" s="610">
        <f t="shared" si="15"/>
        <v>0</v>
      </c>
      <c r="CD16" s="610">
        <f t="shared" si="16"/>
        <v>7</v>
      </c>
      <c r="CE16" s="610">
        <f t="shared" si="17"/>
        <v>1</v>
      </c>
      <c r="CF16" s="610">
        <f t="shared" si="18"/>
        <v>0</v>
      </c>
      <c r="CG16" s="610">
        <f t="shared" si="19"/>
        <v>0</v>
      </c>
      <c r="CH16" s="610">
        <f t="shared" si="20"/>
        <v>0</v>
      </c>
      <c r="CI16" s="610">
        <f t="shared" si="21"/>
        <v>0</v>
      </c>
      <c r="CJ16" s="610">
        <f t="shared" si="22"/>
        <v>0</v>
      </c>
      <c r="CK16" s="610">
        <f t="shared" si="23"/>
        <v>0</v>
      </c>
      <c r="CL16" s="610">
        <f t="shared" si="24"/>
        <v>0</v>
      </c>
    </row>
    <row r="17" spans="1:90" s="610" customFormat="1" ht="18.75">
      <c r="A17" s="621">
        <v>10</v>
      </c>
      <c r="B17" s="622">
        <f>'REGISTRO DATOS'!C22</f>
        <v>0</v>
      </c>
      <c r="C17" s="622">
        <f>'REGISTRO DATOS'!D22</f>
        <v>0</v>
      </c>
      <c r="D17" s="622" t="str">
        <f>'REGISTRO DATOS'!E22</f>
        <v>KATTYA</v>
      </c>
      <c r="E17" s="1079"/>
      <c r="F17" s="623">
        <f t="shared" si="0"/>
        <v>0</v>
      </c>
      <c r="G17" s="623">
        <f t="shared" si="1"/>
        <v>0</v>
      </c>
      <c r="H17" s="623">
        <f t="shared" si="2"/>
        <v>1</v>
      </c>
      <c r="I17" s="624">
        <f t="shared" si="3"/>
        <v>10</v>
      </c>
      <c r="J17" s="514"/>
      <c r="K17" s="634" t="s">
        <v>344</v>
      </c>
      <c r="L17" s="634" t="s">
        <v>134</v>
      </c>
      <c r="M17" s="634" t="s">
        <v>134</v>
      </c>
      <c r="N17" s="634" t="s">
        <v>344</v>
      </c>
      <c r="O17" s="634" t="s">
        <v>344</v>
      </c>
      <c r="P17" s="634" t="s">
        <v>344</v>
      </c>
      <c r="Q17" s="634" t="s">
        <v>344</v>
      </c>
      <c r="R17" s="634" t="s">
        <v>362</v>
      </c>
      <c r="S17" s="634"/>
      <c r="T17" s="634"/>
      <c r="U17" s="634"/>
      <c r="V17" s="634"/>
      <c r="W17" s="634"/>
      <c r="X17" s="634"/>
      <c r="Y17" s="634"/>
      <c r="Z17" s="634"/>
      <c r="AA17" s="634"/>
      <c r="AB17" s="634"/>
      <c r="AC17" s="634"/>
      <c r="AD17" s="634"/>
      <c r="AE17" s="634"/>
      <c r="AF17" s="634"/>
      <c r="AG17" s="634"/>
      <c r="AH17" s="634"/>
      <c r="AI17" s="634"/>
      <c r="AJ17" s="634"/>
      <c r="AK17" s="634"/>
      <c r="AL17" s="634"/>
      <c r="AM17" s="634"/>
      <c r="AN17" s="634"/>
      <c r="AO17" s="634"/>
      <c r="AP17" s="634"/>
      <c r="AQ17" s="634"/>
      <c r="AR17" s="634"/>
      <c r="AS17" s="634"/>
      <c r="AT17" s="634"/>
      <c r="AU17" s="634"/>
      <c r="AV17" s="634"/>
      <c r="AW17" s="634"/>
      <c r="AX17" s="634"/>
      <c r="AY17" s="634"/>
      <c r="AZ17" s="634"/>
      <c r="BA17" s="634"/>
      <c r="BB17" s="634"/>
      <c r="BC17" s="634"/>
      <c r="BD17" s="634"/>
      <c r="BE17" s="634"/>
      <c r="BF17" s="634"/>
      <c r="BG17" s="634"/>
      <c r="BH17" s="634"/>
      <c r="BI17" s="634"/>
      <c r="BJ17" s="634"/>
      <c r="BK17" s="634"/>
      <c r="BL17" s="634"/>
      <c r="BM17" s="634"/>
      <c r="BN17" s="610">
        <f t="shared" si="4"/>
        <v>0</v>
      </c>
      <c r="BO17" s="610">
        <f t="shared" si="5"/>
        <v>0</v>
      </c>
      <c r="BP17" s="610">
        <f t="shared" si="6"/>
        <v>0</v>
      </c>
      <c r="BQ17" s="610">
        <f t="shared" si="7"/>
        <v>0</v>
      </c>
      <c r="BR17" s="610">
        <f t="shared" si="8"/>
        <v>0</v>
      </c>
      <c r="BS17" s="610">
        <f t="shared" si="9"/>
        <v>0</v>
      </c>
      <c r="BT17" s="610">
        <f t="shared" si="10"/>
        <v>0</v>
      </c>
      <c r="BU17" s="610">
        <f t="shared" si="11"/>
        <v>0</v>
      </c>
      <c r="BV17" s="610">
        <f t="shared" si="12"/>
        <v>0</v>
      </c>
      <c r="BW17" s="610">
        <f t="shared" si="13"/>
        <v>0</v>
      </c>
      <c r="BX17" s="610">
        <f t="shared" si="14"/>
        <v>10</v>
      </c>
      <c r="CC17" s="610">
        <f t="shared" si="15"/>
        <v>0</v>
      </c>
      <c r="CD17" s="610">
        <f t="shared" si="16"/>
        <v>7</v>
      </c>
      <c r="CE17" s="610">
        <f t="shared" si="17"/>
        <v>1</v>
      </c>
      <c r="CF17" s="610">
        <f t="shared" si="18"/>
        <v>0</v>
      </c>
      <c r="CG17" s="610">
        <f t="shared" si="19"/>
        <v>0</v>
      </c>
      <c r="CH17" s="610">
        <f t="shared" si="20"/>
        <v>0</v>
      </c>
      <c r="CI17" s="610">
        <f t="shared" si="21"/>
        <v>0</v>
      </c>
      <c r="CJ17" s="610">
        <f t="shared" si="22"/>
        <v>0</v>
      </c>
      <c r="CK17" s="610">
        <f t="shared" si="23"/>
        <v>0</v>
      </c>
      <c r="CL17" s="610">
        <f t="shared" si="24"/>
        <v>0</v>
      </c>
    </row>
    <row r="18" spans="1:90" s="610" customFormat="1" ht="18.75">
      <c r="A18" s="621">
        <v>11</v>
      </c>
      <c r="B18" s="622" t="str">
        <f>'REGISTRO DATOS'!C23</f>
        <v>BRIZUELA</v>
      </c>
      <c r="C18" s="622">
        <f>'REGISTRO DATOS'!D23</f>
        <v>0</v>
      </c>
      <c r="D18" s="622" t="str">
        <f>'REGISTRO DATOS'!E23</f>
        <v>FABIOLA</v>
      </c>
      <c r="E18" s="1079"/>
      <c r="F18" s="623">
        <f t="shared" si="0"/>
        <v>0</v>
      </c>
      <c r="G18" s="623">
        <f t="shared" si="1"/>
        <v>0</v>
      </c>
      <c r="H18" s="623">
        <f t="shared" si="2"/>
        <v>0</v>
      </c>
      <c r="I18" s="624">
        <f t="shared" si="3"/>
        <v>10</v>
      </c>
      <c r="J18" s="514"/>
      <c r="K18" s="634" t="s">
        <v>344</v>
      </c>
      <c r="L18" s="634" t="s">
        <v>134</v>
      </c>
      <c r="M18" s="634" t="s">
        <v>134</v>
      </c>
      <c r="N18" s="634" t="s">
        <v>344</v>
      </c>
      <c r="O18" s="634" t="s">
        <v>344</v>
      </c>
      <c r="P18" s="634" t="s">
        <v>344</v>
      </c>
      <c r="Q18" s="634" t="s">
        <v>344</v>
      </c>
      <c r="R18" s="634" t="s">
        <v>344</v>
      </c>
      <c r="S18" s="634"/>
      <c r="T18" s="634"/>
      <c r="U18" s="634"/>
      <c r="V18" s="634"/>
      <c r="W18" s="634"/>
      <c r="X18" s="634"/>
      <c r="Y18" s="634"/>
      <c r="Z18" s="634"/>
      <c r="AA18" s="634"/>
      <c r="AB18" s="634"/>
      <c r="AC18" s="634"/>
      <c r="AD18" s="634"/>
      <c r="AE18" s="634"/>
      <c r="AF18" s="634"/>
      <c r="AG18" s="634"/>
      <c r="AH18" s="634"/>
      <c r="AI18" s="634"/>
      <c r="AJ18" s="634"/>
      <c r="AK18" s="634"/>
      <c r="AL18" s="634"/>
      <c r="AM18" s="634"/>
      <c r="AN18" s="634"/>
      <c r="AO18" s="634"/>
      <c r="AP18" s="634"/>
      <c r="AQ18" s="634"/>
      <c r="AR18" s="634"/>
      <c r="AS18" s="634"/>
      <c r="AT18" s="634"/>
      <c r="AU18" s="634"/>
      <c r="AV18" s="634"/>
      <c r="AW18" s="634"/>
      <c r="AX18" s="634"/>
      <c r="AY18" s="634"/>
      <c r="AZ18" s="634"/>
      <c r="BA18" s="634"/>
      <c r="BB18" s="634"/>
      <c r="BC18" s="634"/>
      <c r="BD18" s="634"/>
      <c r="BE18" s="634"/>
      <c r="BF18" s="634"/>
      <c r="BG18" s="634"/>
      <c r="BH18" s="634"/>
      <c r="BI18" s="634"/>
      <c r="BJ18" s="634"/>
      <c r="BK18" s="634"/>
      <c r="BL18" s="634"/>
      <c r="BM18" s="634"/>
      <c r="BN18" s="610">
        <f t="shared" si="4"/>
        <v>0</v>
      </c>
      <c r="BO18" s="610">
        <f t="shared" si="5"/>
        <v>0</v>
      </c>
      <c r="BP18" s="610">
        <f t="shared" si="6"/>
        <v>0</v>
      </c>
      <c r="BQ18" s="610">
        <f t="shared" si="7"/>
        <v>0</v>
      </c>
      <c r="BR18" s="610">
        <f t="shared" si="8"/>
        <v>0</v>
      </c>
      <c r="BS18" s="610">
        <f t="shared" si="9"/>
        <v>0</v>
      </c>
      <c r="BT18" s="610">
        <f t="shared" si="10"/>
        <v>0</v>
      </c>
      <c r="BU18" s="610">
        <f t="shared" si="11"/>
        <v>0</v>
      </c>
      <c r="BV18" s="610">
        <f t="shared" si="12"/>
        <v>0</v>
      </c>
      <c r="BW18" s="610">
        <f t="shared" si="13"/>
        <v>0</v>
      </c>
      <c r="BX18" s="610">
        <f t="shared" si="14"/>
        <v>10</v>
      </c>
      <c r="CC18" s="610">
        <f t="shared" si="15"/>
        <v>0</v>
      </c>
      <c r="CD18" s="610">
        <f t="shared" si="16"/>
        <v>8</v>
      </c>
      <c r="CE18" s="610">
        <f t="shared" si="17"/>
        <v>0</v>
      </c>
      <c r="CF18" s="610">
        <f t="shared" si="18"/>
        <v>0</v>
      </c>
      <c r="CG18" s="610">
        <f t="shared" si="19"/>
        <v>0</v>
      </c>
      <c r="CH18" s="610">
        <f t="shared" si="20"/>
        <v>0</v>
      </c>
      <c r="CI18" s="610">
        <f t="shared" si="21"/>
        <v>0</v>
      </c>
      <c r="CJ18" s="610">
        <f t="shared" si="22"/>
        <v>0</v>
      </c>
      <c r="CK18" s="610">
        <f t="shared" si="23"/>
        <v>0</v>
      </c>
      <c r="CL18" s="610">
        <f t="shared" si="24"/>
        <v>0</v>
      </c>
    </row>
    <row r="19" spans="1:90" s="610" customFormat="1" ht="18.75">
      <c r="A19" s="621">
        <v>12</v>
      </c>
      <c r="B19" s="622">
        <f>'REGISTRO DATOS'!C24</f>
        <v>0</v>
      </c>
      <c r="C19" s="622">
        <f>'REGISTRO DATOS'!D24</f>
        <v>0</v>
      </c>
      <c r="D19" s="622" t="str">
        <f>'REGISTRO DATOS'!E24</f>
        <v>DARIANA</v>
      </c>
      <c r="E19" s="1079"/>
      <c r="F19" s="623">
        <f t="shared" si="0"/>
        <v>0</v>
      </c>
      <c r="G19" s="623">
        <f t="shared" si="1"/>
        <v>0</v>
      </c>
      <c r="H19" s="623">
        <f t="shared" si="2"/>
        <v>0</v>
      </c>
      <c r="I19" s="624">
        <f t="shared" si="3"/>
        <v>10</v>
      </c>
      <c r="J19" s="514"/>
      <c r="K19" s="634" t="s">
        <v>344</v>
      </c>
      <c r="L19" s="634" t="s">
        <v>134</v>
      </c>
      <c r="M19" s="634" t="s">
        <v>134</v>
      </c>
      <c r="N19" s="634" t="s">
        <v>344</v>
      </c>
      <c r="O19" s="634" t="s">
        <v>344</v>
      </c>
      <c r="P19" s="634" t="s">
        <v>344</v>
      </c>
      <c r="Q19" s="634" t="s">
        <v>344</v>
      </c>
      <c r="R19" s="634" t="s">
        <v>344</v>
      </c>
      <c r="S19" s="634"/>
      <c r="T19" s="634"/>
      <c r="U19" s="634"/>
      <c r="V19" s="634"/>
      <c r="W19" s="634"/>
      <c r="X19" s="634"/>
      <c r="Y19" s="634"/>
      <c r="Z19" s="634"/>
      <c r="AA19" s="634"/>
      <c r="AB19" s="634"/>
      <c r="AC19" s="634"/>
      <c r="AD19" s="634"/>
      <c r="AE19" s="634"/>
      <c r="AF19" s="634"/>
      <c r="AG19" s="634"/>
      <c r="AH19" s="634"/>
      <c r="AI19" s="634"/>
      <c r="AJ19" s="634"/>
      <c r="AK19" s="634"/>
      <c r="AL19" s="634"/>
      <c r="AM19" s="634"/>
      <c r="AN19" s="634"/>
      <c r="AO19" s="634"/>
      <c r="AP19" s="634"/>
      <c r="AQ19" s="634"/>
      <c r="AR19" s="634"/>
      <c r="AS19" s="634"/>
      <c r="AT19" s="634"/>
      <c r="AU19" s="634"/>
      <c r="AV19" s="634"/>
      <c r="AW19" s="634"/>
      <c r="AX19" s="634"/>
      <c r="AY19" s="634"/>
      <c r="AZ19" s="634"/>
      <c r="BA19" s="634"/>
      <c r="BB19" s="634"/>
      <c r="BC19" s="634"/>
      <c r="BD19" s="634"/>
      <c r="BE19" s="634"/>
      <c r="BF19" s="634"/>
      <c r="BG19" s="634"/>
      <c r="BH19" s="634"/>
      <c r="BI19" s="634"/>
      <c r="BJ19" s="634"/>
      <c r="BK19" s="634"/>
      <c r="BL19" s="634"/>
      <c r="BM19" s="634"/>
      <c r="BN19" s="610">
        <f t="shared" si="4"/>
        <v>0</v>
      </c>
      <c r="BO19" s="610">
        <f t="shared" si="5"/>
        <v>0</v>
      </c>
      <c r="BP19" s="610">
        <f t="shared" si="6"/>
        <v>0</v>
      </c>
      <c r="BQ19" s="610">
        <f t="shared" si="7"/>
        <v>0</v>
      </c>
      <c r="BR19" s="610">
        <f t="shared" si="8"/>
        <v>0</v>
      </c>
      <c r="BS19" s="610">
        <f t="shared" si="9"/>
        <v>0</v>
      </c>
      <c r="BT19" s="610">
        <f t="shared" si="10"/>
        <v>0</v>
      </c>
      <c r="BU19" s="610">
        <f t="shared" si="11"/>
        <v>0</v>
      </c>
      <c r="BV19" s="610">
        <f t="shared" si="12"/>
        <v>0</v>
      </c>
      <c r="BW19" s="610">
        <f t="shared" si="13"/>
        <v>0</v>
      </c>
      <c r="BX19" s="610">
        <f t="shared" si="14"/>
        <v>10</v>
      </c>
      <c r="CC19" s="610">
        <f t="shared" si="15"/>
        <v>0</v>
      </c>
      <c r="CD19" s="610">
        <f t="shared" si="16"/>
        <v>8</v>
      </c>
      <c r="CE19" s="610">
        <f t="shared" si="17"/>
        <v>0</v>
      </c>
      <c r="CF19" s="610">
        <f t="shared" si="18"/>
        <v>0</v>
      </c>
      <c r="CG19" s="610">
        <f t="shared" si="19"/>
        <v>0</v>
      </c>
      <c r="CH19" s="610">
        <f t="shared" si="20"/>
        <v>0</v>
      </c>
      <c r="CI19" s="610">
        <f t="shared" si="21"/>
        <v>0</v>
      </c>
      <c r="CJ19" s="610">
        <f t="shared" si="22"/>
        <v>0</v>
      </c>
      <c r="CK19" s="610">
        <f t="shared" si="23"/>
        <v>0</v>
      </c>
      <c r="CL19" s="610">
        <f t="shared" si="24"/>
        <v>0</v>
      </c>
    </row>
    <row r="20" spans="1:90" s="610" customFormat="1" ht="18.75">
      <c r="A20" s="621">
        <v>13</v>
      </c>
      <c r="B20" s="622">
        <f>'REGISTRO DATOS'!C25</f>
        <v>0</v>
      </c>
      <c r="C20" s="622">
        <f>'REGISTRO DATOS'!D25</f>
        <v>0</v>
      </c>
      <c r="D20" s="622" t="str">
        <f>'REGISTRO DATOS'!E25</f>
        <v>JENIFER</v>
      </c>
      <c r="E20" s="1079"/>
      <c r="F20" s="623">
        <f t="shared" si="0"/>
        <v>0</v>
      </c>
      <c r="G20" s="623">
        <f t="shared" si="1"/>
        <v>0</v>
      </c>
      <c r="H20" s="623">
        <f t="shared" si="2"/>
        <v>0</v>
      </c>
      <c r="I20" s="624">
        <f t="shared" si="3"/>
        <v>10</v>
      </c>
      <c r="J20" s="514"/>
      <c r="K20" s="634" t="s">
        <v>344</v>
      </c>
      <c r="L20" s="634" t="s">
        <v>134</v>
      </c>
      <c r="M20" s="634" t="s">
        <v>134</v>
      </c>
      <c r="N20" s="634" t="s">
        <v>344</v>
      </c>
      <c r="O20" s="634" t="s">
        <v>344</v>
      </c>
      <c r="P20" s="634" t="s">
        <v>344</v>
      </c>
      <c r="Q20" s="634" t="s">
        <v>344</v>
      </c>
      <c r="R20" s="634" t="s">
        <v>344</v>
      </c>
      <c r="S20" s="634"/>
      <c r="T20" s="634"/>
      <c r="U20" s="634"/>
      <c r="V20" s="634"/>
      <c r="W20" s="634"/>
      <c r="X20" s="634"/>
      <c r="Y20" s="634"/>
      <c r="Z20" s="634"/>
      <c r="AA20" s="634"/>
      <c r="AB20" s="634"/>
      <c r="AC20" s="634"/>
      <c r="AD20" s="634"/>
      <c r="AE20" s="634"/>
      <c r="AF20" s="634"/>
      <c r="AG20" s="634"/>
      <c r="AH20" s="634"/>
      <c r="AI20" s="634"/>
      <c r="AJ20" s="634"/>
      <c r="AK20" s="634"/>
      <c r="AL20" s="634"/>
      <c r="AM20" s="634"/>
      <c r="AN20" s="634"/>
      <c r="AO20" s="634"/>
      <c r="AP20" s="634"/>
      <c r="AQ20" s="634"/>
      <c r="AR20" s="634"/>
      <c r="AS20" s="634"/>
      <c r="AT20" s="634"/>
      <c r="AU20" s="634"/>
      <c r="AV20" s="634"/>
      <c r="AW20" s="634"/>
      <c r="AX20" s="634"/>
      <c r="AY20" s="634"/>
      <c r="AZ20" s="634"/>
      <c r="BA20" s="634"/>
      <c r="BB20" s="634"/>
      <c r="BC20" s="634"/>
      <c r="BD20" s="634"/>
      <c r="BE20" s="634"/>
      <c r="BF20" s="634"/>
      <c r="BG20" s="634"/>
      <c r="BH20" s="634"/>
      <c r="BI20" s="634"/>
      <c r="BJ20" s="634"/>
      <c r="BK20" s="634"/>
      <c r="BL20" s="634"/>
      <c r="BM20" s="634"/>
      <c r="BN20" s="610">
        <f t="shared" si="4"/>
        <v>0</v>
      </c>
      <c r="BO20" s="610">
        <f t="shared" si="5"/>
        <v>0</v>
      </c>
      <c r="BP20" s="610">
        <f t="shared" si="6"/>
        <v>0</v>
      </c>
      <c r="BQ20" s="610">
        <f t="shared" si="7"/>
        <v>0</v>
      </c>
      <c r="BR20" s="610">
        <f t="shared" si="8"/>
        <v>0</v>
      </c>
      <c r="BS20" s="610">
        <f t="shared" si="9"/>
        <v>0</v>
      </c>
      <c r="BT20" s="610">
        <f t="shared" si="10"/>
        <v>0</v>
      </c>
      <c r="BU20" s="610">
        <f t="shared" si="11"/>
        <v>0</v>
      </c>
      <c r="BV20" s="610">
        <f t="shared" si="12"/>
        <v>0</v>
      </c>
      <c r="BW20" s="610">
        <f t="shared" si="13"/>
        <v>0</v>
      </c>
      <c r="BX20" s="610">
        <f t="shared" si="14"/>
        <v>10</v>
      </c>
      <c r="CC20" s="610">
        <f t="shared" si="15"/>
        <v>0</v>
      </c>
      <c r="CD20" s="610">
        <f t="shared" si="16"/>
        <v>8</v>
      </c>
      <c r="CE20" s="610">
        <f t="shared" si="17"/>
        <v>0</v>
      </c>
      <c r="CF20" s="610">
        <f t="shared" si="18"/>
        <v>0</v>
      </c>
      <c r="CG20" s="610">
        <f t="shared" si="19"/>
        <v>0</v>
      </c>
      <c r="CH20" s="610">
        <f t="shared" si="20"/>
        <v>0</v>
      </c>
      <c r="CI20" s="610">
        <f t="shared" si="21"/>
        <v>0</v>
      </c>
      <c r="CJ20" s="610">
        <f t="shared" si="22"/>
        <v>0</v>
      </c>
      <c r="CK20" s="610">
        <f t="shared" si="23"/>
        <v>0</v>
      </c>
      <c r="CL20" s="610">
        <f t="shared" si="24"/>
        <v>0</v>
      </c>
    </row>
    <row r="21" spans="1:90" s="610" customFormat="1" ht="18.75">
      <c r="A21" s="621">
        <v>14</v>
      </c>
      <c r="B21" s="622">
        <f>'REGISTRO DATOS'!C26</f>
        <v>0</v>
      </c>
      <c r="C21" s="622">
        <f>'REGISTRO DATOS'!D26</f>
        <v>0</v>
      </c>
      <c r="D21" s="622" t="str">
        <f>'REGISTRO DATOS'!E26</f>
        <v>GABRIELA</v>
      </c>
      <c r="E21" s="1079"/>
      <c r="F21" s="623">
        <f t="shared" si="0"/>
        <v>0</v>
      </c>
      <c r="G21" s="623">
        <f t="shared" si="1"/>
        <v>0</v>
      </c>
      <c r="H21" s="623">
        <f t="shared" si="2"/>
        <v>0</v>
      </c>
      <c r="I21" s="624">
        <f t="shared" si="3"/>
        <v>10</v>
      </c>
      <c r="J21" s="514"/>
      <c r="K21" s="634" t="s">
        <v>344</v>
      </c>
      <c r="L21" s="634" t="s">
        <v>134</v>
      </c>
      <c r="M21" s="634" t="s">
        <v>134</v>
      </c>
      <c r="N21" s="634" t="s">
        <v>344</v>
      </c>
      <c r="O21" s="634" t="s">
        <v>344</v>
      </c>
      <c r="P21" s="634" t="s">
        <v>344</v>
      </c>
      <c r="Q21" s="634" t="s">
        <v>344</v>
      </c>
      <c r="R21" s="634" t="s">
        <v>344</v>
      </c>
      <c r="S21" s="634"/>
      <c r="T21" s="634"/>
      <c r="U21" s="634"/>
      <c r="V21" s="634"/>
      <c r="W21" s="634"/>
      <c r="X21" s="634"/>
      <c r="Y21" s="634"/>
      <c r="Z21" s="634"/>
      <c r="AA21" s="634"/>
      <c r="AB21" s="634"/>
      <c r="AC21" s="634"/>
      <c r="AD21" s="634"/>
      <c r="AE21" s="634"/>
      <c r="AF21" s="634"/>
      <c r="AG21" s="634"/>
      <c r="AH21" s="634"/>
      <c r="AI21" s="634"/>
      <c r="AJ21" s="634"/>
      <c r="AK21" s="634"/>
      <c r="AL21" s="634"/>
      <c r="AM21" s="634"/>
      <c r="AN21" s="634"/>
      <c r="AO21" s="634"/>
      <c r="AP21" s="634"/>
      <c r="AQ21" s="634"/>
      <c r="AR21" s="634"/>
      <c r="AS21" s="634"/>
      <c r="AT21" s="634"/>
      <c r="AU21" s="634"/>
      <c r="AV21" s="634"/>
      <c r="AW21" s="634"/>
      <c r="AX21" s="634"/>
      <c r="AY21" s="634"/>
      <c r="AZ21" s="634"/>
      <c r="BA21" s="634"/>
      <c r="BB21" s="634"/>
      <c r="BC21" s="634"/>
      <c r="BD21" s="634"/>
      <c r="BE21" s="634"/>
      <c r="BF21" s="634"/>
      <c r="BG21" s="634"/>
      <c r="BH21" s="634"/>
      <c r="BI21" s="634"/>
      <c r="BJ21" s="634"/>
      <c r="BK21" s="634"/>
      <c r="BL21" s="634"/>
      <c r="BM21" s="634"/>
      <c r="BN21" s="610">
        <f t="shared" si="4"/>
        <v>0</v>
      </c>
      <c r="BO21" s="610">
        <f t="shared" si="5"/>
        <v>0</v>
      </c>
      <c r="BP21" s="610">
        <f t="shared" si="6"/>
        <v>0</v>
      </c>
      <c r="BQ21" s="610">
        <f t="shared" si="7"/>
        <v>0</v>
      </c>
      <c r="BR21" s="610">
        <f t="shared" si="8"/>
        <v>0</v>
      </c>
      <c r="BS21" s="610">
        <f t="shared" si="9"/>
        <v>0</v>
      </c>
      <c r="BT21" s="610">
        <f t="shared" si="10"/>
        <v>0</v>
      </c>
      <c r="BU21" s="610">
        <f t="shared" si="11"/>
        <v>0</v>
      </c>
      <c r="BV21" s="610">
        <f t="shared" si="12"/>
        <v>0</v>
      </c>
      <c r="BW21" s="610">
        <f t="shared" si="13"/>
        <v>0</v>
      </c>
      <c r="BX21" s="610">
        <f t="shared" si="14"/>
        <v>10</v>
      </c>
      <c r="CC21" s="610">
        <f t="shared" si="15"/>
        <v>0</v>
      </c>
      <c r="CD21" s="610">
        <f t="shared" si="16"/>
        <v>8</v>
      </c>
      <c r="CE21" s="610">
        <f t="shared" si="17"/>
        <v>0</v>
      </c>
      <c r="CF21" s="610">
        <f t="shared" si="18"/>
        <v>0</v>
      </c>
      <c r="CG21" s="610">
        <f t="shared" si="19"/>
        <v>0</v>
      </c>
      <c r="CH21" s="610">
        <f t="shared" si="20"/>
        <v>0</v>
      </c>
      <c r="CI21" s="610">
        <f t="shared" si="21"/>
        <v>0</v>
      </c>
      <c r="CJ21" s="610">
        <f t="shared" si="22"/>
        <v>0</v>
      </c>
      <c r="CK21" s="610">
        <f t="shared" si="23"/>
        <v>0</v>
      </c>
      <c r="CL21" s="610">
        <f t="shared" si="24"/>
        <v>0</v>
      </c>
    </row>
    <row r="22" spans="1:90" s="610" customFormat="1" ht="18.75">
      <c r="A22" s="621">
        <v>15</v>
      </c>
      <c r="B22" s="622" t="str">
        <f>'REGISTRO DATOS'!C27</f>
        <v xml:space="preserve">SERRANO </v>
      </c>
      <c r="C22" s="622" t="str">
        <f>'REGISTRO DATOS'!D27</f>
        <v>VILLEGAS</v>
      </c>
      <c r="D22" s="622" t="str">
        <f>'REGISTRO DATOS'!E27</f>
        <v xml:space="preserve">DYLAN </v>
      </c>
      <c r="E22" s="1079"/>
      <c r="F22" s="623">
        <f t="shared" si="0"/>
        <v>12</v>
      </c>
      <c r="G22" s="623">
        <f t="shared" si="1"/>
        <v>0</v>
      </c>
      <c r="H22" s="623">
        <f t="shared" si="2"/>
        <v>0</v>
      </c>
      <c r="I22" s="624">
        <f t="shared" si="3"/>
        <v>6.25</v>
      </c>
      <c r="J22" s="514"/>
      <c r="K22" s="634" t="s">
        <v>344</v>
      </c>
      <c r="L22" s="634" t="s">
        <v>134</v>
      </c>
      <c r="M22" s="634" t="s">
        <v>139</v>
      </c>
      <c r="N22" s="634" t="s">
        <v>344</v>
      </c>
      <c r="O22" s="634" t="s">
        <v>344</v>
      </c>
      <c r="P22" s="634" t="s">
        <v>345</v>
      </c>
      <c r="Q22" s="634" t="s">
        <v>344</v>
      </c>
      <c r="R22" s="634" t="s">
        <v>345</v>
      </c>
      <c r="S22" s="634"/>
      <c r="T22" s="634"/>
      <c r="U22" s="634"/>
      <c r="V22" s="634"/>
      <c r="W22" s="634"/>
      <c r="X22" s="634"/>
      <c r="Y22" s="634"/>
      <c r="Z22" s="634"/>
      <c r="AA22" s="634"/>
      <c r="AB22" s="634"/>
      <c r="AC22" s="634"/>
      <c r="AD22" s="634"/>
      <c r="AE22" s="634"/>
      <c r="AF22" s="634"/>
      <c r="AG22" s="634"/>
      <c r="AH22" s="634"/>
      <c r="AI22" s="634"/>
      <c r="AJ22" s="634"/>
      <c r="AK22" s="634"/>
      <c r="AL22" s="634"/>
      <c r="AM22" s="634"/>
      <c r="AN22" s="634"/>
      <c r="AO22" s="634"/>
      <c r="AP22" s="634"/>
      <c r="AQ22" s="634"/>
      <c r="AR22" s="634"/>
      <c r="AS22" s="634"/>
      <c r="AT22" s="634"/>
      <c r="AU22" s="634"/>
      <c r="AV22" s="634"/>
      <c r="AW22" s="634"/>
      <c r="AX22" s="634"/>
      <c r="AY22" s="634"/>
      <c r="AZ22" s="634"/>
      <c r="BA22" s="634"/>
      <c r="BB22" s="634"/>
      <c r="BC22" s="634"/>
      <c r="BD22" s="634"/>
      <c r="BE22" s="634"/>
      <c r="BF22" s="634"/>
      <c r="BG22" s="634"/>
      <c r="BH22" s="634"/>
      <c r="BI22" s="634"/>
      <c r="BJ22" s="634"/>
      <c r="BK22" s="634"/>
      <c r="BL22" s="634"/>
      <c r="BM22" s="634"/>
      <c r="BN22" s="610">
        <f t="shared" si="4"/>
        <v>0</v>
      </c>
      <c r="BO22" s="610">
        <f t="shared" si="5"/>
        <v>0</v>
      </c>
      <c r="BP22" s="610">
        <f t="shared" si="6"/>
        <v>0</v>
      </c>
      <c r="BQ22" s="610">
        <f t="shared" si="7"/>
        <v>0</v>
      </c>
      <c r="BR22" s="610">
        <f t="shared" si="8"/>
        <v>0</v>
      </c>
      <c r="BS22" s="610">
        <f t="shared" si="9"/>
        <v>0</v>
      </c>
      <c r="BT22" s="610">
        <f t="shared" si="10"/>
        <v>12</v>
      </c>
      <c r="BU22" s="610">
        <f t="shared" si="11"/>
        <v>0</v>
      </c>
      <c r="BV22" s="610">
        <f t="shared" si="12"/>
        <v>0</v>
      </c>
      <c r="BW22" s="610">
        <f t="shared" si="13"/>
        <v>12</v>
      </c>
      <c r="BX22" s="610">
        <f t="shared" si="14"/>
        <v>6.25</v>
      </c>
      <c r="CC22" s="610">
        <f t="shared" si="15"/>
        <v>0</v>
      </c>
      <c r="CD22" s="610">
        <f t="shared" si="16"/>
        <v>5</v>
      </c>
      <c r="CE22" s="610">
        <f t="shared" si="17"/>
        <v>0</v>
      </c>
      <c r="CF22" s="610">
        <f t="shared" si="18"/>
        <v>0</v>
      </c>
      <c r="CG22" s="610">
        <f t="shared" si="19"/>
        <v>0</v>
      </c>
      <c r="CH22" s="610">
        <f t="shared" si="20"/>
        <v>0</v>
      </c>
      <c r="CI22" s="610">
        <f t="shared" si="21"/>
        <v>3</v>
      </c>
      <c r="CJ22" s="610">
        <f t="shared" si="22"/>
        <v>0</v>
      </c>
      <c r="CK22" s="610">
        <f t="shared" si="23"/>
        <v>0</v>
      </c>
      <c r="CL22" s="610">
        <f t="shared" si="24"/>
        <v>12</v>
      </c>
    </row>
    <row r="23" spans="1:90" s="610" customFormat="1" ht="18.75">
      <c r="A23" s="621">
        <v>16</v>
      </c>
      <c r="B23" s="622">
        <f>'REGISTRO DATOS'!C28</f>
        <v>0</v>
      </c>
      <c r="C23" s="622">
        <f>'REGISTRO DATOS'!D28</f>
        <v>0</v>
      </c>
      <c r="D23" s="622" t="str">
        <f>'REGISTRO DATOS'!E28</f>
        <v>ANA</v>
      </c>
      <c r="E23" s="1079"/>
      <c r="F23" s="623">
        <f t="shared" si="0"/>
        <v>24</v>
      </c>
      <c r="G23" s="623">
        <f t="shared" si="1"/>
        <v>0</v>
      </c>
      <c r="H23" s="623">
        <f t="shared" si="2"/>
        <v>0</v>
      </c>
      <c r="I23" s="624">
        <f t="shared" si="3"/>
        <v>2.5</v>
      </c>
      <c r="J23" s="514"/>
      <c r="K23" s="634"/>
      <c r="L23" s="634" t="s">
        <v>134</v>
      </c>
      <c r="M23" s="634" t="s">
        <v>139</v>
      </c>
      <c r="N23" s="634" t="s">
        <v>345</v>
      </c>
      <c r="O23" s="634" t="s">
        <v>345</v>
      </c>
      <c r="P23" s="634" t="s">
        <v>345</v>
      </c>
      <c r="Q23" s="634" t="s">
        <v>345</v>
      </c>
      <c r="R23" s="634" t="s">
        <v>345</v>
      </c>
      <c r="S23" s="634"/>
      <c r="T23" s="634"/>
      <c r="U23" s="634"/>
      <c r="V23" s="634"/>
      <c r="W23" s="634"/>
      <c r="X23" s="634"/>
      <c r="Y23" s="634"/>
      <c r="Z23" s="634"/>
      <c r="AA23" s="634"/>
      <c r="AB23" s="634"/>
      <c r="AC23" s="634"/>
      <c r="AD23" s="634"/>
      <c r="AE23" s="634"/>
      <c r="AF23" s="634"/>
      <c r="AG23" s="634"/>
      <c r="AH23" s="634"/>
      <c r="AI23" s="634"/>
      <c r="AJ23" s="634"/>
      <c r="AK23" s="634"/>
      <c r="AL23" s="634"/>
      <c r="AM23" s="634"/>
      <c r="AN23" s="634"/>
      <c r="AO23" s="634"/>
      <c r="AP23" s="634"/>
      <c r="AQ23" s="634"/>
      <c r="AR23" s="634"/>
      <c r="AS23" s="634"/>
      <c r="AT23" s="634"/>
      <c r="AU23" s="634"/>
      <c r="AV23" s="634"/>
      <c r="AW23" s="634"/>
      <c r="AX23" s="634"/>
      <c r="AY23" s="634"/>
      <c r="AZ23" s="634"/>
      <c r="BA23" s="634"/>
      <c r="BB23" s="634"/>
      <c r="BC23" s="634"/>
      <c r="BD23" s="634"/>
      <c r="BE23" s="634"/>
      <c r="BF23" s="634"/>
      <c r="BG23" s="634"/>
      <c r="BH23" s="634"/>
      <c r="BI23" s="634"/>
      <c r="BJ23" s="634"/>
      <c r="BK23" s="634"/>
      <c r="BL23" s="634"/>
      <c r="BM23" s="634"/>
      <c r="BN23" s="610">
        <f t="shared" si="4"/>
        <v>0</v>
      </c>
      <c r="BO23" s="610">
        <f t="shared" si="5"/>
        <v>0</v>
      </c>
      <c r="BP23" s="610">
        <f t="shared" si="6"/>
        <v>0</v>
      </c>
      <c r="BQ23" s="610">
        <f t="shared" si="7"/>
        <v>0</v>
      </c>
      <c r="BR23" s="610">
        <f t="shared" si="8"/>
        <v>0</v>
      </c>
      <c r="BS23" s="610">
        <f t="shared" si="9"/>
        <v>0</v>
      </c>
      <c r="BT23" s="610">
        <f t="shared" si="10"/>
        <v>24</v>
      </c>
      <c r="BU23" s="610">
        <f t="shared" si="11"/>
        <v>0</v>
      </c>
      <c r="BV23" s="610">
        <f t="shared" si="12"/>
        <v>0</v>
      </c>
      <c r="BW23" s="610">
        <f t="shared" si="13"/>
        <v>24</v>
      </c>
      <c r="BX23" s="610">
        <f t="shared" si="14"/>
        <v>2.5</v>
      </c>
      <c r="CC23" s="610">
        <f t="shared" si="15"/>
        <v>0</v>
      </c>
      <c r="CD23" s="610">
        <f t="shared" si="16"/>
        <v>1</v>
      </c>
      <c r="CE23" s="610">
        <f t="shared" si="17"/>
        <v>0</v>
      </c>
      <c r="CF23" s="610">
        <f t="shared" si="18"/>
        <v>0</v>
      </c>
      <c r="CG23" s="610">
        <f t="shared" si="19"/>
        <v>0</v>
      </c>
      <c r="CH23" s="610">
        <f t="shared" si="20"/>
        <v>0</v>
      </c>
      <c r="CI23" s="610">
        <f t="shared" si="21"/>
        <v>6</v>
      </c>
      <c r="CJ23" s="610">
        <f t="shared" si="22"/>
        <v>0</v>
      </c>
      <c r="CK23" s="610">
        <f t="shared" si="23"/>
        <v>0</v>
      </c>
      <c r="CL23" s="610">
        <f t="shared" si="24"/>
        <v>24</v>
      </c>
    </row>
    <row r="24" spans="1:90" s="610" customFormat="1" ht="18.75">
      <c r="A24" s="621">
        <v>17</v>
      </c>
      <c r="B24" s="622" t="str">
        <f>'REGISTRO DATOS'!C29</f>
        <v>QUIROS</v>
      </c>
      <c r="C24" s="622">
        <f>'REGISTRO DATOS'!D29</f>
        <v>0</v>
      </c>
      <c r="D24" s="622" t="str">
        <f>'REGISTRO DATOS'!E29</f>
        <v>ANDY</v>
      </c>
      <c r="E24" s="1079"/>
      <c r="F24" s="623">
        <f t="shared" si="0"/>
        <v>4</v>
      </c>
      <c r="G24" s="623">
        <f t="shared" si="1"/>
        <v>0</v>
      </c>
      <c r="H24" s="623">
        <f t="shared" si="2"/>
        <v>0</v>
      </c>
      <c r="I24" s="624">
        <f t="shared" si="3"/>
        <v>8.75</v>
      </c>
      <c r="J24" s="514"/>
      <c r="K24" s="634"/>
      <c r="L24" s="634" t="s">
        <v>134</v>
      </c>
      <c r="M24" s="634" t="s">
        <v>134</v>
      </c>
      <c r="N24" s="634" t="s">
        <v>344</v>
      </c>
      <c r="O24" s="634" t="s">
        <v>344</v>
      </c>
      <c r="P24" s="634" t="s">
        <v>344</v>
      </c>
      <c r="Q24" s="634" t="s">
        <v>344</v>
      </c>
      <c r="R24" s="634" t="s">
        <v>345</v>
      </c>
      <c r="S24" s="634"/>
      <c r="T24" s="634"/>
      <c r="U24" s="634"/>
      <c r="V24" s="634"/>
      <c r="W24" s="634"/>
      <c r="X24" s="634"/>
      <c r="Y24" s="634"/>
      <c r="Z24" s="634"/>
      <c r="AA24" s="634"/>
      <c r="AB24" s="634"/>
      <c r="AC24" s="634"/>
      <c r="AD24" s="634"/>
      <c r="AE24" s="634"/>
      <c r="AF24" s="634"/>
      <c r="AG24" s="634"/>
      <c r="AH24" s="634"/>
      <c r="AI24" s="634"/>
      <c r="AJ24" s="634"/>
      <c r="AK24" s="634"/>
      <c r="AL24" s="634"/>
      <c r="AM24" s="634"/>
      <c r="AN24" s="634"/>
      <c r="AO24" s="634"/>
      <c r="AP24" s="634"/>
      <c r="AQ24" s="634"/>
      <c r="AR24" s="634"/>
      <c r="AS24" s="634"/>
      <c r="AT24" s="634"/>
      <c r="AU24" s="634"/>
      <c r="AV24" s="634"/>
      <c r="AW24" s="634"/>
      <c r="AX24" s="634"/>
      <c r="AY24" s="634"/>
      <c r="AZ24" s="634"/>
      <c r="BA24" s="634"/>
      <c r="BB24" s="634"/>
      <c r="BC24" s="634"/>
      <c r="BD24" s="634"/>
      <c r="BE24" s="634"/>
      <c r="BF24" s="634"/>
      <c r="BG24" s="634"/>
      <c r="BH24" s="634"/>
      <c r="BI24" s="634"/>
      <c r="BJ24" s="634"/>
      <c r="BK24" s="634"/>
      <c r="BL24" s="634"/>
      <c r="BM24" s="634"/>
      <c r="BN24" s="610">
        <f t="shared" si="4"/>
        <v>0</v>
      </c>
      <c r="BO24" s="610">
        <f t="shared" si="5"/>
        <v>0</v>
      </c>
      <c r="BP24" s="610">
        <f t="shared" si="6"/>
        <v>0</v>
      </c>
      <c r="BQ24" s="610">
        <f t="shared" si="7"/>
        <v>0</v>
      </c>
      <c r="BR24" s="610">
        <f t="shared" si="8"/>
        <v>0</v>
      </c>
      <c r="BS24" s="610">
        <f t="shared" si="9"/>
        <v>0</v>
      </c>
      <c r="BT24" s="610">
        <f t="shared" si="10"/>
        <v>4</v>
      </c>
      <c r="BU24" s="610">
        <f t="shared" si="11"/>
        <v>0</v>
      </c>
      <c r="BV24" s="610">
        <f t="shared" si="12"/>
        <v>0</v>
      </c>
      <c r="BW24" s="610">
        <f t="shared" si="13"/>
        <v>4</v>
      </c>
      <c r="BX24" s="610">
        <f t="shared" si="14"/>
        <v>8.75</v>
      </c>
      <c r="CC24" s="610">
        <f t="shared" si="15"/>
        <v>0</v>
      </c>
      <c r="CD24" s="610">
        <f t="shared" si="16"/>
        <v>6</v>
      </c>
      <c r="CE24" s="610">
        <f t="shared" si="17"/>
        <v>0</v>
      </c>
      <c r="CF24" s="610">
        <f t="shared" si="18"/>
        <v>0</v>
      </c>
      <c r="CG24" s="610">
        <f t="shared" si="19"/>
        <v>0</v>
      </c>
      <c r="CH24" s="610">
        <f t="shared" si="20"/>
        <v>0</v>
      </c>
      <c r="CI24" s="610">
        <f t="shared" si="21"/>
        <v>1</v>
      </c>
      <c r="CJ24" s="610">
        <f t="shared" si="22"/>
        <v>0</v>
      </c>
      <c r="CK24" s="610">
        <f t="shared" si="23"/>
        <v>0</v>
      </c>
      <c r="CL24" s="610">
        <f t="shared" si="24"/>
        <v>4</v>
      </c>
    </row>
    <row r="25" spans="1:90" s="610" customFormat="1" ht="18.75">
      <c r="A25" s="621">
        <v>18</v>
      </c>
      <c r="B25" s="622" t="str">
        <f>'REGISTRO DATOS'!C30</f>
        <v>RIVER</v>
      </c>
      <c r="C25" s="622">
        <f>'REGISTRO DATOS'!D30</f>
        <v>0</v>
      </c>
      <c r="D25" s="622" t="str">
        <f>'REGISTRO DATOS'!E30</f>
        <v>STEPHANIE</v>
      </c>
      <c r="E25" s="1079"/>
      <c r="F25" s="623">
        <f t="shared" si="0"/>
        <v>16</v>
      </c>
      <c r="G25" s="623">
        <f t="shared" si="1"/>
        <v>0</v>
      </c>
      <c r="H25" s="623">
        <f t="shared" si="2"/>
        <v>0</v>
      </c>
      <c r="I25" s="624">
        <f t="shared" si="3"/>
        <v>5</v>
      </c>
      <c r="J25" s="514"/>
      <c r="K25" s="634"/>
      <c r="L25" s="634"/>
      <c r="M25" s="634" t="s">
        <v>139</v>
      </c>
      <c r="N25" s="634" t="s">
        <v>344</v>
      </c>
      <c r="O25" s="634" t="s">
        <v>345</v>
      </c>
      <c r="P25" s="634" t="s">
        <v>345</v>
      </c>
      <c r="Q25" s="634" t="s">
        <v>344</v>
      </c>
      <c r="R25" s="634" t="s">
        <v>345</v>
      </c>
      <c r="S25" s="634"/>
      <c r="T25" s="634"/>
      <c r="U25" s="634"/>
      <c r="V25" s="634"/>
      <c r="W25" s="634"/>
      <c r="X25" s="634"/>
      <c r="Y25" s="634"/>
      <c r="Z25" s="634"/>
      <c r="AA25" s="634"/>
      <c r="AB25" s="634"/>
      <c r="AC25" s="634"/>
      <c r="AD25" s="634"/>
      <c r="AE25" s="634"/>
      <c r="AF25" s="634"/>
      <c r="AG25" s="634"/>
      <c r="AH25" s="634"/>
      <c r="AI25" s="634"/>
      <c r="AJ25" s="634"/>
      <c r="AK25" s="634"/>
      <c r="AL25" s="634"/>
      <c r="AM25" s="634"/>
      <c r="AN25" s="634"/>
      <c r="AO25" s="634"/>
      <c r="AP25" s="634"/>
      <c r="AQ25" s="634"/>
      <c r="AR25" s="634"/>
      <c r="AS25" s="634"/>
      <c r="AT25" s="634"/>
      <c r="AU25" s="634"/>
      <c r="AV25" s="634"/>
      <c r="AW25" s="634"/>
      <c r="AX25" s="634"/>
      <c r="AY25" s="634"/>
      <c r="AZ25" s="634"/>
      <c r="BA25" s="634"/>
      <c r="BB25" s="634"/>
      <c r="BC25" s="634"/>
      <c r="BD25" s="634"/>
      <c r="BE25" s="634"/>
      <c r="BF25" s="634"/>
      <c r="BG25" s="634"/>
      <c r="BH25" s="634"/>
      <c r="BI25" s="634"/>
      <c r="BJ25" s="634"/>
      <c r="BK25" s="634"/>
      <c r="BL25" s="634"/>
      <c r="BM25" s="634"/>
      <c r="BN25" s="610">
        <f t="shared" si="4"/>
        <v>0</v>
      </c>
      <c r="BO25" s="610">
        <f t="shared" si="5"/>
        <v>0</v>
      </c>
      <c r="BP25" s="610">
        <f t="shared" si="6"/>
        <v>0</v>
      </c>
      <c r="BQ25" s="610">
        <f t="shared" si="7"/>
        <v>0</v>
      </c>
      <c r="BR25" s="610">
        <f t="shared" si="8"/>
        <v>0</v>
      </c>
      <c r="BS25" s="610">
        <f t="shared" si="9"/>
        <v>0</v>
      </c>
      <c r="BT25" s="610">
        <f t="shared" si="10"/>
        <v>16</v>
      </c>
      <c r="BU25" s="610">
        <f t="shared" si="11"/>
        <v>0</v>
      </c>
      <c r="BV25" s="610">
        <f t="shared" si="12"/>
        <v>0</v>
      </c>
      <c r="BW25" s="610">
        <f t="shared" si="13"/>
        <v>16</v>
      </c>
      <c r="BX25" s="610">
        <f t="shared" si="14"/>
        <v>5</v>
      </c>
      <c r="CC25" s="610">
        <f t="shared" si="15"/>
        <v>0</v>
      </c>
      <c r="CD25" s="610">
        <f t="shared" si="16"/>
        <v>2</v>
      </c>
      <c r="CE25" s="610">
        <f t="shared" si="17"/>
        <v>0</v>
      </c>
      <c r="CF25" s="610">
        <f t="shared" si="18"/>
        <v>0</v>
      </c>
      <c r="CG25" s="610">
        <f t="shared" si="19"/>
        <v>0</v>
      </c>
      <c r="CH25" s="610">
        <f t="shared" si="20"/>
        <v>0</v>
      </c>
      <c r="CI25" s="610">
        <f t="shared" si="21"/>
        <v>4</v>
      </c>
      <c r="CJ25" s="610">
        <f t="shared" si="22"/>
        <v>0</v>
      </c>
      <c r="CK25" s="610">
        <f t="shared" si="23"/>
        <v>0</v>
      </c>
      <c r="CL25" s="610">
        <f t="shared" si="24"/>
        <v>16</v>
      </c>
    </row>
    <row r="26" spans="1:90" s="610" customFormat="1" ht="18.75">
      <c r="A26" s="621">
        <v>19</v>
      </c>
      <c r="B26" s="622">
        <f>'REGISTRO DATOS'!C31</f>
        <v>0</v>
      </c>
      <c r="C26" s="622" t="str">
        <f>'REGISTRO DATOS'!D31</f>
        <v>FABIAN</v>
      </c>
      <c r="D26" s="622">
        <f>'REGISTRO DATOS'!E31</f>
        <v>0</v>
      </c>
      <c r="E26" s="1079"/>
      <c r="F26" s="623">
        <f t="shared" si="0"/>
        <v>0</v>
      </c>
      <c r="G26" s="623">
        <f t="shared" si="1"/>
        <v>0</v>
      </c>
      <c r="H26" s="623">
        <f t="shared" si="2"/>
        <v>0</v>
      </c>
      <c r="I26" s="624">
        <f t="shared" si="3"/>
        <v>10</v>
      </c>
      <c r="J26" s="514"/>
      <c r="K26" s="634"/>
      <c r="L26" s="634"/>
      <c r="M26" s="634"/>
      <c r="N26" s="634"/>
      <c r="O26" s="634"/>
      <c r="P26" s="634"/>
      <c r="Q26" s="634"/>
      <c r="R26" s="634"/>
      <c r="S26" s="634"/>
      <c r="T26" s="634"/>
      <c r="U26" s="634"/>
      <c r="V26" s="634"/>
      <c r="W26" s="634"/>
      <c r="X26" s="634"/>
      <c r="Y26" s="634"/>
      <c r="Z26" s="634"/>
      <c r="AA26" s="634"/>
      <c r="AB26" s="634"/>
      <c r="AC26" s="634"/>
      <c r="AD26" s="634"/>
      <c r="AE26" s="634"/>
      <c r="AF26" s="634"/>
      <c r="AG26" s="634"/>
      <c r="AH26" s="634"/>
      <c r="AI26" s="634"/>
      <c r="AJ26" s="634"/>
      <c r="AK26" s="634"/>
      <c r="AL26" s="634"/>
      <c r="AM26" s="634"/>
      <c r="AN26" s="634"/>
      <c r="AO26" s="634"/>
      <c r="AP26" s="634"/>
      <c r="AQ26" s="634"/>
      <c r="AR26" s="634"/>
      <c r="AS26" s="634"/>
      <c r="AT26" s="634"/>
      <c r="AU26" s="634"/>
      <c r="AV26" s="634"/>
      <c r="AW26" s="634"/>
      <c r="AX26" s="634"/>
      <c r="AY26" s="634"/>
      <c r="AZ26" s="634"/>
      <c r="BA26" s="634"/>
      <c r="BB26" s="634"/>
      <c r="BC26" s="634"/>
      <c r="BD26" s="634"/>
      <c r="BE26" s="634"/>
      <c r="BF26" s="634"/>
      <c r="BG26" s="634"/>
      <c r="BH26" s="634"/>
      <c r="BI26" s="634"/>
      <c r="BJ26" s="634"/>
      <c r="BK26" s="634"/>
      <c r="BL26" s="634"/>
      <c r="BM26" s="634"/>
      <c r="BN26" s="610">
        <f t="shared" si="4"/>
        <v>0</v>
      </c>
      <c r="BO26" s="610">
        <f t="shared" si="5"/>
        <v>0</v>
      </c>
      <c r="BP26" s="610">
        <f t="shared" si="6"/>
        <v>0</v>
      </c>
      <c r="BQ26" s="610">
        <f t="shared" si="7"/>
        <v>0</v>
      </c>
      <c r="BR26" s="610">
        <f t="shared" si="8"/>
        <v>0</v>
      </c>
      <c r="BS26" s="610">
        <f t="shared" si="9"/>
        <v>0</v>
      </c>
      <c r="BT26" s="610">
        <f t="shared" si="10"/>
        <v>0</v>
      </c>
      <c r="BU26" s="610">
        <f t="shared" si="11"/>
        <v>0</v>
      </c>
      <c r="BV26" s="610">
        <f t="shared" si="12"/>
        <v>0</v>
      </c>
      <c r="BW26" s="610">
        <f t="shared" si="13"/>
        <v>0</v>
      </c>
      <c r="BX26" s="610">
        <f t="shared" si="14"/>
        <v>10</v>
      </c>
      <c r="CC26" s="610">
        <f t="shared" si="15"/>
        <v>0</v>
      </c>
      <c r="CD26" s="610">
        <f t="shared" si="16"/>
        <v>0</v>
      </c>
      <c r="CE26" s="610">
        <f t="shared" si="17"/>
        <v>0</v>
      </c>
      <c r="CF26" s="610">
        <f t="shared" si="18"/>
        <v>0</v>
      </c>
      <c r="CG26" s="610">
        <f t="shared" si="19"/>
        <v>0</v>
      </c>
      <c r="CH26" s="610">
        <f t="shared" si="20"/>
        <v>0</v>
      </c>
      <c r="CI26" s="610">
        <f t="shared" si="21"/>
        <v>0</v>
      </c>
      <c r="CJ26" s="610">
        <f t="shared" si="22"/>
        <v>0</v>
      </c>
      <c r="CK26" s="610">
        <f t="shared" si="23"/>
        <v>0</v>
      </c>
      <c r="CL26" s="610">
        <f t="shared" si="24"/>
        <v>0</v>
      </c>
    </row>
    <row r="27" spans="1:90" s="610" customFormat="1" ht="18.75">
      <c r="A27" s="621">
        <v>20</v>
      </c>
      <c r="B27" s="622">
        <f>'REGISTRO DATOS'!C32</f>
        <v>0</v>
      </c>
      <c r="C27" s="622" t="str">
        <f>'REGISTRO DATOS'!D32</f>
        <v>EMILIN</v>
      </c>
      <c r="D27" s="622">
        <f>'REGISTRO DATOS'!E32</f>
        <v>0</v>
      </c>
      <c r="E27" s="1079"/>
      <c r="F27" s="623">
        <f t="shared" si="0"/>
        <v>0</v>
      </c>
      <c r="G27" s="623">
        <f t="shared" si="1"/>
        <v>0</v>
      </c>
      <c r="H27" s="623">
        <f t="shared" si="2"/>
        <v>0</v>
      </c>
      <c r="I27" s="624">
        <f t="shared" si="3"/>
        <v>10</v>
      </c>
      <c r="J27" s="514"/>
      <c r="K27" s="634"/>
      <c r="L27" s="634"/>
      <c r="M27" s="634"/>
      <c r="N27" s="634"/>
      <c r="O27" s="634"/>
      <c r="P27" s="634"/>
      <c r="Q27" s="634"/>
      <c r="R27" s="634"/>
      <c r="S27" s="634"/>
      <c r="T27" s="634"/>
      <c r="U27" s="634"/>
      <c r="V27" s="634"/>
      <c r="W27" s="634"/>
      <c r="X27" s="634"/>
      <c r="Y27" s="634"/>
      <c r="Z27" s="634"/>
      <c r="AA27" s="634"/>
      <c r="AB27" s="634"/>
      <c r="AC27" s="634"/>
      <c r="AD27" s="634"/>
      <c r="AE27" s="634"/>
      <c r="AF27" s="634"/>
      <c r="AG27" s="634"/>
      <c r="AH27" s="634"/>
      <c r="AI27" s="634"/>
      <c r="AJ27" s="634"/>
      <c r="AK27" s="634"/>
      <c r="AL27" s="634"/>
      <c r="AM27" s="634"/>
      <c r="AN27" s="634"/>
      <c r="AO27" s="634"/>
      <c r="AP27" s="634"/>
      <c r="AQ27" s="634"/>
      <c r="AR27" s="634"/>
      <c r="AS27" s="634"/>
      <c r="AT27" s="634"/>
      <c r="AU27" s="634"/>
      <c r="AV27" s="634"/>
      <c r="AW27" s="634"/>
      <c r="AX27" s="634"/>
      <c r="AY27" s="634"/>
      <c r="AZ27" s="634"/>
      <c r="BA27" s="634"/>
      <c r="BB27" s="634"/>
      <c r="BC27" s="634"/>
      <c r="BD27" s="634"/>
      <c r="BE27" s="634"/>
      <c r="BF27" s="634"/>
      <c r="BG27" s="634"/>
      <c r="BH27" s="634"/>
      <c r="BI27" s="634"/>
      <c r="BJ27" s="634"/>
      <c r="BK27" s="634"/>
      <c r="BL27" s="634"/>
      <c r="BM27" s="634"/>
      <c r="BN27" s="610">
        <f t="shared" si="4"/>
        <v>0</v>
      </c>
      <c r="BO27" s="610">
        <f t="shared" si="5"/>
        <v>0</v>
      </c>
      <c r="BP27" s="610">
        <f t="shared" si="6"/>
        <v>0</v>
      </c>
      <c r="BQ27" s="610">
        <f t="shared" si="7"/>
        <v>0</v>
      </c>
      <c r="BR27" s="610">
        <f t="shared" si="8"/>
        <v>0</v>
      </c>
      <c r="BS27" s="610">
        <f t="shared" si="9"/>
        <v>0</v>
      </c>
      <c r="BT27" s="610">
        <f t="shared" si="10"/>
        <v>0</v>
      </c>
      <c r="BU27" s="610">
        <f t="shared" si="11"/>
        <v>0</v>
      </c>
      <c r="BV27" s="610">
        <f t="shared" si="12"/>
        <v>0</v>
      </c>
      <c r="BW27" s="610">
        <f t="shared" si="13"/>
        <v>0</v>
      </c>
      <c r="BX27" s="610">
        <f t="shared" si="14"/>
        <v>10</v>
      </c>
      <c r="CC27" s="610">
        <f t="shared" si="15"/>
        <v>0</v>
      </c>
      <c r="CD27" s="610">
        <f t="shared" si="16"/>
        <v>0</v>
      </c>
      <c r="CE27" s="610">
        <f t="shared" si="17"/>
        <v>0</v>
      </c>
      <c r="CF27" s="610">
        <f t="shared" si="18"/>
        <v>0</v>
      </c>
      <c r="CG27" s="610">
        <f t="shared" si="19"/>
        <v>0</v>
      </c>
      <c r="CH27" s="610">
        <f t="shared" si="20"/>
        <v>0</v>
      </c>
      <c r="CI27" s="610">
        <f t="shared" si="21"/>
        <v>0</v>
      </c>
      <c r="CJ27" s="610">
        <f t="shared" si="22"/>
        <v>0</v>
      </c>
      <c r="CK27" s="610">
        <f t="shared" si="23"/>
        <v>0</v>
      </c>
      <c r="CL27" s="610">
        <f t="shared" si="24"/>
        <v>0</v>
      </c>
    </row>
    <row r="28" spans="1:90" s="610" customFormat="1" ht="18.75">
      <c r="A28" s="621">
        <v>21</v>
      </c>
      <c r="B28" s="622">
        <f>'REGISTRO DATOS'!C33</f>
        <v>0</v>
      </c>
      <c r="C28" s="622">
        <f>'REGISTRO DATOS'!D33</f>
        <v>0</v>
      </c>
      <c r="D28" s="622">
        <f>'REGISTRO DATOS'!E33</f>
        <v>0</v>
      </c>
      <c r="E28" s="1079"/>
      <c r="F28" s="623">
        <f t="shared" si="0"/>
        <v>0</v>
      </c>
      <c r="G28" s="623">
        <f t="shared" si="1"/>
        <v>0</v>
      </c>
      <c r="H28" s="623">
        <f t="shared" si="2"/>
        <v>0</v>
      </c>
      <c r="I28" s="624">
        <f t="shared" si="3"/>
        <v>10</v>
      </c>
      <c r="J28" s="514"/>
      <c r="K28" s="634"/>
      <c r="L28" s="634"/>
      <c r="M28" s="634"/>
      <c r="N28" s="634"/>
      <c r="O28" s="634"/>
      <c r="P28" s="634"/>
      <c r="Q28" s="634"/>
      <c r="R28" s="634"/>
      <c r="S28" s="634"/>
      <c r="T28" s="634"/>
      <c r="U28" s="634"/>
      <c r="V28" s="634"/>
      <c r="W28" s="634"/>
      <c r="X28" s="634"/>
      <c r="Y28" s="634"/>
      <c r="Z28" s="634"/>
      <c r="AA28" s="634"/>
      <c r="AB28" s="634"/>
      <c r="AC28" s="634"/>
      <c r="AD28" s="634"/>
      <c r="AE28" s="634"/>
      <c r="AF28" s="634"/>
      <c r="AG28" s="634"/>
      <c r="AH28" s="634"/>
      <c r="AI28" s="634"/>
      <c r="AJ28" s="634"/>
      <c r="AK28" s="634"/>
      <c r="AL28" s="634"/>
      <c r="AM28" s="634"/>
      <c r="AN28" s="634"/>
      <c r="AO28" s="634"/>
      <c r="AP28" s="634"/>
      <c r="AQ28" s="634"/>
      <c r="AR28" s="634"/>
      <c r="AS28" s="634"/>
      <c r="AT28" s="634"/>
      <c r="AU28" s="634"/>
      <c r="AV28" s="634"/>
      <c r="AW28" s="634"/>
      <c r="AX28" s="634"/>
      <c r="AY28" s="634"/>
      <c r="AZ28" s="634"/>
      <c r="BA28" s="634"/>
      <c r="BB28" s="634"/>
      <c r="BC28" s="634"/>
      <c r="BD28" s="634"/>
      <c r="BE28" s="634"/>
      <c r="BF28" s="634"/>
      <c r="BG28" s="634"/>
      <c r="BH28" s="634"/>
      <c r="BI28" s="634"/>
      <c r="BJ28" s="634"/>
      <c r="BK28" s="634"/>
      <c r="BL28" s="634"/>
      <c r="BM28" s="634"/>
      <c r="BN28" s="610">
        <f t="shared" si="4"/>
        <v>0</v>
      </c>
      <c r="BO28" s="610">
        <f t="shared" si="5"/>
        <v>0</v>
      </c>
      <c r="BP28" s="610">
        <f t="shared" si="6"/>
        <v>0</v>
      </c>
      <c r="BQ28" s="610">
        <f t="shared" si="7"/>
        <v>0</v>
      </c>
      <c r="BR28" s="610">
        <f t="shared" si="8"/>
        <v>0</v>
      </c>
      <c r="BS28" s="610">
        <f t="shared" si="9"/>
        <v>0</v>
      </c>
      <c r="BT28" s="610">
        <f t="shared" si="10"/>
        <v>0</v>
      </c>
      <c r="BU28" s="610">
        <f t="shared" si="11"/>
        <v>0</v>
      </c>
      <c r="BV28" s="610">
        <f t="shared" si="12"/>
        <v>0</v>
      </c>
      <c r="BW28" s="610">
        <f t="shared" si="13"/>
        <v>0</v>
      </c>
      <c r="BX28" s="610">
        <f t="shared" si="14"/>
        <v>10</v>
      </c>
      <c r="CC28" s="610">
        <f t="shared" si="15"/>
        <v>0</v>
      </c>
      <c r="CD28" s="610">
        <f t="shared" si="16"/>
        <v>0</v>
      </c>
      <c r="CE28" s="610">
        <f t="shared" si="17"/>
        <v>0</v>
      </c>
      <c r="CF28" s="610">
        <f t="shared" si="18"/>
        <v>0</v>
      </c>
      <c r="CG28" s="610">
        <f t="shared" si="19"/>
        <v>0</v>
      </c>
      <c r="CH28" s="610">
        <f t="shared" si="20"/>
        <v>0</v>
      </c>
      <c r="CI28" s="610">
        <f t="shared" si="21"/>
        <v>0</v>
      </c>
      <c r="CJ28" s="610">
        <f t="shared" si="22"/>
        <v>0</v>
      </c>
      <c r="CK28" s="610">
        <f t="shared" si="23"/>
        <v>0</v>
      </c>
      <c r="CL28" s="610">
        <f t="shared" si="24"/>
        <v>0</v>
      </c>
    </row>
    <row r="29" spans="1:90" s="610" customFormat="1" ht="18.75">
      <c r="A29" s="621">
        <v>22</v>
      </c>
      <c r="B29" s="622">
        <f>'REGISTRO DATOS'!C34</f>
        <v>0</v>
      </c>
      <c r="C29" s="622">
        <f>'REGISTRO DATOS'!D34</f>
        <v>0</v>
      </c>
      <c r="D29" s="622">
        <f>'REGISTRO DATOS'!E34</f>
        <v>0</v>
      </c>
      <c r="E29" s="1079"/>
      <c r="F29" s="623">
        <f t="shared" si="0"/>
        <v>0</v>
      </c>
      <c r="G29" s="623">
        <f t="shared" si="1"/>
        <v>0</v>
      </c>
      <c r="H29" s="623">
        <f t="shared" si="2"/>
        <v>0</v>
      </c>
      <c r="I29" s="624">
        <f t="shared" si="3"/>
        <v>10</v>
      </c>
      <c r="J29" s="514"/>
      <c r="K29" s="634"/>
      <c r="L29" s="634"/>
      <c r="M29" s="634"/>
      <c r="N29" s="634"/>
      <c r="O29" s="634"/>
      <c r="P29" s="634"/>
      <c r="Q29" s="634"/>
      <c r="R29" s="634"/>
      <c r="S29" s="634"/>
      <c r="T29" s="634"/>
      <c r="U29" s="634"/>
      <c r="V29" s="634"/>
      <c r="W29" s="634"/>
      <c r="X29" s="634"/>
      <c r="Y29" s="634"/>
      <c r="Z29" s="634"/>
      <c r="AA29" s="634"/>
      <c r="AB29" s="634"/>
      <c r="AC29" s="634"/>
      <c r="AD29" s="634"/>
      <c r="AE29" s="634"/>
      <c r="AF29" s="634"/>
      <c r="AG29" s="634"/>
      <c r="AH29" s="634"/>
      <c r="AI29" s="634"/>
      <c r="AJ29" s="634"/>
      <c r="AK29" s="634"/>
      <c r="AL29" s="634"/>
      <c r="AM29" s="634"/>
      <c r="AN29" s="634"/>
      <c r="AO29" s="634"/>
      <c r="AP29" s="634"/>
      <c r="AQ29" s="634"/>
      <c r="AR29" s="634"/>
      <c r="AS29" s="634"/>
      <c r="AT29" s="634"/>
      <c r="AU29" s="634"/>
      <c r="AV29" s="634"/>
      <c r="AW29" s="634"/>
      <c r="AX29" s="634"/>
      <c r="AY29" s="634"/>
      <c r="AZ29" s="634"/>
      <c r="BA29" s="634"/>
      <c r="BB29" s="634"/>
      <c r="BC29" s="634"/>
      <c r="BD29" s="634"/>
      <c r="BE29" s="634"/>
      <c r="BF29" s="634"/>
      <c r="BG29" s="634"/>
      <c r="BH29" s="634"/>
      <c r="BI29" s="634"/>
      <c r="BJ29" s="634"/>
      <c r="BK29" s="634"/>
      <c r="BL29" s="634"/>
      <c r="BM29" s="634"/>
      <c r="BN29" s="610">
        <f t="shared" si="4"/>
        <v>0</v>
      </c>
      <c r="BO29" s="610">
        <f t="shared" si="5"/>
        <v>0</v>
      </c>
      <c r="BP29" s="610">
        <f t="shared" si="6"/>
        <v>0</v>
      </c>
      <c r="BQ29" s="610">
        <f t="shared" si="7"/>
        <v>0</v>
      </c>
      <c r="BR29" s="610">
        <f t="shared" si="8"/>
        <v>0</v>
      </c>
      <c r="BS29" s="610">
        <f t="shared" si="9"/>
        <v>0</v>
      </c>
      <c r="BT29" s="610">
        <f t="shared" si="10"/>
        <v>0</v>
      </c>
      <c r="BU29" s="610">
        <f t="shared" si="11"/>
        <v>0</v>
      </c>
      <c r="BV29" s="610">
        <f t="shared" si="12"/>
        <v>0</v>
      </c>
      <c r="BW29" s="610">
        <f t="shared" si="13"/>
        <v>0</v>
      </c>
      <c r="BX29" s="610">
        <f t="shared" si="14"/>
        <v>10</v>
      </c>
      <c r="CC29" s="610">
        <f t="shared" si="15"/>
        <v>0</v>
      </c>
      <c r="CD29" s="610">
        <f t="shared" si="16"/>
        <v>0</v>
      </c>
      <c r="CE29" s="610">
        <f t="shared" si="17"/>
        <v>0</v>
      </c>
      <c r="CF29" s="610">
        <f t="shared" si="18"/>
        <v>0</v>
      </c>
      <c r="CG29" s="610">
        <f t="shared" si="19"/>
        <v>0</v>
      </c>
      <c r="CH29" s="610">
        <f t="shared" si="20"/>
        <v>0</v>
      </c>
      <c r="CI29" s="610">
        <f t="shared" si="21"/>
        <v>0</v>
      </c>
      <c r="CJ29" s="610">
        <f t="shared" si="22"/>
        <v>0</v>
      </c>
      <c r="CK29" s="610">
        <f t="shared" si="23"/>
        <v>0</v>
      </c>
      <c r="CL29" s="610">
        <f t="shared" si="24"/>
        <v>0</v>
      </c>
    </row>
    <row r="30" spans="1:90" s="610" customFormat="1" ht="18.75">
      <c r="A30" s="621">
        <v>23</v>
      </c>
      <c r="B30" s="622">
        <f>'REGISTRO DATOS'!C35</f>
        <v>0</v>
      </c>
      <c r="C30" s="622">
        <f>'REGISTRO DATOS'!D35</f>
        <v>0</v>
      </c>
      <c r="D30" s="622">
        <f>'REGISTRO DATOS'!E35</f>
        <v>0</v>
      </c>
      <c r="E30" s="1079"/>
      <c r="F30" s="623">
        <f t="shared" si="0"/>
        <v>0</v>
      </c>
      <c r="G30" s="623">
        <f t="shared" si="1"/>
        <v>0</v>
      </c>
      <c r="H30" s="623">
        <f t="shared" si="2"/>
        <v>0</v>
      </c>
      <c r="I30" s="624">
        <f t="shared" si="3"/>
        <v>10</v>
      </c>
      <c r="J30" s="514"/>
      <c r="K30" s="634"/>
      <c r="L30" s="634"/>
      <c r="M30" s="634"/>
      <c r="N30" s="634"/>
      <c r="O30" s="634"/>
      <c r="P30" s="634"/>
      <c r="Q30" s="634"/>
      <c r="R30" s="634"/>
      <c r="S30" s="634"/>
      <c r="T30" s="634"/>
      <c r="U30" s="634"/>
      <c r="V30" s="634"/>
      <c r="W30" s="634"/>
      <c r="X30" s="634"/>
      <c r="Y30" s="634"/>
      <c r="Z30" s="634"/>
      <c r="AA30" s="634"/>
      <c r="AB30" s="634"/>
      <c r="AC30" s="634"/>
      <c r="AD30" s="634"/>
      <c r="AE30" s="634"/>
      <c r="AF30" s="634"/>
      <c r="AG30" s="634"/>
      <c r="AH30" s="634"/>
      <c r="AI30" s="634"/>
      <c r="AJ30" s="634"/>
      <c r="AK30" s="634"/>
      <c r="AL30" s="634"/>
      <c r="AM30" s="634"/>
      <c r="AN30" s="634"/>
      <c r="AO30" s="634"/>
      <c r="AP30" s="634"/>
      <c r="AQ30" s="634"/>
      <c r="AR30" s="634"/>
      <c r="AS30" s="634"/>
      <c r="AT30" s="634"/>
      <c r="AU30" s="634"/>
      <c r="AV30" s="634"/>
      <c r="AW30" s="634"/>
      <c r="AX30" s="634"/>
      <c r="AY30" s="634"/>
      <c r="AZ30" s="634"/>
      <c r="BA30" s="634"/>
      <c r="BB30" s="634"/>
      <c r="BC30" s="634"/>
      <c r="BD30" s="634"/>
      <c r="BE30" s="634"/>
      <c r="BF30" s="634"/>
      <c r="BG30" s="634"/>
      <c r="BH30" s="634"/>
      <c r="BI30" s="634"/>
      <c r="BJ30" s="634"/>
      <c r="BK30" s="634"/>
      <c r="BL30" s="634"/>
      <c r="BM30" s="634"/>
      <c r="BN30" s="610">
        <f t="shared" si="4"/>
        <v>0</v>
      </c>
      <c r="BO30" s="610">
        <f t="shared" si="5"/>
        <v>0</v>
      </c>
      <c r="BP30" s="610">
        <f t="shared" si="6"/>
        <v>0</v>
      </c>
      <c r="BQ30" s="610">
        <f t="shared" si="7"/>
        <v>0</v>
      </c>
      <c r="BR30" s="610">
        <f t="shared" si="8"/>
        <v>0</v>
      </c>
      <c r="BS30" s="610">
        <f t="shared" si="9"/>
        <v>0</v>
      </c>
      <c r="BT30" s="610">
        <f t="shared" si="10"/>
        <v>0</v>
      </c>
      <c r="BU30" s="610">
        <f t="shared" si="11"/>
        <v>0</v>
      </c>
      <c r="BV30" s="610">
        <f t="shared" si="12"/>
        <v>0</v>
      </c>
      <c r="BW30" s="610">
        <f t="shared" si="13"/>
        <v>0</v>
      </c>
      <c r="BX30" s="610">
        <f t="shared" si="14"/>
        <v>10</v>
      </c>
      <c r="CC30" s="610">
        <f t="shared" si="15"/>
        <v>0</v>
      </c>
      <c r="CD30" s="610">
        <f t="shared" si="16"/>
        <v>0</v>
      </c>
      <c r="CE30" s="610">
        <f t="shared" si="17"/>
        <v>0</v>
      </c>
      <c r="CF30" s="610">
        <f t="shared" si="18"/>
        <v>0</v>
      </c>
      <c r="CG30" s="610">
        <f t="shared" si="19"/>
        <v>0</v>
      </c>
      <c r="CH30" s="610">
        <f t="shared" si="20"/>
        <v>0</v>
      </c>
      <c r="CI30" s="610">
        <f t="shared" si="21"/>
        <v>0</v>
      </c>
      <c r="CJ30" s="610">
        <f t="shared" si="22"/>
        <v>0</v>
      </c>
      <c r="CK30" s="610">
        <f t="shared" si="23"/>
        <v>0</v>
      </c>
      <c r="CL30" s="610">
        <f t="shared" si="24"/>
        <v>0</v>
      </c>
    </row>
    <row r="31" spans="1:90" s="610" customFormat="1" ht="18.75">
      <c r="A31" s="621">
        <v>24</v>
      </c>
      <c r="B31" s="622">
        <f>'REGISTRO DATOS'!C36</f>
        <v>0</v>
      </c>
      <c r="C31" s="622">
        <f>'REGISTRO DATOS'!D36</f>
        <v>0</v>
      </c>
      <c r="D31" s="622">
        <f>'REGISTRO DATOS'!E36</f>
        <v>0</v>
      </c>
      <c r="E31" s="1079"/>
      <c r="F31" s="623">
        <f t="shared" si="0"/>
        <v>0</v>
      </c>
      <c r="G31" s="623">
        <f t="shared" si="1"/>
        <v>0</v>
      </c>
      <c r="H31" s="623">
        <f t="shared" si="2"/>
        <v>0</v>
      </c>
      <c r="I31" s="624">
        <f t="shared" si="3"/>
        <v>10</v>
      </c>
      <c r="J31" s="514"/>
      <c r="K31" s="634"/>
      <c r="L31" s="634"/>
      <c r="M31" s="634"/>
      <c r="N31" s="634"/>
      <c r="O31" s="634"/>
      <c r="P31" s="634"/>
      <c r="Q31" s="634"/>
      <c r="R31" s="634"/>
      <c r="S31" s="634"/>
      <c r="T31" s="634"/>
      <c r="U31" s="634"/>
      <c r="V31" s="634"/>
      <c r="W31" s="634"/>
      <c r="X31" s="634"/>
      <c r="Y31" s="634"/>
      <c r="Z31" s="634"/>
      <c r="AA31" s="634"/>
      <c r="AB31" s="634"/>
      <c r="AC31" s="634"/>
      <c r="AD31" s="634"/>
      <c r="AE31" s="634"/>
      <c r="AF31" s="634"/>
      <c r="AG31" s="634"/>
      <c r="AH31" s="634"/>
      <c r="AI31" s="634"/>
      <c r="AJ31" s="634"/>
      <c r="AK31" s="634"/>
      <c r="AL31" s="634"/>
      <c r="AM31" s="634"/>
      <c r="AN31" s="634"/>
      <c r="AO31" s="634"/>
      <c r="AP31" s="634"/>
      <c r="AQ31" s="634"/>
      <c r="AR31" s="634"/>
      <c r="AS31" s="634"/>
      <c r="AT31" s="634"/>
      <c r="AU31" s="634"/>
      <c r="AV31" s="634"/>
      <c r="AW31" s="634"/>
      <c r="AX31" s="634"/>
      <c r="AY31" s="634"/>
      <c r="AZ31" s="634"/>
      <c r="BA31" s="634"/>
      <c r="BB31" s="634"/>
      <c r="BC31" s="634"/>
      <c r="BD31" s="634"/>
      <c r="BE31" s="634"/>
      <c r="BF31" s="634"/>
      <c r="BG31" s="634"/>
      <c r="BH31" s="634"/>
      <c r="BI31" s="634"/>
      <c r="BJ31" s="634"/>
      <c r="BK31" s="634"/>
      <c r="BL31" s="634"/>
      <c r="BM31" s="634"/>
      <c r="BN31" s="610">
        <f t="shared" si="4"/>
        <v>0</v>
      </c>
      <c r="BO31" s="610">
        <f t="shared" si="5"/>
        <v>0</v>
      </c>
      <c r="BP31" s="610">
        <f t="shared" si="6"/>
        <v>0</v>
      </c>
      <c r="BQ31" s="610">
        <f t="shared" si="7"/>
        <v>0</v>
      </c>
      <c r="BR31" s="610">
        <f t="shared" si="8"/>
        <v>0</v>
      </c>
      <c r="BS31" s="610">
        <f t="shared" si="9"/>
        <v>0</v>
      </c>
      <c r="BT31" s="610">
        <f t="shared" si="10"/>
        <v>0</v>
      </c>
      <c r="BU31" s="610">
        <f t="shared" si="11"/>
        <v>0</v>
      </c>
      <c r="BV31" s="610">
        <f t="shared" si="12"/>
        <v>0</v>
      </c>
      <c r="BW31" s="610">
        <f t="shared" si="13"/>
        <v>0</v>
      </c>
      <c r="BX31" s="610">
        <f t="shared" si="14"/>
        <v>10</v>
      </c>
      <c r="CC31" s="610">
        <f t="shared" si="15"/>
        <v>0</v>
      </c>
      <c r="CD31" s="610">
        <f t="shared" si="16"/>
        <v>0</v>
      </c>
      <c r="CE31" s="610">
        <f t="shared" si="17"/>
        <v>0</v>
      </c>
      <c r="CF31" s="610">
        <f t="shared" si="18"/>
        <v>0</v>
      </c>
      <c r="CG31" s="610">
        <f t="shared" si="19"/>
        <v>0</v>
      </c>
      <c r="CH31" s="610">
        <f t="shared" si="20"/>
        <v>0</v>
      </c>
      <c r="CI31" s="610">
        <f t="shared" si="21"/>
        <v>0</v>
      </c>
      <c r="CJ31" s="610">
        <f t="shared" si="22"/>
        <v>0</v>
      </c>
      <c r="CK31" s="610">
        <f t="shared" si="23"/>
        <v>0</v>
      </c>
      <c r="CL31" s="610">
        <f t="shared" si="24"/>
        <v>0</v>
      </c>
    </row>
    <row r="32" spans="1:90" s="610" customFormat="1" ht="18.75">
      <c r="A32" s="621">
        <v>25</v>
      </c>
      <c r="B32" s="622">
        <f>'REGISTRO DATOS'!C37</f>
        <v>0</v>
      </c>
      <c r="C32" s="622">
        <f>'REGISTRO DATOS'!D37</f>
        <v>0</v>
      </c>
      <c r="D32" s="622">
        <f>'REGISTRO DATOS'!E37</f>
        <v>0</v>
      </c>
      <c r="E32" s="1079"/>
      <c r="F32" s="623">
        <f t="shared" si="0"/>
        <v>0</v>
      </c>
      <c r="G32" s="623">
        <f t="shared" si="1"/>
        <v>0</v>
      </c>
      <c r="H32" s="623">
        <f t="shared" si="2"/>
        <v>0</v>
      </c>
      <c r="I32" s="624">
        <f t="shared" si="3"/>
        <v>10</v>
      </c>
      <c r="J32" s="514"/>
      <c r="K32" s="634"/>
      <c r="L32" s="634"/>
      <c r="M32" s="634"/>
      <c r="N32" s="634"/>
      <c r="O32" s="634"/>
      <c r="P32" s="634"/>
      <c r="Q32" s="634"/>
      <c r="R32" s="634"/>
      <c r="S32" s="634"/>
      <c r="T32" s="634"/>
      <c r="U32" s="634"/>
      <c r="V32" s="634"/>
      <c r="W32" s="634"/>
      <c r="X32" s="634"/>
      <c r="Y32" s="634"/>
      <c r="Z32" s="634"/>
      <c r="AA32" s="634"/>
      <c r="AB32" s="634"/>
      <c r="AC32" s="634"/>
      <c r="AD32" s="634"/>
      <c r="AE32" s="634"/>
      <c r="AF32" s="634"/>
      <c r="AG32" s="634"/>
      <c r="AH32" s="634"/>
      <c r="AI32" s="634"/>
      <c r="AJ32" s="634"/>
      <c r="AK32" s="634"/>
      <c r="AL32" s="634"/>
      <c r="AM32" s="634"/>
      <c r="AN32" s="634"/>
      <c r="AO32" s="634"/>
      <c r="AP32" s="634"/>
      <c r="AQ32" s="634"/>
      <c r="AR32" s="634"/>
      <c r="AS32" s="634"/>
      <c r="AT32" s="634"/>
      <c r="AU32" s="634"/>
      <c r="AV32" s="634"/>
      <c r="AW32" s="634"/>
      <c r="AX32" s="634"/>
      <c r="AY32" s="634"/>
      <c r="AZ32" s="634"/>
      <c r="BA32" s="634"/>
      <c r="BB32" s="634"/>
      <c r="BC32" s="634"/>
      <c r="BD32" s="634"/>
      <c r="BE32" s="634"/>
      <c r="BF32" s="634"/>
      <c r="BG32" s="634"/>
      <c r="BH32" s="634"/>
      <c r="BI32" s="634"/>
      <c r="BJ32" s="634"/>
      <c r="BK32" s="634"/>
      <c r="BL32" s="634"/>
      <c r="BM32" s="634"/>
      <c r="BN32" s="610">
        <f t="shared" si="4"/>
        <v>0</v>
      </c>
      <c r="BO32" s="610">
        <f t="shared" si="5"/>
        <v>0</v>
      </c>
      <c r="BP32" s="610">
        <f t="shared" si="6"/>
        <v>0</v>
      </c>
      <c r="BQ32" s="610">
        <f t="shared" si="7"/>
        <v>0</v>
      </c>
      <c r="BR32" s="610">
        <f t="shared" si="8"/>
        <v>0</v>
      </c>
      <c r="BS32" s="610">
        <f t="shared" si="9"/>
        <v>0</v>
      </c>
      <c r="BT32" s="610">
        <f t="shared" si="10"/>
        <v>0</v>
      </c>
      <c r="BU32" s="610">
        <f t="shared" si="11"/>
        <v>0</v>
      </c>
      <c r="BV32" s="610">
        <f t="shared" si="12"/>
        <v>0</v>
      </c>
      <c r="BW32" s="610">
        <f t="shared" si="13"/>
        <v>0</v>
      </c>
      <c r="BX32" s="610">
        <f t="shared" si="14"/>
        <v>10</v>
      </c>
      <c r="CC32" s="610">
        <f t="shared" si="15"/>
        <v>0</v>
      </c>
      <c r="CD32" s="610">
        <f t="shared" si="16"/>
        <v>0</v>
      </c>
      <c r="CE32" s="610">
        <f t="shared" si="17"/>
        <v>0</v>
      </c>
      <c r="CF32" s="610">
        <f t="shared" si="18"/>
        <v>0</v>
      </c>
      <c r="CG32" s="610">
        <f t="shared" si="19"/>
        <v>0</v>
      </c>
      <c r="CH32" s="610">
        <f t="shared" si="20"/>
        <v>0</v>
      </c>
      <c r="CI32" s="610">
        <f t="shared" si="21"/>
        <v>0</v>
      </c>
      <c r="CJ32" s="610">
        <f t="shared" si="22"/>
        <v>0</v>
      </c>
      <c r="CK32" s="610">
        <f t="shared" si="23"/>
        <v>0</v>
      </c>
      <c r="CL32" s="610">
        <f t="shared" si="24"/>
        <v>0</v>
      </c>
    </row>
    <row r="33" spans="1:179" s="610" customFormat="1" ht="18.75">
      <c r="A33" s="621">
        <v>26</v>
      </c>
      <c r="B33" s="622">
        <f>'REGISTRO DATOS'!C38</f>
        <v>0</v>
      </c>
      <c r="C33" s="622">
        <f>'REGISTRO DATOS'!D38</f>
        <v>0</v>
      </c>
      <c r="D33" s="622">
        <f>'REGISTRO DATOS'!E38</f>
        <v>0</v>
      </c>
      <c r="E33" s="1079"/>
      <c r="F33" s="623">
        <f t="shared" si="0"/>
        <v>0</v>
      </c>
      <c r="G33" s="623">
        <f t="shared" si="1"/>
        <v>0</v>
      </c>
      <c r="H33" s="623">
        <f t="shared" si="2"/>
        <v>0</v>
      </c>
      <c r="I33" s="624">
        <f t="shared" si="3"/>
        <v>10</v>
      </c>
      <c r="J33" s="514"/>
      <c r="K33" s="634"/>
      <c r="L33" s="634"/>
      <c r="M33" s="634"/>
      <c r="N33" s="634"/>
      <c r="O33" s="634"/>
      <c r="P33" s="634"/>
      <c r="Q33" s="634"/>
      <c r="R33" s="634"/>
      <c r="S33" s="634"/>
      <c r="T33" s="634"/>
      <c r="U33" s="634"/>
      <c r="V33" s="634"/>
      <c r="W33" s="634"/>
      <c r="X33" s="634"/>
      <c r="Y33" s="634"/>
      <c r="Z33" s="634"/>
      <c r="AA33" s="634"/>
      <c r="AB33" s="634"/>
      <c r="AC33" s="634"/>
      <c r="AD33" s="634"/>
      <c r="AE33" s="634"/>
      <c r="AF33" s="634"/>
      <c r="AG33" s="634"/>
      <c r="AH33" s="634"/>
      <c r="AI33" s="634"/>
      <c r="AJ33" s="634"/>
      <c r="AK33" s="634"/>
      <c r="AL33" s="634"/>
      <c r="AM33" s="634"/>
      <c r="AN33" s="634"/>
      <c r="AO33" s="634"/>
      <c r="AP33" s="634"/>
      <c r="AQ33" s="634"/>
      <c r="AR33" s="634"/>
      <c r="AS33" s="634"/>
      <c r="AT33" s="634"/>
      <c r="AU33" s="634"/>
      <c r="AV33" s="634"/>
      <c r="AW33" s="634"/>
      <c r="AX33" s="634"/>
      <c r="AY33" s="634"/>
      <c r="AZ33" s="634"/>
      <c r="BA33" s="634"/>
      <c r="BB33" s="634"/>
      <c r="BC33" s="634"/>
      <c r="BD33" s="634"/>
      <c r="BE33" s="634"/>
      <c r="BF33" s="634"/>
      <c r="BG33" s="634"/>
      <c r="BH33" s="634"/>
      <c r="BI33" s="634"/>
      <c r="BJ33" s="634"/>
      <c r="BK33" s="634"/>
      <c r="BL33" s="634"/>
      <c r="BM33" s="634"/>
      <c r="BN33" s="610">
        <f t="shared" si="4"/>
        <v>0</v>
      </c>
      <c r="BO33" s="610">
        <f t="shared" si="5"/>
        <v>0</v>
      </c>
      <c r="BP33" s="610">
        <f t="shared" si="6"/>
        <v>0</v>
      </c>
      <c r="BQ33" s="610">
        <f t="shared" si="7"/>
        <v>0</v>
      </c>
      <c r="BR33" s="610">
        <f t="shared" si="8"/>
        <v>0</v>
      </c>
      <c r="BS33" s="610">
        <f t="shared" si="9"/>
        <v>0</v>
      </c>
      <c r="BT33" s="610">
        <f t="shared" si="10"/>
        <v>0</v>
      </c>
      <c r="BU33" s="610">
        <f t="shared" si="11"/>
        <v>0</v>
      </c>
      <c r="BV33" s="610">
        <f t="shared" si="12"/>
        <v>0</v>
      </c>
      <c r="BW33" s="610">
        <f t="shared" si="13"/>
        <v>0</v>
      </c>
      <c r="BX33" s="610">
        <f t="shared" si="14"/>
        <v>10</v>
      </c>
      <c r="CC33" s="610">
        <f t="shared" si="15"/>
        <v>0</v>
      </c>
      <c r="CD33" s="610">
        <f t="shared" si="16"/>
        <v>0</v>
      </c>
      <c r="CE33" s="610">
        <f t="shared" si="17"/>
        <v>0</v>
      </c>
      <c r="CF33" s="610">
        <f t="shared" si="18"/>
        <v>0</v>
      </c>
      <c r="CG33" s="610">
        <f t="shared" si="19"/>
        <v>0</v>
      </c>
      <c r="CH33" s="610">
        <f t="shared" si="20"/>
        <v>0</v>
      </c>
      <c r="CI33" s="610">
        <f t="shared" si="21"/>
        <v>0</v>
      </c>
      <c r="CJ33" s="610">
        <f t="shared" si="22"/>
        <v>0</v>
      </c>
      <c r="CK33" s="610">
        <f t="shared" si="23"/>
        <v>0</v>
      </c>
      <c r="CL33" s="610">
        <f t="shared" si="24"/>
        <v>0</v>
      </c>
    </row>
    <row r="34" spans="1:179" s="610" customFormat="1" ht="18.75">
      <c r="A34" s="621">
        <v>27</v>
      </c>
      <c r="B34" s="622">
        <f>'REGISTRO DATOS'!C39</f>
        <v>0</v>
      </c>
      <c r="C34" s="622">
        <f>'REGISTRO DATOS'!D39</f>
        <v>0</v>
      </c>
      <c r="D34" s="622">
        <f>'REGISTRO DATOS'!E39</f>
        <v>0</v>
      </c>
      <c r="E34" s="1079"/>
      <c r="F34" s="623">
        <f t="shared" si="0"/>
        <v>0</v>
      </c>
      <c r="G34" s="623">
        <f t="shared" si="1"/>
        <v>0</v>
      </c>
      <c r="H34" s="623">
        <f t="shared" si="2"/>
        <v>0</v>
      </c>
      <c r="I34" s="624">
        <f t="shared" si="3"/>
        <v>10</v>
      </c>
      <c r="J34" s="514"/>
      <c r="K34" s="634"/>
      <c r="L34" s="634"/>
      <c r="M34" s="634"/>
      <c r="N34" s="634"/>
      <c r="O34" s="634"/>
      <c r="P34" s="634"/>
      <c r="Q34" s="634"/>
      <c r="R34" s="634"/>
      <c r="S34" s="634"/>
      <c r="T34" s="634"/>
      <c r="U34" s="634"/>
      <c r="V34" s="634"/>
      <c r="W34" s="634"/>
      <c r="X34" s="634"/>
      <c r="Y34" s="634"/>
      <c r="Z34" s="634"/>
      <c r="AA34" s="634"/>
      <c r="AB34" s="634"/>
      <c r="AC34" s="634"/>
      <c r="AD34" s="634"/>
      <c r="AE34" s="634"/>
      <c r="AF34" s="634"/>
      <c r="AG34" s="634"/>
      <c r="AH34" s="634"/>
      <c r="AI34" s="634"/>
      <c r="AJ34" s="634"/>
      <c r="AK34" s="634"/>
      <c r="AL34" s="634"/>
      <c r="AM34" s="634"/>
      <c r="AN34" s="634"/>
      <c r="AO34" s="634"/>
      <c r="AP34" s="634"/>
      <c r="AQ34" s="634"/>
      <c r="AR34" s="634"/>
      <c r="AS34" s="634"/>
      <c r="AT34" s="634"/>
      <c r="AU34" s="634"/>
      <c r="AV34" s="634"/>
      <c r="AW34" s="634"/>
      <c r="AX34" s="634"/>
      <c r="AY34" s="634"/>
      <c r="AZ34" s="634"/>
      <c r="BA34" s="634"/>
      <c r="BB34" s="634"/>
      <c r="BC34" s="634"/>
      <c r="BD34" s="634"/>
      <c r="BE34" s="634"/>
      <c r="BF34" s="634"/>
      <c r="BG34" s="634"/>
      <c r="BH34" s="634"/>
      <c r="BI34" s="634"/>
      <c r="BJ34" s="634"/>
      <c r="BK34" s="634"/>
      <c r="BL34" s="634"/>
      <c r="BM34" s="634"/>
      <c r="BN34" s="610">
        <f t="shared" si="4"/>
        <v>0</v>
      </c>
      <c r="BO34" s="610">
        <f t="shared" si="5"/>
        <v>0</v>
      </c>
      <c r="BP34" s="610">
        <f t="shared" si="6"/>
        <v>0</v>
      </c>
      <c r="BQ34" s="610">
        <f t="shared" si="7"/>
        <v>0</v>
      </c>
      <c r="BR34" s="610">
        <f t="shared" si="8"/>
        <v>0</v>
      </c>
      <c r="BS34" s="610">
        <f t="shared" si="9"/>
        <v>0</v>
      </c>
      <c r="BT34" s="610">
        <f t="shared" si="10"/>
        <v>0</v>
      </c>
      <c r="BU34" s="610">
        <f t="shared" si="11"/>
        <v>0</v>
      </c>
      <c r="BV34" s="610">
        <f t="shared" si="12"/>
        <v>0</v>
      </c>
      <c r="BW34" s="610">
        <f t="shared" si="13"/>
        <v>0</v>
      </c>
      <c r="BX34" s="610">
        <f t="shared" si="14"/>
        <v>10</v>
      </c>
      <c r="CC34" s="610">
        <f t="shared" si="15"/>
        <v>0</v>
      </c>
      <c r="CD34" s="610">
        <f t="shared" si="16"/>
        <v>0</v>
      </c>
      <c r="CE34" s="610">
        <f t="shared" si="17"/>
        <v>0</v>
      </c>
      <c r="CF34" s="610">
        <f t="shared" si="18"/>
        <v>0</v>
      </c>
      <c r="CG34" s="610">
        <f t="shared" si="19"/>
        <v>0</v>
      </c>
      <c r="CH34" s="610">
        <f t="shared" si="20"/>
        <v>0</v>
      </c>
      <c r="CI34" s="610">
        <f t="shared" si="21"/>
        <v>0</v>
      </c>
      <c r="CJ34" s="610">
        <f t="shared" si="22"/>
        <v>0</v>
      </c>
      <c r="CK34" s="610">
        <f t="shared" si="23"/>
        <v>0</v>
      </c>
      <c r="CL34" s="610">
        <f t="shared" si="24"/>
        <v>0</v>
      </c>
    </row>
    <row r="35" spans="1:179" s="610" customFormat="1" ht="18.75">
      <c r="A35" s="621">
        <v>28</v>
      </c>
      <c r="B35" s="622">
        <f>'REGISTRO DATOS'!C40</f>
        <v>0</v>
      </c>
      <c r="C35" s="622">
        <f>'REGISTRO DATOS'!D40</f>
        <v>0</v>
      </c>
      <c r="D35" s="622">
        <f>'REGISTRO DATOS'!E40</f>
        <v>0</v>
      </c>
      <c r="E35" s="1079"/>
      <c r="F35" s="623">
        <f t="shared" si="0"/>
        <v>0</v>
      </c>
      <c r="G35" s="623">
        <f t="shared" si="1"/>
        <v>0</v>
      </c>
      <c r="H35" s="623">
        <f t="shared" si="2"/>
        <v>0</v>
      </c>
      <c r="I35" s="624">
        <f t="shared" si="3"/>
        <v>10</v>
      </c>
      <c r="J35" s="514"/>
      <c r="K35" s="634"/>
      <c r="L35" s="634"/>
      <c r="M35" s="634"/>
      <c r="N35" s="634"/>
      <c r="O35" s="634"/>
      <c r="P35" s="634"/>
      <c r="Q35" s="634"/>
      <c r="R35" s="634"/>
      <c r="S35" s="634"/>
      <c r="T35" s="634"/>
      <c r="U35" s="634"/>
      <c r="V35" s="634"/>
      <c r="W35" s="634"/>
      <c r="X35" s="634"/>
      <c r="Y35" s="634"/>
      <c r="Z35" s="634"/>
      <c r="AA35" s="634"/>
      <c r="AB35" s="634"/>
      <c r="AC35" s="634"/>
      <c r="AD35" s="634"/>
      <c r="AE35" s="634"/>
      <c r="AF35" s="634"/>
      <c r="AG35" s="634"/>
      <c r="AH35" s="634"/>
      <c r="AI35" s="634"/>
      <c r="AJ35" s="634"/>
      <c r="AK35" s="634"/>
      <c r="AL35" s="634"/>
      <c r="AM35" s="634"/>
      <c r="AN35" s="634"/>
      <c r="AO35" s="634"/>
      <c r="AP35" s="634"/>
      <c r="AQ35" s="634"/>
      <c r="AR35" s="634"/>
      <c r="AS35" s="634"/>
      <c r="AT35" s="634"/>
      <c r="AU35" s="634"/>
      <c r="AV35" s="634"/>
      <c r="AW35" s="634"/>
      <c r="AX35" s="634"/>
      <c r="AY35" s="634"/>
      <c r="AZ35" s="634"/>
      <c r="BA35" s="634"/>
      <c r="BB35" s="634"/>
      <c r="BC35" s="634"/>
      <c r="BD35" s="634"/>
      <c r="BE35" s="634"/>
      <c r="BF35" s="634"/>
      <c r="BG35" s="634"/>
      <c r="BH35" s="634"/>
      <c r="BI35" s="634"/>
      <c r="BJ35" s="634"/>
      <c r="BK35" s="634"/>
      <c r="BL35" s="634"/>
      <c r="BM35" s="634"/>
      <c r="BN35" s="610">
        <f t="shared" si="4"/>
        <v>0</v>
      </c>
      <c r="BO35" s="610">
        <f t="shared" si="5"/>
        <v>0</v>
      </c>
      <c r="BP35" s="610">
        <f t="shared" si="6"/>
        <v>0</v>
      </c>
      <c r="BQ35" s="610">
        <f t="shared" si="7"/>
        <v>0</v>
      </c>
      <c r="BR35" s="610">
        <f t="shared" si="8"/>
        <v>0</v>
      </c>
      <c r="BS35" s="610">
        <f t="shared" si="9"/>
        <v>0</v>
      </c>
      <c r="BT35" s="610">
        <f t="shared" si="10"/>
        <v>0</v>
      </c>
      <c r="BU35" s="610">
        <f t="shared" si="11"/>
        <v>0</v>
      </c>
      <c r="BV35" s="610">
        <f t="shared" si="12"/>
        <v>0</v>
      </c>
      <c r="BW35" s="610">
        <f t="shared" si="13"/>
        <v>0</v>
      </c>
      <c r="BX35" s="610">
        <f t="shared" si="14"/>
        <v>10</v>
      </c>
      <c r="CC35" s="610">
        <f t="shared" si="15"/>
        <v>0</v>
      </c>
      <c r="CD35" s="610">
        <f t="shared" si="16"/>
        <v>0</v>
      </c>
      <c r="CE35" s="610">
        <f t="shared" si="17"/>
        <v>0</v>
      </c>
      <c r="CF35" s="610">
        <f t="shared" si="18"/>
        <v>0</v>
      </c>
      <c r="CG35" s="610">
        <f t="shared" si="19"/>
        <v>0</v>
      </c>
      <c r="CH35" s="610">
        <f t="shared" si="20"/>
        <v>0</v>
      </c>
      <c r="CI35" s="610">
        <f t="shared" si="21"/>
        <v>0</v>
      </c>
      <c r="CJ35" s="610">
        <f t="shared" si="22"/>
        <v>0</v>
      </c>
      <c r="CK35" s="610">
        <f t="shared" si="23"/>
        <v>0</v>
      </c>
      <c r="CL35" s="610">
        <f t="shared" si="24"/>
        <v>0</v>
      </c>
    </row>
    <row r="36" spans="1:179" s="610" customFormat="1" ht="18.75">
      <c r="A36" s="621">
        <v>29</v>
      </c>
      <c r="B36" s="622">
        <f>'REGISTRO DATOS'!C41</f>
        <v>0</v>
      </c>
      <c r="C36" s="622">
        <f>'REGISTRO DATOS'!D41</f>
        <v>0</v>
      </c>
      <c r="D36" s="622">
        <f>'REGISTRO DATOS'!E41</f>
        <v>0</v>
      </c>
      <c r="E36" s="1079"/>
      <c r="F36" s="623">
        <f t="shared" si="0"/>
        <v>0</v>
      </c>
      <c r="G36" s="623">
        <f t="shared" si="1"/>
        <v>0</v>
      </c>
      <c r="H36" s="623">
        <f t="shared" si="2"/>
        <v>0</v>
      </c>
      <c r="I36" s="624">
        <f t="shared" si="3"/>
        <v>10</v>
      </c>
      <c r="J36" s="514"/>
      <c r="K36" s="634"/>
      <c r="L36" s="634"/>
      <c r="M36" s="634"/>
      <c r="N36" s="634"/>
      <c r="O36" s="634"/>
      <c r="P36" s="634"/>
      <c r="Q36" s="634"/>
      <c r="R36" s="634"/>
      <c r="S36" s="634"/>
      <c r="T36" s="634"/>
      <c r="U36" s="634"/>
      <c r="V36" s="634"/>
      <c r="W36" s="634"/>
      <c r="X36" s="634"/>
      <c r="Y36" s="634"/>
      <c r="Z36" s="634"/>
      <c r="AA36" s="634"/>
      <c r="AB36" s="634"/>
      <c r="AC36" s="634"/>
      <c r="AD36" s="634"/>
      <c r="AE36" s="634"/>
      <c r="AF36" s="634"/>
      <c r="AG36" s="634"/>
      <c r="AH36" s="634"/>
      <c r="AI36" s="634"/>
      <c r="AJ36" s="634"/>
      <c r="AK36" s="634"/>
      <c r="AL36" s="634"/>
      <c r="AM36" s="634"/>
      <c r="AN36" s="634"/>
      <c r="AO36" s="634"/>
      <c r="AP36" s="634"/>
      <c r="AQ36" s="634"/>
      <c r="AR36" s="634"/>
      <c r="AS36" s="634"/>
      <c r="AT36" s="634"/>
      <c r="AU36" s="634"/>
      <c r="AV36" s="634"/>
      <c r="AW36" s="634"/>
      <c r="AX36" s="634"/>
      <c r="AY36" s="634"/>
      <c r="AZ36" s="634"/>
      <c r="BA36" s="634"/>
      <c r="BB36" s="634"/>
      <c r="BC36" s="634"/>
      <c r="BD36" s="634"/>
      <c r="BE36" s="634"/>
      <c r="BF36" s="634"/>
      <c r="BG36" s="634"/>
      <c r="BH36" s="634"/>
      <c r="BI36" s="634"/>
      <c r="BJ36" s="634"/>
      <c r="BK36" s="634"/>
      <c r="BL36" s="634"/>
      <c r="BM36" s="634"/>
      <c r="BN36" s="610">
        <f t="shared" si="4"/>
        <v>0</v>
      </c>
      <c r="BO36" s="610">
        <f t="shared" si="5"/>
        <v>0</v>
      </c>
      <c r="BP36" s="610">
        <f t="shared" si="6"/>
        <v>0</v>
      </c>
      <c r="BQ36" s="610">
        <f t="shared" si="7"/>
        <v>0</v>
      </c>
      <c r="BR36" s="610">
        <f t="shared" si="8"/>
        <v>0</v>
      </c>
      <c r="BS36" s="610">
        <f t="shared" si="9"/>
        <v>0</v>
      </c>
      <c r="BT36" s="610">
        <f t="shared" si="10"/>
        <v>0</v>
      </c>
      <c r="BU36" s="610">
        <f t="shared" si="11"/>
        <v>0</v>
      </c>
      <c r="BV36" s="610">
        <f t="shared" si="12"/>
        <v>0</v>
      </c>
      <c r="BW36" s="610">
        <f t="shared" si="13"/>
        <v>0</v>
      </c>
      <c r="BX36" s="610">
        <f t="shared" si="14"/>
        <v>10</v>
      </c>
      <c r="CC36" s="610">
        <f t="shared" si="15"/>
        <v>0</v>
      </c>
      <c r="CD36" s="610">
        <f t="shared" si="16"/>
        <v>0</v>
      </c>
      <c r="CE36" s="610">
        <f t="shared" si="17"/>
        <v>0</v>
      </c>
      <c r="CF36" s="610">
        <f t="shared" si="18"/>
        <v>0</v>
      </c>
      <c r="CG36" s="610">
        <f t="shared" si="19"/>
        <v>0</v>
      </c>
      <c r="CH36" s="610">
        <f t="shared" si="20"/>
        <v>0</v>
      </c>
      <c r="CI36" s="610">
        <f t="shared" si="21"/>
        <v>0</v>
      </c>
      <c r="CJ36" s="610">
        <f t="shared" si="22"/>
        <v>0</v>
      </c>
      <c r="CK36" s="610">
        <f t="shared" si="23"/>
        <v>0</v>
      </c>
      <c r="CL36" s="610">
        <f t="shared" si="24"/>
        <v>0</v>
      </c>
    </row>
    <row r="37" spans="1:179" ht="18.75">
      <c r="A37" s="621">
        <v>30</v>
      </c>
      <c r="B37" s="622">
        <f>'REGISTRO DATOS'!C42</f>
        <v>0</v>
      </c>
      <c r="C37" s="622">
        <f>'REGISTRO DATOS'!D42</f>
        <v>0</v>
      </c>
      <c r="D37" s="622">
        <f>'REGISTRO DATOS'!E42</f>
        <v>0</v>
      </c>
      <c r="E37" s="1079"/>
      <c r="F37" s="623">
        <f t="shared" si="0"/>
        <v>0</v>
      </c>
      <c r="G37" s="623">
        <f t="shared" si="1"/>
        <v>0</v>
      </c>
      <c r="H37" s="623">
        <f t="shared" si="2"/>
        <v>0</v>
      </c>
      <c r="I37" s="624">
        <f t="shared" si="3"/>
        <v>10</v>
      </c>
      <c r="J37" s="514"/>
      <c r="K37" s="634"/>
      <c r="L37" s="634"/>
      <c r="M37" s="634"/>
      <c r="N37" s="634"/>
      <c r="O37" s="634"/>
      <c r="P37" s="634"/>
      <c r="Q37" s="634"/>
      <c r="R37" s="634"/>
      <c r="S37" s="634"/>
      <c r="T37" s="634"/>
      <c r="U37" s="634"/>
      <c r="V37" s="634"/>
      <c r="W37" s="634"/>
      <c r="X37" s="634"/>
      <c r="Y37" s="634"/>
      <c r="Z37" s="634"/>
      <c r="AA37" s="634"/>
      <c r="AB37" s="634"/>
      <c r="AC37" s="634"/>
      <c r="AD37" s="634"/>
      <c r="AE37" s="634"/>
      <c r="AF37" s="634"/>
      <c r="AG37" s="634"/>
      <c r="AH37" s="634"/>
      <c r="AI37" s="634"/>
      <c r="AJ37" s="634"/>
      <c r="AK37" s="634"/>
      <c r="AL37" s="634"/>
      <c r="AM37" s="634"/>
      <c r="AN37" s="634"/>
      <c r="AO37" s="634"/>
      <c r="AP37" s="634"/>
      <c r="AQ37" s="634"/>
      <c r="AR37" s="634"/>
      <c r="AS37" s="634"/>
      <c r="AT37" s="634"/>
      <c r="AU37" s="634"/>
      <c r="AV37" s="634"/>
      <c r="AW37" s="634"/>
      <c r="AX37" s="634"/>
      <c r="AY37" s="634"/>
      <c r="AZ37" s="634"/>
      <c r="BA37" s="634"/>
      <c r="BB37" s="634"/>
      <c r="BC37" s="634"/>
      <c r="BD37" s="634"/>
      <c r="BE37" s="634"/>
      <c r="BF37" s="634"/>
      <c r="BG37" s="634"/>
      <c r="BH37" s="634"/>
      <c r="BI37" s="634"/>
      <c r="BJ37" s="634"/>
      <c r="BK37" s="634"/>
      <c r="BL37" s="634"/>
      <c r="BM37" s="634"/>
      <c r="BN37" s="195">
        <f t="shared" si="4"/>
        <v>0</v>
      </c>
      <c r="BO37" s="127">
        <f t="shared" si="5"/>
        <v>0</v>
      </c>
      <c r="BP37" s="127">
        <f t="shared" si="6"/>
        <v>0</v>
      </c>
      <c r="BQ37" s="127">
        <f t="shared" si="7"/>
        <v>0</v>
      </c>
      <c r="BR37" s="113">
        <f t="shared" si="8"/>
        <v>0</v>
      </c>
      <c r="BS37" s="113">
        <f t="shared" si="9"/>
        <v>0</v>
      </c>
      <c r="BT37" s="113">
        <f t="shared" si="10"/>
        <v>0</v>
      </c>
      <c r="BU37" s="113">
        <f t="shared" si="11"/>
        <v>0</v>
      </c>
      <c r="BV37" s="113">
        <f t="shared" si="12"/>
        <v>0</v>
      </c>
      <c r="BW37" s="127">
        <f t="shared" si="13"/>
        <v>0</v>
      </c>
      <c r="BX37" s="127">
        <f t="shared" si="14"/>
        <v>10</v>
      </c>
      <c r="BY37" s="2"/>
      <c r="BZ37" s="2"/>
      <c r="CA37" s="2"/>
      <c r="CB37" s="2"/>
      <c r="CC37" s="183">
        <f t="shared" si="15"/>
        <v>0</v>
      </c>
      <c r="CD37" s="183">
        <f t="shared" si="16"/>
        <v>0</v>
      </c>
      <c r="CE37" s="183">
        <f t="shared" si="17"/>
        <v>0</v>
      </c>
      <c r="CF37" s="183">
        <f t="shared" si="18"/>
        <v>0</v>
      </c>
      <c r="CG37" s="183">
        <f t="shared" si="19"/>
        <v>0</v>
      </c>
      <c r="CH37" s="183">
        <f t="shared" si="20"/>
        <v>0</v>
      </c>
      <c r="CI37" s="183">
        <f t="shared" si="21"/>
        <v>0</v>
      </c>
      <c r="CJ37" s="183">
        <f t="shared" si="22"/>
        <v>0</v>
      </c>
      <c r="CK37" s="183">
        <f t="shared" si="23"/>
        <v>0</v>
      </c>
      <c r="CL37">
        <f t="shared" si="24"/>
        <v>0</v>
      </c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</row>
    <row r="38" spans="1:179" ht="18.75">
      <c r="A38" s="621">
        <v>31</v>
      </c>
      <c r="B38" s="622">
        <f>'REGISTRO DATOS'!C43</f>
        <v>0</v>
      </c>
      <c r="C38" s="622">
        <f>'REGISTRO DATOS'!D43</f>
        <v>0</v>
      </c>
      <c r="D38" s="622">
        <f>'REGISTRO DATOS'!E43</f>
        <v>0</v>
      </c>
      <c r="E38" s="1079"/>
      <c r="F38" s="623">
        <f t="shared" si="0"/>
        <v>0</v>
      </c>
      <c r="G38" s="623">
        <f t="shared" si="1"/>
        <v>0</v>
      </c>
      <c r="H38" s="623">
        <f t="shared" si="2"/>
        <v>0</v>
      </c>
      <c r="I38" s="624">
        <f t="shared" si="3"/>
        <v>10</v>
      </c>
      <c r="J38" s="514"/>
      <c r="K38" s="634"/>
      <c r="L38" s="634"/>
      <c r="M38" s="634"/>
      <c r="N38" s="634"/>
      <c r="O38" s="634"/>
      <c r="P38" s="634"/>
      <c r="Q38" s="634"/>
      <c r="R38" s="634"/>
      <c r="S38" s="634"/>
      <c r="T38" s="634"/>
      <c r="U38" s="634"/>
      <c r="V38" s="634"/>
      <c r="W38" s="634"/>
      <c r="X38" s="634"/>
      <c r="Y38" s="634"/>
      <c r="Z38" s="634"/>
      <c r="AA38" s="634"/>
      <c r="AB38" s="634"/>
      <c r="AC38" s="634"/>
      <c r="AD38" s="634"/>
      <c r="AE38" s="634"/>
      <c r="AF38" s="634"/>
      <c r="AG38" s="634"/>
      <c r="AH38" s="634"/>
      <c r="AI38" s="634"/>
      <c r="AJ38" s="634"/>
      <c r="AK38" s="634"/>
      <c r="AL38" s="634"/>
      <c r="AM38" s="634"/>
      <c r="AN38" s="634"/>
      <c r="AO38" s="634"/>
      <c r="AP38" s="634"/>
      <c r="AQ38" s="634"/>
      <c r="AR38" s="634"/>
      <c r="AS38" s="634"/>
      <c r="AT38" s="634"/>
      <c r="AU38" s="634"/>
      <c r="AV38" s="634"/>
      <c r="AW38" s="634"/>
      <c r="AX38" s="634"/>
      <c r="AY38" s="634"/>
      <c r="AZ38" s="634"/>
      <c r="BA38" s="634"/>
      <c r="BB38" s="634"/>
      <c r="BC38" s="634"/>
      <c r="BD38" s="634"/>
      <c r="BE38" s="634"/>
      <c r="BF38" s="634"/>
      <c r="BG38" s="634"/>
      <c r="BH38" s="634"/>
      <c r="BI38" s="634"/>
      <c r="BJ38" s="634"/>
      <c r="BK38" s="634"/>
      <c r="BL38" s="634"/>
      <c r="BM38" s="634"/>
      <c r="BN38" s="195">
        <f t="shared" si="4"/>
        <v>0</v>
      </c>
      <c r="BO38" s="127">
        <f t="shared" si="5"/>
        <v>0</v>
      </c>
      <c r="BP38" s="127">
        <f t="shared" si="6"/>
        <v>0</v>
      </c>
      <c r="BQ38" s="127">
        <f t="shared" si="7"/>
        <v>0</v>
      </c>
      <c r="BR38" s="113">
        <f t="shared" si="8"/>
        <v>0</v>
      </c>
      <c r="BS38" s="113">
        <f t="shared" si="9"/>
        <v>0</v>
      </c>
      <c r="BT38" s="113">
        <f t="shared" si="10"/>
        <v>0</v>
      </c>
      <c r="BU38" s="113">
        <f t="shared" si="11"/>
        <v>0</v>
      </c>
      <c r="BV38" s="113">
        <f t="shared" si="12"/>
        <v>0</v>
      </c>
      <c r="BW38" s="127">
        <f t="shared" si="13"/>
        <v>0</v>
      </c>
      <c r="BX38" s="127">
        <f t="shared" si="14"/>
        <v>10</v>
      </c>
      <c r="BY38" s="2"/>
      <c r="BZ38" s="2"/>
      <c r="CA38" s="2"/>
      <c r="CB38" s="2"/>
      <c r="CC38" s="183">
        <f t="shared" si="15"/>
        <v>0</v>
      </c>
      <c r="CD38" s="183">
        <f t="shared" si="16"/>
        <v>0</v>
      </c>
      <c r="CE38" s="183">
        <f t="shared" si="17"/>
        <v>0</v>
      </c>
      <c r="CF38" s="183">
        <f t="shared" si="18"/>
        <v>0</v>
      </c>
      <c r="CG38" s="183">
        <f t="shared" si="19"/>
        <v>0</v>
      </c>
      <c r="CH38" s="183">
        <f t="shared" si="20"/>
        <v>0</v>
      </c>
      <c r="CI38" s="183">
        <f t="shared" si="21"/>
        <v>0</v>
      </c>
      <c r="CJ38" s="183">
        <f t="shared" si="22"/>
        <v>0</v>
      </c>
      <c r="CK38" s="183">
        <f t="shared" si="23"/>
        <v>0</v>
      </c>
      <c r="CL38">
        <f t="shared" si="24"/>
        <v>0</v>
      </c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</row>
    <row r="39" spans="1:179" ht="18.75">
      <c r="A39" s="621">
        <v>32</v>
      </c>
      <c r="B39" s="622">
        <f>'REGISTRO DATOS'!C44</f>
        <v>0</v>
      </c>
      <c r="C39" s="622">
        <f>'REGISTRO DATOS'!D44</f>
        <v>0</v>
      </c>
      <c r="D39" s="622">
        <f>'REGISTRO DATOS'!E44</f>
        <v>0</v>
      </c>
      <c r="E39" s="1079"/>
      <c r="F39" s="623">
        <f t="shared" si="0"/>
        <v>0</v>
      </c>
      <c r="G39" s="623">
        <f t="shared" si="1"/>
        <v>0</v>
      </c>
      <c r="H39" s="623">
        <f t="shared" si="2"/>
        <v>0</v>
      </c>
      <c r="I39" s="624">
        <f t="shared" si="3"/>
        <v>10</v>
      </c>
      <c r="J39" s="514"/>
      <c r="K39" s="634"/>
      <c r="L39" s="634"/>
      <c r="M39" s="634"/>
      <c r="N39" s="634"/>
      <c r="O39" s="634"/>
      <c r="P39" s="634"/>
      <c r="Q39" s="634"/>
      <c r="R39" s="634"/>
      <c r="S39" s="634"/>
      <c r="T39" s="634"/>
      <c r="U39" s="634"/>
      <c r="V39" s="634"/>
      <c r="W39" s="634"/>
      <c r="X39" s="634"/>
      <c r="Y39" s="634"/>
      <c r="Z39" s="634"/>
      <c r="AA39" s="634"/>
      <c r="AB39" s="634"/>
      <c r="AC39" s="634"/>
      <c r="AD39" s="634"/>
      <c r="AE39" s="634"/>
      <c r="AF39" s="634"/>
      <c r="AG39" s="634"/>
      <c r="AH39" s="634"/>
      <c r="AI39" s="634"/>
      <c r="AJ39" s="634"/>
      <c r="AK39" s="634"/>
      <c r="AL39" s="634"/>
      <c r="AM39" s="634"/>
      <c r="AN39" s="634"/>
      <c r="AO39" s="634"/>
      <c r="AP39" s="634"/>
      <c r="AQ39" s="634"/>
      <c r="AR39" s="634"/>
      <c r="AS39" s="634"/>
      <c r="AT39" s="634"/>
      <c r="AU39" s="634"/>
      <c r="AV39" s="634"/>
      <c r="AW39" s="634"/>
      <c r="AX39" s="634"/>
      <c r="AY39" s="634"/>
      <c r="AZ39" s="634"/>
      <c r="BA39" s="634"/>
      <c r="BB39" s="634"/>
      <c r="BC39" s="634"/>
      <c r="BD39" s="634"/>
      <c r="BE39" s="634"/>
      <c r="BF39" s="634"/>
      <c r="BG39" s="634"/>
      <c r="BH39" s="634"/>
      <c r="BI39" s="634"/>
      <c r="BJ39" s="634"/>
      <c r="BK39" s="634"/>
      <c r="BL39" s="634"/>
      <c r="BM39" s="634"/>
      <c r="BN39" s="195">
        <f t="shared" si="4"/>
        <v>0</v>
      </c>
      <c r="BO39" s="127">
        <f t="shared" si="5"/>
        <v>0</v>
      </c>
      <c r="BP39" s="127">
        <f t="shared" si="6"/>
        <v>0</v>
      </c>
      <c r="BQ39" s="127">
        <f t="shared" si="7"/>
        <v>0</v>
      </c>
      <c r="BR39" s="113">
        <f t="shared" si="8"/>
        <v>0</v>
      </c>
      <c r="BS39" s="113">
        <f t="shared" si="9"/>
        <v>0</v>
      </c>
      <c r="BT39" s="113">
        <f t="shared" si="10"/>
        <v>0</v>
      </c>
      <c r="BU39" s="113">
        <f t="shared" si="11"/>
        <v>0</v>
      </c>
      <c r="BV39" s="113">
        <f t="shared" si="12"/>
        <v>0</v>
      </c>
      <c r="BW39" s="127">
        <f t="shared" si="13"/>
        <v>0</v>
      </c>
      <c r="BX39" s="127">
        <f t="shared" si="14"/>
        <v>10</v>
      </c>
      <c r="BY39" s="2"/>
      <c r="BZ39" s="2"/>
      <c r="CA39" s="2"/>
      <c r="CB39" s="2"/>
      <c r="CC39" s="183">
        <f t="shared" si="15"/>
        <v>0</v>
      </c>
      <c r="CD39" s="183">
        <f t="shared" si="16"/>
        <v>0</v>
      </c>
      <c r="CE39" s="183">
        <f t="shared" si="17"/>
        <v>0</v>
      </c>
      <c r="CF39" s="183">
        <f t="shared" si="18"/>
        <v>0</v>
      </c>
      <c r="CG39" s="183">
        <f t="shared" si="19"/>
        <v>0</v>
      </c>
      <c r="CH39" s="183">
        <f t="shared" si="20"/>
        <v>0</v>
      </c>
      <c r="CI39" s="183">
        <f t="shared" si="21"/>
        <v>0</v>
      </c>
      <c r="CJ39" s="183">
        <f t="shared" si="22"/>
        <v>0</v>
      </c>
      <c r="CK39" s="183">
        <f t="shared" si="23"/>
        <v>0</v>
      </c>
      <c r="CL39">
        <f t="shared" si="24"/>
        <v>0</v>
      </c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</row>
    <row r="40" spans="1:179" ht="18.75">
      <c r="A40" s="621">
        <v>33</v>
      </c>
      <c r="B40" s="622">
        <f>'REGISTRO DATOS'!C45</f>
        <v>0</v>
      </c>
      <c r="C40" s="622">
        <f>'REGISTRO DATOS'!D45</f>
        <v>0</v>
      </c>
      <c r="D40" s="622">
        <f>'REGISTRO DATOS'!E45</f>
        <v>0</v>
      </c>
      <c r="E40" s="1079"/>
      <c r="F40" s="623">
        <f t="shared" si="0"/>
        <v>0</v>
      </c>
      <c r="G40" s="623">
        <f t="shared" si="1"/>
        <v>0</v>
      </c>
      <c r="H40" s="623">
        <f t="shared" si="2"/>
        <v>0</v>
      </c>
      <c r="I40" s="624">
        <f t="shared" si="3"/>
        <v>10</v>
      </c>
      <c r="J40" s="514"/>
      <c r="K40" s="634"/>
      <c r="L40" s="634"/>
      <c r="M40" s="634"/>
      <c r="N40" s="634"/>
      <c r="O40" s="634"/>
      <c r="P40" s="634"/>
      <c r="Q40" s="634"/>
      <c r="R40" s="634"/>
      <c r="S40" s="634"/>
      <c r="T40" s="634"/>
      <c r="U40" s="634"/>
      <c r="V40" s="634"/>
      <c r="W40" s="634"/>
      <c r="X40" s="634"/>
      <c r="Y40" s="634"/>
      <c r="Z40" s="634"/>
      <c r="AA40" s="634"/>
      <c r="AB40" s="634"/>
      <c r="AC40" s="634"/>
      <c r="AD40" s="634"/>
      <c r="AE40" s="634"/>
      <c r="AF40" s="634"/>
      <c r="AG40" s="634"/>
      <c r="AH40" s="634"/>
      <c r="AI40" s="634"/>
      <c r="AJ40" s="634"/>
      <c r="AK40" s="634"/>
      <c r="AL40" s="634"/>
      <c r="AM40" s="634"/>
      <c r="AN40" s="634"/>
      <c r="AO40" s="634"/>
      <c r="AP40" s="634"/>
      <c r="AQ40" s="634"/>
      <c r="AR40" s="634"/>
      <c r="AS40" s="634"/>
      <c r="AT40" s="634"/>
      <c r="AU40" s="634"/>
      <c r="AV40" s="634"/>
      <c r="AW40" s="634"/>
      <c r="AX40" s="634"/>
      <c r="AY40" s="634"/>
      <c r="AZ40" s="634"/>
      <c r="BA40" s="634"/>
      <c r="BB40" s="634"/>
      <c r="BC40" s="634"/>
      <c r="BD40" s="634"/>
      <c r="BE40" s="634"/>
      <c r="BF40" s="634"/>
      <c r="BG40" s="634"/>
      <c r="BH40" s="634"/>
      <c r="BI40" s="634"/>
      <c r="BJ40" s="634"/>
      <c r="BK40" s="634"/>
      <c r="BL40" s="634"/>
      <c r="BM40" s="634"/>
      <c r="BN40" s="195">
        <f t="shared" si="4"/>
        <v>0</v>
      </c>
      <c r="BO40" s="127">
        <f t="shared" si="5"/>
        <v>0</v>
      </c>
      <c r="BP40" s="127">
        <f t="shared" si="6"/>
        <v>0</v>
      </c>
      <c r="BQ40" s="127">
        <f t="shared" si="7"/>
        <v>0</v>
      </c>
      <c r="BR40" s="113">
        <f t="shared" si="8"/>
        <v>0</v>
      </c>
      <c r="BS40" s="113">
        <f t="shared" si="9"/>
        <v>0</v>
      </c>
      <c r="BT40" s="113">
        <f t="shared" si="10"/>
        <v>0</v>
      </c>
      <c r="BU40" s="113">
        <f t="shared" si="11"/>
        <v>0</v>
      </c>
      <c r="BV40" s="113">
        <f t="shared" si="12"/>
        <v>0</v>
      </c>
      <c r="BW40" s="127">
        <f t="shared" si="13"/>
        <v>0</v>
      </c>
      <c r="BX40" s="127">
        <f t="shared" si="14"/>
        <v>10</v>
      </c>
      <c r="BY40" s="2"/>
      <c r="BZ40" s="2"/>
      <c r="CA40" s="2"/>
      <c r="CB40" s="2"/>
      <c r="CC40" s="183">
        <f t="shared" si="15"/>
        <v>0</v>
      </c>
      <c r="CD40" s="183">
        <f t="shared" si="16"/>
        <v>0</v>
      </c>
      <c r="CE40" s="183">
        <f t="shared" si="17"/>
        <v>0</v>
      </c>
      <c r="CF40" s="183">
        <f t="shared" si="18"/>
        <v>0</v>
      </c>
      <c r="CG40" s="183">
        <f t="shared" si="19"/>
        <v>0</v>
      </c>
      <c r="CH40" s="183">
        <f t="shared" si="20"/>
        <v>0</v>
      </c>
      <c r="CI40" s="183">
        <f t="shared" si="21"/>
        <v>0</v>
      </c>
      <c r="CJ40" s="183">
        <f t="shared" si="22"/>
        <v>0</v>
      </c>
      <c r="CK40" s="183">
        <f t="shared" si="23"/>
        <v>0</v>
      </c>
      <c r="CL40">
        <f t="shared" si="24"/>
        <v>0</v>
      </c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</row>
    <row r="41" spans="1:179" ht="18.75">
      <c r="A41" s="621">
        <v>34</v>
      </c>
      <c r="B41" s="622">
        <f>'REGISTRO DATOS'!C46</f>
        <v>0</v>
      </c>
      <c r="C41" s="622">
        <f>'REGISTRO DATOS'!D46</f>
        <v>0</v>
      </c>
      <c r="D41" s="622">
        <f>'REGISTRO DATOS'!E46</f>
        <v>0</v>
      </c>
      <c r="E41" s="1079"/>
      <c r="F41" s="623">
        <f t="shared" si="0"/>
        <v>0</v>
      </c>
      <c r="G41" s="623">
        <f t="shared" si="1"/>
        <v>0</v>
      </c>
      <c r="H41" s="623">
        <f t="shared" si="2"/>
        <v>0</v>
      </c>
      <c r="I41" s="624">
        <f t="shared" si="3"/>
        <v>10</v>
      </c>
      <c r="J41" s="514"/>
      <c r="K41" s="634"/>
      <c r="L41" s="634"/>
      <c r="M41" s="634"/>
      <c r="N41" s="634"/>
      <c r="O41" s="634"/>
      <c r="P41" s="634"/>
      <c r="Q41" s="634"/>
      <c r="R41" s="634"/>
      <c r="S41" s="634"/>
      <c r="T41" s="634"/>
      <c r="U41" s="634"/>
      <c r="V41" s="634"/>
      <c r="W41" s="634"/>
      <c r="X41" s="634"/>
      <c r="Y41" s="634"/>
      <c r="Z41" s="634"/>
      <c r="AA41" s="634"/>
      <c r="AB41" s="634"/>
      <c r="AC41" s="634"/>
      <c r="AD41" s="634"/>
      <c r="AE41" s="634"/>
      <c r="AF41" s="634"/>
      <c r="AG41" s="634"/>
      <c r="AH41" s="634"/>
      <c r="AI41" s="634"/>
      <c r="AJ41" s="634"/>
      <c r="AK41" s="634"/>
      <c r="AL41" s="634"/>
      <c r="AM41" s="634"/>
      <c r="AN41" s="634"/>
      <c r="AO41" s="634"/>
      <c r="AP41" s="634"/>
      <c r="AQ41" s="634"/>
      <c r="AR41" s="634"/>
      <c r="AS41" s="634"/>
      <c r="AT41" s="634"/>
      <c r="AU41" s="634"/>
      <c r="AV41" s="634"/>
      <c r="AW41" s="634"/>
      <c r="AX41" s="634"/>
      <c r="AY41" s="634"/>
      <c r="AZ41" s="634"/>
      <c r="BA41" s="634"/>
      <c r="BB41" s="634"/>
      <c r="BC41" s="634"/>
      <c r="BD41" s="634"/>
      <c r="BE41" s="634"/>
      <c r="BF41" s="634"/>
      <c r="BG41" s="634"/>
      <c r="BH41" s="634"/>
      <c r="BI41" s="634"/>
      <c r="BJ41" s="634"/>
      <c r="BK41" s="634"/>
      <c r="BL41" s="634"/>
      <c r="BM41" s="634"/>
      <c r="BN41" s="195">
        <f t="shared" si="4"/>
        <v>0</v>
      </c>
      <c r="BO41" s="127">
        <f t="shared" si="5"/>
        <v>0</v>
      </c>
      <c r="BP41" s="127">
        <f t="shared" si="6"/>
        <v>0</v>
      </c>
      <c r="BQ41" s="127">
        <f t="shared" si="7"/>
        <v>0</v>
      </c>
      <c r="BR41" s="113">
        <f t="shared" si="8"/>
        <v>0</v>
      </c>
      <c r="BS41" s="113">
        <f t="shared" si="9"/>
        <v>0</v>
      </c>
      <c r="BT41" s="113">
        <f t="shared" si="10"/>
        <v>0</v>
      </c>
      <c r="BU41" s="113">
        <f t="shared" si="11"/>
        <v>0</v>
      </c>
      <c r="BV41" s="113">
        <f t="shared" si="12"/>
        <v>0</v>
      </c>
      <c r="BW41" s="127">
        <f t="shared" si="13"/>
        <v>0</v>
      </c>
      <c r="BX41" s="127">
        <f t="shared" si="14"/>
        <v>10</v>
      </c>
      <c r="BY41" s="2"/>
      <c r="BZ41" s="2"/>
      <c r="CA41" s="2"/>
      <c r="CB41" s="2"/>
      <c r="CC41" s="183">
        <f t="shared" si="15"/>
        <v>0</v>
      </c>
      <c r="CD41" s="183">
        <f t="shared" si="16"/>
        <v>0</v>
      </c>
      <c r="CE41" s="183">
        <f t="shared" si="17"/>
        <v>0</v>
      </c>
      <c r="CF41" s="183">
        <f t="shared" si="18"/>
        <v>0</v>
      </c>
      <c r="CG41" s="183">
        <f t="shared" si="19"/>
        <v>0</v>
      </c>
      <c r="CH41" s="183">
        <f t="shared" si="20"/>
        <v>0</v>
      </c>
      <c r="CI41" s="183">
        <f t="shared" si="21"/>
        <v>0</v>
      </c>
      <c r="CJ41" s="183">
        <f t="shared" si="22"/>
        <v>0</v>
      </c>
      <c r="CK41" s="183">
        <f t="shared" si="23"/>
        <v>0</v>
      </c>
      <c r="CL41">
        <f t="shared" si="24"/>
        <v>0</v>
      </c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</row>
    <row r="42" spans="1:179" ht="18.75">
      <c r="A42" s="621">
        <v>35</v>
      </c>
      <c r="B42" s="622">
        <f>'REGISTRO DATOS'!C47</f>
        <v>0</v>
      </c>
      <c r="C42" s="622">
        <f>'REGISTRO DATOS'!D47</f>
        <v>0</v>
      </c>
      <c r="D42" s="622">
        <f>'REGISTRO DATOS'!E47</f>
        <v>0</v>
      </c>
      <c r="E42" s="1079"/>
      <c r="F42" s="623">
        <f t="shared" si="0"/>
        <v>0</v>
      </c>
      <c r="G42" s="623">
        <f t="shared" si="1"/>
        <v>0</v>
      </c>
      <c r="H42" s="623">
        <f t="shared" si="2"/>
        <v>0</v>
      </c>
      <c r="I42" s="624">
        <f t="shared" si="3"/>
        <v>10</v>
      </c>
      <c r="J42" s="514"/>
      <c r="K42" s="634"/>
      <c r="L42" s="634"/>
      <c r="M42" s="634"/>
      <c r="N42" s="634"/>
      <c r="O42" s="634"/>
      <c r="P42" s="634"/>
      <c r="Q42" s="634"/>
      <c r="R42" s="634"/>
      <c r="S42" s="634"/>
      <c r="T42" s="634"/>
      <c r="U42" s="634"/>
      <c r="V42" s="634"/>
      <c r="W42" s="634"/>
      <c r="X42" s="634"/>
      <c r="Y42" s="634"/>
      <c r="Z42" s="634"/>
      <c r="AA42" s="634"/>
      <c r="AB42" s="634"/>
      <c r="AC42" s="634"/>
      <c r="AD42" s="634"/>
      <c r="AE42" s="634"/>
      <c r="AF42" s="634"/>
      <c r="AG42" s="634"/>
      <c r="AH42" s="634"/>
      <c r="AI42" s="634"/>
      <c r="AJ42" s="634"/>
      <c r="AK42" s="634"/>
      <c r="AL42" s="634"/>
      <c r="AM42" s="634"/>
      <c r="AN42" s="634"/>
      <c r="AO42" s="634"/>
      <c r="AP42" s="634"/>
      <c r="AQ42" s="634"/>
      <c r="AR42" s="634"/>
      <c r="AS42" s="634"/>
      <c r="AT42" s="634"/>
      <c r="AU42" s="634"/>
      <c r="AV42" s="634"/>
      <c r="AW42" s="634"/>
      <c r="AX42" s="634"/>
      <c r="AY42" s="634"/>
      <c r="AZ42" s="634"/>
      <c r="BA42" s="634"/>
      <c r="BB42" s="634"/>
      <c r="BC42" s="634"/>
      <c r="BD42" s="634"/>
      <c r="BE42" s="634"/>
      <c r="BF42" s="634"/>
      <c r="BG42" s="634"/>
      <c r="BH42" s="634"/>
      <c r="BI42" s="634"/>
      <c r="BJ42" s="634"/>
      <c r="BK42" s="634"/>
      <c r="BL42" s="634"/>
      <c r="BM42" s="634"/>
      <c r="BN42" s="195">
        <f t="shared" si="4"/>
        <v>0</v>
      </c>
      <c r="BO42" s="127">
        <f t="shared" si="5"/>
        <v>0</v>
      </c>
      <c r="BP42" s="127">
        <f t="shared" si="6"/>
        <v>0</v>
      </c>
      <c r="BQ42" s="127">
        <f t="shared" si="7"/>
        <v>0</v>
      </c>
      <c r="BR42" s="113">
        <f t="shared" si="8"/>
        <v>0</v>
      </c>
      <c r="BS42" s="113">
        <f t="shared" si="9"/>
        <v>0</v>
      </c>
      <c r="BT42" s="113">
        <f t="shared" si="10"/>
        <v>0</v>
      </c>
      <c r="BU42" s="113">
        <f t="shared" si="11"/>
        <v>0</v>
      </c>
      <c r="BV42" s="113">
        <f t="shared" si="12"/>
        <v>0</v>
      </c>
      <c r="BW42" s="127">
        <f t="shared" si="13"/>
        <v>0</v>
      </c>
      <c r="BX42" s="127">
        <f t="shared" si="14"/>
        <v>10</v>
      </c>
      <c r="BY42" s="2"/>
      <c r="BZ42" s="2"/>
      <c r="CA42" s="2"/>
      <c r="CB42" s="2"/>
      <c r="CC42" s="183">
        <f t="shared" si="15"/>
        <v>0</v>
      </c>
      <c r="CD42" s="183">
        <f t="shared" si="16"/>
        <v>0</v>
      </c>
      <c r="CE42" s="183">
        <f t="shared" si="17"/>
        <v>0</v>
      </c>
      <c r="CF42" s="183">
        <f t="shared" si="18"/>
        <v>0</v>
      </c>
      <c r="CG42" s="183">
        <f t="shared" si="19"/>
        <v>0</v>
      </c>
      <c r="CH42" s="183">
        <f t="shared" si="20"/>
        <v>0</v>
      </c>
      <c r="CI42" s="183">
        <f t="shared" si="21"/>
        <v>0</v>
      </c>
      <c r="CJ42" s="183">
        <f t="shared" si="22"/>
        <v>0</v>
      </c>
      <c r="CK42" s="183">
        <f t="shared" si="23"/>
        <v>0</v>
      </c>
      <c r="CL42">
        <f t="shared" si="24"/>
        <v>0</v>
      </c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</row>
    <row r="43" spans="1:179" ht="18.75">
      <c r="A43" s="621">
        <v>36</v>
      </c>
      <c r="B43" s="622">
        <f>'REGISTRO DATOS'!C48</f>
        <v>0</v>
      </c>
      <c r="C43" s="622">
        <f>'REGISTRO DATOS'!D48</f>
        <v>0</v>
      </c>
      <c r="D43" s="622">
        <f>'REGISTRO DATOS'!E48</f>
        <v>0</v>
      </c>
      <c r="E43" s="1079"/>
      <c r="F43" s="623">
        <f t="shared" si="0"/>
        <v>0</v>
      </c>
      <c r="G43" s="623">
        <f t="shared" si="1"/>
        <v>0</v>
      </c>
      <c r="H43" s="623">
        <f t="shared" si="2"/>
        <v>0</v>
      </c>
      <c r="I43" s="624">
        <f t="shared" si="3"/>
        <v>10</v>
      </c>
      <c r="J43" s="514"/>
      <c r="K43" s="634"/>
      <c r="L43" s="634"/>
      <c r="M43" s="634"/>
      <c r="N43" s="634"/>
      <c r="O43" s="634"/>
      <c r="P43" s="634"/>
      <c r="Q43" s="634"/>
      <c r="R43" s="634"/>
      <c r="S43" s="634"/>
      <c r="T43" s="634"/>
      <c r="U43" s="634"/>
      <c r="V43" s="634"/>
      <c r="W43" s="634"/>
      <c r="X43" s="634"/>
      <c r="Y43" s="634"/>
      <c r="Z43" s="634"/>
      <c r="AA43" s="634"/>
      <c r="AB43" s="634"/>
      <c r="AC43" s="634"/>
      <c r="AD43" s="634"/>
      <c r="AE43" s="634"/>
      <c r="AF43" s="634"/>
      <c r="AG43" s="634"/>
      <c r="AH43" s="634"/>
      <c r="AI43" s="634"/>
      <c r="AJ43" s="634"/>
      <c r="AK43" s="634"/>
      <c r="AL43" s="634"/>
      <c r="AM43" s="634"/>
      <c r="AN43" s="634"/>
      <c r="AO43" s="634"/>
      <c r="AP43" s="634"/>
      <c r="AQ43" s="634"/>
      <c r="AR43" s="634"/>
      <c r="AS43" s="634"/>
      <c r="AT43" s="634"/>
      <c r="AU43" s="634"/>
      <c r="AV43" s="634"/>
      <c r="AW43" s="634"/>
      <c r="AX43" s="634"/>
      <c r="AY43" s="634"/>
      <c r="AZ43" s="634"/>
      <c r="BA43" s="634"/>
      <c r="BB43" s="634"/>
      <c r="BC43" s="634"/>
      <c r="BD43" s="634"/>
      <c r="BE43" s="634"/>
      <c r="BF43" s="634"/>
      <c r="BG43" s="634"/>
      <c r="BH43" s="634"/>
      <c r="BI43" s="634"/>
      <c r="BJ43" s="634"/>
      <c r="BK43" s="634"/>
      <c r="BL43" s="634"/>
      <c r="BM43" s="634"/>
      <c r="BN43" s="195">
        <f t="shared" si="4"/>
        <v>0</v>
      </c>
      <c r="BO43" s="127">
        <f t="shared" si="5"/>
        <v>0</v>
      </c>
      <c r="BP43" s="127">
        <f t="shared" si="6"/>
        <v>0</v>
      </c>
      <c r="BQ43" s="127">
        <f t="shared" si="7"/>
        <v>0</v>
      </c>
      <c r="BR43" s="113">
        <f t="shared" si="8"/>
        <v>0</v>
      </c>
      <c r="BS43" s="113">
        <f t="shared" si="9"/>
        <v>0</v>
      </c>
      <c r="BT43" s="113">
        <f t="shared" si="10"/>
        <v>0</v>
      </c>
      <c r="BU43" s="113">
        <f t="shared" si="11"/>
        <v>0</v>
      </c>
      <c r="BV43" s="113">
        <f t="shared" si="12"/>
        <v>0</v>
      </c>
      <c r="BW43" s="127">
        <f t="shared" si="13"/>
        <v>0</v>
      </c>
      <c r="BX43" s="127">
        <f t="shared" si="14"/>
        <v>10</v>
      </c>
      <c r="BY43" s="2"/>
      <c r="BZ43" s="2"/>
      <c r="CA43" s="2"/>
      <c r="CB43" s="2"/>
      <c r="CC43" s="183">
        <f t="shared" si="15"/>
        <v>0</v>
      </c>
      <c r="CD43" s="183">
        <f t="shared" si="16"/>
        <v>0</v>
      </c>
      <c r="CE43" s="183">
        <f t="shared" si="17"/>
        <v>0</v>
      </c>
      <c r="CF43" s="183">
        <f t="shared" si="18"/>
        <v>0</v>
      </c>
      <c r="CG43" s="183">
        <f t="shared" si="19"/>
        <v>0</v>
      </c>
      <c r="CH43" s="183">
        <f t="shared" si="20"/>
        <v>0</v>
      </c>
      <c r="CI43" s="183">
        <f t="shared" si="21"/>
        <v>0</v>
      </c>
      <c r="CJ43" s="183">
        <f t="shared" si="22"/>
        <v>0</v>
      </c>
      <c r="CK43" s="183">
        <f t="shared" si="23"/>
        <v>0</v>
      </c>
      <c r="CL43">
        <f t="shared" si="24"/>
        <v>0</v>
      </c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</row>
    <row r="44" spans="1:179" ht="18.75">
      <c r="A44" s="621">
        <v>37</v>
      </c>
      <c r="B44" s="622">
        <f>'REGISTRO DATOS'!C49</f>
        <v>0</v>
      </c>
      <c r="C44" s="622">
        <f>'REGISTRO DATOS'!D49</f>
        <v>0</v>
      </c>
      <c r="D44" s="622">
        <f>'REGISTRO DATOS'!E49</f>
        <v>0</v>
      </c>
      <c r="E44" s="1079"/>
      <c r="F44" s="623">
        <f t="shared" si="0"/>
        <v>0</v>
      </c>
      <c r="G44" s="623">
        <f t="shared" si="1"/>
        <v>0</v>
      </c>
      <c r="H44" s="623">
        <f t="shared" si="2"/>
        <v>0</v>
      </c>
      <c r="I44" s="624">
        <f t="shared" si="3"/>
        <v>10</v>
      </c>
      <c r="J44" s="514"/>
      <c r="K44" s="634"/>
      <c r="L44" s="634"/>
      <c r="M44" s="634"/>
      <c r="N44" s="634"/>
      <c r="O44" s="634"/>
      <c r="P44" s="634"/>
      <c r="Q44" s="634"/>
      <c r="R44" s="634"/>
      <c r="S44" s="634"/>
      <c r="T44" s="634"/>
      <c r="U44" s="634"/>
      <c r="V44" s="634"/>
      <c r="W44" s="634"/>
      <c r="X44" s="634"/>
      <c r="Y44" s="634"/>
      <c r="Z44" s="634"/>
      <c r="AA44" s="634"/>
      <c r="AB44" s="634"/>
      <c r="AC44" s="634"/>
      <c r="AD44" s="634"/>
      <c r="AE44" s="634"/>
      <c r="AF44" s="634"/>
      <c r="AG44" s="634"/>
      <c r="AH44" s="634"/>
      <c r="AI44" s="634"/>
      <c r="AJ44" s="634"/>
      <c r="AK44" s="634"/>
      <c r="AL44" s="634"/>
      <c r="AM44" s="634"/>
      <c r="AN44" s="634"/>
      <c r="AO44" s="634"/>
      <c r="AP44" s="634"/>
      <c r="AQ44" s="634"/>
      <c r="AR44" s="634"/>
      <c r="AS44" s="634"/>
      <c r="AT44" s="634"/>
      <c r="AU44" s="634"/>
      <c r="AV44" s="634"/>
      <c r="AW44" s="634"/>
      <c r="AX44" s="634"/>
      <c r="AY44" s="634"/>
      <c r="AZ44" s="634"/>
      <c r="BA44" s="634"/>
      <c r="BB44" s="634"/>
      <c r="BC44" s="634"/>
      <c r="BD44" s="634"/>
      <c r="BE44" s="634"/>
      <c r="BF44" s="634"/>
      <c r="BG44" s="634"/>
      <c r="BH44" s="634"/>
      <c r="BI44" s="634"/>
      <c r="BJ44" s="634"/>
      <c r="BK44" s="634"/>
      <c r="BL44" s="634"/>
      <c r="BM44" s="634"/>
      <c r="BN44" s="195">
        <f t="shared" si="4"/>
        <v>0</v>
      </c>
      <c r="BO44" s="127">
        <f t="shared" si="5"/>
        <v>0</v>
      </c>
      <c r="BP44" s="127">
        <f t="shared" si="6"/>
        <v>0</v>
      </c>
      <c r="BQ44" s="127">
        <f t="shared" si="7"/>
        <v>0</v>
      </c>
      <c r="BR44" s="113">
        <f t="shared" si="8"/>
        <v>0</v>
      </c>
      <c r="BS44" s="113">
        <f t="shared" si="9"/>
        <v>0</v>
      </c>
      <c r="BT44" s="113">
        <f t="shared" si="10"/>
        <v>0</v>
      </c>
      <c r="BU44" s="113">
        <f t="shared" si="11"/>
        <v>0</v>
      </c>
      <c r="BV44" s="113">
        <f t="shared" si="12"/>
        <v>0</v>
      </c>
      <c r="BW44" s="127">
        <f t="shared" si="13"/>
        <v>0</v>
      </c>
      <c r="BX44" s="127">
        <f t="shared" si="14"/>
        <v>10</v>
      </c>
      <c r="BY44" s="2"/>
      <c r="BZ44" s="2"/>
      <c r="CA44" s="2"/>
      <c r="CB44" s="2"/>
      <c r="CC44" s="183">
        <f t="shared" si="15"/>
        <v>0</v>
      </c>
      <c r="CD44" s="183">
        <f t="shared" si="16"/>
        <v>0</v>
      </c>
      <c r="CE44" s="183">
        <f t="shared" si="17"/>
        <v>0</v>
      </c>
      <c r="CF44" s="183">
        <f t="shared" si="18"/>
        <v>0</v>
      </c>
      <c r="CG44" s="183">
        <f t="shared" si="19"/>
        <v>0</v>
      </c>
      <c r="CH44" s="183">
        <f t="shared" si="20"/>
        <v>0</v>
      </c>
      <c r="CI44" s="183">
        <f t="shared" si="21"/>
        <v>0</v>
      </c>
      <c r="CJ44" s="183">
        <f t="shared" si="22"/>
        <v>0</v>
      </c>
      <c r="CK44" s="183">
        <f t="shared" si="23"/>
        <v>0</v>
      </c>
      <c r="CL44">
        <f t="shared" si="24"/>
        <v>0</v>
      </c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</row>
    <row r="45" spans="1:179" ht="18.75">
      <c r="A45" s="621">
        <v>38</v>
      </c>
      <c r="B45" s="622">
        <f>'REGISTRO DATOS'!C50</f>
        <v>0</v>
      </c>
      <c r="C45" s="622">
        <f>'REGISTRO DATOS'!D50</f>
        <v>0</v>
      </c>
      <c r="D45" s="622">
        <f>'REGISTRO DATOS'!E50</f>
        <v>0</v>
      </c>
      <c r="E45" s="1079"/>
      <c r="F45" s="623">
        <f t="shared" si="0"/>
        <v>0</v>
      </c>
      <c r="G45" s="623">
        <f t="shared" si="1"/>
        <v>0</v>
      </c>
      <c r="H45" s="623">
        <f t="shared" si="2"/>
        <v>0</v>
      </c>
      <c r="I45" s="624">
        <f t="shared" si="3"/>
        <v>10</v>
      </c>
      <c r="J45" s="514"/>
      <c r="K45" s="634"/>
      <c r="L45" s="634"/>
      <c r="M45" s="634"/>
      <c r="N45" s="634"/>
      <c r="O45" s="634"/>
      <c r="P45" s="634"/>
      <c r="Q45" s="634"/>
      <c r="R45" s="634"/>
      <c r="S45" s="634"/>
      <c r="T45" s="634"/>
      <c r="U45" s="634"/>
      <c r="V45" s="634"/>
      <c r="W45" s="634"/>
      <c r="X45" s="634"/>
      <c r="Y45" s="634"/>
      <c r="Z45" s="634"/>
      <c r="AA45" s="634"/>
      <c r="AB45" s="634"/>
      <c r="AC45" s="634"/>
      <c r="AD45" s="634"/>
      <c r="AE45" s="634"/>
      <c r="AF45" s="634"/>
      <c r="AG45" s="634"/>
      <c r="AH45" s="634"/>
      <c r="AI45" s="634"/>
      <c r="AJ45" s="634"/>
      <c r="AK45" s="634"/>
      <c r="AL45" s="634"/>
      <c r="AM45" s="634"/>
      <c r="AN45" s="634"/>
      <c r="AO45" s="634"/>
      <c r="AP45" s="634"/>
      <c r="AQ45" s="634"/>
      <c r="AR45" s="634"/>
      <c r="AS45" s="634"/>
      <c r="AT45" s="634"/>
      <c r="AU45" s="634"/>
      <c r="AV45" s="634"/>
      <c r="AW45" s="634"/>
      <c r="AX45" s="634"/>
      <c r="AY45" s="634"/>
      <c r="AZ45" s="634"/>
      <c r="BA45" s="634"/>
      <c r="BB45" s="634"/>
      <c r="BC45" s="634"/>
      <c r="BD45" s="634"/>
      <c r="BE45" s="634"/>
      <c r="BF45" s="634"/>
      <c r="BG45" s="634"/>
      <c r="BH45" s="634"/>
      <c r="BI45" s="634"/>
      <c r="BJ45" s="634"/>
      <c r="BK45" s="634"/>
      <c r="BL45" s="634"/>
      <c r="BM45" s="634"/>
      <c r="BN45" s="195">
        <f t="shared" si="4"/>
        <v>0</v>
      </c>
      <c r="BO45" s="127">
        <f t="shared" si="5"/>
        <v>0</v>
      </c>
      <c r="BP45" s="127">
        <f t="shared" si="6"/>
        <v>0</v>
      </c>
      <c r="BQ45" s="127">
        <f t="shared" si="7"/>
        <v>0</v>
      </c>
      <c r="BR45" s="113">
        <f t="shared" si="8"/>
        <v>0</v>
      </c>
      <c r="BS45" s="113">
        <f t="shared" si="9"/>
        <v>0</v>
      </c>
      <c r="BT45" s="113">
        <f t="shared" si="10"/>
        <v>0</v>
      </c>
      <c r="BU45" s="113">
        <f t="shared" si="11"/>
        <v>0</v>
      </c>
      <c r="BV45" s="113">
        <f t="shared" si="12"/>
        <v>0</v>
      </c>
      <c r="BW45" s="127">
        <f t="shared" si="13"/>
        <v>0</v>
      </c>
      <c r="BX45" s="127">
        <f t="shared" si="14"/>
        <v>10</v>
      </c>
      <c r="BY45" s="2"/>
      <c r="BZ45" s="2"/>
      <c r="CA45" s="2"/>
      <c r="CB45" s="2"/>
      <c r="CC45" s="183">
        <f t="shared" si="15"/>
        <v>0</v>
      </c>
      <c r="CD45" s="183">
        <f t="shared" si="16"/>
        <v>0</v>
      </c>
      <c r="CE45" s="183">
        <f t="shared" si="17"/>
        <v>0</v>
      </c>
      <c r="CF45" s="183">
        <f t="shared" si="18"/>
        <v>0</v>
      </c>
      <c r="CG45" s="183">
        <f t="shared" si="19"/>
        <v>0</v>
      </c>
      <c r="CH45" s="183">
        <f t="shared" si="20"/>
        <v>0</v>
      </c>
      <c r="CI45" s="183">
        <f t="shared" si="21"/>
        <v>0</v>
      </c>
      <c r="CJ45" s="183">
        <f t="shared" si="22"/>
        <v>0</v>
      </c>
      <c r="CK45" s="183">
        <f t="shared" si="23"/>
        <v>0</v>
      </c>
      <c r="CL45">
        <f t="shared" si="24"/>
        <v>0</v>
      </c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</row>
    <row r="46" spans="1:179" ht="18.75">
      <c r="A46" s="621">
        <v>39</v>
      </c>
      <c r="B46" s="622">
        <f>'REGISTRO DATOS'!C51</f>
        <v>0</v>
      </c>
      <c r="C46" s="622">
        <f>'REGISTRO DATOS'!D51</f>
        <v>0</v>
      </c>
      <c r="D46" s="622">
        <f>'REGISTRO DATOS'!E51</f>
        <v>0</v>
      </c>
      <c r="E46" s="1079"/>
      <c r="F46" s="623">
        <f t="shared" si="0"/>
        <v>0</v>
      </c>
      <c r="G46" s="623">
        <f t="shared" si="1"/>
        <v>0</v>
      </c>
      <c r="H46" s="623">
        <f t="shared" si="2"/>
        <v>0</v>
      </c>
      <c r="I46" s="624">
        <f t="shared" si="3"/>
        <v>10</v>
      </c>
      <c r="J46" s="514"/>
      <c r="K46" s="634"/>
      <c r="L46" s="634"/>
      <c r="M46" s="634"/>
      <c r="N46" s="634"/>
      <c r="O46" s="634"/>
      <c r="P46" s="634"/>
      <c r="Q46" s="634"/>
      <c r="R46" s="634"/>
      <c r="S46" s="634"/>
      <c r="T46" s="634"/>
      <c r="U46" s="634"/>
      <c r="V46" s="634"/>
      <c r="W46" s="634"/>
      <c r="X46" s="634"/>
      <c r="Y46" s="634"/>
      <c r="Z46" s="634"/>
      <c r="AA46" s="634"/>
      <c r="AB46" s="634"/>
      <c r="AC46" s="634"/>
      <c r="AD46" s="634"/>
      <c r="AE46" s="634"/>
      <c r="AF46" s="634"/>
      <c r="AG46" s="634"/>
      <c r="AH46" s="634"/>
      <c r="AI46" s="634"/>
      <c r="AJ46" s="634"/>
      <c r="AK46" s="634"/>
      <c r="AL46" s="634"/>
      <c r="AM46" s="634"/>
      <c r="AN46" s="634"/>
      <c r="AO46" s="634"/>
      <c r="AP46" s="634"/>
      <c r="AQ46" s="634"/>
      <c r="AR46" s="634"/>
      <c r="AS46" s="634"/>
      <c r="AT46" s="634"/>
      <c r="AU46" s="634"/>
      <c r="AV46" s="634"/>
      <c r="AW46" s="634"/>
      <c r="AX46" s="634"/>
      <c r="AY46" s="634"/>
      <c r="AZ46" s="634"/>
      <c r="BA46" s="634"/>
      <c r="BB46" s="634"/>
      <c r="BC46" s="634"/>
      <c r="BD46" s="634"/>
      <c r="BE46" s="634"/>
      <c r="BF46" s="634"/>
      <c r="BG46" s="634"/>
      <c r="BH46" s="634"/>
      <c r="BI46" s="634"/>
      <c r="BJ46" s="634"/>
      <c r="BK46" s="634"/>
      <c r="BL46" s="634"/>
      <c r="BM46" s="634"/>
      <c r="BN46" s="195">
        <f t="shared" si="4"/>
        <v>0</v>
      </c>
      <c r="BO46" s="127">
        <f t="shared" si="5"/>
        <v>0</v>
      </c>
      <c r="BP46" s="127">
        <f t="shared" si="6"/>
        <v>0</v>
      </c>
      <c r="BQ46" s="127">
        <f t="shared" si="7"/>
        <v>0</v>
      </c>
      <c r="BR46" s="113">
        <f t="shared" si="8"/>
        <v>0</v>
      </c>
      <c r="BS46" s="113">
        <f t="shared" si="9"/>
        <v>0</v>
      </c>
      <c r="BT46" s="113">
        <f t="shared" si="10"/>
        <v>0</v>
      </c>
      <c r="BU46" s="113">
        <f t="shared" si="11"/>
        <v>0</v>
      </c>
      <c r="BV46" s="113">
        <f t="shared" si="12"/>
        <v>0</v>
      </c>
      <c r="BW46" s="127">
        <f t="shared" si="13"/>
        <v>0</v>
      </c>
      <c r="BX46" s="127">
        <f t="shared" si="14"/>
        <v>10</v>
      </c>
      <c r="BY46" s="2"/>
      <c r="BZ46" s="2"/>
      <c r="CA46" s="2"/>
      <c r="CB46" s="2"/>
      <c r="CC46" s="183">
        <f t="shared" si="15"/>
        <v>0</v>
      </c>
      <c r="CD46" s="183">
        <f t="shared" si="16"/>
        <v>0</v>
      </c>
      <c r="CE46" s="183">
        <f t="shared" si="17"/>
        <v>0</v>
      </c>
      <c r="CF46" s="183">
        <f t="shared" si="18"/>
        <v>0</v>
      </c>
      <c r="CG46" s="183">
        <f t="shared" si="19"/>
        <v>0</v>
      </c>
      <c r="CH46" s="183">
        <f t="shared" si="20"/>
        <v>0</v>
      </c>
      <c r="CI46" s="183">
        <f t="shared" si="21"/>
        <v>0</v>
      </c>
      <c r="CJ46" s="183">
        <f t="shared" si="22"/>
        <v>0</v>
      </c>
      <c r="CK46" s="183">
        <f t="shared" si="23"/>
        <v>0</v>
      </c>
      <c r="CL46">
        <f t="shared" si="24"/>
        <v>0</v>
      </c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</row>
    <row r="47" spans="1:179" ht="19.5" thickBot="1">
      <c r="A47" s="621">
        <v>40</v>
      </c>
      <c r="B47" s="622">
        <f>'REGISTRO DATOS'!C52</f>
        <v>0</v>
      </c>
      <c r="C47" s="622">
        <f>'REGISTRO DATOS'!D52</f>
        <v>0</v>
      </c>
      <c r="D47" s="622">
        <f>'REGISTRO DATOS'!E52</f>
        <v>0</v>
      </c>
      <c r="E47" s="1079"/>
      <c r="F47" s="623">
        <f t="shared" si="0"/>
        <v>0</v>
      </c>
      <c r="G47" s="623">
        <f t="shared" si="1"/>
        <v>0</v>
      </c>
      <c r="H47" s="623">
        <f t="shared" si="2"/>
        <v>0</v>
      </c>
      <c r="I47" s="624">
        <f t="shared" si="3"/>
        <v>10</v>
      </c>
      <c r="J47" s="515"/>
      <c r="K47" s="634"/>
      <c r="L47" s="634"/>
      <c r="M47" s="634"/>
      <c r="N47" s="634"/>
      <c r="O47" s="634"/>
      <c r="P47" s="634"/>
      <c r="Q47" s="634"/>
      <c r="R47" s="634"/>
      <c r="S47" s="634"/>
      <c r="T47" s="634"/>
      <c r="U47" s="634"/>
      <c r="V47" s="634"/>
      <c r="W47" s="634"/>
      <c r="X47" s="634"/>
      <c r="Y47" s="634"/>
      <c r="Z47" s="634"/>
      <c r="AA47" s="634"/>
      <c r="AB47" s="634"/>
      <c r="AC47" s="634"/>
      <c r="AD47" s="634"/>
      <c r="AE47" s="634"/>
      <c r="AF47" s="634"/>
      <c r="AG47" s="634"/>
      <c r="AH47" s="634"/>
      <c r="AI47" s="634"/>
      <c r="AJ47" s="634"/>
      <c r="AK47" s="634"/>
      <c r="AL47" s="634"/>
      <c r="AM47" s="634"/>
      <c r="AN47" s="634"/>
      <c r="AO47" s="634"/>
      <c r="AP47" s="634"/>
      <c r="AQ47" s="634"/>
      <c r="AR47" s="634"/>
      <c r="AS47" s="634"/>
      <c r="AT47" s="634"/>
      <c r="AU47" s="634"/>
      <c r="AV47" s="634"/>
      <c r="AW47" s="634"/>
      <c r="AX47" s="634"/>
      <c r="AY47" s="634"/>
      <c r="AZ47" s="634"/>
      <c r="BA47" s="634"/>
      <c r="BB47" s="634"/>
      <c r="BC47" s="634"/>
      <c r="BD47" s="634"/>
      <c r="BE47" s="634"/>
      <c r="BF47" s="634"/>
      <c r="BG47" s="634"/>
      <c r="BH47" s="634"/>
      <c r="BI47" s="634"/>
      <c r="BJ47" s="634"/>
      <c r="BK47" s="634"/>
      <c r="BL47" s="634"/>
      <c r="BM47" s="634"/>
      <c r="BN47" s="195">
        <f t="shared" si="4"/>
        <v>0</v>
      </c>
      <c r="BO47" s="127">
        <f t="shared" si="5"/>
        <v>0</v>
      </c>
      <c r="BP47" s="127">
        <f t="shared" si="6"/>
        <v>0</v>
      </c>
      <c r="BQ47" s="127">
        <f t="shared" si="7"/>
        <v>0</v>
      </c>
      <c r="BR47" s="113">
        <f t="shared" si="8"/>
        <v>0</v>
      </c>
      <c r="BS47" s="113">
        <f t="shared" si="9"/>
        <v>0</v>
      </c>
      <c r="BT47" s="113">
        <f t="shared" si="10"/>
        <v>0</v>
      </c>
      <c r="BU47" s="113">
        <f t="shared" si="11"/>
        <v>0</v>
      </c>
      <c r="BV47" s="113">
        <f t="shared" si="12"/>
        <v>0</v>
      </c>
      <c r="BW47" s="127">
        <f t="shared" si="13"/>
        <v>0</v>
      </c>
      <c r="BX47" s="127">
        <f t="shared" si="14"/>
        <v>10</v>
      </c>
      <c r="BY47" s="2"/>
      <c r="BZ47" s="2"/>
      <c r="CA47" s="2"/>
      <c r="CB47" s="2"/>
      <c r="CC47" s="183">
        <f t="shared" si="15"/>
        <v>0</v>
      </c>
      <c r="CD47" s="183">
        <f t="shared" si="16"/>
        <v>0</v>
      </c>
      <c r="CE47" s="183">
        <f t="shared" si="17"/>
        <v>0</v>
      </c>
      <c r="CF47" s="183">
        <f t="shared" si="18"/>
        <v>0</v>
      </c>
      <c r="CG47" s="183">
        <f t="shared" si="19"/>
        <v>0</v>
      </c>
      <c r="CH47" s="183">
        <f t="shared" si="20"/>
        <v>0</v>
      </c>
      <c r="CI47" s="183">
        <f t="shared" si="21"/>
        <v>0</v>
      </c>
      <c r="CJ47" s="183">
        <f t="shared" si="22"/>
        <v>0</v>
      </c>
      <c r="CK47" s="183">
        <f t="shared" si="23"/>
        <v>0</v>
      </c>
      <c r="CL47">
        <f t="shared" si="24"/>
        <v>0</v>
      </c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</row>
    <row r="48" spans="1:179" hidden="1">
      <c r="E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</row>
    <row r="49" spans="5:179" hidden="1">
      <c r="E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</row>
    <row r="50" spans="5:179" hidden="1">
      <c r="E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</row>
    <row r="51" spans="5:179" hidden="1">
      <c r="E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</row>
    <row r="52" spans="5:179" hidden="1">
      <c r="E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</row>
    <row r="53" spans="5:179" hidden="1">
      <c r="E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</row>
    <row r="54" spans="5:179" hidden="1">
      <c r="E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</row>
    <row r="55" spans="5:179" hidden="1">
      <c r="E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</row>
    <row r="56" spans="5:179" hidden="1">
      <c r="E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</row>
    <row r="57" spans="5:179" hidden="1">
      <c r="E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</row>
    <row r="58" spans="5:179" hidden="1">
      <c r="E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</row>
    <row r="59" spans="5:179" hidden="1">
      <c r="E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</row>
    <row r="60" spans="5:179" hidden="1">
      <c r="E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</row>
    <row r="61" spans="5:179" hidden="1">
      <c r="E61" s="2"/>
    </row>
    <row r="62" spans="5:179" hidden="1">
      <c r="E62" s="2"/>
    </row>
    <row r="63" spans="5:179" hidden="1">
      <c r="E63" s="2"/>
    </row>
    <row r="64" spans="5:179" hidden="1">
      <c r="E64" s="2"/>
    </row>
    <row r="65" spans="5:5" hidden="1">
      <c r="E65" s="2"/>
    </row>
    <row r="66" spans="5:5" hidden="1">
      <c r="E66" s="2"/>
    </row>
    <row r="67" spans="5:5" hidden="1">
      <c r="E67" s="2"/>
    </row>
    <row r="68" spans="5:5" hidden="1">
      <c r="E68" s="2"/>
    </row>
    <row r="69" spans="5:5" hidden="1">
      <c r="E69" s="2"/>
    </row>
    <row r="70" spans="5:5" hidden="1">
      <c r="E70" s="2"/>
    </row>
    <row r="71" spans="5:5" hidden="1">
      <c r="E71" s="2"/>
    </row>
    <row r="146" spans="2:2" hidden="1">
      <c r="B146" s="113" t="e">
        <f>ASISTENCIA!EJ3Ç</f>
        <v>#NAME?</v>
      </c>
    </row>
  </sheetData>
  <mergeCells count="6">
    <mergeCell ref="E7:E47"/>
    <mergeCell ref="B4:D4"/>
    <mergeCell ref="F6:I6"/>
    <mergeCell ref="J2:N2"/>
    <mergeCell ref="J5:M5"/>
    <mergeCell ref="C3:I3"/>
  </mergeCells>
  <conditionalFormatting sqref="CC8:CK16 CC37:CK47">
    <cfRule type="cellIs" dxfId="59" priority="46" operator="equal">
      <formula>0</formula>
    </cfRule>
  </conditionalFormatting>
  <conditionalFormatting sqref="I8:I47">
    <cfRule type="cellIs" dxfId="58" priority="30" operator="lessThan">
      <formula>6</formula>
    </cfRule>
  </conditionalFormatting>
  <conditionalFormatting sqref="K8:XFD16 K17:AD17 L17:AD20">
    <cfRule type="containsText" dxfId="57" priority="25" operator="containsText" text="J">
      <formula>NOT(ISERROR(SEARCH("J",K8)))</formula>
    </cfRule>
    <cfRule type="containsText" dxfId="56" priority="26" operator="containsText" text="T">
      <formula>NOT(ISERROR(SEARCH("T",K8)))</formula>
    </cfRule>
    <cfRule type="containsText" dxfId="55" priority="27" operator="containsText" text="P">
      <formula>NOT(ISERROR(SEARCH("P",K8)))</formula>
    </cfRule>
    <cfRule type="containsText" dxfId="54" priority="28" operator="containsText" text="A">
      <formula>NOT(ISERROR(SEARCH("A",K8)))</formula>
    </cfRule>
  </conditionalFormatting>
  <conditionalFormatting sqref="L21:AD46">
    <cfRule type="containsText" dxfId="53" priority="21" operator="containsText" text="J">
      <formula>NOT(ISERROR(SEARCH("J",L21)))</formula>
    </cfRule>
    <cfRule type="containsText" dxfId="52" priority="22" operator="containsText" text="T">
      <formula>NOT(ISERROR(SEARCH("T",L21)))</formula>
    </cfRule>
    <cfRule type="containsText" dxfId="51" priority="23" operator="containsText" text="P">
      <formula>NOT(ISERROR(SEARCH("P",L21)))</formula>
    </cfRule>
    <cfRule type="containsText" dxfId="50" priority="24" operator="containsText" text="A">
      <formula>NOT(ISERROR(SEARCH("A",L21)))</formula>
    </cfRule>
  </conditionalFormatting>
  <conditionalFormatting sqref="L47:AD47">
    <cfRule type="containsText" dxfId="49" priority="17" operator="containsText" text="J">
      <formula>NOT(ISERROR(SEARCH("J",L47)))</formula>
    </cfRule>
    <cfRule type="containsText" dxfId="48" priority="18" operator="containsText" text="T">
      <formula>NOT(ISERROR(SEARCH("T",L47)))</formula>
    </cfRule>
    <cfRule type="containsText" dxfId="47" priority="19" operator="containsText" text="P">
      <formula>NOT(ISERROR(SEARCH("P",L47)))</formula>
    </cfRule>
    <cfRule type="containsText" dxfId="46" priority="20" operator="containsText" text="A">
      <formula>NOT(ISERROR(SEARCH("A",L47)))</formula>
    </cfRule>
  </conditionalFormatting>
  <conditionalFormatting sqref="K32:K47">
    <cfRule type="containsText" dxfId="45" priority="13" operator="containsText" text="J">
      <formula>NOT(ISERROR(SEARCH("J",K32)))</formula>
    </cfRule>
    <cfRule type="containsText" dxfId="44" priority="14" operator="containsText" text="T">
      <formula>NOT(ISERROR(SEARCH("T",K32)))</formula>
    </cfRule>
    <cfRule type="containsText" dxfId="43" priority="15" operator="containsText" text="P">
      <formula>NOT(ISERROR(SEARCH("P",K32)))</formula>
    </cfRule>
    <cfRule type="containsText" dxfId="42" priority="16" operator="containsText" text="A">
      <formula>NOT(ISERROR(SEARCH("A",K32)))</formula>
    </cfRule>
  </conditionalFormatting>
  <conditionalFormatting sqref="CC17:CK36">
    <cfRule type="cellIs" dxfId="41" priority="12" operator="equal">
      <formula>0</formula>
    </cfRule>
  </conditionalFormatting>
  <conditionalFormatting sqref="AE17:XFD36">
    <cfRule type="containsText" dxfId="40" priority="7" operator="containsText" text="J">
      <formula>NOT(ISERROR(SEARCH("J",AE17)))</formula>
    </cfRule>
    <cfRule type="containsText" dxfId="39" priority="8" operator="containsText" text="T">
      <formula>NOT(ISERROR(SEARCH("T",AE17)))</formula>
    </cfRule>
    <cfRule type="containsText" dxfId="38" priority="9" operator="containsText" text="P">
      <formula>NOT(ISERROR(SEARCH("P",AE17)))</formula>
    </cfRule>
    <cfRule type="containsText" dxfId="37" priority="10" operator="containsText" text="A">
      <formula>NOT(ISERROR(SEARCH("A",AE17)))</formula>
    </cfRule>
  </conditionalFormatting>
  <conditionalFormatting sqref="AE37:BM47">
    <cfRule type="containsText" dxfId="36" priority="2" operator="containsText" text="J">
      <formula>NOT(ISERROR(SEARCH("J",AE37)))</formula>
    </cfRule>
    <cfRule type="containsText" dxfId="35" priority="3" operator="containsText" text="T">
      <formula>NOT(ISERROR(SEARCH("T",AE37)))</formula>
    </cfRule>
    <cfRule type="containsText" dxfId="34" priority="4" operator="containsText" text="P">
      <formula>NOT(ISERROR(SEARCH("P",AE37)))</formula>
    </cfRule>
    <cfRule type="containsText" dxfId="33" priority="5" operator="containsText" text="A">
      <formula>NOT(ISERROR(SEARCH("A",AE37)))</formula>
    </cfRule>
  </conditionalFormatting>
  <conditionalFormatting sqref="K8:BM47">
    <cfRule type="cellIs" dxfId="32" priority="1" operator="equal">
      <formula>0</formula>
    </cfRule>
  </conditionalFormatting>
  <pageMargins left="0.7" right="0.7" top="0.75" bottom="0.75" header="0.3" footer="0.3"/>
  <pageSetup paperSize="9" orientation="portrait" horizontalDpi="360" verticalDpi="36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14">
    <tabColor rgb="FF9F480D"/>
  </sheetPr>
  <dimension ref="A1:GP145"/>
  <sheetViews>
    <sheetView showGridLines="0" showRowColHeaders="0" zoomScale="68" zoomScaleNormal="100" workbookViewId="0"/>
  </sheetViews>
  <sheetFormatPr baseColWidth="10" defaultColWidth="0" defaultRowHeight="15" customHeight="1" zeroHeight="1"/>
  <cols>
    <col min="1" max="1" width="3.85546875" style="43" customWidth="1" collapsed="1"/>
    <col min="2" max="3" width="14.140625" bestFit="1" customWidth="1" collapsed="1"/>
    <col min="4" max="4" width="23.85546875" customWidth="1" collapsed="1"/>
    <col min="5" max="5" width="3.140625" customWidth="1"/>
    <col min="6" max="6" width="17.140625" customWidth="1"/>
    <col min="7" max="7" width="15.7109375" customWidth="1"/>
    <col min="8" max="8" width="18" customWidth="1"/>
    <col min="9" max="9" width="16.7109375" bestFit="1" customWidth="1"/>
    <col min="10" max="10" width="4.42578125" customWidth="1"/>
    <col min="11" max="12" width="4.7109375" customWidth="1"/>
    <col min="13" max="48" width="4.7109375" customWidth="1" collapsed="1"/>
    <col min="49" max="49" width="4.5703125" bestFit="1" customWidth="1" collapsed="1"/>
    <col min="50" max="64" width="4.7109375" customWidth="1" collapsed="1"/>
    <col min="65" max="65" width="4.7109375" style="113" customWidth="1" collapsed="1"/>
    <col min="66" max="167" width="4.7109375" hidden="1" customWidth="1" collapsed="1"/>
    <col min="168" max="193" width="0" hidden="1" customWidth="1"/>
    <col min="194" max="194" width="0" hidden="1" customWidth="1" collapsed="1"/>
    <col min="195" max="198" width="0" hidden="1" customWidth="1"/>
    <col min="199" max="16384" width="10.85546875" hidden="1" collapsed="1"/>
  </cols>
  <sheetData>
    <row r="1" spans="1:179" ht="19.5" thickBot="1">
      <c r="J1" s="1083" t="s">
        <v>15</v>
      </c>
      <c r="K1" s="1084"/>
      <c r="L1" s="1084"/>
      <c r="M1" s="1084"/>
      <c r="N1" s="1085"/>
      <c r="BM1"/>
    </row>
    <row r="2" spans="1:179" ht="33.75">
      <c r="C2" s="1089" t="s">
        <v>281</v>
      </c>
      <c r="D2" s="1089"/>
      <c r="E2" s="1089"/>
      <c r="F2" s="1089"/>
      <c r="G2" s="1089"/>
      <c r="H2" s="1089"/>
      <c r="I2" s="1090"/>
      <c r="J2" s="491"/>
      <c r="K2" s="492"/>
      <c r="L2" s="492"/>
      <c r="M2" s="492"/>
      <c r="N2" s="492"/>
      <c r="O2" s="492"/>
      <c r="P2" s="492"/>
      <c r="Q2" s="492"/>
      <c r="R2" s="492"/>
      <c r="S2" s="492"/>
      <c r="T2" s="492"/>
      <c r="U2" s="492"/>
      <c r="V2" s="492"/>
      <c r="W2" s="492"/>
      <c r="X2" s="492"/>
      <c r="Y2" s="492"/>
      <c r="Z2" s="492"/>
      <c r="AA2" s="492"/>
      <c r="AB2" s="492"/>
      <c r="AC2" s="492"/>
      <c r="AD2" s="492"/>
      <c r="AE2" s="492"/>
      <c r="AF2" s="492"/>
      <c r="AG2" s="492"/>
      <c r="AH2" s="492"/>
      <c r="AI2" s="492"/>
      <c r="AJ2" s="492"/>
      <c r="AK2" s="492"/>
      <c r="AL2" s="492"/>
      <c r="AM2" s="492"/>
      <c r="AN2" s="493"/>
      <c r="BM2"/>
    </row>
    <row r="3" spans="1:179" ht="45" customHeight="1" thickBot="1">
      <c r="A3" s="494"/>
      <c r="B3" s="898"/>
      <c r="C3" s="898"/>
      <c r="D3" s="898"/>
      <c r="J3" s="495"/>
      <c r="K3" s="496"/>
      <c r="L3" s="496"/>
      <c r="M3" s="496"/>
      <c r="N3" s="496"/>
      <c r="O3" s="496"/>
      <c r="P3" s="496"/>
      <c r="Q3" s="496"/>
      <c r="R3" s="496"/>
      <c r="S3" s="496"/>
      <c r="T3" s="496"/>
      <c r="U3" s="496"/>
      <c r="V3" s="496"/>
      <c r="W3" s="496"/>
      <c r="X3" s="496"/>
      <c r="Y3" s="496"/>
      <c r="Z3" s="496"/>
      <c r="AA3" s="496"/>
      <c r="AB3" s="496"/>
      <c r="AC3" s="496"/>
      <c r="AD3" s="496"/>
      <c r="AE3" s="496"/>
      <c r="AF3" s="496"/>
      <c r="AG3" s="496"/>
      <c r="AH3" s="496"/>
      <c r="AI3" s="496"/>
      <c r="AJ3" s="496"/>
      <c r="AK3" s="496"/>
      <c r="AL3" s="496"/>
      <c r="AM3" s="496"/>
      <c r="AN3" s="497"/>
      <c r="BM3"/>
    </row>
    <row r="4" spans="1:179" ht="29.25" customHeight="1" thickBot="1">
      <c r="A4" s="494"/>
      <c r="B4" s="494"/>
      <c r="C4" s="494"/>
      <c r="D4" s="498"/>
      <c r="E4" s="498"/>
      <c r="F4" s="498"/>
      <c r="G4" s="498"/>
      <c r="H4" s="498"/>
      <c r="J4" s="1086" t="s">
        <v>95</v>
      </c>
      <c r="K4" s="1087"/>
      <c r="L4" s="1087"/>
      <c r="M4" s="1088"/>
      <c r="N4" s="499">
        <f>SUM(K5:FK5)</f>
        <v>2</v>
      </c>
      <c r="AH4" s="2"/>
      <c r="BM4"/>
    </row>
    <row r="5" spans="1:179" ht="24" thickBot="1">
      <c r="F5" s="1091" t="s">
        <v>144</v>
      </c>
      <c r="G5" s="1081"/>
      <c r="H5" s="1081"/>
      <c r="I5" s="1082"/>
      <c r="J5" s="500" t="s">
        <v>35</v>
      </c>
      <c r="K5" s="635">
        <v>2</v>
      </c>
      <c r="L5" s="635"/>
      <c r="M5" s="635"/>
      <c r="N5" s="635"/>
      <c r="O5" s="636"/>
      <c r="P5" s="636"/>
      <c r="Q5" s="636"/>
      <c r="R5" s="636"/>
      <c r="S5" s="636"/>
      <c r="T5" s="636"/>
      <c r="U5" s="636"/>
      <c r="V5" s="636"/>
      <c r="W5" s="636"/>
      <c r="X5" s="636"/>
      <c r="Y5" s="636"/>
      <c r="Z5" s="636"/>
      <c r="AA5" s="636"/>
      <c r="AB5" s="636"/>
      <c r="AC5" s="636"/>
      <c r="AD5" s="636"/>
      <c r="AE5" s="636"/>
      <c r="AF5" s="636"/>
      <c r="AG5" s="636"/>
      <c r="AH5" s="636"/>
      <c r="AI5" s="636"/>
      <c r="AJ5" s="636"/>
      <c r="AK5" s="636"/>
      <c r="AL5" s="636"/>
      <c r="AM5" s="636"/>
      <c r="AN5" s="636"/>
      <c r="AO5" s="636"/>
      <c r="AP5" s="636"/>
      <c r="AQ5" s="636"/>
      <c r="AR5" s="636"/>
      <c r="AS5" s="636"/>
      <c r="AT5" s="636"/>
      <c r="AU5" s="636"/>
      <c r="AV5" s="636"/>
      <c r="AW5" s="636"/>
      <c r="AX5" s="636"/>
      <c r="AY5" s="636"/>
      <c r="AZ5" s="636"/>
      <c r="BA5" s="636"/>
      <c r="BB5" s="636"/>
      <c r="BC5" s="636"/>
      <c r="BD5" s="636"/>
      <c r="BE5" s="636"/>
      <c r="BF5" s="636"/>
      <c r="BG5" s="636"/>
      <c r="BH5" s="636"/>
      <c r="BI5" s="636"/>
      <c r="BJ5" s="636"/>
      <c r="BK5" s="636"/>
      <c r="BL5" s="637"/>
      <c r="BM5" s="636"/>
      <c r="BN5" s="179"/>
      <c r="BO5" s="179"/>
      <c r="BP5" s="179"/>
      <c r="BQ5" s="179"/>
      <c r="BR5" s="179"/>
      <c r="BS5" s="179"/>
      <c r="BT5" s="179"/>
      <c r="BU5" s="179"/>
      <c r="BV5" s="179"/>
      <c r="BW5" s="179"/>
      <c r="BX5" s="179"/>
      <c r="BY5" s="179"/>
      <c r="BZ5" s="179"/>
      <c r="CA5" s="179"/>
      <c r="CB5" s="179"/>
      <c r="CC5" s="179"/>
      <c r="CD5" s="179"/>
      <c r="CE5" s="179"/>
      <c r="CF5" s="179"/>
      <c r="CG5" s="179"/>
      <c r="CH5" s="179"/>
      <c r="CI5" s="179"/>
      <c r="CJ5" s="179"/>
      <c r="CK5" s="179"/>
      <c r="CL5" s="179"/>
      <c r="CM5" s="179"/>
      <c r="CN5" s="179"/>
      <c r="CO5" s="179"/>
      <c r="CP5" s="179"/>
      <c r="CQ5" s="179"/>
      <c r="CR5" s="179"/>
      <c r="CS5" s="179"/>
      <c r="CT5" s="179"/>
      <c r="CU5" s="179"/>
      <c r="CV5" s="179"/>
      <c r="CW5" s="179"/>
      <c r="CX5" s="179"/>
      <c r="CY5" s="179"/>
      <c r="CZ5" s="179"/>
      <c r="DA5" s="179"/>
      <c r="DB5" s="179"/>
      <c r="DC5" s="179"/>
      <c r="DD5" s="179"/>
      <c r="DE5" s="179"/>
      <c r="DF5" s="179"/>
      <c r="DG5" s="179"/>
      <c r="DH5" s="179"/>
      <c r="DI5" s="179"/>
      <c r="DJ5" s="179"/>
      <c r="DK5" s="179"/>
      <c r="DL5" s="179"/>
      <c r="DM5" s="179"/>
      <c r="DN5" s="179"/>
      <c r="DO5" s="179"/>
      <c r="DP5" s="179"/>
      <c r="DQ5" s="179"/>
      <c r="DR5" s="179"/>
      <c r="DS5" s="179"/>
      <c r="DT5" s="179"/>
      <c r="DU5" s="179"/>
      <c r="DV5" s="179"/>
      <c r="DW5" s="179"/>
      <c r="DX5" s="179"/>
      <c r="DY5" s="179"/>
      <c r="DZ5" s="179"/>
      <c r="EA5" s="179"/>
      <c r="EB5" s="179"/>
      <c r="EC5" s="179"/>
      <c r="ED5" s="179"/>
      <c r="EE5" s="179"/>
      <c r="EF5" s="179"/>
      <c r="EG5" s="179"/>
      <c r="EH5" s="179"/>
      <c r="EI5" s="179"/>
      <c r="EJ5" s="179"/>
      <c r="EK5" s="179"/>
      <c r="EL5" s="179"/>
      <c r="EM5" s="179"/>
      <c r="EN5" s="179"/>
      <c r="EO5" s="179"/>
      <c r="EP5" s="179"/>
      <c r="EQ5" s="179"/>
      <c r="ER5" s="179"/>
      <c r="ES5" s="179"/>
      <c r="ET5" s="179"/>
      <c r="EU5" s="179"/>
      <c r="EV5" s="179"/>
      <c r="EW5" s="179"/>
      <c r="EX5" s="179"/>
      <c r="EY5" s="179"/>
      <c r="EZ5" s="179"/>
      <c r="FA5" s="179"/>
      <c r="FB5" s="179"/>
      <c r="FC5" s="179"/>
      <c r="FD5" s="179"/>
      <c r="FE5" s="179"/>
      <c r="FF5" s="179"/>
      <c r="FG5" s="179"/>
      <c r="FH5" s="179"/>
      <c r="FI5" s="179"/>
      <c r="FJ5" s="179"/>
      <c r="FK5" s="179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</row>
    <row r="6" spans="1:179" ht="119.25" customHeight="1">
      <c r="A6" s="501" t="s">
        <v>37</v>
      </c>
      <c r="B6" s="502" t="s">
        <v>38</v>
      </c>
      <c r="C6" s="502" t="s">
        <v>39</v>
      </c>
      <c r="D6" s="502" t="s">
        <v>36</v>
      </c>
      <c r="E6" s="1079"/>
      <c r="F6" s="503" t="s">
        <v>143</v>
      </c>
      <c r="G6" s="504" t="s">
        <v>149</v>
      </c>
      <c r="H6" s="504" t="s">
        <v>145</v>
      </c>
      <c r="I6" s="504" t="s">
        <v>73</v>
      </c>
      <c r="J6" s="505" t="s">
        <v>94</v>
      </c>
      <c r="K6" s="630" t="s">
        <v>291</v>
      </c>
      <c r="L6" s="631"/>
      <c r="M6" s="631"/>
      <c r="N6" s="631"/>
      <c r="O6" s="631"/>
      <c r="P6" s="631"/>
      <c r="Q6" s="631"/>
      <c r="R6" s="631"/>
      <c r="S6" s="631"/>
      <c r="T6" s="631"/>
      <c r="U6" s="631"/>
      <c r="V6" s="631"/>
      <c r="W6" s="631"/>
      <c r="X6" s="631"/>
      <c r="Y6" s="631"/>
      <c r="Z6" s="631"/>
      <c r="AA6" s="631"/>
      <c r="AB6" s="631"/>
      <c r="AC6" s="631"/>
      <c r="AD6" s="631"/>
      <c r="AE6" s="631"/>
      <c r="AF6" s="631"/>
      <c r="AG6" s="631"/>
      <c r="AH6" s="631"/>
      <c r="AI6" s="631"/>
      <c r="AJ6" s="631"/>
      <c r="AK6" s="631"/>
      <c r="AL6" s="631"/>
      <c r="AM6" s="631"/>
      <c r="AN6" s="631"/>
      <c r="AO6" s="631"/>
      <c r="AP6" s="631"/>
      <c r="AQ6" s="631"/>
      <c r="AR6" s="631"/>
      <c r="AS6" s="631"/>
      <c r="AT6" s="631"/>
      <c r="AU6" s="631"/>
      <c r="AV6" s="631"/>
      <c r="AW6" s="631"/>
      <c r="AX6" s="631"/>
      <c r="AY6" s="631"/>
      <c r="AZ6" s="631"/>
      <c r="BA6" s="631"/>
      <c r="BB6" s="631"/>
      <c r="BC6" s="631"/>
      <c r="BD6" s="631"/>
      <c r="BE6" s="631"/>
      <c r="BF6" s="631"/>
      <c r="BG6" s="631"/>
      <c r="BH6" s="631"/>
      <c r="BI6" s="631"/>
      <c r="BJ6" s="631"/>
      <c r="BK6" s="631"/>
      <c r="BL6" s="632"/>
      <c r="BM6" s="631"/>
      <c r="BN6" s="116" t="s">
        <v>133</v>
      </c>
      <c r="BO6" s="115" t="s">
        <v>134</v>
      </c>
      <c r="BP6" s="115" t="s">
        <v>136</v>
      </c>
      <c r="BQ6" s="115" t="s">
        <v>135</v>
      </c>
      <c r="BR6" s="115" t="s">
        <v>137</v>
      </c>
      <c r="BS6" s="115" t="s">
        <v>138</v>
      </c>
      <c r="BT6" s="115" t="s">
        <v>139</v>
      </c>
      <c r="BU6" s="115" t="s">
        <v>140</v>
      </c>
      <c r="BV6" s="115" t="s">
        <v>141</v>
      </c>
      <c r="BW6" s="184" t="s">
        <v>54</v>
      </c>
      <c r="BX6" s="184" t="s">
        <v>146</v>
      </c>
      <c r="BY6" s="180"/>
      <c r="BZ6" s="180"/>
      <c r="CA6" s="180"/>
      <c r="CB6" s="180"/>
      <c r="CC6" s="181" t="s">
        <v>133</v>
      </c>
      <c r="CD6" s="181" t="s">
        <v>134</v>
      </c>
      <c r="CE6" s="181" t="s">
        <v>136</v>
      </c>
      <c r="CF6" s="181" t="s">
        <v>135</v>
      </c>
      <c r="CG6" s="181" t="s">
        <v>137</v>
      </c>
      <c r="CH6" s="181" t="s">
        <v>138</v>
      </c>
      <c r="CI6" s="181" t="s">
        <v>139</v>
      </c>
      <c r="CJ6" s="181" t="s">
        <v>140</v>
      </c>
      <c r="CK6" s="181" t="s">
        <v>141</v>
      </c>
      <c r="CL6" s="182" t="s">
        <v>142</v>
      </c>
      <c r="CM6" s="180"/>
      <c r="CN6" s="180"/>
      <c r="CO6" s="180"/>
      <c r="CP6" s="180"/>
      <c r="CQ6" s="180"/>
      <c r="CR6" s="180"/>
      <c r="CS6" s="180"/>
      <c r="CT6" s="180"/>
      <c r="CU6" s="180"/>
      <c r="CV6" s="180"/>
      <c r="CW6" s="180"/>
      <c r="CX6" s="180"/>
      <c r="CY6" s="180"/>
      <c r="CZ6" s="180"/>
      <c r="DA6" s="180"/>
      <c r="DB6" s="180"/>
      <c r="DC6" s="180"/>
      <c r="DD6" s="180"/>
      <c r="DE6" s="180"/>
      <c r="DF6" s="180"/>
      <c r="DG6" s="180"/>
      <c r="DH6" s="180"/>
      <c r="DI6" s="180"/>
      <c r="DJ6" s="180"/>
      <c r="DK6" s="180"/>
      <c r="DL6" s="180"/>
      <c r="DM6" s="180"/>
      <c r="DN6" s="180"/>
      <c r="DO6" s="180"/>
      <c r="DP6" s="180"/>
      <c r="DQ6" s="180"/>
      <c r="DR6" s="180"/>
      <c r="DS6" s="180"/>
      <c r="DT6" s="180"/>
      <c r="DU6" s="180"/>
      <c r="DV6" s="180"/>
      <c r="DW6" s="180"/>
      <c r="DX6" s="180"/>
      <c r="DY6" s="180"/>
      <c r="DZ6" s="180"/>
      <c r="EA6" s="180"/>
      <c r="EB6" s="180"/>
      <c r="EC6" s="180"/>
      <c r="ED6" s="180"/>
      <c r="EE6" s="180"/>
      <c r="EF6" s="180"/>
      <c r="EG6" s="180"/>
      <c r="EH6" s="180"/>
      <c r="EI6" s="180"/>
      <c r="EJ6" s="180"/>
      <c r="EK6" s="180"/>
      <c r="EL6" s="180"/>
      <c r="EM6" s="180"/>
      <c r="EN6" s="180"/>
      <c r="EO6" s="180"/>
      <c r="EP6" s="180"/>
      <c r="EQ6" s="180"/>
      <c r="ER6" s="180"/>
      <c r="ES6" s="180"/>
      <c r="ET6" s="180"/>
      <c r="EU6" s="180"/>
      <c r="EV6" s="180"/>
      <c r="EW6" s="180"/>
      <c r="EX6" s="180"/>
      <c r="EY6" s="180"/>
      <c r="EZ6" s="180"/>
      <c r="FA6" s="180"/>
      <c r="FB6" s="180"/>
      <c r="FC6" s="180"/>
      <c r="FD6" s="180"/>
      <c r="FE6" s="180"/>
      <c r="FF6" s="180"/>
      <c r="FG6" s="180"/>
      <c r="FH6" s="180"/>
      <c r="FI6" s="180"/>
      <c r="FJ6" s="180"/>
      <c r="FK6" s="180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</row>
    <row r="7" spans="1:179" ht="18.75">
      <c r="A7" s="43">
        <v>1</v>
      </c>
      <c r="B7" s="506">
        <f>'REGISTRO DATOS'!C13</f>
        <v>0</v>
      </c>
      <c r="C7" s="507">
        <f>'REGISTRO DATOS'!D13</f>
        <v>0</v>
      </c>
      <c r="D7" s="508" t="str">
        <f>'REGISTRO DATOS'!E13</f>
        <v>MARIANELA</v>
      </c>
      <c r="E7" s="1079"/>
      <c r="F7" s="509">
        <f>CL7</f>
        <v>0</v>
      </c>
      <c r="G7" s="509">
        <f>CC7</f>
        <v>0</v>
      </c>
      <c r="H7" s="509">
        <f>CE7</f>
        <v>0</v>
      </c>
      <c r="I7" s="510">
        <f>BX7</f>
        <v>10</v>
      </c>
      <c r="J7" s="511"/>
      <c r="K7" s="633"/>
      <c r="L7" s="633"/>
      <c r="M7" s="633"/>
      <c r="N7" s="633"/>
      <c r="O7" s="633"/>
      <c r="P7" s="633"/>
      <c r="Q7" s="633"/>
      <c r="R7" s="633"/>
      <c r="S7" s="633"/>
      <c r="T7" s="633"/>
      <c r="U7" s="633"/>
      <c r="V7" s="633"/>
      <c r="W7" s="633"/>
      <c r="X7" s="633"/>
      <c r="Y7" s="633"/>
      <c r="Z7" s="633"/>
      <c r="AA7" s="633"/>
      <c r="AB7" s="633"/>
      <c r="AC7" s="633"/>
      <c r="AD7" s="633"/>
      <c r="AE7" s="633"/>
      <c r="AF7" s="633"/>
      <c r="AG7" s="633"/>
      <c r="AH7" s="633"/>
      <c r="AI7" s="633"/>
      <c r="AJ7" s="633"/>
      <c r="AK7" s="633"/>
      <c r="AL7" s="633"/>
      <c r="AM7" s="633"/>
      <c r="AN7" s="633"/>
      <c r="AO7" s="633"/>
      <c r="AP7" s="633"/>
      <c r="AQ7" s="633"/>
      <c r="AR7" s="633"/>
      <c r="AS7" s="633"/>
      <c r="AT7" s="633"/>
      <c r="AU7" s="633"/>
      <c r="AV7" s="633"/>
      <c r="AW7" s="633"/>
      <c r="AX7" s="633"/>
      <c r="AY7" s="633"/>
      <c r="AZ7" s="633"/>
      <c r="BA7" s="633"/>
      <c r="BB7" s="633"/>
      <c r="BC7" s="633"/>
      <c r="BD7" s="633"/>
      <c r="BE7" s="633"/>
      <c r="BF7" s="633"/>
      <c r="BG7" s="633"/>
      <c r="BH7" s="633"/>
      <c r="BI7" s="633"/>
      <c r="BJ7" s="633"/>
      <c r="BK7" s="633"/>
      <c r="BL7" s="633"/>
      <c r="BM7" s="633"/>
      <c r="BN7" s="195">
        <f>CC7*0.5</f>
        <v>0</v>
      </c>
      <c r="BO7" s="127">
        <f>CD7*0</f>
        <v>0</v>
      </c>
      <c r="BP7" s="127">
        <f>CE7*0</f>
        <v>0</v>
      </c>
      <c r="BQ7" s="127">
        <f>CF7*1</f>
        <v>0</v>
      </c>
      <c r="BR7" s="113">
        <f>CG7*2</f>
        <v>0</v>
      </c>
      <c r="BS7" s="113">
        <f>CH7*3</f>
        <v>0</v>
      </c>
      <c r="BT7" s="113">
        <f>CI7*4</f>
        <v>0</v>
      </c>
      <c r="BU7" s="113">
        <f>CJ7*5</f>
        <v>0</v>
      </c>
      <c r="BV7" s="113">
        <f>CK7*6</f>
        <v>0</v>
      </c>
      <c r="BW7" s="127">
        <f>SUM(BN7:BV7)</f>
        <v>0</v>
      </c>
      <c r="BX7" s="127">
        <f>(($N$4-BW7)/$N$4)*10</f>
        <v>10</v>
      </c>
      <c r="BY7" s="2"/>
      <c r="BZ7" s="2"/>
      <c r="CA7" s="2"/>
      <c r="CB7" s="2"/>
      <c r="CC7" s="183">
        <f>COUNTIF(K7:BM7,"T")</f>
        <v>0</v>
      </c>
      <c r="CD7" s="183">
        <f>COUNTIF(K7:BM7,"P")</f>
        <v>0</v>
      </c>
      <c r="CE7" s="183">
        <f>COUNTIF(K7:BM7,"J")</f>
        <v>0</v>
      </c>
      <c r="CF7" s="183">
        <f>COUNTIF(K7:BM7,"A")</f>
        <v>0</v>
      </c>
      <c r="CG7" s="183">
        <f>COUNTIF(K7:BM7,"2A")</f>
        <v>0</v>
      </c>
      <c r="CH7" s="183">
        <f>COUNTIF(K7:BM7,"3A")</f>
        <v>0</v>
      </c>
      <c r="CI7" s="183">
        <f>COUNTIF(K7:BM7,"4A")</f>
        <v>0</v>
      </c>
      <c r="CJ7" s="183">
        <f>COUNTIF(K7:BM7,"5A")</f>
        <v>0</v>
      </c>
      <c r="CK7" s="183">
        <f>COUNTIF(K7:BM7,"6A")</f>
        <v>0</v>
      </c>
      <c r="CL7">
        <f>SUM(BQ7:BV7)</f>
        <v>0</v>
      </c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</row>
    <row r="8" spans="1:179" ht="18.75">
      <c r="A8" s="43">
        <v>2</v>
      </c>
      <c r="B8" s="512">
        <f>'REGISTRO DATOS'!C14</f>
        <v>0</v>
      </c>
      <c r="C8" s="513">
        <f>'REGISTRO DATOS'!D14</f>
        <v>0</v>
      </c>
      <c r="D8" s="509" t="str">
        <f>'REGISTRO DATOS'!E14</f>
        <v>GENESIS</v>
      </c>
      <c r="E8" s="1079"/>
      <c r="F8" s="509">
        <f t="shared" ref="F8:F46" si="0">CL8</f>
        <v>0</v>
      </c>
      <c r="G8" s="509">
        <f t="shared" ref="G8:G46" si="1">CC8</f>
        <v>0</v>
      </c>
      <c r="H8" s="509">
        <f t="shared" ref="H8:H46" si="2">CE8</f>
        <v>0</v>
      </c>
      <c r="I8" s="510">
        <f t="shared" ref="I8:I46" si="3">BX8</f>
        <v>10</v>
      </c>
      <c r="J8" s="514"/>
      <c r="K8" s="633"/>
      <c r="L8" s="633"/>
      <c r="M8" s="633"/>
      <c r="N8" s="633"/>
      <c r="O8" s="633"/>
      <c r="P8" s="633"/>
      <c r="Q8" s="633"/>
      <c r="R8" s="633"/>
      <c r="S8" s="633"/>
      <c r="T8" s="633"/>
      <c r="U8" s="633"/>
      <c r="V8" s="633"/>
      <c r="W8" s="633"/>
      <c r="X8" s="633"/>
      <c r="Y8" s="633"/>
      <c r="Z8" s="633"/>
      <c r="AA8" s="633"/>
      <c r="AB8" s="633"/>
      <c r="AC8" s="633"/>
      <c r="AD8" s="633"/>
      <c r="AE8" s="633"/>
      <c r="AF8" s="633"/>
      <c r="AG8" s="633"/>
      <c r="AH8" s="633"/>
      <c r="AI8" s="633"/>
      <c r="AJ8" s="633"/>
      <c r="AK8" s="633"/>
      <c r="AL8" s="633"/>
      <c r="AM8" s="633"/>
      <c r="AN8" s="633"/>
      <c r="AO8" s="633"/>
      <c r="AP8" s="633"/>
      <c r="AQ8" s="633"/>
      <c r="AR8" s="633"/>
      <c r="AS8" s="633"/>
      <c r="AT8" s="633"/>
      <c r="AU8" s="633"/>
      <c r="AV8" s="633"/>
      <c r="AW8" s="633"/>
      <c r="AX8" s="633"/>
      <c r="AY8" s="633"/>
      <c r="AZ8" s="633"/>
      <c r="BA8" s="633"/>
      <c r="BB8" s="633"/>
      <c r="BC8" s="633"/>
      <c r="BD8" s="633"/>
      <c r="BE8" s="633"/>
      <c r="BF8" s="633"/>
      <c r="BG8" s="633"/>
      <c r="BH8" s="633"/>
      <c r="BI8" s="633"/>
      <c r="BJ8" s="633"/>
      <c r="BK8" s="633"/>
      <c r="BL8" s="633"/>
      <c r="BM8" s="633"/>
      <c r="BN8" s="195">
        <f t="shared" ref="BN8:BN46" si="4">CC8*0.5</f>
        <v>0</v>
      </c>
      <c r="BO8" s="127">
        <f t="shared" ref="BO8:BP46" si="5">CD8*0</f>
        <v>0</v>
      </c>
      <c r="BP8" s="127">
        <f t="shared" si="5"/>
        <v>0</v>
      </c>
      <c r="BQ8" s="127">
        <f t="shared" ref="BQ8:BQ46" si="6">CF8*1</f>
        <v>0</v>
      </c>
      <c r="BR8" s="113">
        <f t="shared" ref="BR8:BR46" si="7">CG8*2</f>
        <v>0</v>
      </c>
      <c r="BS8" s="113">
        <f t="shared" ref="BS8:BS46" si="8">CH8*3</f>
        <v>0</v>
      </c>
      <c r="BT8" s="113">
        <f t="shared" ref="BT8:BT46" si="9">CI8*4</f>
        <v>0</v>
      </c>
      <c r="BU8" s="113">
        <f t="shared" ref="BU8:BU46" si="10">CJ8*5</f>
        <v>0</v>
      </c>
      <c r="BV8" s="113">
        <f t="shared" ref="BV8:BV46" si="11">CK8*6</f>
        <v>0</v>
      </c>
      <c r="BW8" s="127">
        <f t="shared" ref="BW8:BW46" si="12">SUM(BN8:BV8)</f>
        <v>0</v>
      </c>
      <c r="BX8" s="127">
        <f t="shared" ref="BX8:BX46" si="13">(($N$4-BW8)/$N$4)*10</f>
        <v>10</v>
      </c>
      <c r="BY8" s="2"/>
      <c r="BZ8" s="2"/>
      <c r="CA8" s="2"/>
      <c r="CB8" s="2"/>
      <c r="CC8" s="183">
        <f t="shared" ref="CC8:CC46" si="14">COUNTIF(K8:BM8,"T")</f>
        <v>0</v>
      </c>
      <c r="CD8" s="183">
        <f t="shared" ref="CD8:CD46" si="15">COUNTIF(K8:BM8,"P")</f>
        <v>0</v>
      </c>
      <c r="CE8" s="183">
        <f t="shared" ref="CE8:CE46" si="16">COUNTIF(K8:BM8,"J")</f>
        <v>0</v>
      </c>
      <c r="CF8" s="183">
        <f t="shared" ref="CF8:CF46" si="17">COUNTIF(K8:BM8,"A")</f>
        <v>0</v>
      </c>
      <c r="CG8" s="183">
        <f t="shared" ref="CG8:CG46" si="18">COUNTIF(K8:BM8,"2A")</f>
        <v>0</v>
      </c>
      <c r="CH8" s="183">
        <f t="shared" ref="CH8:CH46" si="19">COUNTIF(K8:BM8,"3A")</f>
        <v>0</v>
      </c>
      <c r="CI8" s="183">
        <f t="shared" ref="CI8:CI46" si="20">COUNTIF(K8:BM8,"4A")</f>
        <v>0</v>
      </c>
      <c r="CJ8" s="183">
        <f t="shared" ref="CJ8:CJ46" si="21">COUNTIF(K8:BM8,"5A")</f>
        <v>0</v>
      </c>
      <c r="CK8" s="183">
        <f t="shared" ref="CK8:CK46" si="22">COUNTIF(K8:BM8,"6A")</f>
        <v>0</v>
      </c>
      <c r="CL8">
        <f t="shared" ref="CL8:CL46" si="23">SUM(BQ8:BV8)</f>
        <v>0</v>
      </c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</row>
    <row r="9" spans="1:179" ht="18.75">
      <c r="A9" s="43">
        <v>3</v>
      </c>
      <c r="B9" s="512">
        <f>'REGISTRO DATOS'!C15</f>
        <v>0</v>
      </c>
      <c r="C9" s="513">
        <f>'REGISTRO DATOS'!D15</f>
        <v>0</v>
      </c>
      <c r="D9" s="509" t="str">
        <f>'REGISTRO DATOS'!E15</f>
        <v>EILEEN</v>
      </c>
      <c r="E9" s="1079"/>
      <c r="F9" s="509">
        <f t="shared" si="0"/>
        <v>0</v>
      </c>
      <c r="G9" s="509">
        <f t="shared" si="1"/>
        <v>0</v>
      </c>
      <c r="H9" s="509">
        <f t="shared" si="2"/>
        <v>0</v>
      </c>
      <c r="I9" s="510">
        <f t="shared" si="3"/>
        <v>10</v>
      </c>
      <c r="J9" s="514"/>
      <c r="K9" s="633"/>
      <c r="L9" s="633"/>
      <c r="M9" s="633"/>
      <c r="N9" s="633"/>
      <c r="O9" s="633"/>
      <c r="P9" s="633"/>
      <c r="Q9" s="633"/>
      <c r="R9" s="633"/>
      <c r="S9" s="633"/>
      <c r="T9" s="633"/>
      <c r="U9" s="633"/>
      <c r="V9" s="633"/>
      <c r="W9" s="633"/>
      <c r="X9" s="633"/>
      <c r="Y9" s="633"/>
      <c r="Z9" s="633"/>
      <c r="AA9" s="633"/>
      <c r="AB9" s="633"/>
      <c r="AC9" s="633"/>
      <c r="AD9" s="633"/>
      <c r="AE9" s="633"/>
      <c r="AF9" s="633"/>
      <c r="AG9" s="633"/>
      <c r="AH9" s="633"/>
      <c r="AI9" s="633"/>
      <c r="AJ9" s="633"/>
      <c r="AK9" s="633"/>
      <c r="AL9" s="633"/>
      <c r="AM9" s="633"/>
      <c r="AN9" s="633"/>
      <c r="AO9" s="633"/>
      <c r="AP9" s="633"/>
      <c r="AQ9" s="633"/>
      <c r="AR9" s="633"/>
      <c r="AS9" s="633"/>
      <c r="AT9" s="633"/>
      <c r="AU9" s="633"/>
      <c r="AV9" s="633"/>
      <c r="AW9" s="633"/>
      <c r="AX9" s="633"/>
      <c r="AY9" s="633"/>
      <c r="AZ9" s="633"/>
      <c r="BA9" s="633"/>
      <c r="BB9" s="633"/>
      <c r="BC9" s="633"/>
      <c r="BD9" s="633"/>
      <c r="BE9" s="633"/>
      <c r="BF9" s="633"/>
      <c r="BG9" s="633"/>
      <c r="BH9" s="633"/>
      <c r="BI9" s="633"/>
      <c r="BJ9" s="633"/>
      <c r="BK9" s="633"/>
      <c r="BL9" s="633"/>
      <c r="BM9" s="633"/>
      <c r="BN9" s="195">
        <f t="shared" si="4"/>
        <v>0</v>
      </c>
      <c r="BO9" s="127">
        <f t="shared" si="5"/>
        <v>0</v>
      </c>
      <c r="BP9" s="127">
        <f t="shared" si="5"/>
        <v>0</v>
      </c>
      <c r="BQ9" s="127">
        <f t="shared" si="6"/>
        <v>0</v>
      </c>
      <c r="BR9" s="113">
        <f t="shared" si="7"/>
        <v>0</v>
      </c>
      <c r="BS9" s="113">
        <f t="shared" si="8"/>
        <v>0</v>
      </c>
      <c r="BT9" s="113">
        <f t="shared" si="9"/>
        <v>0</v>
      </c>
      <c r="BU9" s="113">
        <f t="shared" si="10"/>
        <v>0</v>
      </c>
      <c r="BV9" s="113">
        <f t="shared" si="11"/>
        <v>0</v>
      </c>
      <c r="BW9" s="127">
        <f t="shared" si="12"/>
        <v>0</v>
      </c>
      <c r="BX9" s="127">
        <f t="shared" si="13"/>
        <v>10</v>
      </c>
      <c r="BY9" s="2"/>
      <c r="BZ9" s="2"/>
      <c r="CA9" s="2"/>
      <c r="CB9" s="2"/>
      <c r="CC9" s="183">
        <f t="shared" si="14"/>
        <v>0</v>
      </c>
      <c r="CD9" s="183">
        <f t="shared" si="15"/>
        <v>0</v>
      </c>
      <c r="CE9" s="183">
        <f t="shared" si="16"/>
        <v>0</v>
      </c>
      <c r="CF9" s="183">
        <f t="shared" si="17"/>
        <v>0</v>
      </c>
      <c r="CG9" s="183">
        <f t="shared" si="18"/>
        <v>0</v>
      </c>
      <c r="CH9" s="183">
        <f t="shared" si="19"/>
        <v>0</v>
      </c>
      <c r="CI9" s="183">
        <f t="shared" si="20"/>
        <v>0</v>
      </c>
      <c r="CJ9" s="183">
        <f t="shared" si="21"/>
        <v>0</v>
      </c>
      <c r="CK9" s="183">
        <f t="shared" si="22"/>
        <v>0</v>
      </c>
      <c r="CL9">
        <f t="shared" si="23"/>
        <v>0</v>
      </c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</row>
    <row r="10" spans="1:179" ht="18.75">
      <c r="A10" s="43">
        <v>4</v>
      </c>
      <c r="B10" s="512">
        <f>'REGISTRO DATOS'!C16</f>
        <v>0</v>
      </c>
      <c r="C10" s="513">
        <f>'REGISTRO DATOS'!D16</f>
        <v>0</v>
      </c>
      <c r="D10" s="509" t="str">
        <f>'REGISTRO DATOS'!E16</f>
        <v>CINDEL</v>
      </c>
      <c r="E10" s="1079"/>
      <c r="F10" s="509">
        <f t="shared" si="0"/>
        <v>0</v>
      </c>
      <c r="G10" s="509">
        <f t="shared" si="1"/>
        <v>0</v>
      </c>
      <c r="H10" s="509">
        <f t="shared" si="2"/>
        <v>0</v>
      </c>
      <c r="I10" s="510">
        <f t="shared" si="3"/>
        <v>10</v>
      </c>
      <c r="J10" s="514"/>
      <c r="K10" s="633"/>
      <c r="L10" s="633"/>
      <c r="M10" s="633"/>
      <c r="N10" s="633"/>
      <c r="O10" s="633"/>
      <c r="P10" s="633"/>
      <c r="Q10" s="633"/>
      <c r="R10" s="633"/>
      <c r="S10" s="633"/>
      <c r="T10" s="633"/>
      <c r="U10" s="633"/>
      <c r="V10" s="633"/>
      <c r="W10" s="633"/>
      <c r="X10" s="633"/>
      <c r="Y10" s="633"/>
      <c r="Z10" s="633"/>
      <c r="AA10" s="633"/>
      <c r="AB10" s="633"/>
      <c r="AC10" s="633"/>
      <c r="AD10" s="633"/>
      <c r="AE10" s="633"/>
      <c r="AF10" s="633"/>
      <c r="AG10" s="633"/>
      <c r="AH10" s="633"/>
      <c r="AI10" s="633"/>
      <c r="AJ10" s="633"/>
      <c r="AK10" s="633"/>
      <c r="AL10" s="633"/>
      <c r="AM10" s="633"/>
      <c r="AN10" s="633"/>
      <c r="AO10" s="633"/>
      <c r="AP10" s="633"/>
      <c r="AQ10" s="633"/>
      <c r="AR10" s="633"/>
      <c r="AS10" s="633"/>
      <c r="AT10" s="633"/>
      <c r="AU10" s="633"/>
      <c r="AV10" s="633"/>
      <c r="AW10" s="633"/>
      <c r="AX10" s="633"/>
      <c r="AY10" s="633"/>
      <c r="AZ10" s="633"/>
      <c r="BA10" s="633"/>
      <c r="BB10" s="633"/>
      <c r="BC10" s="633"/>
      <c r="BD10" s="633"/>
      <c r="BE10" s="633"/>
      <c r="BF10" s="633"/>
      <c r="BG10" s="633"/>
      <c r="BH10" s="633"/>
      <c r="BI10" s="633"/>
      <c r="BJ10" s="633"/>
      <c r="BK10" s="633"/>
      <c r="BL10" s="633"/>
      <c r="BM10" s="633"/>
      <c r="BN10" s="195">
        <f t="shared" si="4"/>
        <v>0</v>
      </c>
      <c r="BO10" s="127">
        <f t="shared" si="5"/>
        <v>0</v>
      </c>
      <c r="BP10" s="127">
        <f t="shared" si="5"/>
        <v>0</v>
      </c>
      <c r="BQ10" s="127">
        <f t="shared" si="6"/>
        <v>0</v>
      </c>
      <c r="BR10" s="113">
        <f t="shared" si="7"/>
        <v>0</v>
      </c>
      <c r="BS10" s="113">
        <f t="shared" si="8"/>
        <v>0</v>
      </c>
      <c r="BT10" s="113">
        <f t="shared" si="9"/>
        <v>0</v>
      </c>
      <c r="BU10" s="113">
        <f t="shared" si="10"/>
        <v>0</v>
      </c>
      <c r="BV10" s="113">
        <f t="shared" si="11"/>
        <v>0</v>
      </c>
      <c r="BW10" s="127">
        <f t="shared" si="12"/>
        <v>0</v>
      </c>
      <c r="BX10" s="127">
        <f t="shared" si="13"/>
        <v>10</v>
      </c>
      <c r="BY10" s="2"/>
      <c r="BZ10" s="2"/>
      <c r="CA10" s="2"/>
      <c r="CB10" s="2"/>
      <c r="CC10" s="183">
        <f t="shared" si="14"/>
        <v>0</v>
      </c>
      <c r="CD10" s="183">
        <f t="shared" si="15"/>
        <v>0</v>
      </c>
      <c r="CE10" s="183">
        <f t="shared" si="16"/>
        <v>0</v>
      </c>
      <c r="CF10" s="183">
        <f t="shared" si="17"/>
        <v>0</v>
      </c>
      <c r="CG10" s="183">
        <f t="shared" si="18"/>
        <v>0</v>
      </c>
      <c r="CH10" s="183">
        <f t="shared" si="19"/>
        <v>0</v>
      </c>
      <c r="CI10" s="183">
        <f t="shared" si="20"/>
        <v>0</v>
      </c>
      <c r="CJ10" s="183">
        <f t="shared" si="21"/>
        <v>0</v>
      </c>
      <c r="CK10" s="183">
        <f t="shared" si="22"/>
        <v>0</v>
      </c>
      <c r="CL10">
        <f t="shared" si="23"/>
        <v>0</v>
      </c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</row>
    <row r="11" spans="1:179" ht="18.75">
      <c r="A11" s="43">
        <v>5</v>
      </c>
      <c r="B11" s="512">
        <f>'REGISTRO DATOS'!C17</f>
        <v>0</v>
      </c>
      <c r="C11" s="513">
        <f>'REGISTRO DATOS'!D17</f>
        <v>0</v>
      </c>
      <c r="D11" s="509" t="str">
        <f>'REGISTRO DATOS'!E17</f>
        <v>NANCY</v>
      </c>
      <c r="E11" s="1079"/>
      <c r="F11" s="509">
        <f t="shared" si="0"/>
        <v>0</v>
      </c>
      <c r="G11" s="509">
        <f t="shared" si="1"/>
        <v>0</v>
      </c>
      <c r="H11" s="509">
        <f t="shared" si="2"/>
        <v>0</v>
      </c>
      <c r="I11" s="510">
        <f t="shared" si="3"/>
        <v>10</v>
      </c>
      <c r="J11" s="514"/>
      <c r="K11" s="633"/>
      <c r="L11" s="633"/>
      <c r="M11" s="633"/>
      <c r="N11" s="633"/>
      <c r="O11" s="633"/>
      <c r="P11" s="633"/>
      <c r="Q11" s="633"/>
      <c r="R11" s="633"/>
      <c r="S11" s="633"/>
      <c r="T11" s="633"/>
      <c r="U11" s="633"/>
      <c r="V11" s="633"/>
      <c r="W11" s="633"/>
      <c r="X11" s="633"/>
      <c r="Y11" s="633"/>
      <c r="Z11" s="633"/>
      <c r="AA11" s="633"/>
      <c r="AB11" s="633"/>
      <c r="AC11" s="633"/>
      <c r="AD11" s="633"/>
      <c r="AE11" s="633"/>
      <c r="AF11" s="633"/>
      <c r="AG11" s="633"/>
      <c r="AH11" s="633"/>
      <c r="AI11" s="633"/>
      <c r="AJ11" s="633"/>
      <c r="AK11" s="633"/>
      <c r="AL11" s="633"/>
      <c r="AM11" s="633"/>
      <c r="AN11" s="633"/>
      <c r="AO11" s="633"/>
      <c r="AP11" s="633"/>
      <c r="AQ11" s="633"/>
      <c r="AR11" s="633"/>
      <c r="AS11" s="633"/>
      <c r="AT11" s="633"/>
      <c r="AU11" s="633"/>
      <c r="AV11" s="633"/>
      <c r="AW11" s="633"/>
      <c r="AX11" s="633"/>
      <c r="AY11" s="633"/>
      <c r="AZ11" s="633"/>
      <c r="BA11" s="633"/>
      <c r="BB11" s="633"/>
      <c r="BC11" s="633"/>
      <c r="BD11" s="633"/>
      <c r="BE11" s="633"/>
      <c r="BF11" s="633"/>
      <c r="BG11" s="633"/>
      <c r="BH11" s="633"/>
      <c r="BI11" s="633"/>
      <c r="BJ11" s="633"/>
      <c r="BK11" s="633"/>
      <c r="BL11" s="633"/>
      <c r="BM11" s="633"/>
      <c r="BN11" s="195">
        <f t="shared" si="4"/>
        <v>0</v>
      </c>
      <c r="BO11" s="127">
        <f t="shared" si="5"/>
        <v>0</v>
      </c>
      <c r="BP11" s="127">
        <f t="shared" si="5"/>
        <v>0</v>
      </c>
      <c r="BQ11" s="127">
        <f t="shared" si="6"/>
        <v>0</v>
      </c>
      <c r="BR11" s="113">
        <f t="shared" si="7"/>
        <v>0</v>
      </c>
      <c r="BS11" s="113">
        <f t="shared" si="8"/>
        <v>0</v>
      </c>
      <c r="BT11" s="113">
        <f t="shared" si="9"/>
        <v>0</v>
      </c>
      <c r="BU11" s="113">
        <f t="shared" si="10"/>
        <v>0</v>
      </c>
      <c r="BV11" s="113">
        <f t="shared" si="11"/>
        <v>0</v>
      </c>
      <c r="BW11" s="127">
        <f t="shared" si="12"/>
        <v>0</v>
      </c>
      <c r="BX11" s="127">
        <f t="shared" si="13"/>
        <v>10</v>
      </c>
      <c r="BY11" s="2"/>
      <c r="BZ11" s="2"/>
      <c r="CA11" s="2"/>
      <c r="CB11" s="2"/>
      <c r="CC11" s="183">
        <f t="shared" si="14"/>
        <v>0</v>
      </c>
      <c r="CD11" s="183">
        <f t="shared" si="15"/>
        <v>0</v>
      </c>
      <c r="CE11" s="183">
        <f t="shared" si="16"/>
        <v>0</v>
      </c>
      <c r="CF11" s="183">
        <f t="shared" si="17"/>
        <v>0</v>
      </c>
      <c r="CG11" s="183">
        <f t="shared" si="18"/>
        <v>0</v>
      </c>
      <c r="CH11" s="183">
        <f t="shared" si="19"/>
        <v>0</v>
      </c>
      <c r="CI11" s="183">
        <f t="shared" si="20"/>
        <v>0</v>
      </c>
      <c r="CJ11" s="183">
        <f t="shared" si="21"/>
        <v>0</v>
      </c>
      <c r="CK11" s="183">
        <f t="shared" si="22"/>
        <v>0</v>
      </c>
      <c r="CL11">
        <f t="shared" si="23"/>
        <v>0</v>
      </c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</row>
    <row r="12" spans="1:179" ht="18.75">
      <c r="A12" s="43">
        <v>6</v>
      </c>
      <c r="B12" s="512">
        <f>'REGISTRO DATOS'!C18</f>
        <v>0</v>
      </c>
      <c r="C12" s="513">
        <f>'REGISTRO DATOS'!D18</f>
        <v>0</v>
      </c>
      <c r="D12" s="509" t="str">
        <f>'REGISTRO DATOS'!E18</f>
        <v>MARIANA</v>
      </c>
      <c r="E12" s="1079"/>
      <c r="F12" s="509">
        <f t="shared" si="0"/>
        <v>0</v>
      </c>
      <c r="G12" s="509">
        <f t="shared" si="1"/>
        <v>0</v>
      </c>
      <c r="H12" s="509">
        <f t="shared" si="2"/>
        <v>0</v>
      </c>
      <c r="I12" s="510">
        <f t="shared" si="3"/>
        <v>10</v>
      </c>
      <c r="J12" s="514"/>
      <c r="K12" s="633"/>
      <c r="L12" s="633"/>
      <c r="M12" s="633"/>
      <c r="N12" s="633"/>
      <c r="O12" s="633"/>
      <c r="P12" s="633"/>
      <c r="Q12" s="633"/>
      <c r="R12" s="633"/>
      <c r="S12" s="633"/>
      <c r="T12" s="633"/>
      <c r="U12" s="633"/>
      <c r="V12" s="633"/>
      <c r="W12" s="633"/>
      <c r="X12" s="633"/>
      <c r="Y12" s="633"/>
      <c r="Z12" s="633"/>
      <c r="AA12" s="633"/>
      <c r="AB12" s="633"/>
      <c r="AC12" s="633"/>
      <c r="AD12" s="633"/>
      <c r="AE12" s="633"/>
      <c r="AF12" s="633"/>
      <c r="AG12" s="633"/>
      <c r="AH12" s="633"/>
      <c r="AI12" s="633"/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3"/>
      <c r="BG12" s="633"/>
      <c r="BH12" s="633"/>
      <c r="BI12" s="633"/>
      <c r="BJ12" s="633"/>
      <c r="BK12" s="633"/>
      <c r="BL12" s="633"/>
      <c r="BM12" s="633"/>
      <c r="BN12" s="195">
        <f t="shared" si="4"/>
        <v>0</v>
      </c>
      <c r="BO12" s="127">
        <f t="shared" si="5"/>
        <v>0</v>
      </c>
      <c r="BP12" s="127">
        <f t="shared" si="5"/>
        <v>0</v>
      </c>
      <c r="BQ12" s="127">
        <f t="shared" si="6"/>
        <v>0</v>
      </c>
      <c r="BR12" s="113">
        <f t="shared" si="7"/>
        <v>0</v>
      </c>
      <c r="BS12" s="113">
        <f t="shared" si="8"/>
        <v>0</v>
      </c>
      <c r="BT12" s="113">
        <f t="shared" si="9"/>
        <v>0</v>
      </c>
      <c r="BU12" s="113">
        <f t="shared" si="10"/>
        <v>0</v>
      </c>
      <c r="BV12" s="113">
        <f t="shared" si="11"/>
        <v>0</v>
      </c>
      <c r="BW12" s="127">
        <f t="shared" si="12"/>
        <v>0</v>
      </c>
      <c r="BX12" s="127">
        <f t="shared" si="13"/>
        <v>10</v>
      </c>
      <c r="BY12" s="2"/>
      <c r="BZ12" s="2"/>
      <c r="CA12" s="2"/>
      <c r="CB12" s="2"/>
      <c r="CC12" s="183">
        <f t="shared" si="14"/>
        <v>0</v>
      </c>
      <c r="CD12" s="183">
        <f t="shared" si="15"/>
        <v>0</v>
      </c>
      <c r="CE12" s="183">
        <f t="shared" si="16"/>
        <v>0</v>
      </c>
      <c r="CF12" s="183">
        <f t="shared" si="17"/>
        <v>0</v>
      </c>
      <c r="CG12" s="183">
        <f t="shared" si="18"/>
        <v>0</v>
      </c>
      <c r="CH12" s="183">
        <f t="shared" si="19"/>
        <v>0</v>
      </c>
      <c r="CI12" s="183">
        <f t="shared" si="20"/>
        <v>0</v>
      </c>
      <c r="CJ12" s="183">
        <f t="shared" si="21"/>
        <v>0</v>
      </c>
      <c r="CK12" s="183">
        <f t="shared" si="22"/>
        <v>0</v>
      </c>
      <c r="CL12">
        <f t="shared" si="23"/>
        <v>0</v>
      </c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</row>
    <row r="13" spans="1:179" ht="18.75">
      <c r="A13" s="43">
        <v>7</v>
      </c>
      <c r="B13" s="512" t="str">
        <f>'REGISTRO DATOS'!C19</f>
        <v xml:space="preserve">GONZALEZ </v>
      </c>
      <c r="C13" s="513" t="str">
        <f>'REGISTRO DATOS'!D19</f>
        <v>CHAVARRIA</v>
      </c>
      <c r="D13" s="509" t="str">
        <f>'REGISTRO DATOS'!E19</f>
        <v>STEPHANIE</v>
      </c>
      <c r="E13" s="1079"/>
      <c r="F13" s="509">
        <f t="shared" si="0"/>
        <v>0</v>
      </c>
      <c r="G13" s="509">
        <f t="shared" si="1"/>
        <v>0</v>
      </c>
      <c r="H13" s="509">
        <f t="shared" si="2"/>
        <v>0</v>
      </c>
      <c r="I13" s="510">
        <f t="shared" si="3"/>
        <v>10</v>
      </c>
      <c r="J13" s="514"/>
      <c r="K13" s="633"/>
      <c r="L13" s="633"/>
      <c r="M13" s="633"/>
      <c r="N13" s="633"/>
      <c r="O13" s="633"/>
      <c r="P13" s="633"/>
      <c r="Q13" s="633"/>
      <c r="R13" s="633"/>
      <c r="S13" s="633"/>
      <c r="T13" s="633"/>
      <c r="U13" s="633"/>
      <c r="V13" s="633"/>
      <c r="W13" s="633"/>
      <c r="X13" s="633"/>
      <c r="Y13" s="633"/>
      <c r="Z13" s="633"/>
      <c r="AA13" s="633"/>
      <c r="AB13" s="633"/>
      <c r="AC13" s="633"/>
      <c r="AD13" s="633"/>
      <c r="AE13" s="633"/>
      <c r="AF13" s="633"/>
      <c r="AG13" s="633"/>
      <c r="AH13" s="633"/>
      <c r="AI13" s="633"/>
      <c r="AJ13" s="633"/>
      <c r="AK13" s="633"/>
      <c r="AL13" s="633"/>
      <c r="AM13" s="633"/>
      <c r="AN13" s="633"/>
      <c r="AO13" s="633"/>
      <c r="AP13" s="633"/>
      <c r="AQ13" s="633"/>
      <c r="AR13" s="633"/>
      <c r="AS13" s="633"/>
      <c r="AT13" s="633"/>
      <c r="AU13" s="633"/>
      <c r="AV13" s="633"/>
      <c r="AW13" s="633"/>
      <c r="AX13" s="633"/>
      <c r="AY13" s="633"/>
      <c r="AZ13" s="633"/>
      <c r="BA13" s="633"/>
      <c r="BB13" s="633"/>
      <c r="BC13" s="633"/>
      <c r="BD13" s="633"/>
      <c r="BE13" s="633"/>
      <c r="BF13" s="633"/>
      <c r="BG13" s="633"/>
      <c r="BH13" s="633"/>
      <c r="BI13" s="633"/>
      <c r="BJ13" s="633"/>
      <c r="BK13" s="633"/>
      <c r="BL13" s="633"/>
      <c r="BM13" s="633"/>
      <c r="BN13" s="195">
        <f t="shared" si="4"/>
        <v>0</v>
      </c>
      <c r="BO13" s="127">
        <f t="shared" si="5"/>
        <v>0</v>
      </c>
      <c r="BP13" s="127">
        <f t="shared" si="5"/>
        <v>0</v>
      </c>
      <c r="BQ13" s="127">
        <f t="shared" si="6"/>
        <v>0</v>
      </c>
      <c r="BR13" s="113">
        <f t="shared" si="7"/>
        <v>0</v>
      </c>
      <c r="BS13" s="113">
        <f t="shared" si="8"/>
        <v>0</v>
      </c>
      <c r="BT13" s="113">
        <f t="shared" si="9"/>
        <v>0</v>
      </c>
      <c r="BU13" s="113">
        <f t="shared" si="10"/>
        <v>0</v>
      </c>
      <c r="BV13" s="113">
        <f t="shared" si="11"/>
        <v>0</v>
      </c>
      <c r="BW13" s="127">
        <f t="shared" si="12"/>
        <v>0</v>
      </c>
      <c r="BX13" s="127">
        <f t="shared" si="13"/>
        <v>10</v>
      </c>
      <c r="BY13" s="2"/>
      <c r="BZ13" s="2"/>
      <c r="CA13" s="2"/>
      <c r="CB13" s="2"/>
      <c r="CC13" s="183">
        <f t="shared" si="14"/>
        <v>0</v>
      </c>
      <c r="CD13" s="183">
        <f t="shared" si="15"/>
        <v>0</v>
      </c>
      <c r="CE13" s="183">
        <f t="shared" si="16"/>
        <v>0</v>
      </c>
      <c r="CF13" s="183">
        <f t="shared" si="17"/>
        <v>0</v>
      </c>
      <c r="CG13" s="183">
        <f t="shared" si="18"/>
        <v>0</v>
      </c>
      <c r="CH13" s="183">
        <f t="shared" si="19"/>
        <v>0</v>
      </c>
      <c r="CI13" s="183">
        <f t="shared" si="20"/>
        <v>0</v>
      </c>
      <c r="CJ13" s="183">
        <f t="shared" si="21"/>
        <v>0</v>
      </c>
      <c r="CK13" s="183">
        <f t="shared" si="22"/>
        <v>0</v>
      </c>
      <c r="CL13">
        <f t="shared" si="23"/>
        <v>0</v>
      </c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</row>
    <row r="14" spans="1:179" ht="18.75">
      <c r="A14" s="43">
        <v>8</v>
      </c>
      <c r="B14" s="512">
        <f>'REGISTRO DATOS'!C20</f>
        <v>0</v>
      </c>
      <c r="C14" s="513">
        <f>'REGISTRO DATOS'!D20</f>
        <v>0</v>
      </c>
      <c r="D14" s="509" t="str">
        <f>'REGISTRO DATOS'!E20</f>
        <v>YASCINI</v>
      </c>
      <c r="E14" s="1079"/>
      <c r="F14" s="509">
        <f t="shared" si="0"/>
        <v>0</v>
      </c>
      <c r="G14" s="509">
        <f t="shared" si="1"/>
        <v>0</v>
      </c>
      <c r="H14" s="509">
        <f t="shared" si="2"/>
        <v>0</v>
      </c>
      <c r="I14" s="510">
        <f t="shared" si="3"/>
        <v>10</v>
      </c>
      <c r="J14" s="514"/>
      <c r="K14" s="633"/>
      <c r="L14" s="633"/>
      <c r="M14" s="633"/>
      <c r="N14" s="633"/>
      <c r="O14" s="633"/>
      <c r="P14" s="633"/>
      <c r="Q14" s="633"/>
      <c r="R14" s="633"/>
      <c r="S14" s="633"/>
      <c r="T14" s="633"/>
      <c r="U14" s="633"/>
      <c r="V14" s="633"/>
      <c r="W14" s="633"/>
      <c r="X14" s="633"/>
      <c r="Y14" s="633"/>
      <c r="Z14" s="633"/>
      <c r="AA14" s="633"/>
      <c r="AB14" s="633"/>
      <c r="AC14" s="633"/>
      <c r="AD14" s="633"/>
      <c r="AE14" s="633"/>
      <c r="AF14" s="633"/>
      <c r="AG14" s="633"/>
      <c r="AH14" s="633"/>
      <c r="AI14" s="633"/>
      <c r="AJ14" s="633"/>
      <c r="AK14" s="633"/>
      <c r="AL14" s="633"/>
      <c r="AM14" s="633"/>
      <c r="AN14" s="633"/>
      <c r="AO14" s="633"/>
      <c r="AP14" s="633"/>
      <c r="AQ14" s="633"/>
      <c r="AR14" s="633"/>
      <c r="AS14" s="633"/>
      <c r="AT14" s="633"/>
      <c r="AU14" s="633"/>
      <c r="AV14" s="633"/>
      <c r="AW14" s="633"/>
      <c r="AX14" s="633"/>
      <c r="AY14" s="633"/>
      <c r="AZ14" s="633"/>
      <c r="BA14" s="633"/>
      <c r="BB14" s="633"/>
      <c r="BC14" s="633"/>
      <c r="BD14" s="633"/>
      <c r="BE14" s="633"/>
      <c r="BF14" s="633"/>
      <c r="BG14" s="633"/>
      <c r="BH14" s="633"/>
      <c r="BI14" s="633"/>
      <c r="BJ14" s="633"/>
      <c r="BK14" s="633"/>
      <c r="BL14" s="633"/>
      <c r="BM14" s="633"/>
      <c r="BN14" s="195">
        <f t="shared" si="4"/>
        <v>0</v>
      </c>
      <c r="BO14" s="127">
        <f t="shared" si="5"/>
        <v>0</v>
      </c>
      <c r="BP14" s="127">
        <f t="shared" si="5"/>
        <v>0</v>
      </c>
      <c r="BQ14" s="127">
        <f t="shared" si="6"/>
        <v>0</v>
      </c>
      <c r="BR14" s="113">
        <f t="shared" si="7"/>
        <v>0</v>
      </c>
      <c r="BS14" s="113">
        <f t="shared" si="8"/>
        <v>0</v>
      </c>
      <c r="BT14" s="113">
        <f t="shared" si="9"/>
        <v>0</v>
      </c>
      <c r="BU14" s="113">
        <f t="shared" si="10"/>
        <v>0</v>
      </c>
      <c r="BV14" s="113">
        <f t="shared" si="11"/>
        <v>0</v>
      </c>
      <c r="BW14" s="127">
        <f t="shared" si="12"/>
        <v>0</v>
      </c>
      <c r="BX14" s="127">
        <f t="shared" si="13"/>
        <v>10</v>
      </c>
      <c r="BY14" s="2"/>
      <c r="BZ14" s="2"/>
      <c r="CA14" s="2"/>
      <c r="CB14" s="2"/>
      <c r="CC14" s="183">
        <f t="shared" si="14"/>
        <v>0</v>
      </c>
      <c r="CD14" s="183">
        <f t="shared" si="15"/>
        <v>0</v>
      </c>
      <c r="CE14" s="183">
        <f t="shared" si="16"/>
        <v>0</v>
      </c>
      <c r="CF14" s="183">
        <f t="shared" si="17"/>
        <v>0</v>
      </c>
      <c r="CG14" s="183">
        <f t="shared" si="18"/>
        <v>0</v>
      </c>
      <c r="CH14" s="183">
        <f t="shared" si="19"/>
        <v>0</v>
      </c>
      <c r="CI14" s="183">
        <f t="shared" si="20"/>
        <v>0</v>
      </c>
      <c r="CJ14" s="183">
        <f t="shared" si="21"/>
        <v>0</v>
      </c>
      <c r="CK14" s="183">
        <f t="shared" si="22"/>
        <v>0</v>
      </c>
      <c r="CL14">
        <f t="shared" si="23"/>
        <v>0</v>
      </c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</row>
    <row r="15" spans="1:179" ht="18.75">
      <c r="A15" s="43">
        <v>9</v>
      </c>
      <c r="B15" s="512" t="str">
        <f>'REGISTRO DATOS'!C21</f>
        <v>CUBILLO</v>
      </c>
      <c r="C15" s="513">
        <f>'REGISTRO DATOS'!D21</f>
        <v>0</v>
      </c>
      <c r="D15" s="509" t="str">
        <f>'REGISTRO DATOS'!E21</f>
        <v xml:space="preserve">DYLAN </v>
      </c>
      <c r="E15" s="1079"/>
      <c r="F15" s="509">
        <f t="shared" si="0"/>
        <v>0</v>
      </c>
      <c r="G15" s="509">
        <f t="shared" si="1"/>
        <v>0</v>
      </c>
      <c r="H15" s="509">
        <f t="shared" si="2"/>
        <v>0</v>
      </c>
      <c r="I15" s="510">
        <f t="shared" si="3"/>
        <v>10</v>
      </c>
      <c r="J15" s="514"/>
      <c r="K15" s="633"/>
      <c r="L15" s="633"/>
      <c r="M15" s="633"/>
      <c r="N15" s="633"/>
      <c r="O15" s="633"/>
      <c r="P15" s="633"/>
      <c r="Q15" s="633"/>
      <c r="R15" s="633"/>
      <c r="S15" s="633"/>
      <c r="T15" s="633"/>
      <c r="U15" s="633"/>
      <c r="V15" s="633"/>
      <c r="W15" s="633"/>
      <c r="X15" s="633"/>
      <c r="Y15" s="633"/>
      <c r="Z15" s="633"/>
      <c r="AA15" s="633"/>
      <c r="AB15" s="633"/>
      <c r="AC15" s="633"/>
      <c r="AD15" s="633"/>
      <c r="AE15" s="633"/>
      <c r="AF15" s="633"/>
      <c r="AG15" s="633"/>
      <c r="AH15" s="633"/>
      <c r="AI15" s="633"/>
      <c r="AJ15" s="633"/>
      <c r="AK15" s="633"/>
      <c r="AL15" s="633"/>
      <c r="AM15" s="633"/>
      <c r="AN15" s="633"/>
      <c r="AO15" s="633"/>
      <c r="AP15" s="633"/>
      <c r="AQ15" s="633"/>
      <c r="AR15" s="633"/>
      <c r="AS15" s="633"/>
      <c r="AT15" s="633"/>
      <c r="AU15" s="633"/>
      <c r="AV15" s="633"/>
      <c r="AW15" s="633"/>
      <c r="AX15" s="633"/>
      <c r="AY15" s="633"/>
      <c r="AZ15" s="633"/>
      <c r="BA15" s="633"/>
      <c r="BB15" s="633"/>
      <c r="BC15" s="633"/>
      <c r="BD15" s="633"/>
      <c r="BE15" s="633"/>
      <c r="BF15" s="633"/>
      <c r="BG15" s="633"/>
      <c r="BH15" s="633"/>
      <c r="BI15" s="633"/>
      <c r="BJ15" s="633"/>
      <c r="BK15" s="633"/>
      <c r="BL15" s="633"/>
      <c r="BM15" s="633"/>
      <c r="BN15" s="195">
        <f t="shared" si="4"/>
        <v>0</v>
      </c>
      <c r="BO15" s="127">
        <f t="shared" si="5"/>
        <v>0</v>
      </c>
      <c r="BP15" s="127">
        <f t="shared" si="5"/>
        <v>0</v>
      </c>
      <c r="BQ15" s="127">
        <f t="shared" si="6"/>
        <v>0</v>
      </c>
      <c r="BR15" s="113">
        <f t="shared" si="7"/>
        <v>0</v>
      </c>
      <c r="BS15" s="113">
        <f t="shared" si="8"/>
        <v>0</v>
      </c>
      <c r="BT15" s="113">
        <f t="shared" si="9"/>
        <v>0</v>
      </c>
      <c r="BU15" s="113">
        <f t="shared" si="10"/>
        <v>0</v>
      </c>
      <c r="BV15" s="113">
        <f t="shared" si="11"/>
        <v>0</v>
      </c>
      <c r="BW15" s="127">
        <f t="shared" si="12"/>
        <v>0</v>
      </c>
      <c r="BX15" s="127">
        <f t="shared" si="13"/>
        <v>10</v>
      </c>
      <c r="BY15" s="2"/>
      <c r="BZ15" s="2"/>
      <c r="CA15" s="2"/>
      <c r="CB15" s="2"/>
      <c r="CC15" s="183">
        <f t="shared" si="14"/>
        <v>0</v>
      </c>
      <c r="CD15" s="183">
        <f t="shared" si="15"/>
        <v>0</v>
      </c>
      <c r="CE15" s="183">
        <f t="shared" si="16"/>
        <v>0</v>
      </c>
      <c r="CF15" s="183">
        <f t="shared" si="17"/>
        <v>0</v>
      </c>
      <c r="CG15" s="183">
        <f t="shared" si="18"/>
        <v>0</v>
      </c>
      <c r="CH15" s="183">
        <f t="shared" si="19"/>
        <v>0</v>
      </c>
      <c r="CI15" s="183">
        <f t="shared" si="20"/>
        <v>0</v>
      </c>
      <c r="CJ15" s="183">
        <f t="shared" si="21"/>
        <v>0</v>
      </c>
      <c r="CK15" s="183">
        <f t="shared" si="22"/>
        <v>0</v>
      </c>
      <c r="CL15">
        <f t="shared" si="23"/>
        <v>0</v>
      </c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</row>
    <row r="16" spans="1:179" ht="18.75">
      <c r="A16" s="43">
        <v>10</v>
      </c>
      <c r="B16" s="512">
        <f>'REGISTRO DATOS'!C22</f>
        <v>0</v>
      </c>
      <c r="C16" s="513">
        <f>'REGISTRO DATOS'!D22</f>
        <v>0</v>
      </c>
      <c r="D16" s="509" t="str">
        <f>'REGISTRO DATOS'!E22</f>
        <v>KATTYA</v>
      </c>
      <c r="E16" s="1079"/>
      <c r="F16" s="509">
        <f t="shared" si="0"/>
        <v>0</v>
      </c>
      <c r="G16" s="509">
        <f t="shared" si="1"/>
        <v>0</v>
      </c>
      <c r="H16" s="509">
        <f t="shared" si="2"/>
        <v>0</v>
      </c>
      <c r="I16" s="510">
        <f t="shared" si="3"/>
        <v>10</v>
      </c>
      <c r="J16" s="514"/>
      <c r="K16" s="633"/>
      <c r="L16" s="633"/>
      <c r="M16" s="633"/>
      <c r="N16" s="633"/>
      <c r="O16" s="633"/>
      <c r="P16" s="633"/>
      <c r="Q16" s="633"/>
      <c r="R16" s="633"/>
      <c r="S16" s="633"/>
      <c r="T16" s="633"/>
      <c r="U16" s="633"/>
      <c r="V16" s="633"/>
      <c r="W16" s="633"/>
      <c r="X16" s="633"/>
      <c r="Y16" s="633"/>
      <c r="Z16" s="633"/>
      <c r="AA16" s="633"/>
      <c r="AB16" s="633"/>
      <c r="AC16" s="633"/>
      <c r="AD16" s="633"/>
      <c r="AE16" s="633"/>
      <c r="AF16" s="633"/>
      <c r="AG16" s="633"/>
      <c r="AH16" s="633"/>
      <c r="AI16" s="633"/>
      <c r="AJ16" s="633"/>
      <c r="AK16" s="633"/>
      <c r="AL16" s="633"/>
      <c r="AM16" s="633"/>
      <c r="AN16" s="633"/>
      <c r="AO16" s="633"/>
      <c r="AP16" s="633"/>
      <c r="AQ16" s="633"/>
      <c r="AR16" s="633"/>
      <c r="AS16" s="633"/>
      <c r="AT16" s="633"/>
      <c r="AU16" s="633"/>
      <c r="AV16" s="633"/>
      <c r="AW16" s="633"/>
      <c r="AX16" s="633"/>
      <c r="AY16" s="633"/>
      <c r="AZ16" s="633"/>
      <c r="BA16" s="633"/>
      <c r="BB16" s="633"/>
      <c r="BC16" s="633"/>
      <c r="BD16" s="633"/>
      <c r="BE16" s="633"/>
      <c r="BF16" s="633"/>
      <c r="BG16" s="633"/>
      <c r="BH16" s="633"/>
      <c r="BI16" s="633"/>
      <c r="BJ16" s="633"/>
      <c r="BK16" s="633"/>
      <c r="BL16" s="633"/>
      <c r="BM16" s="633"/>
      <c r="BN16" s="195">
        <f t="shared" si="4"/>
        <v>0</v>
      </c>
      <c r="BO16" s="127">
        <f t="shared" si="5"/>
        <v>0</v>
      </c>
      <c r="BP16" s="127">
        <f t="shared" si="5"/>
        <v>0</v>
      </c>
      <c r="BQ16" s="127">
        <f t="shared" si="6"/>
        <v>0</v>
      </c>
      <c r="BR16" s="113">
        <f t="shared" si="7"/>
        <v>0</v>
      </c>
      <c r="BS16" s="113">
        <f t="shared" si="8"/>
        <v>0</v>
      </c>
      <c r="BT16" s="113">
        <f t="shared" si="9"/>
        <v>0</v>
      </c>
      <c r="BU16" s="113">
        <f t="shared" si="10"/>
        <v>0</v>
      </c>
      <c r="BV16" s="113">
        <f t="shared" si="11"/>
        <v>0</v>
      </c>
      <c r="BW16" s="127">
        <f t="shared" si="12"/>
        <v>0</v>
      </c>
      <c r="BX16" s="127">
        <f t="shared" si="13"/>
        <v>10</v>
      </c>
      <c r="BY16" s="2"/>
      <c r="BZ16" s="2"/>
      <c r="CA16" s="2"/>
      <c r="CB16" s="2"/>
      <c r="CC16" s="183">
        <f t="shared" si="14"/>
        <v>0</v>
      </c>
      <c r="CD16" s="183">
        <f t="shared" si="15"/>
        <v>0</v>
      </c>
      <c r="CE16" s="183">
        <f t="shared" si="16"/>
        <v>0</v>
      </c>
      <c r="CF16" s="183">
        <f t="shared" si="17"/>
        <v>0</v>
      </c>
      <c r="CG16" s="183">
        <f t="shared" si="18"/>
        <v>0</v>
      </c>
      <c r="CH16" s="183">
        <f t="shared" si="19"/>
        <v>0</v>
      </c>
      <c r="CI16" s="183">
        <f t="shared" si="20"/>
        <v>0</v>
      </c>
      <c r="CJ16" s="183">
        <f t="shared" si="21"/>
        <v>0</v>
      </c>
      <c r="CK16" s="183">
        <f t="shared" si="22"/>
        <v>0</v>
      </c>
      <c r="CL16">
        <f t="shared" si="23"/>
        <v>0</v>
      </c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</row>
    <row r="17" spans="1:179" ht="18.75">
      <c r="A17" s="43">
        <v>11</v>
      </c>
      <c r="B17" s="512" t="str">
        <f>'REGISTRO DATOS'!C23</f>
        <v>BRIZUELA</v>
      </c>
      <c r="C17" s="513">
        <f>'REGISTRO DATOS'!D23</f>
        <v>0</v>
      </c>
      <c r="D17" s="509" t="str">
        <f>'REGISTRO DATOS'!E23</f>
        <v>FABIOLA</v>
      </c>
      <c r="E17" s="1079"/>
      <c r="F17" s="509">
        <f t="shared" si="0"/>
        <v>0</v>
      </c>
      <c r="G17" s="509">
        <f t="shared" si="1"/>
        <v>0</v>
      </c>
      <c r="H17" s="509">
        <f t="shared" si="2"/>
        <v>0</v>
      </c>
      <c r="I17" s="510">
        <f t="shared" si="3"/>
        <v>10</v>
      </c>
      <c r="J17" s="514"/>
      <c r="K17" s="633"/>
      <c r="L17" s="633"/>
      <c r="M17" s="633"/>
      <c r="N17" s="633"/>
      <c r="O17" s="633"/>
      <c r="P17" s="633"/>
      <c r="Q17" s="633"/>
      <c r="R17" s="633"/>
      <c r="S17" s="633"/>
      <c r="T17" s="633"/>
      <c r="U17" s="633"/>
      <c r="V17" s="633"/>
      <c r="W17" s="633"/>
      <c r="X17" s="633"/>
      <c r="Y17" s="633"/>
      <c r="Z17" s="633"/>
      <c r="AA17" s="633"/>
      <c r="AB17" s="633"/>
      <c r="AC17" s="633"/>
      <c r="AD17" s="633"/>
      <c r="AE17" s="633"/>
      <c r="AF17" s="633"/>
      <c r="AG17" s="633"/>
      <c r="AH17" s="633"/>
      <c r="AI17" s="633"/>
      <c r="AJ17" s="633"/>
      <c r="AK17" s="633"/>
      <c r="AL17" s="633"/>
      <c r="AM17" s="633"/>
      <c r="AN17" s="633"/>
      <c r="AO17" s="633"/>
      <c r="AP17" s="633"/>
      <c r="AQ17" s="633"/>
      <c r="AR17" s="633"/>
      <c r="AS17" s="633"/>
      <c r="AT17" s="633"/>
      <c r="AU17" s="633"/>
      <c r="AV17" s="633"/>
      <c r="AW17" s="633"/>
      <c r="AX17" s="633"/>
      <c r="AY17" s="633"/>
      <c r="AZ17" s="633"/>
      <c r="BA17" s="633"/>
      <c r="BB17" s="633"/>
      <c r="BC17" s="633"/>
      <c r="BD17" s="633"/>
      <c r="BE17" s="633"/>
      <c r="BF17" s="633"/>
      <c r="BG17" s="633"/>
      <c r="BH17" s="633"/>
      <c r="BI17" s="633"/>
      <c r="BJ17" s="633"/>
      <c r="BK17" s="633"/>
      <c r="BL17" s="633"/>
      <c r="BM17" s="633"/>
      <c r="BN17" s="195">
        <f t="shared" si="4"/>
        <v>0</v>
      </c>
      <c r="BO17" s="127">
        <f t="shared" si="5"/>
        <v>0</v>
      </c>
      <c r="BP17" s="127">
        <f t="shared" si="5"/>
        <v>0</v>
      </c>
      <c r="BQ17" s="127">
        <f t="shared" si="6"/>
        <v>0</v>
      </c>
      <c r="BR17" s="113">
        <f t="shared" si="7"/>
        <v>0</v>
      </c>
      <c r="BS17" s="113">
        <f t="shared" si="8"/>
        <v>0</v>
      </c>
      <c r="BT17" s="113">
        <f t="shared" si="9"/>
        <v>0</v>
      </c>
      <c r="BU17" s="113">
        <f t="shared" si="10"/>
        <v>0</v>
      </c>
      <c r="BV17" s="113">
        <f t="shared" si="11"/>
        <v>0</v>
      </c>
      <c r="BW17" s="127">
        <f t="shared" si="12"/>
        <v>0</v>
      </c>
      <c r="BX17" s="127">
        <f t="shared" si="13"/>
        <v>10</v>
      </c>
      <c r="BY17" s="2"/>
      <c r="BZ17" s="2"/>
      <c r="CA17" s="2"/>
      <c r="CB17" s="2"/>
      <c r="CC17" s="183">
        <f t="shared" si="14"/>
        <v>0</v>
      </c>
      <c r="CD17" s="183">
        <f t="shared" si="15"/>
        <v>0</v>
      </c>
      <c r="CE17" s="183">
        <f t="shared" si="16"/>
        <v>0</v>
      </c>
      <c r="CF17" s="183">
        <f t="shared" si="17"/>
        <v>0</v>
      </c>
      <c r="CG17" s="183">
        <f t="shared" si="18"/>
        <v>0</v>
      </c>
      <c r="CH17" s="183">
        <f t="shared" si="19"/>
        <v>0</v>
      </c>
      <c r="CI17" s="183">
        <f t="shared" si="20"/>
        <v>0</v>
      </c>
      <c r="CJ17" s="183">
        <f t="shared" si="21"/>
        <v>0</v>
      </c>
      <c r="CK17" s="183">
        <f t="shared" si="22"/>
        <v>0</v>
      </c>
      <c r="CL17">
        <f t="shared" si="23"/>
        <v>0</v>
      </c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</row>
    <row r="18" spans="1:179" ht="18.75">
      <c r="A18" s="43">
        <v>12</v>
      </c>
      <c r="B18" s="512">
        <f>'REGISTRO DATOS'!C24</f>
        <v>0</v>
      </c>
      <c r="C18" s="513">
        <f>'REGISTRO DATOS'!D24</f>
        <v>0</v>
      </c>
      <c r="D18" s="509" t="str">
        <f>'REGISTRO DATOS'!E24</f>
        <v>DARIANA</v>
      </c>
      <c r="E18" s="1079"/>
      <c r="F18" s="509">
        <f t="shared" si="0"/>
        <v>0</v>
      </c>
      <c r="G18" s="509">
        <f t="shared" si="1"/>
        <v>0</v>
      </c>
      <c r="H18" s="509">
        <f t="shared" si="2"/>
        <v>0</v>
      </c>
      <c r="I18" s="510">
        <f t="shared" si="3"/>
        <v>10</v>
      </c>
      <c r="J18" s="514"/>
      <c r="K18" s="633"/>
      <c r="L18" s="633"/>
      <c r="M18" s="633"/>
      <c r="N18" s="633"/>
      <c r="O18" s="633"/>
      <c r="P18" s="633"/>
      <c r="Q18" s="633"/>
      <c r="R18" s="633"/>
      <c r="S18" s="633"/>
      <c r="T18" s="633"/>
      <c r="U18" s="633"/>
      <c r="V18" s="633"/>
      <c r="W18" s="633"/>
      <c r="X18" s="633"/>
      <c r="Y18" s="633"/>
      <c r="Z18" s="633"/>
      <c r="AA18" s="633"/>
      <c r="AB18" s="633"/>
      <c r="AC18" s="633"/>
      <c r="AD18" s="633"/>
      <c r="AE18" s="633"/>
      <c r="AF18" s="633"/>
      <c r="AG18" s="633"/>
      <c r="AH18" s="633"/>
      <c r="AI18" s="633"/>
      <c r="AJ18" s="633"/>
      <c r="AK18" s="633"/>
      <c r="AL18" s="633"/>
      <c r="AM18" s="633"/>
      <c r="AN18" s="633"/>
      <c r="AO18" s="633"/>
      <c r="AP18" s="633"/>
      <c r="AQ18" s="633"/>
      <c r="AR18" s="633"/>
      <c r="AS18" s="633"/>
      <c r="AT18" s="633"/>
      <c r="AU18" s="633"/>
      <c r="AV18" s="633"/>
      <c r="AW18" s="633"/>
      <c r="AX18" s="633"/>
      <c r="AY18" s="633"/>
      <c r="AZ18" s="633"/>
      <c r="BA18" s="633"/>
      <c r="BB18" s="633"/>
      <c r="BC18" s="633"/>
      <c r="BD18" s="633"/>
      <c r="BE18" s="633"/>
      <c r="BF18" s="633"/>
      <c r="BG18" s="633"/>
      <c r="BH18" s="633"/>
      <c r="BI18" s="633"/>
      <c r="BJ18" s="633"/>
      <c r="BK18" s="633"/>
      <c r="BL18" s="633"/>
      <c r="BM18" s="633"/>
      <c r="BN18" s="195">
        <f t="shared" si="4"/>
        <v>0</v>
      </c>
      <c r="BO18" s="127">
        <f t="shared" si="5"/>
        <v>0</v>
      </c>
      <c r="BP18" s="127">
        <f t="shared" si="5"/>
        <v>0</v>
      </c>
      <c r="BQ18" s="127">
        <f t="shared" si="6"/>
        <v>0</v>
      </c>
      <c r="BR18" s="113">
        <f t="shared" si="7"/>
        <v>0</v>
      </c>
      <c r="BS18" s="113">
        <f t="shared" si="8"/>
        <v>0</v>
      </c>
      <c r="BT18" s="113">
        <f t="shared" si="9"/>
        <v>0</v>
      </c>
      <c r="BU18" s="113">
        <f t="shared" si="10"/>
        <v>0</v>
      </c>
      <c r="BV18" s="113">
        <f t="shared" si="11"/>
        <v>0</v>
      </c>
      <c r="BW18" s="127">
        <f t="shared" si="12"/>
        <v>0</v>
      </c>
      <c r="BX18" s="127">
        <f t="shared" si="13"/>
        <v>10</v>
      </c>
      <c r="BY18" s="2"/>
      <c r="BZ18" s="2"/>
      <c r="CA18" s="2"/>
      <c r="CB18" s="2"/>
      <c r="CC18" s="183">
        <f t="shared" si="14"/>
        <v>0</v>
      </c>
      <c r="CD18" s="183">
        <f t="shared" si="15"/>
        <v>0</v>
      </c>
      <c r="CE18" s="183">
        <f t="shared" si="16"/>
        <v>0</v>
      </c>
      <c r="CF18" s="183">
        <f t="shared" si="17"/>
        <v>0</v>
      </c>
      <c r="CG18" s="183">
        <f t="shared" si="18"/>
        <v>0</v>
      </c>
      <c r="CH18" s="183">
        <f t="shared" si="19"/>
        <v>0</v>
      </c>
      <c r="CI18" s="183">
        <f t="shared" si="20"/>
        <v>0</v>
      </c>
      <c r="CJ18" s="183">
        <f t="shared" si="21"/>
        <v>0</v>
      </c>
      <c r="CK18" s="183">
        <f t="shared" si="22"/>
        <v>0</v>
      </c>
      <c r="CL18">
        <f t="shared" si="23"/>
        <v>0</v>
      </c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</row>
    <row r="19" spans="1:179" ht="18.75">
      <c r="A19" s="43">
        <v>13</v>
      </c>
      <c r="B19" s="512">
        <f>'REGISTRO DATOS'!C25</f>
        <v>0</v>
      </c>
      <c r="C19" s="513">
        <f>'REGISTRO DATOS'!D25</f>
        <v>0</v>
      </c>
      <c r="D19" s="509" t="str">
        <f>'REGISTRO DATOS'!E25</f>
        <v>JENIFER</v>
      </c>
      <c r="E19" s="1079"/>
      <c r="F19" s="509">
        <f t="shared" si="0"/>
        <v>0</v>
      </c>
      <c r="G19" s="509">
        <f t="shared" si="1"/>
        <v>0</v>
      </c>
      <c r="H19" s="509">
        <f t="shared" si="2"/>
        <v>0</v>
      </c>
      <c r="I19" s="510">
        <f t="shared" si="3"/>
        <v>10</v>
      </c>
      <c r="J19" s="514"/>
      <c r="K19" s="633"/>
      <c r="L19" s="633"/>
      <c r="M19" s="633"/>
      <c r="N19" s="633"/>
      <c r="O19" s="633"/>
      <c r="P19" s="633"/>
      <c r="Q19" s="633"/>
      <c r="R19" s="633"/>
      <c r="S19" s="633"/>
      <c r="T19" s="633"/>
      <c r="U19" s="633"/>
      <c r="V19" s="633"/>
      <c r="W19" s="633"/>
      <c r="X19" s="633"/>
      <c r="Y19" s="633"/>
      <c r="Z19" s="633"/>
      <c r="AA19" s="633"/>
      <c r="AB19" s="633"/>
      <c r="AC19" s="633"/>
      <c r="AD19" s="633"/>
      <c r="AE19" s="633"/>
      <c r="AF19" s="633"/>
      <c r="AG19" s="633"/>
      <c r="AH19" s="633"/>
      <c r="AI19" s="633"/>
      <c r="AJ19" s="633"/>
      <c r="AK19" s="633"/>
      <c r="AL19" s="633"/>
      <c r="AM19" s="633"/>
      <c r="AN19" s="633"/>
      <c r="AO19" s="633"/>
      <c r="AP19" s="633"/>
      <c r="AQ19" s="633"/>
      <c r="AR19" s="633"/>
      <c r="AS19" s="633"/>
      <c r="AT19" s="633"/>
      <c r="AU19" s="633"/>
      <c r="AV19" s="633"/>
      <c r="AW19" s="633"/>
      <c r="AX19" s="633"/>
      <c r="AY19" s="633"/>
      <c r="AZ19" s="633"/>
      <c r="BA19" s="633"/>
      <c r="BB19" s="633"/>
      <c r="BC19" s="633"/>
      <c r="BD19" s="633"/>
      <c r="BE19" s="633"/>
      <c r="BF19" s="633"/>
      <c r="BG19" s="633"/>
      <c r="BH19" s="633"/>
      <c r="BI19" s="633"/>
      <c r="BJ19" s="633"/>
      <c r="BK19" s="633"/>
      <c r="BL19" s="633"/>
      <c r="BM19" s="633"/>
      <c r="BN19" s="195">
        <f t="shared" si="4"/>
        <v>0</v>
      </c>
      <c r="BO19" s="127">
        <f t="shared" si="5"/>
        <v>0</v>
      </c>
      <c r="BP19" s="127">
        <f t="shared" si="5"/>
        <v>0</v>
      </c>
      <c r="BQ19" s="127">
        <f t="shared" si="6"/>
        <v>0</v>
      </c>
      <c r="BR19" s="113">
        <f t="shared" si="7"/>
        <v>0</v>
      </c>
      <c r="BS19" s="113">
        <f t="shared" si="8"/>
        <v>0</v>
      </c>
      <c r="BT19" s="113">
        <f t="shared" si="9"/>
        <v>0</v>
      </c>
      <c r="BU19" s="113">
        <f t="shared" si="10"/>
        <v>0</v>
      </c>
      <c r="BV19" s="113">
        <f t="shared" si="11"/>
        <v>0</v>
      </c>
      <c r="BW19" s="127">
        <f t="shared" si="12"/>
        <v>0</v>
      </c>
      <c r="BX19" s="127">
        <f t="shared" si="13"/>
        <v>10</v>
      </c>
      <c r="BY19" s="2"/>
      <c r="BZ19" s="2"/>
      <c r="CA19" s="2"/>
      <c r="CB19" s="2"/>
      <c r="CC19" s="183">
        <f t="shared" si="14"/>
        <v>0</v>
      </c>
      <c r="CD19" s="183">
        <f t="shared" si="15"/>
        <v>0</v>
      </c>
      <c r="CE19" s="183">
        <f t="shared" si="16"/>
        <v>0</v>
      </c>
      <c r="CF19" s="183">
        <f t="shared" si="17"/>
        <v>0</v>
      </c>
      <c r="CG19" s="183">
        <f t="shared" si="18"/>
        <v>0</v>
      </c>
      <c r="CH19" s="183">
        <f t="shared" si="19"/>
        <v>0</v>
      </c>
      <c r="CI19" s="183">
        <f t="shared" si="20"/>
        <v>0</v>
      </c>
      <c r="CJ19" s="183">
        <f t="shared" si="21"/>
        <v>0</v>
      </c>
      <c r="CK19" s="183">
        <f t="shared" si="22"/>
        <v>0</v>
      </c>
      <c r="CL19">
        <f t="shared" si="23"/>
        <v>0</v>
      </c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</row>
    <row r="20" spans="1:179" ht="18.75">
      <c r="A20" s="43">
        <v>14</v>
      </c>
      <c r="B20" s="512">
        <f>'REGISTRO DATOS'!C26</f>
        <v>0</v>
      </c>
      <c r="C20" s="513">
        <f>'REGISTRO DATOS'!D26</f>
        <v>0</v>
      </c>
      <c r="D20" s="509" t="str">
        <f>'REGISTRO DATOS'!E26</f>
        <v>GABRIELA</v>
      </c>
      <c r="E20" s="1079"/>
      <c r="F20" s="509">
        <f t="shared" si="0"/>
        <v>0</v>
      </c>
      <c r="G20" s="509">
        <f t="shared" si="1"/>
        <v>0</v>
      </c>
      <c r="H20" s="509">
        <f t="shared" si="2"/>
        <v>0</v>
      </c>
      <c r="I20" s="510">
        <f t="shared" si="3"/>
        <v>10</v>
      </c>
      <c r="J20" s="514"/>
      <c r="K20" s="633"/>
      <c r="L20" s="633"/>
      <c r="M20" s="633"/>
      <c r="N20" s="633"/>
      <c r="O20" s="633"/>
      <c r="P20" s="633"/>
      <c r="Q20" s="633"/>
      <c r="R20" s="633"/>
      <c r="S20" s="633"/>
      <c r="T20" s="633"/>
      <c r="U20" s="633"/>
      <c r="V20" s="633"/>
      <c r="W20" s="633"/>
      <c r="X20" s="633"/>
      <c r="Y20" s="633"/>
      <c r="Z20" s="633"/>
      <c r="AA20" s="633"/>
      <c r="AB20" s="633"/>
      <c r="AC20" s="633"/>
      <c r="AD20" s="633"/>
      <c r="AE20" s="633"/>
      <c r="AF20" s="633"/>
      <c r="AG20" s="633"/>
      <c r="AH20" s="633"/>
      <c r="AI20" s="633"/>
      <c r="AJ20" s="633"/>
      <c r="AK20" s="633"/>
      <c r="AL20" s="633"/>
      <c r="AM20" s="633"/>
      <c r="AN20" s="633"/>
      <c r="AO20" s="633"/>
      <c r="AP20" s="633"/>
      <c r="AQ20" s="633"/>
      <c r="AR20" s="633"/>
      <c r="AS20" s="633"/>
      <c r="AT20" s="633"/>
      <c r="AU20" s="633"/>
      <c r="AV20" s="633"/>
      <c r="AW20" s="633"/>
      <c r="AX20" s="633"/>
      <c r="AY20" s="633"/>
      <c r="AZ20" s="633"/>
      <c r="BA20" s="633"/>
      <c r="BB20" s="633"/>
      <c r="BC20" s="633"/>
      <c r="BD20" s="633"/>
      <c r="BE20" s="633"/>
      <c r="BF20" s="633"/>
      <c r="BG20" s="633"/>
      <c r="BH20" s="633"/>
      <c r="BI20" s="633"/>
      <c r="BJ20" s="633"/>
      <c r="BK20" s="633"/>
      <c r="BL20" s="633"/>
      <c r="BM20" s="633"/>
      <c r="BN20" s="195">
        <f t="shared" si="4"/>
        <v>0</v>
      </c>
      <c r="BO20" s="127">
        <f t="shared" si="5"/>
        <v>0</v>
      </c>
      <c r="BP20" s="127">
        <f t="shared" si="5"/>
        <v>0</v>
      </c>
      <c r="BQ20" s="127">
        <f t="shared" si="6"/>
        <v>0</v>
      </c>
      <c r="BR20" s="113">
        <f t="shared" si="7"/>
        <v>0</v>
      </c>
      <c r="BS20" s="113">
        <f t="shared" si="8"/>
        <v>0</v>
      </c>
      <c r="BT20" s="113">
        <f t="shared" si="9"/>
        <v>0</v>
      </c>
      <c r="BU20" s="113">
        <f t="shared" si="10"/>
        <v>0</v>
      </c>
      <c r="BV20" s="113">
        <f t="shared" si="11"/>
        <v>0</v>
      </c>
      <c r="BW20" s="127">
        <f t="shared" si="12"/>
        <v>0</v>
      </c>
      <c r="BX20" s="127">
        <f t="shared" si="13"/>
        <v>10</v>
      </c>
      <c r="BY20" s="2"/>
      <c r="BZ20" s="2"/>
      <c r="CA20" s="2"/>
      <c r="CB20" s="2"/>
      <c r="CC20" s="183">
        <f t="shared" si="14"/>
        <v>0</v>
      </c>
      <c r="CD20" s="183">
        <f t="shared" si="15"/>
        <v>0</v>
      </c>
      <c r="CE20" s="183">
        <f t="shared" si="16"/>
        <v>0</v>
      </c>
      <c r="CF20" s="183">
        <f t="shared" si="17"/>
        <v>0</v>
      </c>
      <c r="CG20" s="183">
        <f t="shared" si="18"/>
        <v>0</v>
      </c>
      <c r="CH20" s="183">
        <f t="shared" si="19"/>
        <v>0</v>
      </c>
      <c r="CI20" s="183">
        <f t="shared" si="20"/>
        <v>0</v>
      </c>
      <c r="CJ20" s="183">
        <f t="shared" si="21"/>
        <v>0</v>
      </c>
      <c r="CK20" s="183">
        <f t="shared" si="22"/>
        <v>0</v>
      </c>
      <c r="CL20">
        <f t="shared" si="23"/>
        <v>0</v>
      </c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</row>
    <row r="21" spans="1:179" ht="18.75">
      <c r="A21" s="43">
        <v>15</v>
      </c>
      <c r="B21" s="512" t="str">
        <f>'REGISTRO DATOS'!C27</f>
        <v xml:space="preserve">SERRANO </v>
      </c>
      <c r="C21" s="513" t="str">
        <f>'REGISTRO DATOS'!D27</f>
        <v>VILLEGAS</v>
      </c>
      <c r="D21" s="509" t="str">
        <f>'REGISTRO DATOS'!E27</f>
        <v xml:space="preserve">DYLAN </v>
      </c>
      <c r="E21" s="1079"/>
      <c r="F21" s="509">
        <f t="shared" si="0"/>
        <v>0</v>
      </c>
      <c r="G21" s="509">
        <f t="shared" si="1"/>
        <v>0</v>
      </c>
      <c r="H21" s="509">
        <f t="shared" si="2"/>
        <v>0</v>
      </c>
      <c r="I21" s="510">
        <f t="shared" si="3"/>
        <v>10</v>
      </c>
      <c r="J21" s="514"/>
      <c r="K21" s="633"/>
      <c r="L21" s="633"/>
      <c r="M21" s="633"/>
      <c r="N21" s="633"/>
      <c r="O21" s="633"/>
      <c r="P21" s="633"/>
      <c r="Q21" s="633"/>
      <c r="R21" s="633"/>
      <c r="S21" s="633"/>
      <c r="T21" s="633"/>
      <c r="U21" s="633"/>
      <c r="V21" s="633"/>
      <c r="W21" s="633"/>
      <c r="X21" s="633"/>
      <c r="Y21" s="633"/>
      <c r="Z21" s="633"/>
      <c r="AA21" s="633"/>
      <c r="AB21" s="633"/>
      <c r="AC21" s="633"/>
      <c r="AD21" s="633"/>
      <c r="AE21" s="633"/>
      <c r="AF21" s="633"/>
      <c r="AG21" s="633"/>
      <c r="AH21" s="633"/>
      <c r="AI21" s="633"/>
      <c r="AJ21" s="633"/>
      <c r="AK21" s="633"/>
      <c r="AL21" s="633"/>
      <c r="AM21" s="633"/>
      <c r="AN21" s="633"/>
      <c r="AO21" s="633"/>
      <c r="AP21" s="633"/>
      <c r="AQ21" s="633"/>
      <c r="AR21" s="633"/>
      <c r="AS21" s="633"/>
      <c r="AT21" s="633"/>
      <c r="AU21" s="633"/>
      <c r="AV21" s="633"/>
      <c r="AW21" s="633"/>
      <c r="AX21" s="633"/>
      <c r="AY21" s="633"/>
      <c r="AZ21" s="633"/>
      <c r="BA21" s="633"/>
      <c r="BB21" s="633"/>
      <c r="BC21" s="633"/>
      <c r="BD21" s="633"/>
      <c r="BE21" s="633"/>
      <c r="BF21" s="633"/>
      <c r="BG21" s="633"/>
      <c r="BH21" s="633"/>
      <c r="BI21" s="633"/>
      <c r="BJ21" s="633"/>
      <c r="BK21" s="633"/>
      <c r="BL21" s="633"/>
      <c r="BM21" s="633"/>
      <c r="BN21" s="195">
        <f t="shared" si="4"/>
        <v>0</v>
      </c>
      <c r="BO21" s="127">
        <f t="shared" si="5"/>
        <v>0</v>
      </c>
      <c r="BP21" s="127">
        <f t="shared" si="5"/>
        <v>0</v>
      </c>
      <c r="BQ21" s="127">
        <f t="shared" si="6"/>
        <v>0</v>
      </c>
      <c r="BR21" s="113">
        <f t="shared" si="7"/>
        <v>0</v>
      </c>
      <c r="BS21" s="113">
        <f t="shared" si="8"/>
        <v>0</v>
      </c>
      <c r="BT21" s="113">
        <f t="shared" si="9"/>
        <v>0</v>
      </c>
      <c r="BU21" s="113">
        <f t="shared" si="10"/>
        <v>0</v>
      </c>
      <c r="BV21" s="113">
        <f t="shared" si="11"/>
        <v>0</v>
      </c>
      <c r="BW21" s="127">
        <f t="shared" si="12"/>
        <v>0</v>
      </c>
      <c r="BX21" s="127">
        <f t="shared" si="13"/>
        <v>10</v>
      </c>
      <c r="BY21" s="2"/>
      <c r="BZ21" s="2"/>
      <c r="CA21" s="2"/>
      <c r="CB21" s="2"/>
      <c r="CC21" s="183">
        <f t="shared" si="14"/>
        <v>0</v>
      </c>
      <c r="CD21" s="183">
        <f t="shared" si="15"/>
        <v>0</v>
      </c>
      <c r="CE21" s="183">
        <f t="shared" si="16"/>
        <v>0</v>
      </c>
      <c r="CF21" s="183">
        <f t="shared" si="17"/>
        <v>0</v>
      </c>
      <c r="CG21" s="183">
        <f t="shared" si="18"/>
        <v>0</v>
      </c>
      <c r="CH21" s="183">
        <f t="shared" si="19"/>
        <v>0</v>
      </c>
      <c r="CI21" s="183">
        <f t="shared" si="20"/>
        <v>0</v>
      </c>
      <c r="CJ21" s="183">
        <f t="shared" si="21"/>
        <v>0</v>
      </c>
      <c r="CK21" s="183">
        <f t="shared" si="22"/>
        <v>0</v>
      </c>
      <c r="CL21">
        <f t="shared" si="23"/>
        <v>0</v>
      </c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</row>
    <row r="22" spans="1:179" ht="18.75">
      <c r="A22" s="43">
        <v>16</v>
      </c>
      <c r="B22" s="512">
        <f>'REGISTRO DATOS'!C28</f>
        <v>0</v>
      </c>
      <c r="C22" s="513">
        <f>'REGISTRO DATOS'!D28</f>
        <v>0</v>
      </c>
      <c r="D22" s="509" t="str">
        <f>'REGISTRO DATOS'!E28</f>
        <v>ANA</v>
      </c>
      <c r="E22" s="1079"/>
      <c r="F22" s="509">
        <f t="shared" si="0"/>
        <v>0</v>
      </c>
      <c r="G22" s="509">
        <f t="shared" si="1"/>
        <v>0</v>
      </c>
      <c r="H22" s="509">
        <f t="shared" si="2"/>
        <v>0</v>
      </c>
      <c r="I22" s="510">
        <f t="shared" si="3"/>
        <v>10</v>
      </c>
      <c r="J22" s="514"/>
      <c r="K22" s="633"/>
      <c r="L22" s="633"/>
      <c r="M22" s="633"/>
      <c r="N22" s="633"/>
      <c r="O22" s="633"/>
      <c r="P22" s="633"/>
      <c r="Q22" s="633"/>
      <c r="R22" s="633"/>
      <c r="S22" s="633"/>
      <c r="T22" s="633"/>
      <c r="U22" s="633"/>
      <c r="V22" s="633"/>
      <c r="W22" s="633"/>
      <c r="X22" s="633"/>
      <c r="Y22" s="633"/>
      <c r="Z22" s="633"/>
      <c r="AA22" s="633"/>
      <c r="AB22" s="633"/>
      <c r="AC22" s="633"/>
      <c r="AD22" s="633"/>
      <c r="AE22" s="633"/>
      <c r="AF22" s="633"/>
      <c r="AG22" s="633"/>
      <c r="AH22" s="633"/>
      <c r="AI22" s="633"/>
      <c r="AJ22" s="633"/>
      <c r="AK22" s="633"/>
      <c r="AL22" s="633"/>
      <c r="AM22" s="633"/>
      <c r="AN22" s="633"/>
      <c r="AO22" s="633"/>
      <c r="AP22" s="633"/>
      <c r="AQ22" s="633"/>
      <c r="AR22" s="633"/>
      <c r="AS22" s="633"/>
      <c r="AT22" s="633"/>
      <c r="AU22" s="633"/>
      <c r="AV22" s="633"/>
      <c r="AW22" s="633"/>
      <c r="AX22" s="633"/>
      <c r="AY22" s="633"/>
      <c r="AZ22" s="633"/>
      <c r="BA22" s="633"/>
      <c r="BB22" s="633"/>
      <c r="BC22" s="633"/>
      <c r="BD22" s="633"/>
      <c r="BE22" s="633"/>
      <c r="BF22" s="633"/>
      <c r="BG22" s="633"/>
      <c r="BH22" s="633"/>
      <c r="BI22" s="633"/>
      <c r="BJ22" s="633"/>
      <c r="BK22" s="633"/>
      <c r="BL22" s="633"/>
      <c r="BM22" s="633"/>
      <c r="BN22" s="195">
        <f t="shared" si="4"/>
        <v>0</v>
      </c>
      <c r="BO22" s="127">
        <f t="shared" si="5"/>
        <v>0</v>
      </c>
      <c r="BP22" s="127">
        <f t="shared" si="5"/>
        <v>0</v>
      </c>
      <c r="BQ22" s="127">
        <f t="shared" si="6"/>
        <v>0</v>
      </c>
      <c r="BR22" s="113">
        <f t="shared" si="7"/>
        <v>0</v>
      </c>
      <c r="BS22" s="113">
        <f t="shared" si="8"/>
        <v>0</v>
      </c>
      <c r="BT22" s="113">
        <f t="shared" si="9"/>
        <v>0</v>
      </c>
      <c r="BU22" s="113">
        <f t="shared" si="10"/>
        <v>0</v>
      </c>
      <c r="BV22" s="113">
        <f t="shared" si="11"/>
        <v>0</v>
      </c>
      <c r="BW22" s="127">
        <f t="shared" si="12"/>
        <v>0</v>
      </c>
      <c r="BX22" s="127">
        <f t="shared" si="13"/>
        <v>10</v>
      </c>
      <c r="BY22" s="2"/>
      <c r="BZ22" s="2"/>
      <c r="CA22" s="2"/>
      <c r="CB22" s="2"/>
      <c r="CC22" s="183">
        <f t="shared" si="14"/>
        <v>0</v>
      </c>
      <c r="CD22" s="183">
        <f t="shared" si="15"/>
        <v>0</v>
      </c>
      <c r="CE22" s="183">
        <f t="shared" si="16"/>
        <v>0</v>
      </c>
      <c r="CF22" s="183">
        <f t="shared" si="17"/>
        <v>0</v>
      </c>
      <c r="CG22" s="183">
        <f t="shared" si="18"/>
        <v>0</v>
      </c>
      <c r="CH22" s="183">
        <f t="shared" si="19"/>
        <v>0</v>
      </c>
      <c r="CI22" s="183">
        <f t="shared" si="20"/>
        <v>0</v>
      </c>
      <c r="CJ22" s="183">
        <f t="shared" si="21"/>
        <v>0</v>
      </c>
      <c r="CK22" s="183">
        <f t="shared" si="22"/>
        <v>0</v>
      </c>
      <c r="CL22">
        <f t="shared" si="23"/>
        <v>0</v>
      </c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</row>
    <row r="23" spans="1:179" ht="18.75">
      <c r="A23" s="43">
        <v>17</v>
      </c>
      <c r="B23" s="512" t="str">
        <f>'REGISTRO DATOS'!C29</f>
        <v>QUIROS</v>
      </c>
      <c r="C23" s="513">
        <f>'REGISTRO DATOS'!D29</f>
        <v>0</v>
      </c>
      <c r="D23" s="509" t="str">
        <f>'REGISTRO DATOS'!E29</f>
        <v>ANDY</v>
      </c>
      <c r="E23" s="1079"/>
      <c r="F23" s="509">
        <f t="shared" si="0"/>
        <v>0</v>
      </c>
      <c r="G23" s="509">
        <f t="shared" si="1"/>
        <v>0</v>
      </c>
      <c r="H23" s="509">
        <f t="shared" si="2"/>
        <v>0</v>
      </c>
      <c r="I23" s="510">
        <f t="shared" si="3"/>
        <v>10</v>
      </c>
      <c r="J23" s="514"/>
      <c r="K23" s="633"/>
      <c r="L23" s="633"/>
      <c r="M23" s="633"/>
      <c r="N23" s="633"/>
      <c r="O23" s="633"/>
      <c r="P23" s="633"/>
      <c r="Q23" s="633"/>
      <c r="R23" s="633"/>
      <c r="S23" s="633"/>
      <c r="T23" s="633"/>
      <c r="U23" s="633"/>
      <c r="V23" s="633"/>
      <c r="W23" s="633"/>
      <c r="X23" s="633"/>
      <c r="Y23" s="633"/>
      <c r="Z23" s="633"/>
      <c r="AA23" s="633"/>
      <c r="AB23" s="633"/>
      <c r="AC23" s="633"/>
      <c r="AD23" s="633"/>
      <c r="AE23" s="633"/>
      <c r="AF23" s="633"/>
      <c r="AG23" s="633"/>
      <c r="AH23" s="633"/>
      <c r="AI23" s="633"/>
      <c r="AJ23" s="633"/>
      <c r="AK23" s="633"/>
      <c r="AL23" s="633"/>
      <c r="AM23" s="633"/>
      <c r="AN23" s="633"/>
      <c r="AO23" s="633"/>
      <c r="AP23" s="633"/>
      <c r="AQ23" s="633"/>
      <c r="AR23" s="633"/>
      <c r="AS23" s="633"/>
      <c r="AT23" s="633"/>
      <c r="AU23" s="633"/>
      <c r="AV23" s="633"/>
      <c r="AW23" s="633"/>
      <c r="AX23" s="633"/>
      <c r="AY23" s="633"/>
      <c r="AZ23" s="633"/>
      <c r="BA23" s="633"/>
      <c r="BB23" s="633"/>
      <c r="BC23" s="633"/>
      <c r="BD23" s="633"/>
      <c r="BE23" s="633"/>
      <c r="BF23" s="633"/>
      <c r="BG23" s="633"/>
      <c r="BH23" s="633"/>
      <c r="BI23" s="633"/>
      <c r="BJ23" s="633"/>
      <c r="BK23" s="633"/>
      <c r="BL23" s="633"/>
      <c r="BM23" s="633"/>
      <c r="BN23" s="195">
        <f t="shared" si="4"/>
        <v>0</v>
      </c>
      <c r="BO23" s="127">
        <f t="shared" si="5"/>
        <v>0</v>
      </c>
      <c r="BP23" s="127">
        <f t="shared" si="5"/>
        <v>0</v>
      </c>
      <c r="BQ23" s="127">
        <f t="shared" si="6"/>
        <v>0</v>
      </c>
      <c r="BR23" s="113">
        <f t="shared" si="7"/>
        <v>0</v>
      </c>
      <c r="BS23" s="113">
        <f t="shared" si="8"/>
        <v>0</v>
      </c>
      <c r="BT23" s="113">
        <f t="shared" si="9"/>
        <v>0</v>
      </c>
      <c r="BU23" s="113">
        <f t="shared" si="10"/>
        <v>0</v>
      </c>
      <c r="BV23" s="113">
        <f t="shared" si="11"/>
        <v>0</v>
      </c>
      <c r="BW23" s="127">
        <f t="shared" si="12"/>
        <v>0</v>
      </c>
      <c r="BX23" s="127">
        <f t="shared" si="13"/>
        <v>10</v>
      </c>
      <c r="BY23" s="2"/>
      <c r="BZ23" s="2"/>
      <c r="CA23" s="2"/>
      <c r="CB23" s="2"/>
      <c r="CC23" s="183">
        <f t="shared" si="14"/>
        <v>0</v>
      </c>
      <c r="CD23" s="183">
        <f t="shared" si="15"/>
        <v>0</v>
      </c>
      <c r="CE23" s="183">
        <f t="shared" si="16"/>
        <v>0</v>
      </c>
      <c r="CF23" s="183">
        <f t="shared" si="17"/>
        <v>0</v>
      </c>
      <c r="CG23" s="183">
        <f t="shared" si="18"/>
        <v>0</v>
      </c>
      <c r="CH23" s="183">
        <f t="shared" si="19"/>
        <v>0</v>
      </c>
      <c r="CI23" s="183">
        <f t="shared" si="20"/>
        <v>0</v>
      </c>
      <c r="CJ23" s="183">
        <f t="shared" si="21"/>
        <v>0</v>
      </c>
      <c r="CK23" s="183">
        <f t="shared" si="22"/>
        <v>0</v>
      </c>
      <c r="CL23">
        <f t="shared" si="23"/>
        <v>0</v>
      </c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</row>
    <row r="24" spans="1:179" ht="18.75">
      <c r="A24" s="43">
        <v>18</v>
      </c>
      <c r="B24" s="512" t="str">
        <f>'REGISTRO DATOS'!C30</f>
        <v>RIVER</v>
      </c>
      <c r="C24" s="513">
        <f>'REGISTRO DATOS'!D30</f>
        <v>0</v>
      </c>
      <c r="D24" s="509" t="str">
        <f>'REGISTRO DATOS'!E30</f>
        <v>STEPHANIE</v>
      </c>
      <c r="E24" s="1079"/>
      <c r="F24" s="509">
        <f t="shared" si="0"/>
        <v>0</v>
      </c>
      <c r="G24" s="509">
        <f t="shared" si="1"/>
        <v>0</v>
      </c>
      <c r="H24" s="509">
        <f t="shared" si="2"/>
        <v>0</v>
      </c>
      <c r="I24" s="510">
        <f t="shared" si="3"/>
        <v>10</v>
      </c>
      <c r="J24" s="514"/>
      <c r="K24" s="633"/>
      <c r="L24" s="633"/>
      <c r="M24" s="633"/>
      <c r="N24" s="633"/>
      <c r="O24" s="633"/>
      <c r="P24" s="633"/>
      <c r="Q24" s="633"/>
      <c r="R24" s="633"/>
      <c r="S24" s="633"/>
      <c r="T24" s="633"/>
      <c r="U24" s="633"/>
      <c r="V24" s="633"/>
      <c r="W24" s="633"/>
      <c r="X24" s="633"/>
      <c r="Y24" s="633"/>
      <c r="Z24" s="633"/>
      <c r="AA24" s="633"/>
      <c r="AB24" s="633"/>
      <c r="AC24" s="633"/>
      <c r="AD24" s="633"/>
      <c r="AE24" s="633"/>
      <c r="AF24" s="633"/>
      <c r="AG24" s="633"/>
      <c r="AH24" s="633"/>
      <c r="AI24" s="633"/>
      <c r="AJ24" s="633"/>
      <c r="AK24" s="633"/>
      <c r="AL24" s="633"/>
      <c r="AM24" s="633"/>
      <c r="AN24" s="633"/>
      <c r="AO24" s="633"/>
      <c r="AP24" s="633"/>
      <c r="AQ24" s="633"/>
      <c r="AR24" s="633"/>
      <c r="AS24" s="633"/>
      <c r="AT24" s="633"/>
      <c r="AU24" s="633"/>
      <c r="AV24" s="633"/>
      <c r="AW24" s="633"/>
      <c r="AX24" s="633"/>
      <c r="AY24" s="633"/>
      <c r="AZ24" s="633"/>
      <c r="BA24" s="633"/>
      <c r="BB24" s="633"/>
      <c r="BC24" s="633"/>
      <c r="BD24" s="633"/>
      <c r="BE24" s="633"/>
      <c r="BF24" s="633"/>
      <c r="BG24" s="633"/>
      <c r="BH24" s="633"/>
      <c r="BI24" s="633"/>
      <c r="BJ24" s="633"/>
      <c r="BK24" s="633"/>
      <c r="BL24" s="633"/>
      <c r="BM24" s="633"/>
      <c r="BN24" s="195">
        <f t="shared" si="4"/>
        <v>0</v>
      </c>
      <c r="BO24" s="127">
        <f t="shared" si="5"/>
        <v>0</v>
      </c>
      <c r="BP24" s="127">
        <f t="shared" si="5"/>
        <v>0</v>
      </c>
      <c r="BQ24" s="127">
        <f t="shared" si="6"/>
        <v>0</v>
      </c>
      <c r="BR24" s="113">
        <f t="shared" si="7"/>
        <v>0</v>
      </c>
      <c r="BS24" s="113">
        <f t="shared" si="8"/>
        <v>0</v>
      </c>
      <c r="BT24" s="113">
        <f t="shared" si="9"/>
        <v>0</v>
      </c>
      <c r="BU24" s="113">
        <f t="shared" si="10"/>
        <v>0</v>
      </c>
      <c r="BV24" s="113">
        <f t="shared" si="11"/>
        <v>0</v>
      </c>
      <c r="BW24" s="127">
        <f t="shared" si="12"/>
        <v>0</v>
      </c>
      <c r="BX24" s="127">
        <f t="shared" si="13"/>
        <v>10</v>
      </c>
      <c r="BY24" s="2"/>
      <c r="BZ24" s="2"/>
      <c r="CA24" s="2"/>
      <c r="CB24" s="2"/>
      <c r="CC24" s="183">
        <f t="shared" si="14"/>
        <v>0</v>
      </c>
      <c r="CD24" s="183">
        <f t="shared" si="15"/>
        <v>0</v>
      </c>
      <c r="CE24" s="183">
        <f t="shared" si="16"/>
        <v>0</v>
      </c>
      <c r="CF24" s="183">
        <f t="shared" si="17"/>
        <v>0</v>
      </c>
      <c r="CG24" s="183">
        <f t="shared" si="18"/>
        <v>0</v>
      </c>
      <c r="CH24" s="183">
        <f t="shared" si="19"/>
        <v>0</v>
      </c>
      <c r="CI24" s="183">
        <f t="shared" si="20"/>
        <v>0</v>
      </c>
      <c r="CJ24" s="183">
        <f t="shared" si="21"/>
        <v>0</v>
      </c>
      <c r="CK24" s="183">
        <f t="shared" si="22"/>
        <v>0</v>
      </c>
      <c r="CL24">
        <f t="shared" si="23"/>
        <v>0</v>
      </c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</row>
    <row r="25" spans="1:179" ht="18.75">
      <c r="A25" s="43">
        <v>19</v>
      </c>
      <c r="B25" s="512">
        <f>'REGISTRO DATOS'!C31</f>
        <v>0</v>
      </c>
      <c r="C25" s="513" t="str">
        <f>'REGISTRO DATOS'!D31</f>
        <v>FABIAN</v>
      </c>
      <c r="D25" s="509">
        <f>'REGISTRO DATOS'!E31</f>
        <v>0</v>
      </c>
      <c r="E25" s="1079"/>
      <c r="F25" s="509">
        <f t="shared" si="0"/>
        <v>0</v>
      </c>
      <c r="G25" s="509">
        <f t="shared" si="1"/>
        <v>0</v>
      </c>
      <c r="H25" s="509">
        <f t="shared" si="2"/>
        <v>0</v>
      </c>
      <c r="I25" s="510">
        <f t="shared" si="3"/>
        <v>10</v>
      </c>
      <c r="J25" s="514"/>
      <c r="K25" s="633"/>
      <c r="L25" s="633"/>
      <c r="M25" s="633"/>
      <c r="N25" s="633"/>
      <c r="O25" s="633"/>
      <c r="P25" s="633"/>
      <c r="Q25" s="633"/>
      <c r="R25" s="633"/>
      <c r="S25" s="633"/>
      <c r="T25" s="633"/>
      <c r="U25" s="633"/>
      <c r="V25" s="633"/>
      <c r="W25" s="633"/>
      <c r="X25" s="633"/>
      <c r="Y25" s="633"/>
      <c r="Z25" s="633"/>
      <c r="AA25" s="633"/>
      <c r="AB25" s="633"/>
      <c r="AC25" s="633"/>
      <c r="AD25" s="633"/>
      <c r="AE25" s="633"/>
      <c r="AF25" s="633"/>
      <c r="AG25" s="633"/>
      <c r="AH25" s="633"/>
      <c r="AI25" s="633"/>
      <c r="AJ25" s="633"/>
      <c r="AK25" s="633"/>
      <c r="AL25" s="633"/>
      <c r="AM25" s="633"/>
      <c r="AN25" s="633"/>
      <c r="AO25" s="633"/>
      <c r="AP25" s="633"/>
      <c r="AQ25" s="633"/>
      <c r="AR25" s="633"/>
      <c r="AS25" s="633"/>
      <c r="AT25" s="633"/>
      <c r="AU25" s="633"/>
      <c r="AV25" s="633"/>
      <c r="AW25" s="633"/>
      <c r="AX25" s="633"/>
      <c r="AY25" s="633"/>
      <c r="AZ25" s="633"/>
      <c r="BA25" s="633"/>
      <c r="BB25" s="633"/>
      <c r="BC25" s="633"/>
      <c r="BD25" s="633"/>
      <c r="BE25" s="633"/>
      <c r="BF25" s="633"/>
      <c r="BG25" s="633"/>
      <c r="BH25" s="633"/>
      <c r="BI25" s="633"/>
      <c r="BJ25" s="633"/>
      <c r="BK25" s="633"/>
      <c r="BL25" s="633"/>
      <c r="BM25" s="633"/>
      <c r="BN25" s="195">
        <f t="shared" si="4"/>
        <v>0</v>
      </c>
      <c r="BO25" s="127">
        <f t="shared" si="5"/>
        <v>0</v>
      </c>
      <c r="BP25" s="127">
        <f t="shared" si="5"/>
        <v>0</v>
      </c>
      <c r="BQ25" s="127">
        <f t="shared" si="6"/>
        <v>0</v>
      </c>
      <c r="BR25" s="113">
        <f t="shared" si="7"/>
        <v>0</v>
      </c>
      <c r="BS25" s="113">
        <f t="shared" si="8"/>
        <v>0</v>
      </c>
      <c r="BT25" s="113">
        <f t="shared" si="9"/>
        <v>0</v>
      </c>
      <c r="BU25" s="113">
        <f t="shared" si="10"/>
        <v>0</v>
      </c>
      <c r="BV25" s="113">
        <f t="shared" si="11"/>
        <v>0</v>
      </c>
      <c r="BW25" s="127">
        <f t="shared" si="12"/>
        <v>0</v>
      </c>
      <c r="BX25" s="127">
        <f t="shared" si="13"/>
        <v>10</v>
      </c>
      <c r="BY25" s="2"/>
      <c r="BZ25" s="2"/>
      <c r="CA25" s="2"/>
      <c r="CB25" s="2"/>
      <c r="CC25" s="183">
        <f t="shared" si="14"/>
        <v>0</v>
      </c>
      <c r="CD25" s="183">
        <f t="shared" si="15"/>
        <v>0</v>
      </c>
      <c r="CE25" s="183">
        <f t="shared" si="16"/>
        <v>0</v>
      </c>
      <c r="CF25" s="183">
        <f t="shared" si="17"/>
        <v>0</v>
      </c>
      <c r="CG25" s="183">
        <f t="shared" si="18"/>
        <v>0</v>
      </c>
      <c r="CH25" s="183">
        <f t="shared" si="19"/>
        <v>0</v>
      </c>
      <c r="CI25" s="183">
        <f t="shared" si="20"/>
        <v>0</v>
      </c>
      <c r="CJ25" s="183">
        <f t="shared" si="21"/>
        <v>0</v>
      </c>
      <c r="CK25" s="183">
        <f t="shared" si="22"/>
        <v>0</v>
      </c>
      <c r="CL25">
        <f t="shared" si="23"/>
        <v>0</v>
      </c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</row>
    <row r="26" spans="1:179" ht="18.75">
      <c r="A26" s="43">
        <v>20</v>
      </c>
      <c r="B26" s="512">
        <f>'REGISTRO DATOS'!C32</f>
        <v>0</v>
      </c>
      <c r="C26" s="513" t="str">
        <f>'REGISTRO DATOS'!D32</f>
        <v>EMILIN</v>
      </c>
      <c r="D26" s="509">
        <f>'REGISTRO DATOS'!E32</f>
        <v>0</v>
      </c>
      <c r="E26" s="1079"/>
      <c r="F26" s="509">
        <f t="shared" si="0"/>
        <v>0</v>
      </c>
      <c r="G26" s="509">
        <f t="shared" si="1"/>
        <v>0</v>
      </c>
      <c r="H26" s="509">
        <f t="shared" si="2"/>
        <v>0</v>
      </c>
      <c r="I26" s="510">
        <f t="shared" si="3"/>
        <v>10</v>
      </c>
      <c r="J26" s="514"/>
      <c r="K26" s="633"/>
      <c r="L26" s="633"/>
      <c r="M26" s="633"/>
      <c r="N26" s="633"/>
      <c r="O26" s="633"/>
      <c r="P26" s="633"/>
      <c r="Q26" s="633"/>
      <c r="R26" s="633"/>
      <c r="S26" s="633"/>
      <c r="T26" s="633"/>
      <c r="U26" s="633"/>
      <c r="V26" s="633"/>
      <c r="W26" s="633"/>
      <c r="X26" s="633"/>
      <c r="Y26" s="633"/>
      <c r="Z26" s="633"/>
      <c r="AA26" s="633"/>
      <c r="AB26" s="633"/>
      <c r="AC26" s="633"/>
      <c r="AD26" s="633"/>
      <c r="AE26" s="633"/>
      <c r="AF26" s="633"/>
      <c r="AG26" s="633"/>
      <c r="AH26" s="633"/>
      <c r="AI26" s="633"/>
      <c r="AJ26" s="633"/>
      <c r="AK26" s="633"/>
      <c r="AL26" s="633"/>
      <c r="AM26" s="633"/>
      <c r="AN26" s="633"/>
      <c r="AO26" s="633"/>
      <c r="AP26" s="633"/>
      <c r="AQ26" s="633"/>
      <c r="AR26" s="633"/>
      <c r="AS26" s="633"/>
      <c r="AT26" s="633"/>
      <c r="AU26" s="633"/>
      <c r="AV26" s="633"/>
      <c r="AW26" s="633"/>
      <c r="AX26" s="633"/>
      <c r="AY26" s="633"/>
      <c r="AZ26" s="633"/>
      <c r="BA26" s="633"/>
      <c r="BB26" s="633"/>
      <c r="BC26" s="633"/>
      <c r="BD26" s="633"/>
      <c r="BE26" s="633"/>
      <c r="BF26" s="633"/>
      <c r="BG26" s="633"/>
      <c r="BH26" s="633"/>
      <c r="BI26" s="633"/>
      <c r="BJ26" s="633"/>
      <c r="BK26" s="633"/>
      <c r="BL26" s="633"/>
      <c r="BM26" s="633"/>
      <c r="BN26" s="195">
        <f t="shared" si="4"/>
        <v>0</v>
      </c>
      <c r="BO26" s="127">
        <f t="shared" si="5"/>
        <v>0</v>
      </c>
      <c r="BP26" s="127">
        <f t="shared" si="5"/>
        <v>0</v>
      </c>
      <c r="BQ26" s="127">
        <f t="shared" si="6"/>
        <v>0</v>
      </c>
      <c r="BR26" s="113">
        <f t="shared" si="7"/>
        <v>0</v>
      </c>
      <c r="BS26" s="113">
        <f t="shared" si="8"/>
        <v>0</v>
      </c>
      <c r="BT26" s="113">
        <f t="shared" si="9"/>
        <v>0</v>
      </c>
      <c r="BU26" s="113">
        <f t="shared" si="10"/>
        <v>0</v>
      </c>
      <c r="BV26" s="113">
        <f t="shared" si="11"/>
        <v>0</v>
      </c>
      <c r="BW26" s="127">
        <f t="shared" si="12"/>
        <v>0</v>
      </c>
      <c r="BX26" s="127">
        <f t="shared" si="13"/>
        <v>10</v>
      </c>
      <c r="BY26" s="2"/>
      <c r="BZ26" s="2"/>
      <c r="CA26" s="2"/>
      <c r="CB26" s="2"/>
      <c r="CC26" s="183">
        <f t="shared" si="14"/>
        <v>0</v>
      </c>
      <c r="CD26" s="183">
        <f t="shared" si="15"/>
        <v>0</v>
      </c>
      <c r="CE26" s="183">
        <f t="shared" si="16"/>
        <v>0</v>
      </c>
      <c r="CF26" s="183">
        <f t="shared" si="17"/>
        <v>0</v>
      </c>
      <c r="CG26" s="183">
        <f t="shared" si="18"/>
        <v>0</v>
      </c>
      <c r="CH26" s="183">
        <f t="shared" si="19"/>
        <v>0</v>
      </c>
      <c r="CI26" s="183">
        <f t="shared" si="20"/>
        <v>0</v>
      </c>
      <c r="CJ26" s="183">
        <f t="shared" si="21"/>
        <v>0</v>
      </c>
      <c r="CK26" s="183">
        <f t="shared" si="22"/>
        <v>0</v>
      </c>
      <c r="CL26">
        <f t="shared" si="23"/>
        <v>0</v>
      </c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</row>
    <row r="27" spans="1:179" ht="18.75">
      <c r="A27" s="43">
        <v>21</v>
      </c>
      <c r="B27" s="512">
        <f>'REGISTRO DATOS'!C33</f>
        <v>0</v>
      </c>
      <c r="C27" s="513">
        <f>'REGISTRO DATOS'!D33</f>
        <v>0</v>
      </c>
      <c r="D27" s="509">
        <f>'REGISTRO DATOS'!E33</f>
        <v>0</v>
      </c>
      <c r="E27" s="1079"/>
      <c r="F27" s="509">
        <f t="shared" si="0"/>
        <v>0</v>
      </c>
      <c r="G27" s="509">
        <f t="shared" si="1"/>
        <v>0</v>
      </c>
      <c r="H27" s="509">
        <f t="shared" si="2"/>
        <v>0</v>
      </c>
      <c r="I27" s="510">
        <f t="shared" si="3"/>
        <v>10</v>
      </c>
      <c r="J27" s="514"/>
      <c r="K27" s="633"/>
      <c r="L27" s="633"/>
      <c r="M27" s="633"/>
      <c r="N27" s="633"/>
      <c r="O27" s="633"/>
      <c r="P27" s="633"/>
      <c r="Q27" s="633"/>
      <c r="R27" s="633"/>
      <c r="S27" s="633"/>
      <c r="T27" s="633"/>
      <c r="U27" s="633"/>
      <c r="V27" s="633"/>
      <c r="W27" s="633"/>
      <c r="X27" s="633"/>
      <c r="Y27" s="633"/>
      <c r="Z27" s="633"/>
      <c r="AA27" s="633"/>
      <c r="AB27" s="633"/>
      <c r="AC27" s="633"/>
      <c r="AD27" s="633"/>
      <c r="AE27" s="633"/>
      <c r="AF27" s="633"/>
      <c r="AG27" s="633"/>
      <c r="AH27" s="633"/>
      <c r="AI27" s="633"/>
      <c r="AJ27" s="633"/>
      <c r="AK27" s="633"/>
      <c r="AL27" s="633"/>
      <c r="AM27" s="633"/>
      <c r="AN27" s="633"/>
      <c r="AO27" s="633"/>
      <c r="AP27" s="633"/>
      <c r="AQ27" s="633"/>
      <c r="AR27" s="633"/>
      <c r="AS27" s="633"/>
      <c r="AT27" s="633"/>
      <c r="AU27" s="633"/>
      <c r="AV27" s="633"/>
      <c r="AW27" s="633"/>
      <c r="AX27" s="633"/>
      <c r="AY27" s="633"/>
      <c r="AZ27" s="633"/>
      <c r="BA27" s="633"/>
      <c r="BB27" s="633"/>
      <c r="BC27" s="633"/>
      <c r="BD27" s="633"/>
      <c r="BE27" s="633"/>
      <c r="BF27" s="633"/>
      <c r="BG27" s="633"/>
      <c r="BH27" s="633"/>
      <c r="BI27" s="633"/>
      <c r="BJ27" s="633"/>
      <c r="BK27" s="633"/>
      <c r="BL27" s="633"/>
      <c r="BM27" s="633"/>
      <c r="BN27" s="195">
        <f t="shared" si="4"/>
        <v>0</v>
      </c>
      <c r="BO27" s="127">
        <f t="shared" si="5"/>
        <v>0</v>
      </c>
      <c r="BP27" s="127">
        <f t="shared" si="5"/>
        <v>0</v>
      </c>
      <c r="BQ27" s="127">
        <f t="shared" si="6"/>
        <v>0</v>
      </c>
      <c r="BR27" s="113">
        <f t="shared" si="7"/>
        <v>0</v>
      </c>
      <c r="BS27" s="113">
        <f t="shared" si="8"/>
        <v>0</v>
      </c>
      <c r="BT27" s="113">
        <f t="shared" si="9"/>
        <v>0</v>
      </c>
      <c r="BU27" s="113">
        <f t="shared" si="10"/>
        <v>0</v>
      </c>
      <c r="BV27" s="113">
        <f t="shared" si="11"/>
        <v>0</v>
      </c>
      <c r="BW27" s="127">
        <f t="shared" si="12"/>
        <v>0</v>
      </c>
      <c r="BX27" s="127">
        <f t="shared" si="13"/>
        <v>10</v>
      </c>
      <c r="BY27" s="2"/>
      <c r="BZ27" s="2"/>
      <c r="CA27" s="2"/>
      <c r="CB27" s="2"/>
      <c r="CC27" s="183">
        <f t="shared" si="14"/>
        <v>0</v>
      </c>
      <c r="CD27" s="183">
        <f t="shared" si="15"/>
        <v>0</v>
      </c>
      <c r="CE27" s="183">
        <f t="shared" si="16"/>
        <v>0</v>
      </c>
      <c r="CF27" s="183">
        <f t="shared" si="17"/>
        <v>0</v>
      </c>
      <c r="CG27" s="183">
        <f t="shared" si="18"/>
        <v>0</v>
      </c>
      <c r="CH27" s="183">
        <f t="shared" si="19"/>
        <v>0</v>
      </c>
      <c r="CI27" s="183">
        <f t="shared" si="20"/>
        <v>0</v>
      </c>
      <c r="CJ27" s="183">
        <f t="shared" si="21"/>
        <v>0</v>
      </c>
      <c r="CK27" s="183">
        <f t="shared" si="22"/>
        <v>0</v>
      </c>
      <c r="CL27">
        <f t="shared" si="23"/>
        <v>0</v>
      </c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</row>
    <row r="28" spans="1:179" ht="18.75">
      <c r="A28" s="43">
        <v>22</v>
      </c>
      <c r="B28" s="512">
        <f>'REGISTRO DATOS'!C34</f>
        <v>0</v>
      </c>
      <c r="C28" s="513">
        <f>'REGISTRO DATOS'!D34</f>
        <v>0</v>
      </c>
      <c r="D28" s="509">
        <f>'REGISTRO DATOS'!E34</f>
        <v>0</v>
      </c>
      <c r="E28" s="1079"/>
      <c r="F28" s="509">
        <f t="shared" si="0"/>
        <v>0</v>
      </c>
      <c r="G28" s="509">
        <f t="shared" si="1"/>
        <v>0</v>
      </c>
      <c r="H28" s="509">
        <f t="shared" si="2"/>
        <v>0</v>
      </c>
      <c r="I28" s="510">
        <f t="shared" si="3"/>
        <v>10</v>
      </c>
      <c r="J28" s="514"/>
      <c r="K28" s="633"/>
      <c r="L28" s="633"/>
      <c r="M28" s="633"/>
      <c r="N28" s="633"/>
      <c r="O28" s="633"/>
      <c r="P28" s="633"/>
      <c r="Q28" s="633"/>
      <c r="R28" s="633"/>
      <c r="S28" s="633"/>
      <c r="T28" s="633"/>
      <c r="U28" s="633"/>
      <c r="V28" s="633"/>
      <c r="W28" s="633"/>
      <c r="X28" s="633"/>
      <c r="Y28" s="633"/>
      <c r="Z28" s="633"/>
      <c r="AA28" s="633"/>
      <c r="AB28" s="633"/>
      <c r="AC28" s="633"/>
      <c r="AD28" s="633"/>
      <c r="AE28" s="633"/>
      <c r="AF28" s="633"/>
      <c r="AG28" s="633"/>
      <c r="AH28" s="633"/>
      <c r="AI28" s="633"/>
      <c r="AJ28" s="633"/>
      <c r="AK28" s="633"/>
      <c r="AL28" s="633"/>
      <c r="AM28" s="633"/>
      <c r="AN28" s="633"/>
      <c r="AO28" s="633"/>
      <c r="AP28" s="633"/>
      <c r="AQ28" s="633"/>
      <c r="AR28" s="633"/>
      <c r="AS28" s="633"/>
      <c r="AT28" s="633"/>
      <c r="AU28" s="633"/>
      <c r="AV28" s="633"/>
      <c r="AW28" s="633"/>
      <c r="AX28" s="633"/>
      <c r="AY28" s="633"/>
      <c r="AZ28" s="633"/>
      <c r="BA28" s="633"/>
      <c r="BB28" s="633"/>
      <c r="BC28" s="633"/>
      <c r="BD28" s="633"/>
      <c r="BE28" s="633"/>
      <c r="BF28" s="633"/>
      <c r="BG28" s="633"/>
      <c r="BH28" s="633"/>
      <c r="BI28" s="633"/>
      <c r="BJ28" s="633"/>
      <c r="BK28" s="633"/>
      <c r="BL28" s="633"/>
      <c r="BM28" s="633"/>
      <c r="BN28" s="195">
        <f t="shared" si="4"/>
        <v>0</v>
      </c>
      <c r="BO28" s="127">
        <f t="shared" si="5"/>
        <v>0</v>
      </c>
      <c r="BP28" s="127">
        <f t="shared" si="5"/>
        <v>0</v>
      </c>
      <c r="BQ28" s="127">
        <f t="shared" si="6"/>
        <v>0</v>
      </c>
      <c r="BR28" s="113">
        <f t="shared" si="7"/>
        <v>0</v>
      </c>
      <c r="BS28" s="113">
        <f t="shared" si="8"/>
        <v>0</v>
      </c>
      <c r="BT28" s="113">
        <f t="shared" si="9"/>
        <v>0</v>
      </c>
      <c r="BU28" s="113">
        <f t="shared" si="10"/>
        <v>0</v>
      </c>
      <c r="BV28" s="113">
        <f t="shared" si="11"/>
        <v>0</v>
      </c>
      <c r="BW28" s="127">
        <f t="shared" si="12"/>
        <v>0</v>
      </c>
      <c r="BX28" s="127">
        <f t="shared" si="13"/>
        <v>10</v>
      </c>
      <c r="BY28" s="2"/>
      <c r="BZ28" s="2"/>
      <c r="CA28" s="2"/>
      <c r="CB28" s="2"/>
      <c r="CC28" s="183">
        <f t="shared" si="14"/>
        <v>0</v>
      </c>
      <c r="CD28" s="183">
        <f t="shared" si="15"/>
        <v>0</v>
      </c>
      <c r="CE28" s="183">
        <f t="shared" si="16"/>
        <v>0</v>
      </c>
      <c r="CF28" s="183">
        <f t="shared" si="17"/>
        <v>0</v>
      </c>
      <c r="CG28" s="183">
        <f t="shared" si="18"/>
        <v>0</v>
      </c>
      <c r="CH28" s="183">
        <f t="shared" si="19"/>
        <v>0</v>
      </c>
      <c r="CI28" s="183">
        <f t="shared" si="20"/>
        <v>0</v>
      </c>
      <c r="CJ28" s="183">
        <f t="shared" si="21"/>
        <v>0</v>
      </c>
      <c r="CK28" s="183">
        <f t="shared" si="22"/>
        <v>0</v>
      </c>
      <c r="CL28">
        <f t="shared" si="23"/>
        <v>0</v>
      </c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</row>
    <row r="29" spans="1:179" ht="18.75">
      <c r="A29" s="43">
        <v>23</v>
      </c>
      <c r="B29" s="512">
        <f>'REGISTRO DATOS'!C35</f>
        <v>0</v>
      </c>
      <c r="C29" s="513">
        <f>'REGISTRO DATOS'!D35</f>
        <v>0</v>
      </c>
      <c r="D29" s="509">
        <f>'REGISTRO DATOS'!E35</f>
        <v>0</v>
      </c>
      <c r="E29" s="1079"/>
      <c r="F29" s="509">
        <f t="shared" si="0"/>
        <v>0</v>
      </c>
      <c r="G29" s="509">
        <f t="shared" si="1"/>
        <v>0</v>
      </c>
      <c r="H29" s="509">
        <f t="shared" si="2"/>
        <v>0</v>
      </c>
      <c r="I29" s="510">
        <f t="shared" si="3"/>
        <v>10</v>
      </c>
      <c r="J29" s="514"/>
      <c r="K29" s="633"/>
      <c r="L29" s="633"/>
      <c r="M29" s="633"/>
      <c r="N29" s="633"/>
      <c r="O29" s="633"/>
      <c r="P29" s="633"/>
      <c r="Q29" s="633"/>
      <c r="R29" s="633"/>
      <c r="S29" s="633"/>
      <c r="T29" s="633"/>
      <c r="U29" s="633"/>
      <c r="V29" s="633"/>
      <c r="W29" s="633"/>
      <c r="X29" s="633"/>
      <c r="Y29" s="633"/>
      <c r="Z29" s="633"/>
      <c r="AA29" s="633"/>
      <c r="AB29" s="633"/>
      <c r="AC29" s="633"/>
      <c r="AD29" s="633"/>
      <c r="AE29" s="633"/>
      <c r="AF29" s="633"/>
      <c r="AG29" s="633"/>
      <c r="AH29" s="633"/>
      <c r="AI29" s="633"/>
      <c r="AJ29" s="633"/>
      <c r="AK29" s="633"/>
      <c r="AL29" s="633"/>
      <c r="AM29" s="633"/>
      <c r="AN29" s="633"/>
      <c r="AO29" s="633"/>
      <c r="AP29" s="633"/>
      <c r="AQ29" s="633"/>
      <c r="AR29" s="633"/>
      <c r="AS29" s="633"/>
      <c r="AT29" s="633"/>
      <c r="AU29" s="633"/>
      <c r="AV29" s="633"/>
      <c r="AW29" s="633"/>
      <c r="AX29" s="633"/>
      <c r="AY29" s="633"/>
      <c r="AZ29" s="633"/>
      <c r="BA29" s="633"/>
      <c r="BB29" s="633"/>
      <c r="BC29" s="633"/>
      <c r="BD29" s="633"/>
      <c r="BE29" s="633"/>
      <c r="BF29" s="633"/>
      <c r="BG29" s="633"/>
      <c r="BH29" s="633"/>
      <c r="BI29" s="633"/>
      <c r="BJ29" s="633"/>
      <c r="BK29" s="633"/>
      <c r="BL29" s="633"/>
      <c r="BM29" s="633"/>
      <c r="BN29" s="195">
        <f t="shared" si="4"/>
        <v>0</v>
      </c>
      <c r="BO29" s="127">
        <f t="shared" si="5"/>
        <v>0</v>
      </c>
      <c r="BP29" s="127">
        <f t="shared" si="5"/>
        <v>0</v>
      </c>
      <c r="BQ29" s="127">
        <f t="shared" si="6"/>
        <v>0</v>
      </c>
      <c r="BR29" s="113">
        <f t="shared" si="7"/>
        <v>0</v>
      </c>
      <c r="BS29" s="113">
        <f t="shared" si="8"/>
        <v>0</v>
      </c>
      <c r="BT29" s="113">
        <f t="shared" si="9"/>
        <v>0</v>
      </c>
      <c r="BU29" s="113">
        <f t="shared" si="10"/>
        <v>0</v>
      </c>
      <c r="BV29" s="113">
        <f t="shared" si="11"/>
        <v>0</v>
      </c>
      <c r="BW29" s="127">
        <f t="shared" si="12"/>
        <v>0</v>
      </c>
      <c r="BX29" s="127">
        <f t="shared" si="13"/>
        <v>10</v>
      </c>
      <c r="BY29" s="2"/>
      <c r="BZ29" s="2"/>
      <c r="CA29" s="2"/>
      <c r="CB29" s="2"/>
      <c r="CC29" s="183">
        <f t="shared" si="14"/>
        <v>0</v>
      </c>
      <c r="CD29" s="183">
        <f t="shared" si="15"/>
        <v>0</v>
      </c>
      <c r="CE29" s="183">
        <f t="shared" si="16"/>
        <v>0</v>
      </c>
      <c r="CF29" s="183">
        <f t="shared" si="17"/>
        <v>0</v>
      </c>
      <c r="CG29" s="183">
        <f t="shared" si="18"/>
        <v>0</v>
      </c>
      <c r="CH29" s="183">
        <f t="shared" si="19"/>
        <v>0</v>
      </c>
      <c r="CI29" s="183">
        <f t="shared" si="20"/>
        <v>0</v>
      </c>
      <c r="CJ29" s="183">
        <f t="shared" si="21"/>
        <v>0</v>
      </c>
      <c r="CK29" s="183">
        <f t="shared" si="22"/>
        <v>0</v>
      </c>
      <c r="CL29">
        <f t="shared" si="23"/>
        <v>0</v>
      </c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</row>
    <row r="30" spans="1:179" ht="18.75">
      <c r="A30" s="43">
        <v>24</v>
      </c>
      <c r="B30" s="512">
        <f>'REGISTRO DATOS'!C36</f>
        <v>0</v>
      </c>
      <c r="C30" s="513">
        <f>'REGISTRO DATOS'!D36</f>
        <v>0</v>
      </c>
      <c r="D30" s="509">
        <f>'REGISTRO DATOS'!E36</f>
        <v>0</v>
      </c>
      <c r="E30" s="1079"/>
      <c r="F30" s="509">
        <f t="shared" si="0"/>
        <v>0</v>
      </c>
      <c r="G30" s="509">
        <f t="shared" si="1"/>
        <v>0</v>
      </c>
      <c r="H30" s="509">
        <f t="shared" si="2"/>
        <v>0</v>
      </c>
      <c r="I30" s="510">
        <f t="shared" si="3"/>
        <v>10</v>
      </c>
      <c r="J30" s="514"/>
      <c r="K30" s="633"/>
      <c r="L30" s="633"/>
      <c r="M30" s="633"/>
      <c r="N30" s="633"/>
      <c r="O30" s="633"/>
      <c r="P30" s="633"/>
      <c r="Q30" s="633"/>
      <c r="R30" s="633"/>
      <c r="S30" s="633"/>
      <c r="T30" s="633"/>
      <c r="U30" s="633"/>
      <c r="V30" s="633"/>
      <c r="W30" s="633"/>
      <c r="X30" s="633"/>
      <c r="Y30" s="633"/>
      <c r="Z30" s="633"/>
      <c r="AA30" s="633"/>
      <c r="AB30" s="633"/>
      <c r="AC30" s="633"/>
      <c r="AD30" s="633"/>
      <c r="AE30" s="633"/>
      <c r="AF30" s="633"/>
      <c r="AG30" s="633"/>
      <c r="AH30" s="633"/>
      <c r="AI30" s="633"/>
      <c r="AJ30" s="633"/>
      <c r="AK30" s="633"/>
      <c r="AL30" s="633"/>
      <c r="AM30" s="633"/>
      <c r="AN30" s="633"/>
      <c r="AO30" s="633"/>
      <c r="AP30" s="633"/>
      <c r="AQ30" s="633"/>
      <c r="AR30" s="633"/>
      <c r="AS30" s="633"/>
      <c r="AT30" s="633"/>
      <c r="AU30" s="633"/>
      <c r="AV30" s="633"/>
      <c r="AW30" s="633"/>
      <c r="AX30" s="633"/>
      <c r="AY30" s="633"/>
      <c r="AZ30" s="633"/>
      <c r="BA30" s="633"/>
      <c r="BB30" s="633"/>
      <c r="BC30" s="633"/>
      <c r="BD30" s="633"/>
      <c r="BE30" s="633"/>
      <c r="BF30" s="633"/>
      <c r="BG30" s="633"/>
      <c r="BH30" s="633"/>
      <c r="BI30" s="633"/>
      <c r="BJ30" s="633"/>
      <c r="BK30" s="633"/>
      <c r="BL30" s="633"/>
      <c r="BM30" s="633"/>
      <c r="BN30" s="195">
        <f t="shared" si="4"/>
        <v>0</v>
      </c>
      <c r="BO30" s="127">
        <f t="shared" si="5"/>
        <v>0</v>
      </c>
      <c r="BP30" s="127">
        <f t="shared" si="5"/>
        <v>0</v>
      </c>
      <c r="BQ30" s="127">
        <f t="shared" si="6"/>
        <v>0</v>
      </c>
      <c r="BR30" s="113">
        <f t="shared" si="7"/>
        <v>0</v>
      </c>
      <c r="BS30" s="113">
        <f t="shared" si="8"/>
        <v>0</v>
      </c>
      <c r="BT30" s="113">
        <f t="shared" si="9"/>
        <v>0</v>
      </c>
      <c r="BU30" s="113">
        <f t="shared" si="10"/>
        <v>0</v>
      </c>
      <c r="BV30" s="113">
        <f t="shared" si="11"/>
        <v>0</v>
      </c>
      <c r="BW30" s="127">
        <f t="shared" si="12"/>
        <v>0</v>
      </c>
      <c r="BX30" s="127">
        <f t="shared" si="13"/>
        <v>10</v>
      </c>
      <c r="BY30" s="2"/>
      <c r="BZ30" s="2"/>
      <c r="CA30" s="2"/>
      <c r="CB30" s="2"/>
      <c r="CC30" s="183">
        <f t="shared" si="14"/>
        <v>0</v>
      </c>
      <c r="CD30" s="183">
        <f t="shared" si="15"/>
        <v>0</v>
      </c>
      <c r="CE30" s="183">
        <f t="shared" si="16"/>
        <v>0</v>
      </c>
      <c r="CF30" s="183">
        <f t="shared" si="17"/>
        <v>0</v>
      </c>
      <c r="CG30" s="183">
        <f t="shared" si="18"/>
        <v>0</v>
      </c>
      <c r="CH30" s="183">
        <f t="shared" si="19"/>
        <v>0</v>
      </c>
      <c r="CI30" s="183">
        <f t="shared" si="20"/>
        <v>0</v>
      </c>
      <c r="CJ30" s="183">
        <f t="shared" si="21"/>
        <v>0</v>
      </c>
      <c r="CK30" s="183">
        <f t="shared" si="22"/>
        <v>0</v>
      </c>
      <c r="CL30">
        <f t="shared" si="23"/>
        <v>0</v>
      </c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</row>
    <row r="31" spans="1:179" ht="18.75">
      <c r="A31" s="43">
        <v>25</v>
      </c>
      <c r="B31" s="512">
        <f>'REGISTRO DATOS'!C37</f>
        <v>0</v>
      </c>
      <c r="C31" s="513">
        <f>'REGISTRO DATOS'!D37</f>
        <v>0</v>
      </c>
      <c r="D31" s="509">
        <f>'REGISTRO DATOS'!E37</f>
        <v>0</v>
      </c>
      <c r="E31" s="1079"/>
      <c r="F31" s="509">
        <f t="shared" si="0"/>
        <v>0</v>
      </c>
      <c r="G31" s="509">
        <f t="shared" si="1"/>
        <v>0</v>
      </c>
      <c r="H31" s="509">
        <f t="shared" si="2"/>
        <v>0</v>
      </c>
      <c r="I31" s="510">
        <f t="shared" si="3"/>
        <v>10</v>
      </c>
      <c r="J31" s="514"/>
      <c r="K31" s="633"/>
      <c r="L31" s="633"/>
      <c r="M31" s="633"/>
      <c r="N31" s="633"/>
      <c r="O31" s="633"/>
      <c r="P31" s="633"/>
      <c r="Q31" s="633"/>
      <c r="R31" s="633"/>
      <c r="S31" s="633"/>
      <c r="T31" s="633"/>
      <c r="U31" s="633"/>
      <c r="V31" s="633"/>
      <c r="W31" s="633"/>
      <c r="X31" s="633"/>
      <c r="Y31" s="633"/>
      <c r="Z31" s="633"/>
      <c r="AA31" s="633"/>
      <c r="AB31" s="633"/>
      <c r="AC31" s="633"/>
      <c r="AD31" s="633"/>
      <c r="AE31" s="633"/>
      <c r="AF31" s="633"/>
      <c r="AG31" s="633"/>
      <c r="AH31" s="633"/>
      <c r="AI31" s="633"/>
      <c r="AJ31" s="633"/>
      <c r="AK31" s="633"/>
      <c r="AL31" s="633"/>
      <c r="AM31" s="633"/>
      <c r="AN31" s="633"/>
      <c r="AO31" s="633"/>
      <c r="AP31" s="633"/>
      <c r="AQ31" s="633"/>
      <c r="AR31" s="633"/>
      <c r="AS31" s="633"/>
      <c r="AT31" s="633"/>
      <c r="AU31" s="633"/>
      <c r="AV31" s="633"/>
      <c r="AW31" s="633"/>
      <c r="AX31" s="633"/>
      <c r="AY31" s="633"/>
      <c r="AZ31" s="633"/>
      <c r="BA31" s="633"/>
      <c r="BB31" s="633"/>
      <c r="BC31" s="633"/>
      <c r="BD31" s="633"/>
      <c r="BE31" s="633"/>
      <c r="BF31" s="633"/>
      <c r="BG31" s="633"/>
      <c r="BH31" s="633"/>
      <c r="BI31" s="633"/>
      <c r="BJ31" s="633"/>
      <c r="BK31" s="633"/>
      <c r="BL31" s="633"/>
      <c r="BM31" s="633"/>
      <c r="BN31" s="195">
        <f t="shared" si="4"/>
        <v>0</v>
      </c>
      <c r="BO31" s="127">
        <f t="shared" si="5"/>
        <v>0</v>
      </c>
      <c r="BP31" s="127">
        <f t="shared" si="5"/>
        <v>0</v>
      </c>
      <c r="BQ31" s="127">
        <f t="shared" si="6"/>
        <v>0</v>
      </c>
      <c r="BR31" s="113">
        <f t="shared" si="7"/>
        <v>0</v>
      </c>
      <c r="BS31" s="113">
        <f t="shared" si="8"/>
        <v>0</v>
      </c>
      <c r="BT31" s="113">
        <f t="shared" si="9"/>
        <v>0</v>
      </c>
      <c r="BU31" s="113">
        <f t="shared" si="10"/>
        <v>0</v>
      </c>
      <c r="BV31" s="113">
        <f t="shared" si="11"/>
        <v>0</v>
      </c>
      <c r="BW31" s="127">
        <f t="shared" si="12"/>
        <v>0</v>
      </c>
      <c r="BX31" s="127">
        <f t="shared" si="13"/>
        <v>10</v>
      </c>
      <c r="BY31" s="2"/>
      <c r="BZ31" s="2"/>
      <c r="CA31" s="2"/>
      <c r="CB31" s="2"/>
      <c r="CC31" s="183">
        <f t="shared" si="14"/>
        <v>0</v>
      </c>
      <c r="CD31" s="183">
        <f t="shared" si="15"/>
        <v>0</v>
      </c>
      <c r="CE31" s="183">
        <f t="shared" si="16"/>
        <v>0</v>
      </c>
      <c r="CF31" s="183">
        <f t="shared" si="17"/>
        <v>0</v>
      </c>
      <c r="CG31" s="183">
        <f t="shared" si="18"/>
        <v>0</v>
      </c>
      <c r="CH31" s="183">
        <f t="shared" si="19"/>
        <v>0</v>
      </c>
      <c r="CI31" s="183">
        <f t="shared" si="20"/>
        <v>0</v>
      </c>
      <c r="CJ31" s="183">
        <f t="shared" si="21"/>
        <v>0</v>
      </c>
      <c r="CK31" s="183">
        <f t="shared" si="22"/>
        <v>0</v>
      </c>
      <c r="CL31">
        <f t="shared" si="23"/>
        <v>0</v>
      </c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</row>
    <row r="32" spans="1:179" ht="18.75">
      <c r="A32" s="43">
        <v>26</v>
      </c>
      <c r="B32" s="512">
        <f>'REGISTRO DATOS'!C38</f>
        <v>0</v>
      </c>
      <c r="C32" s="513">
        <f>'REGISTRO DATOS'!D38</f>
        <v>0</v>
      </c>
      <c r="D32" s="509">
        <f>'REGISTRO DATOS'!E38</f>
        <v>0</v>
      </c>
      <c r="E32" s="1079"/>
      <c r="F32" s="509">
        <f t="shared" si="0"/>
        <v>0</v>
      </c>
      <c r="G32" s="509">
        <f t="shared" si="1"/>
        <v>0</v>
      </c>
      <c r="H32" s="509">
        <f t="shared" si="2"/>
        <v>0</v>
      </c>
      <c r="I32" s="510">
        <f t="shared" si="3"/>
        <v>10</v>
      </c>
      <c r="J32" s="514"/>
      <c r="K32" s="633"/>
      <c r="L32" s="633"/>
      <c r="M32" s="633"/>
      <c r="N32" s="633"/>
      <c r="O32" s="633"/>
      <c r="P32" s="633"/>
      <c r="Q32" s="633"/>
      <c r="R32" s="633"/>
      <c r="S32" s="633"/>
      <c r="T32" s="633"/>
      <c r="U32" s="633"/>
      <c r="V32" s="633"/>
      <c r="W32" s="633"/>
      <c r="X32" s="633"/>
      <c r="Y32" s="633"/>
      <c r="Z32" s="633"/>
      <c r="AA32" s="633"/>
      <c r="AB32" s="633"/>
      <c r="AC32" s="633"/>
      <c r="AD32" s="633"/>
      <c r="AE32" s="633"/>
      <c r="AF32" s="633"/>
      <c r="AG32" s="633"/>
      <c r="AH32" s="633"/>
      <c r="AI32" s="633"/>
      <c r="AJ32" s="633"/>
      <c r="AK32" s="633"/>
      <c r="AL32" s="633"/>
      <c r="AM32" s="633"/>
      <c r="AN32" s="633"/>
      <c r="AO32" s="633"/>
      <c r="AP32" s="633"/>
      <c r="AQ32" s="633"/>
      <c r="AR32" s="633"/>
      <c r="AS32" s="633"/>
      <c r="AT32" s="633"/>
      <c r="AU32" s="633"/>
      <c r="AV32" s="633"/>
      <c r="AW32" s="633"/>
      <c r="AX32" s="633"/>
      <c r="AY32" s="633"/>
      <c r="AZ32" s="633"/>
      <c r="BA32" s="633"/>
      <c r="BB32" s="633"/>
      <c r="BC32" s="633"/>
      <c r="BD32" s="633"/>
      <c r="BE32" s="633"/>
      <c r="BF32" s="633"/>
      <c r="BG32" s="633"/>
      <c r="BH32" s="633"/>
      <c r="BI32" s="633"/>
      <c r="BJ32" s="633"/>
      <c r="BK32" s="633"/>
      <c r="BL32" s="633"/>
      <c r="BM32" s="633"/>
      <c r="BN32" s="195">
        <f t="shared" si="4"/>
        <v>0</v>
      </c>
      <c r="BO32" s="127">
        <f t="shared" si="5"/>
        <v>0</v>
      </c>
      <c r="BP32" s="127">
        <f t="shared" si="5"/>
        <v>0</v>
      </c>
      <c r="BQ32" s="127">
        <f t="shared" si="6"/>
        <v>0</v>
      </c>
      <c r="BR32" s="113">
        <f t="shared" si="7"/>
        <v>0</v>
      </c>
      <c r="BS32" s="113">
        <f t="shared" si="8"/>
        <v>0</v>
      </c>
      <c r="BT32" s="113">
        <f t="shared" si="9"/>
        <v>0</v>
      </c>
      <c r="BU32" s="113">
        <f t="shared" si="10"/>
        <v>0</v>
      </c>
      <c r="BV32" s="113">
        <f t="shared" si="11"/>
        <v>0</v>
      </c>
      <c r="BW32" s="127">
        <f t="shared" si="12"/>
        <v>0</v>
      </c>
      <c r="BX32" s="127">
        <f t="shared" si="13"/>
        <v>10</v>
      </c>
      <c r="BY32" s="2"/>
      <c r="BZ32" s="2"/>
      <c r="CA32" s="2"/>
      <c r="CB32" s="2"/>
      <c r="CC32" s="183">
        <f t="shared" si="14"/>
        <v>0</v>
      </c>
      <c r="CD32" s="183">
        <f t="shared" si="15"/>
        <v>0</v>
      </c>
      <c r="CE32" s="183">
        <f t="shared" si="16"/>
        <v>0</v>
      </c>
      <c r="CF32" s="183">
        <f t="shared" si="17"/>
        <v>0</v>
      </c>
      <c r="CG32" s="183">
        <f t="shared" si="18"/>
        <v>0</v>
      </c>
      <c r="CH32" s="183">
        <f t="shared" si="19"/>
        <v>0</v>
      </c>
      <c r="CI32" s="183">
        <f t="shared" si="20"/>
        <v>0</v>
      </c>
      <c r="CJ32" s="183">
        <f t="shared" si="21"/>
        <v>0</v>
      </c>
      <c r="CK32" s="183">
        <f t="shared" si="22"/>
        <v>0</v>
      </c>
      <c r="CL32">
        <f t="shared" si="23"/>
        <v>0</v>
      </c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</row>
    <row r="33" spans="1:179" ht="18.75">
      <c r="A33" s="43">
        <v>27</v>
      </c>
      <c r="B33" s="512">
        <f>'REGISTRO DATOS'!C39</f>
        <v>0</v>
      </c>
      <c r="C33" s="513">
        <f>'REGISTRO DATOS'!D39</f>
        <v>0</v>
      </c>
      <c r="D33" s="509">
        <f>'REGISTRO DATOS'!E39</f>
        <v>0</v>
      </c>
      <c r="E33" s="1079"/>
      <c r="F33" s="509">
        <f t="shared" si="0"/>
        <v>0</v>
      </c>
      <c r="G33" s="509">
        <f t="shared" si="1"/>
        <v>0</v>
      </c>
      <c r="H33" s="509">
        <f t="shared" si="2"/>
        <v>0</v>
      </c>
      <c r="I33" s="510">
        <f t="shared" si="3"/>
        <v>10</v>
      </c>
      <c r="J33" s="514"/>
      <c r="K33" s="633"/>
      <c r="L33" s="633"/>
      <c r="M33" s="633"/>
      <c r="N33" s="633"/>
      <c r="O33" s="633"/>
      <c r="P33" s="633"/>
      <c r="Q33" s="633"/>
      <c r="R33" s="633"/>
      <c r="S33" s="633"/>
      <c r="T33" s="633"/>
      <c r="U33" s="633"/>
      <c r="V33" s="633"/>
      <c r="W33" s="633"/>
      <c r="X33" s="633"/>
      <c r="Y33" s="633"/>
      <c r="Z33" s="633"/>
      <c r="AA33" s="633"/>
      <c r="AB33" s="633"/>
      <c r="AC33" s="633"/>
      <c r="AD33" s="633"/>
      <c r="AE33" s="633"/>
      <c r="AF33" s="633"/>
      <c r="AG33" s="633"/>
      <c r="AH33" s="633"/>
      <c r="AI33" s="633"/>
      <c r="AJ33" s="633"/>
      <c r="AK33" s="633"/>
      <c r="AL33" s="633"/>
      <c r="AM33" s="633"/>
      <c r="AN33" s="633"/>
      <c r="AO33" s="633"/>
      <c r="AP33" s="633"/>
      <c r="AQ33" s="633"/>
      <c r="AR33" s="633"/>
      <c r="AS33" s="633"/>
      <c r="AT33" s="633"/>
      <c r="AU33" s="633"/>
      <c r="AV33" s="633"/>
      <c r="AW33" s="633"/>
      <c r="AX33" s="633"/>
      <c r="AY33" s="633"/>
      <c r="AZ33" s="633"/>
      <c r="BA33" s="633"/>
      <c r="BB33" s="633"/>
      <c r="BC33" s="633"/>
      <c r="BD33" s="633"/>
      <c r="BE33" s="633"/>
      <c r="BF33" s="633"/>
      <c r="BG33" s="633"/>
      <c r="BH33" s="633"/>
      <c r="BI33" s="633"/>
      <c r="BJ33" s="633"/>
      <c r="BK33" s="633"/>
      <c r="BL33" s="633"/>
      <c r="BM33" s="633"/>
      <c r="BN33" s="195">
        <f t="shared" si="4"/>
        <v>0</v>
      </c>
      <c r="BO33" s="127">
        <f t="shared" si="5"/>
        <v>0</v>
      </c>
      <c r="BP33" s="127">
        <f t="shared" si="5"/>
        <v>0</v>
      </c>
      <c r="BQ33" s="127">
        <f t="shared" si="6"/>
        <v>0</v>
      </c>
      <c r="BR33" s="113">
        <f t="shared" si="7"/>
        <v>0</v>
      </c>
      <c r="BS33" s="113">
        <f t="shared" si="8"/>
        <v>0</v>
      </c>
      <c r="BT33" s="113">
        <f t="shared" si="9"/>
        <v>0</v>
      </c>
      <c r="BU33" s="113">
        <f t="shared" si="10"/>
        <v>0</v>
      </c>
      <c r="BV33" s="113">
        <f t="shared" si="11"/>
        <v>0</v>
      </c>
      <c r="BW33" s="127">
        <f t="shared" si="12"/>
        <v>0</v>
      </c>
      <c r="BX33" s="127">
        <f t="shared" si="13"/>
        <v>10</v>
      </c>
      <c r="BY33" s="2"/>
      <c r="BZ33" s="2"/>
      <c r="CA33" s="2"/>
      <c r="CB33" s="2"/>
      <c r="CC33" s="183">
        <f t="shared" si="14"/>
        <v>0</v>
      </c>
      <c r="CD33" s="183">
        <f t="shared" si="15"/>
        <v>0</v>
      </c>
      <c r="CE33" s="183">
        <f t="shared" si="16"/>
        <v>0</v>
      </c>
      <c r="CF33" s="183">
        <f t="shared" si="17"/>
        <v>0</v>
      </c>
      <c r="CG33" s="183">
        <f t="shared" si="18"/>
        <v>0</v>
      </c>
      <c r="CH33" s="183">
        <f t="shared" si="19"/>
        <v>0</v>
      </c>
      <c r="CI33" s="183">
        <f t="shared" si="20"/>
        <v>0</v>
      </c>
      <c r="CJ33" s="183">
        <f t="shared" si="21"/>
        <v>0</v>
      </c>
      <c r="CK33" s="183">
        <f t="shared" si="22"/>
        <v>0</v>
      </c>
      <c r="CL33">
        <f t="shared" si="23"/>
        <v>0</v>
      </c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</row>
    <row r="34" spans="1:179" ht="18.75">
      <c r="A34" s="43">
        <v>28</v>
      </c>
      <c r="B34" s="512">
        <f>'REGISTRO DATOS'!C40</f>
        <v>0</v>
      </c>
      <c r="C34" s="513">
        <f>'REGISTRO DATOS'!D40</f>
        <v>0</v>
      </c>
      <c r="D34" s="509">
        <f>'REGISTRO DATOS'!E40</f>
        <v>0</v>
      </c>
      <c r="E34" s="1079"/>
      <c r="F34" s="509">
        <f t="shared" si="0"/>
        <v>0</v>
      </c>
      <c r="G34" s="509">
        <f t="shared" si="1"/>
        <v>0</v>
      </c>
      <c r="H34" s="509">
        <f t="shared" si="2"/>
        <v>0</v>
      </c>
      <c r="I34" s="510">
        <f t="shared" si="3"/>
        <v>10</v>
      </c>
      <c r="J34" s="514"/>
      <c r="K34" s="633"/>
      <c r="L34" s="633"/>
      <c r="M34" s="633"/>
      <c r="N34" s="633"/>
      <c r="O34" s="633"/>
      <c r="P34" s="633"/>
      <c r="Q34" s="633"/>
      <c r="R34" s="633"/>
      <c r="S34" s="633"/>
      <c r="T34" s="633"/>
      <c r="U34" s="633"/>
      <c r="V34" s="633"/>
      <c r="W34" s="633"/>
      <c r="X34" s="633"/>
      <c r="Y34" s="633"/>
      <c r="Z34" s="633"/>
      <c r="AA34" s="633"/>
      <c r="AB34" s="633"/>
      <c r="AC34" s="633"/>
      <c r="AD34" s="633"/>
      <c r="AE34" s="633"/>
      <c r="AF34" s="633"/>
      <c r="AG34" s="633"/>
      <c r="AH34" s="633"/>
      <c r="AI34" s="633"/>
      <c r="AJ34" s="633"/>
      <c r="AK34" s="633"/>
      <c r="AL34" s="633"/>
      <c r="AM34" s="633"/>
      <c r="AN34" s="633"/>
      <c r="AO34" s="633"/>
      <c r="AP34" s="633"/>
      <c r="AQ34" s="633"/>
      <c r="AR34" s="633"/>
      <c r="AS34" s="633"/>
      <c r="AT34" s="633"/>
      <c r="AU34" s="633"/>
      <c r="AV34" s="633"/>
      <c r="AW34" s="633"/>
      <c r="AX34" s="633"/>
      <c r="AY34" s="633"/>
      <c r="AZ34" s="633"/>
      <c r="BA34" s="633"/>
      <c r="BB34" s="633"/>
      <c r="BC34" s="633"/>
      <c r="BD34" s="633"/>
      <c r="BE34" s="633"/>
      <c r="BF34" s="633"/>
      <c r="BG34" s="633"/>
      <c r="BH34" s="633"/>
      <c r="BI34" s="633"/>
      <c r="BJ34" s="633"/>
      <c r="BK34" s="633"/>
      <c r="BL34" s="633"/>
      <c r="BM34" s="633"/>
      <c r="BN34" s="195">
        <f t="shared" si="4"/>
        <v>0</v>
      </c>
      <c r="BO34" s="127">
        <f t="shared" si="5"/>
        <v>0</v>
      </c>
      <c r="BP34" s="127">
        <f t="shared" si="5"/>
        <v>0</v>
      </c>
      <c r="BQ34" s="127">
        <f t="shared" si="6"/>
        <v>0</v>
      </c>
      <c r="BR34" s="113">
        <f t="shared" si="7"/>
        <v>0</v>
      </c>
      <c r="BS34" s="113">
        <f t="shared" si="8"/>
        <v>0</v>
      </c>
      <c r="BT34" s="113">
        <f t="shared" si="9"/>
        <v>0</v>
      </c>
      <c r="BU34" s="113">
        <f t="shared" si="10"/>
        <v>0</v>
      </c>
      <c r="BV34" s="113">
        <f t="shared" si="11"/>
        <v>0</v>
      </c>
      <c r="BW34" s="127">
        <f t="shared" si="12"/>
        <v>0</v>
      </c>
      <c r="BX34" s="127">
        <f t="shared" si="13"/>
        <v>10</v>
      </c>
      <c r="BY34" s="2"/>
      <c r="BZ34" s="2"/>
      <c r="CA34" s="2"/>
      <c r="CB34" s="2"/>
      <c r="CC34" s="183">
        <f t="shared" si="14"/>
        <v>0</v>
      </c>
      <c r="CD34" s="183">
        <f t="shared" si="15"/>
        <v>0</v>
      </c>
      <c r="CE34" s="183">
        <f t="shared" si="16"/>
        <v>0</v>
      </c>
      <c r="CF34" s="183">
        <f t="shared" si="17"/>
        <v>0</v>
      </c>
      <c r="CG34" s="183">
        <f t="shared" si="18"/>
        <v>0</v>
      </c>
      <c r="CH34" s="183">
        <f t="shared" si="19"/>
        <v>0</v>
      </c>
      <c r="CI34" s="183">
        <f t="shared" si="20"/>
        <v>0</v>
      </c>
      <c r="CJ34" s="183">
        <f t="shared" si="21"/>
        <v>0</v>
      </c>
      <c r="CK34" s="183">
        <f t="shared" si="22"/>
        <v>0</v>
      </c>
      <c r="CL34">
        <f t="shared" si="23"/>
        <v>0</v>
      </c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</row>
    <row r="35" spans="1:179" ht="18.75">
      <c r="A35" s="43">
        <v>29</v>
      </c>
      <c r="B35" s="512">
        <f>'REGISTRO DATOS'!C41</f>
        <v>0</v>
      </c>
      <c r="C35" s="513">
        <f>'REGISTRO DATOS'!D41</f>
        <v>0</v>
      </c>
      <c r="D35" s="509">
        <f>'REGISTRO DATOS'!E41</f>
        <v>0</v>
      </c>
      <c r="E35" s="1079"/>
      <c r="F35" s="509">
        <f t="shared" si="0"/>
        <v>0</v>
      </c>
      <c r="G35" s="509">
        <f t="shared" si="1"/>
        <v>0</v>
      </c>
      <c r="H35" s="509">
        <f t="shared" si="2"/>
        <v>0</v>
      </c>
      <c r="I35" s="510">
        <f t="shared" si="3"/>
        <v>10</v>
      </c>
      <c r="J35" s="514"/>
      <c r="K35" s="633"/>
      <c r="L35" s="633"/>
      <c r="M35" s="633"/>
      <c r="N35" s="633"/>
      <c r="O35" s="633"/>
      <c r="P35" s="633"/>
      <c r="Q35" s="633"/>
      <c r="R35" s="633"/>
      <c r="S35" s="633"/>
      <c r="T35" s="633"/>
      <c r="U35" s="633"/>
      <c r="V35" s="633"/>
      <c r="W35" s="633"/>
      <c r="X35" s="633"/>
      <c r="Y35" s="633"/>
      <c r="Z35" s="633"/>
      <c r="AA35" s="633"/>
      <c r="AB35" s="633"/>
      <c r="AC35" s="633"/>
      <c r="AD35" s="633"/>
      <c r="AE35" s="633"/>
      <c r="AF35" s="633"/>
      <c r="AG35" s="633"/>
      <c r="AH35" s="633"/>
      <c r="AI35" s="633"/>
      <c r="AJ35" s="633"/>
      <c r="AK35" s="633"/>
      <c r="AL35" s="633"/>
      <c r="AM35" s="633"/>
      <c r="AN35" s="633"/>
      <c r="AO35" s="633"/>
      <c r="AP35" s="633"/>
      <c r="AQ35" s="633"/>
      <c r="AR35" s="633"/>
      <c r="AS35" s="633"/>
      <c r="AT35" s="633"/>
      <c r="AU35" s="633"/>
      <c r="AV35" s="633"/>
      <c r="AW35" s="633"/>
      <c r="AX35" s="633"/>
      <c r="AY35" s="633"/>
      <c r="AZ35" s="633"/>
      <c r="BA35" s="633"/>
      <c r="BB35" s="633"/>
      <c r="BC35" s="633"/>
      <c r="BD35" s="633"/>
      <c r="BE35" s="633"/>
      <c r="BF35" s="633"/>
      <c r="BG35" s="633"/>
      <c r="BH35" s="633"/>
      <c r="BI35" s="633"/>
      <c r="BJ35" s="633"/>
      <c r="BK35" s="633"/>
      <c r="BL35" s="633"/>
      <c r="BM35" s="633"/>
      <c r="BN35" s="195">
        <f t="shared" si="4"/>
        <v>0</v>
      </c>
      <c r="BO35" s="127">
        <f t="shared" si="5"/>
        <v>0</v>
      </c>
      <c r="BP35" s="127">
        <f t="shared" si="5"/>
        <v>0</v>
      </c>
      <c r="BQ35" s="127">
        <f t="shared" si="6"/>
        <v>0</v>
      </c>
      <c r="BR35" s="113">
        <f t="shared" si="7"/>
        <v>0</v>
      </c>
      <c r="BS35" s="113">
        <f t="shared" si="8"/>
        <v>0</v>
      </c>
      <c r="BT35" s="113">
        <f t="shared" si="9"/>
        <v>0</v>
      </c>
      <c r="BU35" s="113">
        <f t="shared" si="10"/>
        <v>0</v>
      </c>
      <c r="BV35" s="113">
        <f t="shared" si="11"/>
        <v>0</v>
      </c>
      <c r="BW35" s="127">
        <f t="shared" si="12"/>
        <v>0</v>
      </c>
      <c r="BX35" s="127">
        <f t="shared" si="13"/>
        <v>10</v>
      </c>
      <c r="BY35" s="2"/>
      <c r="BZ35" s="2"/>
      <c r="CA35" s="2"/>
      <c r="CB35" s="2"/>
      <c r="CC35" s="183">
        <f t="shared" si="14"/>
        <v>0</v>
      </c>
      <c r="CD35" s="183">
        <f t="shared" si="15"/>
        <v>0</v>
      </c>
      <c r="CE35" s="183">
        <f t="shared" si="16"/>
        <v>0</v>
      </c>
      <c r="CF35" s="183">
        <f t="shared" si="17"/>
        <v>0</v>
      </c>
      <c r="CG35" s="183">
        <f t="shared" si="18"/>
        <v>0</v>
      </c>
      <c r="CH35" s="183">
        <f t="shared" si="19"/>
        <v>0</v>
      </c>
      <c r="CI35" s="183">
        <f t="shared" si="20"/>
        <v>0</v>
      </c>
      <c r="CJ35" s="183">
        <f t="shared" si="21"/>
        <v>0</v>
      </c>
      <c r="CK35" s="183">
        <f t="shared" si="22"/>
        <v>0</v>
      </c>
      <c r="CL35">
        <f t="shared" si="23"/>
        <v>0</v>
      </c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</row>
    <row r="36" spans="1:179" ht="18.75">
      <c r="A36" s="43">
        <v>30</v>
      </c>
      <c r="B36" s="512">
        <f>'REGISTRO DATOS'!C42</f>
        <v>0</v>
      </c>
      <c r="C36" s="513">
        <f>'REGISTRO DATOS'!D42</f>
        <v>0</v>
      </c>
      <c r="D36" s="509">
        <f>'REGISTRO DATOS'!E42</f>
        <v>0</v>
      </c>
      <c r="E36" s="1079"/>
      <c r="F36" s="509">
        <f t="shared" si="0"/>
        <v>0</v>
      </c>
      <c r="G36" s="509">
        <f t="shared" si="1"/>
        <v>0</v>
      </c>
      <c r="H36" s="509">
        <f t="shared" si="2"/>
        <v>0</v>
      </c>
      <c r="I36" s="510">
        <f t="shared" si="3"/>
        <v>10</v>
      </c>
      <c r="J36" s="514"/>
      <c r="K36" s="633"/>
      <c r="L36" s="633"/>
      <c r="M36" s="633"/>
      <c r="N36" s="633"/>
      <c r="O36" s="633"/>
      <c r="P36" s="633"/>
      <c r="Q36" s="633"/>
      <c r="R36" s="633"/>
      <c r="S36" s="633"/>
      <c r="T36" s="633"/>
      <c r="U36" s="633"/>
      <c r="V36" s="633"/>
      <c r="W36" s="633"/>
      <c r="X36" s="633"/>
      <c r="Y36" s="633"/>
      <c r="Z36" s="633"/>
      <c r="AA36" s="633"/>
      <c r="AB36" s="633"/>
      <c r="AC36" s="633"/>
      <c r="AD36" s="633"/>
      <c r="AE36" s="633"/>
      <c r="AF36" s="633"/>
      <c r="AG36" s="633"/>
      <c r="AH36" s="633"/>
      <c r="AI36" s="633"/>
      <c r="AJ36" s="633"/>
      <c r="AK36" s="633"/>
      <c r="AL36" s="633"/>
      <c r="AM36" s="633"/>
      <c r="AN36" s="633"/>
      <c r="AO36" s="633"/>
      <c r="AP36" s="633"/>
      <c r="AQ36" s="633"/>
      <c r="AR36" s="633"/>
      <c r="AS36" s="633"/>
      <c r="AT36" s="633"/>
      <c r="AU36" s="633"/>
      <c r="AV36" s="633"/>
      <c r="AW36" s="633"/>
      <c r="AX36" s="633"/>
      <c r="AY36" s="633"/>
      <c r="AZ36" s="633"/>
      <c r="BA36" s="633"/>
      <c r="BB36" s="633"/>
      <c r="BC36" s="633"/>
      <c r="BD36" s="633"/>
      <c r="BE36" s="633"/>
      <c r="BF36" s="633"/>
      <c r="BG36" s="633"/>
      <c r="BH36" s="633"/>
      <c r="BI36" s="633"/>
      <c r="BJ36" s="633"/>
      <c r="BK36" s="633"/>
      <c r="BL36" s="633"/>
      <c r="BM36" s="633"/>
      <c r="BN36" s="195">
        <f t="shared" si="4"/>
        <v>0</v>
      </c>
      <c r="BO36" s="127">
        <f t="shared" si="5"/>
        <v>0</v>
      </c>
      <c r="BP36" s="127">
        <f t="shared" si="5"/>
        <v>0</v>
      </c>
      <c r="BQ36" s="127">
        <f t="shared" si="6"/>
        <v>0</v>
      </c>
      <c r="BR36" s="113">
        <f t="shared" si="7"/>
        <v>0</v>
      </c>
      <c r="BS36" s="113">
        <f t="shared" si="8"/>
        <v>0</v>
      </c>
      <c r="BT36" s="113">
        <f t="shared" si="9"/>
        <v>0</v>
      </c>
      <c r="BU36" s="113">
        <f t="shared" si="10"/>
        <v>0</v>
      </c>
      <c r="BV36" s="113">
        <f t="shared" si="11"/>
        <v>0</v>
      </c>
      <c r="BW36" s="127">
        <f t="shared" si="12"/>
        <v>0</v>
      </c>
      <c r="BX36" s="127">
        <f t="shared" si="13"/>
        <v>10</v>
      </c>
      <c r="BY36" s="2"/>
      <c r="BZ36" s="2"/>
      <c r="CA36" s="2"/>
      <c r="CB36" s="2"/>
      <c r="CC36" s="183">
        <f t="shared" si="14"/>
        <v>0</v>
      </c>
      <c r="CD36" s="183">
        <f t="shared" si="15"/>
        <v>0</v>
      </c>
      <c r="CE36" s="183">
        <f t="shared" si="16"/>
        <v>0</v>
      </c>
      <c r="CF36" s="183">
        <f t="shared" si="17"/>
        <v>0</v>
      </c>
      <c r="CG36" s="183">
        <f t="shared" si="18"/>
        <v>0</v>
      </c>
      <c r="CH36" s="183">
        <f t="shared" si="19"/>
        <v>0</v>
      </c>
      <c r="CI36" s="183">
        <f t="shared" si="20"/>
        <v>0</v>
      </c>
      <c r="CJ36" s="183">
        <f t="shared" si="21"/>
        <v>0</v>
      </c>
      <c r="CK36" s="183">
        <f t="shared" si="22"/>
        <v>0</v>
      </c>
      <c r="CL36">
        <f t="shared" si="23"/>
        <v>0</v>
      </c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</row>
    <row r="37" spans="1:179" ht="18.75">
      <c r="A37" s="43">
        <v>31</v>
      </c>
      <c r="B37" s="512">
        <f>'REGISTRO DATOS'!C43</f>
        <v>0</v>
      </c>
      <c r="C37" s="513">
        <f>'REGISTRO DATOS'!D43</f>
        <v>0</v>
      </c>
      <c r="D37" s="509">
        <f>'REGISTRO DATOS'!E43</f>
        <v>0</v>
      </c>
      <c r="E37" s="1079"/>
      <c r="F37" s="509">
        <f t="shared" si="0"/>
        <v>0</v>
      </c>
      <c r="G37" s="509">
        <f t="shared" si="1"/>
        <v>0</v>
      </c>
      <c r="H37" s="509">
        <f t="shared" si="2"/>
        <v>0</v>
      </c>
      <c r="I37" s="510">
        <f t="shared" si="3"/>
        <v>10</v>
      </c>
      <c r="J37" s="514"/>
      <c r="K37" s="633"/>
      <c r="L37" s="633"/>
      <c r="M37" s="633"/>
      <c r="N37" s="633"/>
      <c r="O37" s="633"/>
      <c r="P37" s="633"/>
      <c r="Q37" s="633"/>
      <c r="R37" s="633"/>
      <c r="S37" s="633"/>
      <c r="T37" s="633"/>
      <c r="U37" s="633"/>
      <c r="V37" s="633"/>
      <c r="W37" s="633"/>
      <c r="X37" s="633"/>
      <c r="Y37" s="633"/>
      <c r="Z37" s="633"/>
      <c r="AA37" s="633"/>
      <c r="AB37" s="633"/>
      <c r="AC37" s="633"/>
      <c r="AD37" s="633"/>
      <c r="AE37" s="633"/>
      <c r="AF37" s="633"/>
      <c r="AG37" s="633"/>
      <c r="AH37" s="633"/>
      <c r="AI37" s="633"/>
      <c r="AJ37" s="633"/>
      <c r="AK37" s="633"/>
      <c r="AL37" s="633"/>
      <c r="AM37" s="633"/>
      <c r="AN37" s="633"/>
      <c r="AO37" s="633"/>
      <c r="AP37" s="633"/>
      <c r="AQ37" s="633"/>
      <c r="AR37" s="633"/>
      <c r="AS37" s="633"/>
      <c r="AT37" s="633"/>
      <c r="AU37" s="633"/>
      <c r="AV37" s="633"/>
      <c r="AW37" s="633"/>
      <c r="AX37" s="633"/>
      <c r="AY37" s="633"/>
      <c r="AZ37" s="633"/>
      <c r="BA37" s="633"/>
      <c r="BB37" s="633"/>
      <c r="BC37" s="633"/>
      <c r="BD37" s="633"/>
      <c r="BE37" s="633"/>
      <c r="BF37" s="633"/>
      <c r="BG37" s="633"/>
      <c r="BH37" s="633"/>
      <c r="BI37" s="633"/>
      <c r="BJ37" s="633"/>
      <c r="BK37" s="633"/>
      <c r="BL37" s="633"/>
      <c r="BM37" s="633"/>
      <c r="BN37" s="195">
        <f t="shared" si="4"/>
        <v>0</v>
      </c>
      <c r="BO37" s="127">
        <f t="shared" si="5"/>
        <v>0</v>
      </c>
      <c r="BP37" s="127">
        <f t="shared" si="5"/>
        <v>0</v>
      </c>
      <c r="BQ37" s="127">
        <f t="shared" si="6"/>
        <v>0</v>
      </c>
      <c r="BR37" s="113">
        <f t="shared" si="7"/>
        <v>0</v>
      </c>
      <c r="BS37" s="113">
        <f t="shared" si="8"/>
        <v>0</v>
      </c>
      <c r="BT37" s="113">
        <f t="shared" si="9"/>
        <v>0</v>
      </c>
      <c r="BU37" s="113">
        <f t="shared" si="10"/>
        <v>0</v>
      </c>
      <c r="BV37" s="113">
        <f t="shared" si="11"/>
        <v>0</v>
      </c>
      <c r="BW37" s="127">
        <f t="shared" si="12"/>
        <v>0</v>
      </c>
      <c r="BX37" s="127">
        <f t="shared" si="13"/>
        <v>10</v>
      </c>
      <c r="BY37" s="2"/>
      <c r="BZ37" s="2"/>
      <c r="CA37" s="2"/>
      <c r="CB37" s="2"/>
      <c r="CC37" s="183">
        <f t="shared" si="14"/>
        <v>0</v>
      </c>
      <c r="CD37" s="183">
        <f t="shared" si="15"/>
        <v>0</v>
      </c>
      <c r="CE37" s="183">
        <f t="shared" si="16"/>
        <v>0</v>
      </c>
      <c r="CF37" s="183">
        <f t="shared" si="17"/>
        <v>0</v>
      </c>
      <c r="CG37" s="183">
        <f t="shared" si="18"/>
        <v>0</v>
      </c>
      <c r="CH37" s="183">
        <f t="shared" si="19"/>
        <v>0</v>
      </c>
      <c r="CI37" s="183">
        <f t="shared" si="20"/>
        <v>0</v>
      </c>
      <c r="CJ37" s="183">
        <f t="shared" si="21"/>
        <v>0</v>
      </c>
      <c r="CK37" s="183">
        <f t="shared" si="22"/>
        <v>0</v>
      </c>
      <c r="CL37">
        <f t="shared" si="23"/>
        <v>0</v>
      </c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</row>
    <row r="38" spans="1:179" ht="18.75">
      <c r="A38" s="43">
        <v>32</v>
      </c>
      <c r="B38" s="512">
        <f>'REGISTRO DATOS'!C44</f>
        <v>0</v>
      </c>
      <c r="C38" s="513">
        <f>'REGISTRO DATOS'!D44</f>
        <v>0</v>
      </c>
      <c r="D38" s="509">
        <f>'REGISTRO DATOS'!E44</f>
        <v>0</v>
      </c>
      <c r="E38" s="1079"/>
      <c r="F38" s="509">
        <f t="shared" si="0"/>
        <v>0</v>
      </c>
      <c r="G38" s="509">
        <f t="shared" si="1"/>
        <v>0</v>
      </c>
      <c r="H38" s="509">
        <f t="shared" si="2"/>
        <v>0</v>
      </c>
      <c r="I38" s="510">
        <f t="shared" si="3"/>
        <v>10</v>
      </c>
      <c r="J38" s="514"/>
      <c r="K38" s="633"/>
      <c r="L38" s="633"/>
      <c r="M38" s="633"/>
      <c r="N38" s="633"/>
      <c r="O38" s="633"/>
      <c r="P38" s="633"/>
      <c r="Q38" s="633"/>
      <c r="R38" s="633"/>
      <c r="S38" s="633"/>
      <c r="T38" s="633"/>
      <c r="U38" s="633"/>
      <c r="V38" s="633"/>
      <c r="W38" s="633"/>
      <c r="X38" s="633"/>
      <c r="Y38" s="633"/>
      <c r="Z38" s="633"/>
      <c r="AA38" s="633"/>
      <c r="AB38" s="633"/>
      <c r="AC38" s="633"/>
      <c r="AD38" s="633"/>
      <c r="AE38" s="633"/>
      <c r="AF38" s="633"/>
      <c r="AG38" s="633"/>
      <c r="AH38" s="633"/>
      <c r="AI38" s="633"/>
      <c r="AJ38" s="633"/>
      <c r="AK38" s="633"/>
      <c r="AL38" s="633"/>
      <c r="AM38" s="633"/>
      <c r="AN38" s="633"/>
      <c r="AO38" s="633"/>
      <c r="AP38" s="633"/>
      <c r="AQ38" s="633"/>
      <c r="AR38" s="633"/>
      <c r="AS38" s="633"/>
      <c r="AT38" s="633"/>
      <c r="AU38" s="633"/>
      <c r="AV38" s="633"/>
      <c r="AW38" s="633"/>
      <c r="AX38" s="633"/>
      <c r="AY38" s="633"/>
      <c r="AZ38" s="633"/>
      <c r="BA38" s="633"/>
      <c r="BB38" s="633"/>
      <c r="BC38" s="633"/>
      <c r="BD38" s="633"/>
      <c r="BE38" s="633"/>
      <c r="BF38" s="633"/>
      <c r="BG38" s="633"/>
      <c r="BH38" s="633"/>
      <c r="BI38" s="633"/>
      <c r="BJ38" s="633"/>
      <c r="BK38" s="633"/>
      <c r="BL38" s="633"/>
      <c r="BM38" s="633"/>
      <c r="BN38" s="195">
        <f t="shared" si="4"/>
        <v>0</v>
      </c>
      <c r="BO38" s="127">
        <f t="shared" si="5"/>
        <v>0</v>
      </c>
      <c r="BP38" s="127">
        <f t="shared" si="5"/>
        <v>0</v>
      </c>
      <c r="BQ38" s="127">
        <f t="shared" si="6"/>
        <v>0</v>
      </c>
      <c r="BR38" s="113">
        <f t="shared" si="7"/>
        <v>0</v>
      </c>
      <c r="BS38" s="113">
        <f t="shared" si="8"/>
        <v>0</v>
      </c>
      <c r="BT38" s="113">
        <f t="shared" si="9"/>
        <v>0</v>
      </c>
      <c r="BU38" s="113">
        <f t="shared" si="10"/>
        <v>0</v>
      </c>
      <c r="BV38" s="113">
        <f t="shared" si="11"/>
        <v>0</v>
      </c>
      <c r="BW38" s="127">
        <f t="shared" si="12"/>
        <v>0</v>
      </c>
      <c r="BX38" s="127">
        <f t="shared" si="13"/>
        <v>10</v>
      </c>
      <c r="BY38" s="2"/>
      <c r="BZ38" s="2"/>
      <c r="CA38" s="2"/>
      <c r="CB38" s="2"/>
      <c r="CC38" s="183">
        <f t="shared" si="14"/>
        <v>0</v>
      </c>
      <c r="CD38" s="183">
        <f t="shared" si="15"/>
        <v>0</v>
      </c>
      <c r="CE38" s="183">
        <f t="shared" si="16"/>
        <v>0</v>
      </c>
      <c r="CF38" s="183">
        <f t="shared" si="17"/>
        <v>0</v>
      </c>
      <c r="CG38" s="183">
        <f t="shared" si="18"/>
        <v>0</v>
      </c>
      <c r="CH38" s="183">
        <f t="shared" si="19"/>
        <v>0</v>
      </c>
      <c r="CI38" s="183">
        <f t="shared" si="20"/>
        <v>0</v>
      </c>
      <c r="CJ38" s="183">
        <f t="shared" si="21"/>
        <v>0</v>
      </c>
      <c r="CK38" s="183">
        <f t="shared" si="22"/>
        <v>0</v>
      </c>
      <c r="CL38">
        <f t="shared" si="23"/>
        <v>0</v>
      </c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</row>
    <row r="39" spans="1:179" ht="18.75">
      <c r="A39" s="43">
        <v>33</v>
      </c>
      <c r="B39" s="512">
        <f>'REGISTRO DATOS'!C45</f>
        <v>0</v>
      </c>
      <c r="C39" s="513">
        <f>'REGISTRO DATOS'!D45</f>
        <v>0</v>
      </c>
      <c r="D39" s="509">
        <f>'REGISTRO DATOS'!E45</f>
        <v>0</v>
      </c>
      <c r="E39" s="1079"/>
      <c r="F39" s="509">
        <f t="shared" si="0"/>
        <v>0</v>
      </c>
      <c r="G39" s="509">
        <f t="shared" si="1"/>
        <v>0</v>
      </c>
      <c r="H39" s="509">
        <f t="shared" si="2"/>
        <v>0</v>
      </c>
      <c r="I39" s="510">
        <f t="shared" si="3"/>
        <v>10</v>
      </c>
      <c r="J39" s="514"/>
      <c r="K39" s="633"/>
      <c r="L39" s="633"/>
      <c r="M39" s="633"/>
      <c r="N39" s="633"/>
      <c r="O39" s="633"/>
      <c r="P39" s="633"/>
      <c r="Q39" s="633"/>
      <c r="R39" s="633"/>
      <c r="S39" s="633"/>
      <c r="T39" s="633"/>
      <c r="U39" s="633"/>
      <c r="V39" s="633"/>
      <c r="W39" s="633"/>
      <c r="X39" s="633"/>
      <c r="Y39" s="633"/>
      <c r="Z39" s="633"/>
      <c r="AA39" s="633"/>
      <c r="AB39" s="633"/>
      <c r="AC39" s="633"/>
      <c r="AD39" s="633"/>
      <c r="AE39" s="633"/>
      <c r="AF39" s="633"/>
      <c r="AG39" s="633"/>
      <c r="AH39" s="633"/>
      <c r="AI39" s="633"/>
      <c r="AJ39" s="633"/>
      <c r="AK39" s="633"/>
      <c r="AL39" s="633"/>
      <c r="AM39" s="633"/>
      <c r="AN39" s="633"/>
      <c r="AO39" s="633"/>
      <c r="AP39" s="633"/>
      <c r="AQ39" s="633"/>
      <c r="AR39" s="633"/>
      <c r="AS39" s="633"/>
      <c r="AT39" s="633"/>
      <c r="AU39" s="633"/>
      <c r="AV39" s="633"/>
      <c r="AW39" s="633"/>
      <c r="AX39" s="633"/>
      <c r="AY39" s="633"/>
      <c r="AZ39" s="633"/>
      <c r="BA39" s="633"/>
      <c r="BB39" s="633"/>
      <c r="BC39" s="633"/>
      <c r="BD39" s="633"/>
      <c r="BE39" s="633"/>
      <c r="BF39" s="633"/>
      <c r="BG39" s="633"/>
      <c r="BH39" s="633"/>
      <c r="BI39" s="633"/>
      <c r="BJ39" s="633"/>
      <c r="BK39" s="633"/>
      <c r="BL39" s="633"/>
      <c r="BM39" s="633"/>
      <c r="BN39" s="195">
        <f t="shared" si="4"/>
        <v>0</v>
      </c>
      <c r="BO39" s="127">
        <f t="shared" si="5"/>
        <v>0</v>
      </c>
      <c r="BP39" s="127">
        <f t="shared" si="5"/>
        <v>0</v>
      </c>
      <c r="BQ39" s="127">
        <f t="shared" si="6"/>
        <v>0</v>
      </c>
      <c r="BR39" s="113">
        <f t="shared" si="7"/>
        <v>0</v>
      </c>
      <c r="BS39" s="113">
        <f t="shared" si="8"/>
        <v>0</v>
      </c>
      <c r="BT39" s="113">
        <f t="shared" si="9"/>
        <v>0</v>
      </c>
      <c r="BU39" s="113">
        <f t="shared" si="10"/>
        <v>0</v>
      </c>
      <c r="BV39" s="113">
        <f t="shared" si="11"/>
        <v>0</v>
      </c>
      <c r="BW39" s="127">
        <f t="shared" si="12"/>
        <v>0</v>
      </c>
      <c r="BX39" s="127">
        <f t="shared" si="13"/>
        <v>10</v>
      </c>
      <c r="BY39" s="2"/>
      <c r="BZ39" s="2"/>
      <c r="CA39" s="2"/>
      <c r="CB39" s="2"/>
      <c r="CC39" s="183">
        <f t="shared" si="14"/>
        <v>0</v>
      </c>
      <c r="CD39" s="183">
        <f t="shared" si="15"/>
        <v>0</v>
      </c>
      <c r="CE39" s="183">
        <f t="shared" si="16"/>
        <v>0</v>
      </c>
      <c r="CF39" s="183">
        <f t="shared" si="17"/>
        <v>0</v>
      </c>
      <c r="CG39" s="183">
        <f t="shared" si="18"/>
        <v>0</v>
      </c>
      <c r="CH39" s="183">
        <f t="shared" si="19"/>
        <v>0</v>
      </c>
      <c r="CI39" s="183">
        <f t="shared" si="20"/>
        <v>0</v>
      </c>
      <c r="CJ39" s="183">
        <f t="shared" si="21"/>
        <v>0</v>
      </c>
      <c r="CK39" s="183">
        <f t="shared" si="22"/>
        <v>0</v>
      </c>
      <c r="CL39">
        <f t="shared" si="23"/>
        <v>0</v>
      </c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</row>
    <row r="40" spans="1:179" ht="18.75">
      <c r="A40" s="43">
        <v>34</v>
      </c>
      <c r="B40" s="512">
        <f>'REGISTRO DATOS'!C46</f>
        <v>0</v>
      </c>
      <c r="C40" s="513">
        <f>'REGISTRO DATOS'!D46</f>
        <v>0</v>
      </c>
      <c r="D40" s="509">
        <f>'REGISTRO DATOS'!E46</f>
        <v>0</v>
      </c>
      <c r="E40" s="1079"/>
      <c r="F40" s="509">
        <f t="shared" si="0"/>
        <v>0</v>
      </c>
      <c r="G40" s="509">
        <f t="shared" si="1"/>
        <v>0</v>
      </c>
      <c r="H40" s="509">
        <f t="shared" si="2"/>
        <v>0</v>
      </c>
      <c r="I40" s="510">
        <f t="shared" si="3"/>
        <v>10</v>
      </c>
      <c r="J40" s="514"/>
      <c r="K40" s="633"/>
      <c r="L40" s="633"/>
      <c r="M40" s="633"/>
      <c r="N40" s="633"/>
      <c r="O40" s="633"/>
      <c r="P40" s="633"/>
      <c r="Q40" s="633"/>
      <c r="R40" s="633"/>
      <c r="S40" s="633"/>
      <c r="T40" s="633"/>
      <c r="U40" s="633"/>
      <c r="V40" s="633"/>
      <c r="W40" s="633"/>
      <c r="X40" s="633"/>
      <c r="Y40" s="633"/>
      <c r="Z40" s="633"/>
      <c r="AA40" s="633"/>
      <c r="AB40" s="633"/>
      <c r="AC40" s="633"/>
      <c r="AD40" s="633"/>
      <c r="AE40" s="633"/>
      <c r="AF40" s="633"/>
      <c r="AG40" s="633"/>
      <c r="AH40" s="633"/>
      <c r="AI40" s="633"/>
      <c r="AJ40" s="633"/>
      <c r="AK40" s="633"/>
      <c r="AL40" s="633"/>
      <c r="AM40" s="633"/>
      <c r="AN40" s="633"/>
      <c r="AO40" s="633"/>
      <c r="AP40" s="633"/>
      <c r="AQ40" s="633"/>
      <c r="AR40" s="633"/>
      <c r="AS40" s="633"/>
      <c r="AT40" s="633"/>
      <c r="AU40" s="633"/>
      <c r="AV40" s="633"/>
      <c r="AW40" s="633"/>
      <c r="AX40" s="633"/>
      <c r="AY40" s="633"/>
      <c r="AZ40" s="633"/>
      <c r="BA40" s="633"/>
      <c r="BB40" s="633"/>
      <c r="BC40" s="633"/>
      <c r="BD40" s="633"/>
      <c r="BE40" s="633"/>
      <c r="BF40" s="633"/>
      <c r="BG40" s="633"/>
      <c r="BH40" s="633"/>
      <c r="BI40" s="633"/>
      <c r="BJ40" s="633"/>
      <c r="BK40" s="633"/>
      <c r="BL40" s="633"/>
      <c r="BM40" s="633"/>
      <c r="BN40" s="195">
        <f t="shared" si="4"/>
        <v>0</v>
      </c>
      <c r="BO40" s="127">
        <f t="shared" si="5"/>
        <v>0</v>
      </c>
      <c r="BP40" s="127">
        <f t="shared" si="5"/>
        <v>0</v>
      </c>
      <c r="BQ40" s="127">
        <f t="shared" si="6"/>
        <v>0</v>
      </c>
      <c r="BR40" s="113">
        <f t="shared" si="7"/>
        <v>0</v>
      </c>
      <c r="BS40" s="113">
        <f t="shared" si="8"/>
        <v>0</v>
      </c>
      <c r="BT40" s="113">
        <f t="shared" si="9"/>
        <v>0</v>
      </c>
      <c r="BU40" s="113">
        <f t="shared" si="10"/>
        <v>0</v>
      </c>
      <c r="BV40" s="113">
        <f t="shared" si="11"/>
        <v>0</v>
      </c>
      <c r="BW40" s="127">
        <f t="shared" si="12"/>
        <v>0</v>
      </c>
      <c r="BX40" s="127">
        <f t="shared" si="13"/>
        <v>10</v>
      </c>
      <c r="BY40" s="2"/>
      <c r="BZ40" s="2"/>
      <c r="CA40" s="2"/>
      <c r="CB40" s="2"/>
      <c r="CC40" s="183">
        <f t="shared" si="14"/>
        <v>0</v>
      </c>
      <c r="CD40" s="183">
        <f t="shared" si="15"/>
        <v>0</v>
      </c>
      <c r="CE40" s="183">
        <f t="shared" si="16"/>
        <v>0</v>
      </c>
      <c r="CF40" s="183">
        <f t="shared" si="17"/>
        <v>0</v>
      </c>
      <c r="CG40" s="183">
        <f t="shared" si="18"/>
        <v>0</v>
      </c>
      <c r="CH40" s="183">
        <f t="shared" si="19"/>
        <v>0</v>
      </c>
      <c r="CI40" s="183">
        <f t="shared" si="20"/>
        <v>0</v>
      </c>
      <c r="CJ40" s="183">
        <f t="shared" si="21"/>
        <v>0</v>
      </c>
      <c r="CK40" s="183">
        <f t="shared" si="22"/>
        <v>0</v>
      </c>
      <c r="CL40">
        <f t="shared" si="23"/>
        <v>0</v>
      </c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</row>
    <row r="41" spans="1:179" ht="18.75">
      <c r="A41" s="43">
        <v>35</v>
      </c>
      <c r="B41" s="512">
        <f>'REGISTRO DATOS'!C47</f>
        <v>0</v>
      </c>
      <c r="C41" s="513">
        <f>'REGISTRO DATOS'!D47</f>
        <v>0</v>
      </c>
      <c r="D41" s="509">
        <f>'REGISTRO DATOS'!E47</f>
        <v>0</v>
      </c>
      <c r="E41" s="1079"/>
      <c r="F41" s="509">
        <f t="shared" si="0"/>
        <v>0</v>
      </c>
      <c r="G41" s="509">
        <f t="shared" si="1"/>
        <v>0</v>
      </c>
      <c r="H41" s="509">
        <f t="shared" si="2"/>
        <v>0</v>
      </c>
      <c r="I41" s="510">
        <f t="shared" si="3"/>
        <v>10</v>
      </c>
      <c r="J41" s="514"/>
      <c r="K41" s="633"/>
      <c r="L41" s="633"/>
      <c r="M41" s="633"/>
      <c r="N41" s="633"/>
      <c r="O41" s="633"/>
      <c r="P41" s="633"/>
      <c r="Q41" s="633"/>
      <c r="R41" s="633"/>
      <c r="S41" s="633"/>
      <c r="T41" s="633"/>
      <c r="U41" s="633"/>
      <c r="V41" s="633"/>
      <c r="W41" s="633"/>
      <c r="X41" s="633"/>
      <c r="Y41" s="633"/>
      <c r="Z41" s="633"/>
      <c r="AA41" s="633"/>
      <c r="AB41" s="633"/>
      <c r="AC41" s="633"/>
      <c r="AD41" s="633"/>
      <c r="AE41" s="633"/>
      <c r="AF41" s="633"/>
      <c r="AG41" s="633"/>
      <c r="AH41" s="633"/>
      <c r="AI41" s="633"/>
      <c r="AJ41" s="633"/>
      <c r="AK41" s="633"/>
      <c r="AL41" s="633"/>
      <c r="AM41" s="633"/>
      <c r="AN41" s="633"/>
      <c r="AO41" s="633"/>
      <c r="AP41" s="633"/>
      <c r="AQ41" s="633"/>
      <c r="AR41" s="633"/>
      <c r="AS41" s="633"/>
      <c r="AT41" s="633"/>
      <c r="AU41" s="633"/>
      <c r="AV41" s="633"/>
      <c r="AW41" s="633"/>
      <c r="AX41" s="633"/>
      <c r="AY41" s="633"/>
      <c r="AZ41" s="633"/>
      <c r="BA41" s="633"/>
      <c r="BB41" s="633"/>
      <c r="BC41" s="633"/>
      <c r="BD41" s="633"/>
      <c r="BE41" s="633"/>
      <c r="BF41" s="633"/>
      <c r="BG41" s="633"/>
      <c r="BH41" s="633"/>
      <c r="BI41" s="633"/>
      <c r="BJ41" s="633"/>
      <c r="BK41" s="633"/>
      <c r="BL41" s="633"/>
      <c r="BM41" s="633"/>
      <c r="BN41" s="195">
        <f t="shared" si="4"/>
        <v>0</v>
      </c>
      <c r="BO41" s="127">
        <f t="shared" si="5"/>
        <v>0</v>
      </c>
      <c r="BP41" s="127">
        <f t="shared" si="5"/>
        <v>0</v>
      </c>
      <c r="BQ41" s="127">
        <f t="shared" si="6"/>
        <v>0</v>
      </c>
      <c r="BR41" s="113">
        <f t="shared" si="7"/>
        <v>0</v>
      </c>
      <c r="BS41" s="113">
        <f t="shared" si="8"/>
        <v>0</v>
      </c>
      <c r="BT41" s="113">
        <f t="shared" si="9"/>
        <v>0</v>
      </c>
      <c r="BU41" s="113">
        <f t="shared" si="10"/>
        <v>0</v>
      </c>
      <c r="BV41" s="113">
        <f t="shared" si="11"/>
        <v>0</v>
      </c>
      <c r="BW41" s="127">
        <f t="shared" si="12"/>
        <v>0</v>
      </c>
      <c r="BX41" s="127">
        <f t="shared" si="13"/>
        <v>10</v>
      </c>
      <c r="BY41" s="2"/>
      <c r="BZ41" s="2"/>
      <c r="CA41" s="2"/>
      <c r="CB41" s="2"/>
      <c r="CC41" s="183">
        <f t="shared" si="14"/>
        <v>0</v>
      </c>
      <c r="CD41" s="183">
        <f t="shared" si="15"/>
        <v>0</v>
      </c>
      <c r="CE41" s="183">
        <f t="shared" si="16"/>
        <v>0</v>
      </c>
      <c r="CF41" s="183">
        <f t="shared" si="17"/>
        <v>0</v>
      </c>
      <c r="CG41" s="183">
        <f t="shared" si="18"/>
        <v>0</v>
      </c>
      <c r="CH41" s="183">
        <f t="shared" si="19"/>
        <v>0</v>
      </c>
      <c r="CI41" s="183">
        <f t="shared" si="20"/>
        <v>0</v>
      </c>
      <c r="CJ41" s="183">
        <f t="shared" si="21"/>
        <v>0</v>
      </c>
      <c r="CK41" s="183">
        <f t="shared" si="22"/>
        <v>0</v>
      </c>
      <c r="CL41">
        <f t="shared" si="23"/>
        <v>0</v>
      </c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</row>
    <row r="42" spans="1:179" ht="18.75">
      <c r="A42" s="43">
        <v>36</v>
      </c>
      <c r="B42" s="512">
        <f>'REGISTRO DATOS'!C48</f>
        <v>0</v>
      </c>
      <c r="C42" s="513">
        <f>'REGISTRO DATOS'!D48</f>
        <v>0</v>
      </c>
      <c r="D42" s="509">
        <f>'REGISTRO DATOS'!E48</f>
        <v>0</v>
      </c>
      <c r="E42" s="1079"/>
      <c r="F42" s="509">
        <f t="shared" si="0"/>
        <v>0</v>
      </c>
      <c r="G42" s="509">
        <f t="shared" si="1"/>
        <v>0</v>
      </c>
      <c r="H42" s="509">
        <f t="shared" si="2"/>
        <v>0</v>
      </c>
      <c r="I42" s="510">
        <f t="shared" si="3"/>
        <v>10</v>
      </c>
      <c r="J42" s="514"/>
      <c r="K42" s="633"/>
      <c r="L42" s="633"/>
      <c r="M42" s="633"/>
      <c r="N42" s="633"/>
      <c r="O42" s="633"/>
      <c r="P42" s="633"/>
      <c r="Q42" s="633"/>
      <c r="R42" s="633"/>
      <c r="S42" s="633"/>
      <c r="T42" s="633"/>
      <c r="U42" s="633"/>
      <c r="V42" s="633"/>
      <c r="W42" s="633"/>
      <c r="X42" s="633"/>
      <c r="Y42" s="633"/>
      <c r="Z42" s="633"/>
      <c r="AA42" s="633"/>
      <c r="AB42" s="633"/>
      <c r="AC42" s="633"/>
      <c r="AD42" s="633"/>
      <c r="AE42" s="633"/>
      <c r="AF42" s="633"/>
      <c r="AG42" s="633"/>
      <c r="AH42" s="633"/>
      <c r="AI42" s="633"/>
      <c r="AJ42" s="633"/>
      <c r="AK42" s="633"/>
      <c r="AL42" s="633"/>
      <c r="AM42" s="633"/>
      <c r="AN42" s="633"/>
      <c r="AO42" s="633"/>
      <c r="AP42" s="633"/>
      <c r="AQ42" s="633"/>
      <c r="AR42" s="633"/>
      <c r="AS42" s="633"/>
      <c r="AT42" s="633"/>
      <c r="AU42" s="633"/>
      <c r="AV42" s="633"/>
      <c r="AW42" s="633"/>
      <c r="AX42" s="633"/>
      <c r="AY42" s="633"/>
      <c r="AZ42" s="633"/>
      <c r="BA42" s="633"/>
      <c r="BB42" s="633"/>
      <c r="BC42" s="633"/>
      <c r="BD42" s="633"/>
      <c r="BE42" s="633"/>
      <c r="BF42" s="633"/>
      <c r="BG42" s="633"/>
      <c r="BH42" s="633"/>
      <c r="BI42" s="633"/>
      <c r="BJ42" s="633"/>
      <c r="BK42" s="633"/>
      <c r="BL42" s="633"/>
      <c r="BM42" s="633"/>
      <c r="BN42" s="195">
        <f t="shared" si="4"/>
        <v>0</v>
      </c>
      <c r="BO42" s="127">
        <f t="shared" si="5"/>
        <v>0</v>
      </c>
      <c r="BP42" s="127">
        <f t="shared" si="5"/>
        <v>0</v>
      </c>
      <c r="BQ42" s="127">
        <f t="shared" si="6"/>
        <v>0</v>
      </c>
      <c r="BR42" s="113">
        <f t="shared" si="7"/>
        <v>0</v>
      </c>
      <c r="BS42" s="113">
        <f t="shared" si="8"/>
        <v>0</v>
      </c>
      <c r="BT42" s="113">
        <f t="shared" si="9"/>
        <v>0</v>
      </c>
      <c r="BU42" s="113">
        <f t="shared" si="10"/>
        <v>0</v>
      </c>
      <c r="BV42" s="113">
        <f t="shared" si="11"/>
        <v>0</v>
      </c>
      <c r="BW42" s="127">
        <f t="shared" si="12"/>
        <v>0</v>
      </c>
      <c r="BX42" s="127">
        <f t="shared" si="13"/>
        <v>10</v>
      </c>
      <c r="BY42" s="2"/>
      <c r="BZ42" s="2"/>
      <c r="CA42" s="2"/>
      <c r="CB42" s="2"/>
      <c r="CC42" s="183">
        <f t="shared" si="14"/>
        <v>0</v>
      </c>
      <c r="CD42" s="183">
        <f t="shared" si="15"/>
        <v>0</v>
      </c>
      <c r="CE42" s="183">
        <f t="shared" si="16"/>
        <v>0</v>
      </c>
      <c r="CF42" s="183">
        <f t="shared" si="17"/>
        <v>0</v>
      </c>
      <c r="CG42" s="183">
        <f t="shared" si="18"/>
        <v>0</v>
      </c>
      <c r="CH42" s="183">
        <f t="shared" si="19"/>
        <v>0</v>
      </c>
      <c r="CI42" s="183">
        <f t="shared" si="20"/>
        <v>0</v>
      </c>
      <c r="CJ42" s="183">
        <f t="shared" si="21"/>
        <v>0</v>
      </c>
      <c r="CK42" s="183">
        <f t="shared" si="22"/>
        <v>0</v>
      </c>
      <c r="CL42">
        <f t="shared" si="23"/>
        <v>0</v>
      </c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</row>
    <row r="43" spans="1:179" ht="18.75">
      <c r="A43" s="43">
        <v>37</v>
      </c>
      <c r="B43" s="512">
        <f>'REGISTRO DATOS'!C49</f>
        <v>0</v>
      </c>
      <c r="C43" s="513">
        <f>'REGISTRO DATOS'!D49</f>
        <v>0</v>
      </c>
      <c r="D43" s="509">
        <f>'REGISTRO DATOS'!E49</f>
        <v>0</v>
      </c>
      <c r="E43" s="1079"/>
      <c r="F43" s="509">
        <f t="shared" si="0"/>
        <v>0</v>
      </c>
      <c r="G43" s="509">
        <f t="shared" si="1"/>
        <v>0</v>
      </c>
      <c r="H43" s="509">
        <f t="shared" si="2"/>
        <v>0</v>
      </c>
      <c r="I43" s="510">
        <f t="shared" si="3"/>
        <v>10</v>
      </c>
      <c r="J43" s="514"/>
      <c r="K43" s="633"/>
      <c r="L43" s="633"/>
      <c r="M43" s="633"/>
      <c r="N43" s="633"/>
      <c r="O43" s="633"/>
      <c r="P43" s="633"/>
      <c r="Q43" s="633"/>
      <c r="R43" s="633"/>
      <c r="S43" s="633"/>
      <c r="T43" s="633"/>
      <c r="U43" s="633"/>
      <c r="V43" s="633"/>
      <c r="W43" s="633"/>
      <c r="X43" s="633"/>
      <c r="Y43" s="633"/>
      <c r="Z43" s="633"/>
      <c r="AA43" s="633"/>
      <c r="AB43" s="633"/>
      <c r="AC43" s="633"/>
      <c r="AD43" s="633"/>
      <c r="AE43" s="633"/>
      <c r="AF43" s="633"/>
      <c r="AG43" s="633"/>
      <c r="AH43" s="633"/>
      <c r="AI43" s="633"/>
      <c r="AJ43" s="633"/>
      <c r="AK43" s="633"/>
      <c r="AL43" s="633"/>
      <c r="AM43" s="633"/>
      <c r="AN43" s="633"/>
      <c r="AO43" s="633"/>
      <c r="AP43" s="633"/>
      <c r="AQ43" s="633"/>
      <c r="AR43" s="633"/>
      <c r="AS43" s="633"/>
      <c r="AT43" s="633"/>
      <c r="AU43" s="633"/>
      <c r="AV43" s="633"/>
      <c r="AW43" s="633"/>
      <c r="AX43" s="633"/>
      <c r="AY43" s="633"/>
      <c r="AZ43" s="633"/>
      <c r="BA43" s="633"/>
      <c r="BB43" s="633"/>
      <c r="BC43" s="633"/>
      <c r="BD43" s="633"/>
      <c r="BE43" s="633"/>
      <c r="BF43" s="633"/>
      <c r="BG43" s="633"/>
      <c r="BH43" s="633"/>
      <c r="BI43" s="633"/>
      <c r="BJ43" s="633"/>
      <c r="BK43" s="633"/>
      <c r="BL43" s="633"/>
      <c r="BM43" s="633"/>
      <c r="BN43" s="195">
        <f t="shared" si="4"/>
        <v>0</v>
      </c>
      <c r="BO43" s="127">
        <f t="shared" si="5"/>
        <v>0</v>
      </c>
      <c r="BP43" s="127">
        <f t="shared" si="5"/>
        <v>0</v>
      </c>
      <c r="BQ43" s="127">
        <f t="shared" si="6"/>
        <v>0</v>
      </c>
      <c r="BR43" s="113">
        <f t="shared" si="7"/>
        <v>0</v>
      </c>
      <c r="BS43" s="113">
        <f t="shared" si="8"/>
        <v>0</v>
      </c>
      <c r="BT43" s="113">
        <f t="shared" si="9"/>
        <v>0</v>
      </c>
      <c r="BU43" s="113">
        <f t="shared" si="10"/>
        <v>0</v>
      </c>
      <c r="BV43" s="113">
        <f t="shared" si="11"/>
        <v>0</v>
      </c>
      <c r="BW43" s="127">
        <f t="shared" si="12"/>
        <v>0</v>
      </c>
      <c r="BX43" s="127">
        <f t="shared" si="13"/>
        <v>10</v>
      </c>
      <c r="BY43" s="2"/>
      <c r="BZ43" s="2"/>
      <c r="CA43" s="2"/>
      <c r="CB43" s="2"/>
      <c r="CC43" s="183">
        <f t="shared" si="14"/>
        <v>0</v>
      </c>
      <c r="CD43" s="183">
        <f t="shared" si="15"/>
        <v>0</v>
      </c>
      <c r="CE43" s="183">
        <f t="shared" si="16"/>
        <v>0</v>
      </c>
      <c r="CF43" s="183">
        <f t="shared" si="17"/>
        <v>0</v>
      </c>
      <c r="CG43" s="183">
        <f t="shared" si="18"/>
        <v>0</v>
      </c>
      <c r="CH43" s="183">
        <f t="shared" si="19"/>
        <v>0</v>
      </c>
      <c r="CI43" s="183">
        <f t="shared" si="20"/>
        <v>0</v>
      </c>
      <c r="CJ43" s="183">
        <f t="shared" si="21"/>
        <v>0</v>
      </c>
      <c r="CK43" s="183">
        <f t="shared" si="22"/>
        <v>0</v>
      </c>
      <c r="CL43">
        <f t="shared" si="23"/>
        <v>0</v>
      </c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</row>
    <row r="44" spans="1:179" ht="18.75">
      <c r="A44" s="43">
        <v>38</v>
      </c>
      <c r="B44" s="512">
        <f>'REGISTRO DATOS'!C50</f>
        <v>0</v>
      </c>
      <c r="C44" s="513">
        <f>'REGISTRO DATOS'!D50</f>
        <v>0</v>
      </c>
      <c r="D44" s="509">
        <f>'REGISTRO DATOS'!E50</f>
        <v>0</v>
      </c>
      <c r="E44" s="1079"/>
      <c r="F44" s="509">
        <f t="shared" si="0"/>
        <v>0</v>
      </c>
      <c r="G44" s="509">
        <f t="shared" si="1"/>
        <v>0</v>
      </c>
      <c r="H44" s="509">
        <f t="shared" si="2"/>
        <v>0</v>
      </c>
      <c r="I44" s="510">
        <f t="shared" si="3"/>
        <v>10</v>
      </c>
      <c r="J44" s="514"/>
      <c r="K44" s="633"/>
      <c r="L44" s="633"/>
      <c r="M44" s="633"/>
      <c r="N44" s="633"/>
      <c r="O44" s="633"/>
      <c r="P44" s="633"/>
      <c r="Q44" s="633"/>
      <c r="R44" s="633"/>
      <c r="S44" s="633"/>
      <c r="T44" s="633"/>
      <c r="U44" s="633"/>
      <c r="V44" s="633"/>
      <c r="W44" s="633"/>
      <c r="X44" s="633"/>
      <c r="Y44" s="633"/>
      <c r="Z44" s="633"/>
      <c r="AA44" s="633"/>
      <c r="AB44" s="633"/>
      <c r="AC44" s="633"/>
      <c r="AD44" s="633"/>
      <c r="AE44" s="633"/>
      <c r="AF44" s="633"/>
      <c r="AG44" s="633"/>
      <c r="AH44" s="633"/>
      <c r="AI44" s="633"/>
      <c r="AJ44" s="633"/>
      <c r="AK44" s="633"/>
      <c r="AL44" s="633"/>
      <c r="AM44" s="633"/>
      <c r="AN44" s="633"/>
      <c r="AO44" s="633"/>
      <c r="AP44" s="633"/>
      <c r="AQ44" s="633"/>
      <c r="AR44" s="633"/>
      <c r="AS44" s="633"/>
      <c r="AT44" s="633"/>
      <c r="AU44" s="633"/>
      <c r="AV44" s="633"/>
      <c r="AW44" s="633"/>
      <c r="AX44" s="633"/>
      <c r="AY44" s="633"/>
      <c r="AZ44" s="633"/>
      <c r="BA44" s="633"/>
      <c r="BB44" s="633"/>
      <c r="BC44" s="633"/>
      <c r="BD44" s="633"/>
      <c r="BE44" s="633"/>
      <c r="BF44" s="633"/>
      <c r="BG44" s="633"/>
      <c r="BH44" s="633"/>
      <c r="BI44" s="633"/>
      <c r="BJ44" s="633"/>
      <c r="BK44" s="633"/>
      <c r="BL44" s="633"/>
      <c r="BM44" s="633"/>
      <c r="BN44" s="195">
        <f t="shared" si="4"/>
        <v>0</v>
      </c>
      <c r="BO44" s="127">
        <f t="shared" si="5"/>
        <v>0</v>
      </c>
      <c r="BP44" s="127">
        <f t="shared" si="5"/>
        <v>0</v>
      </c>
      <c r="BQ44" s="127">
        <f t="shared" si="6"/>
        <v>0</v>
      </c>
      <c r="BR44" s="113">
        <f t="shared" si="7"/>
        <v>0</v>
      </c>
      <c r="BS44" s="113">
        <f t="shared" si="8"/>
        <v>0</v>
      </c>
      <c r="BT44" s="113">
        <f t="shared" si="9"/>
        <v>0</v>
      </c>
      <c r="BU44" s="113">
        <f t="shared" si="10"/>
        <v>0</v>
      </c>
      <c r="BV44" s="113">
        <f t="shared" si="11"/>
        <v>0</v>
      </c>
      <c r="BW44" s="127">
        <f t="shared" si="12"/>
        <v>0</v>
      </c>
      <c r="BX44" s="127">
        <f t="shared" si="13"/>
        <v>10</v>
      </c>
      <c r="BY44" s="2"/>
      <c r="BZ44" s="2"/>
      <c r="CA44" s="2"/>
      <c r="CB44" s="2"/>
      <c r="CC44" s="183">
        <f t="shared" si="14"/>
        <v>0</v>
      </c>
      <c r="CD44" s="183">
        <f t="shared" si="15"/>
        <v>0</v>
      </c>
      <c r="CE44" s="183">
        <f t="shared" si="16"/>
        <v>0</v>
      </c>
      <c r="CF44" s="183">
        <f t="shared" si="17"/>
        <v>0</v>
      </c>
      <c r="CG44" s="183">
        <f t="shared" si="18"/>
        <v>0</v>
      </c>
      <c r="CH44" s="183">
        <f t="shared" si="19"/>
        <v>0</v>
      </c>
      <c r="CI44" s="183">
        <f t="shared" si="20"/>
        <v>0</v>
      </c>
      <c r="CJ44" s="183">
        <f t="shared" si="21"/>
        <v>0</v>
      </c>
      <c r="CK44" s="183">
        <f t="shared" si="22"/>
        <v>0</v>
      </c>
      <c r="CL44">
        <f t="shared" si="23"/>
        <v>0</v>
      </c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</row>
    <row r="45" spans="1:179" ht="18.75">
      <c r="A45" s="43">
        <v>39</v>
      </c>
      <c r="B45" s="512">
        <f>'REGISTRO DATOS'!C51</f>
        <v>0</v>
      </c>
      <c r="C45" s="513">
        <f>'REGISTRO DATOS'!D51</f>
        <v>0</v>
      </c>
      <c r="D45" s="509">
        <f>'REGISTRO DATOS'!E51</f>
        <v>0</v>
      </c>
      <c r="E45" s="1079"/>
      <c r="F45" s="509">
        <f t="shared" si="0"/>
        <v>0</v>
      </c>
      <c r="G45" s="509">
        <f t="shared" si="1"/>
        <v>0</v>
      </c>
      <c r="H45" s="509">
        <f t="shared" si="2"/>
        <v>0</v>
      </c>
      <c r="I45" s="510">
        <f t="shared" si="3"/>
        <v>10</v>
      </c>
      <c r="J45" s="514"/>
      <c r="K45" s="633"/>
      <c r="L45" s="633"/>
      <c r="M45" s="633"/>
      <c r="N45" s="633"/>
      <c r="O45" s="633"/>
      <c r="P45" s="633"/>
      <c r="Q45" s="633"/>
      <c r="R45" s="633"/>
      <c r="S45" s="633"/>
      <c r="T45" s="633"/>
      <c r="U45" s="633"/>
      <c r="V45" s="633"/>
      <c r="W45" s="633"/>
      <c r="X45" s="633"/>
      <c r="Y45" s="633"/>
      <c r="Z45" s="633"/>
      <c r="AA45" s="633"/>
      <c r="AB45" s="633"/>
      <c r="AC45" s="633"/>
      <c r="AD45" s="633"/>
      <c r="AE45" s="633"/>
      <c r="AF45" s="633"/>
      <c r="AG45" s="633"/>
      <c r="AH45" s="633"/>
      <c r="AI45" s="633"/>
      <c r="AJ45" s="633"/>
      <c r="AK45" s="633"/>
      <c r="AL45" s="633"/>
      <c r="AM45" s="633"/>
      <c r="AN45" s="633"/>
      <c r="AO45" s="633"/>
      <c r="AP45" s="633"/>
      <c r="AQ45" s="633"/>
      <c r="AR45" s="633"/>
      <c r="AS45" s="633"/>
      <c r="AT45" s="633"/>
      <c r="AU45" s="633"/>
      <c r="AV45" s="633"/>
      <c r="AW45" s="633"/>
      <c r="AX45" s="633"/>
      <c r="AY45" s="633"/>
      <c r="AZ45" s="633"/>
      <c r="BA45" s="633"/>
      <c r="BB45" s="633"/>
      <c r="BC45" s="633"/>
      <c r="BD45" s="633"/>
      <c r="BE45" s="633"/>
      <c r="BF45" s="633"/>
      <c r="BG45" s="633"/>
      <c r="BH45" s="633"/>
      <c r="BI45" s="633"/>
      <c r="BJ45" s="633"/>
      <c r="BK45" s="633"/>
      <c r="BL45" s="633"/>
      <c r="BM45" s="633"/>
      <c r="BN45" s="195">
        <f t="shared" si="4"/>
        <v>0</v>
      </c>
      <c r="BO45" s="127">
        <f t="shared" si="5"/>
        <v>0</v>
      </c>
      <c r="BP45" s="127">
        <f t="shared" si="5"/>
        <v>0</v>
      </c>
      <c r="BQ45" s="127">
        <f t="shared" si="6"/>
        <v>0</v>
      </c>
      <c r="BR45" s="113">
        <f t="shared" si="7"/>
        <v>0</v>
      </c>
      <c r="BS45" s="113">
        <f t="shared" si="8"/>
        <v>0</v>
      </c>
      <c r="BT45" s="113">
        <f t="shared" si="9"/>
        <v>0</v>
      </c>
      <c r="BU45" s="113">
        <f t="shared" si="10"/>
        <v>0</v>
      </c>
      <c r="BV45" s="113">
        <f t="shared" si="11"/>
        <v>0</v>
      </c>
      <c r="BW45" s="127">
        <f t="shared" si="12"/>
        <v>0</v>
      </c>
      <c r="BX45" s="127">
        <f t="shared" si="13"/>
        <v>10</v>
      </c>
      <c r="BY45" s="2"/>
      <c r="BZ45" s="2"/>
      <c r="CA45" s="2"/>
      <c r="CB45" s="2"/>
      <c r="CC45" s="183">
        <f t="shared" si="14"/>
        <v>0</v>
      </c>
      <c r="CD45" s="183">
        <f t="shared" si="15"/>
        <v>0</v>
      </c>
      <c r="CE45" s="183">
        <f t="shared" si="16"/>
        <v>0</v>
      </c>
      <c r="CF45" s="183">
        <f t="shared" si="17"/>
        <v>0</v>
      </c>
      <c r="CG45" s="183">
        <f t="shared" si="18"/>
        <v>0</v>
      </c>
      <c r="CH45" s="183">
        <f t="shared" si="19"/>
        <v>0</v>
      </c>
      <c r="CI45" s="183">
        <f t="shared" si="20"/>
        <v>0</v>
      </c>
      <c r="CJ45" s="183">
        <f t="shared" si="21"/>
        <v>0</v>
      </c>
      <c r="CK45" s="183">
        <f t="shared" si="22"/>
        <v>0</v>
      </c>
      <c r="CL45">
        <f t="shared" si="23"/>
        <v>0</v>
      </c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</row>
    <row r="46" spans="1:179" ht="19.5" thickBot="1">
      <c r="A46" s="43">
        <v>40</v>
      </c>
      <c r="B46" s="512">
        <f>'REGISTRO DATOS'!C52</f>
        <v>0</v>
      </c>
      <c r="C46" s="513">
        <f>'REGISTRO DATOS'!D52</f>
        <v>0</v>
      </c>
      <c r="D46" s="509">
        <f>'REGISTRO DATOS'!E52</f>
        <v>0</v>
      </c>
      <c r="E46" s="1079"/>
      <c r="F46" s="509">
        <f t="shared" si="0"/>
        <v>0</v>
      </c>
      <c r="G46" s="509">
        <f t="shared" si="1"/>
        <v>0</v>
      </c>
      <c r="H46" s="509">
        <f t="shared" si="2"/>
        <v>0</v>
      </c>
      <c r="I46" s="510">
        <f t="shared" si="3"/>
        <v>10</v>
      </c>
      <c r="J46" s="515"/>
      <c r="K46" s="638"/>
      <c r="L46" s="639"/>
      <c r="M46" s="555"/>
      <c r="N46" s="555"/>
      <c r="O46" s="555"/>
      <c r="P46" s="555"/>
      <c r="Q46" s="555"/>
      <c r="R46" s="555"/>
      <c r="S46" s="555"/>
      <c r="T46" s="555"/>
      <c r="U46" s="555"/>
      <c r="V46" s="555"/>
      <c r="W46" s="555"/>
      <c r="X46" s="555"/>
      <c r="Y46" s="555"/>
      <c r="Z46" s="555"/>
      <c r="AA46" s="555"/>
      <c r="AB46" s="555"/>
      <c r="AC46" s="555"/>
      <c r="AD46" s="555"/>
      <c r="AE46" s="555"/>
      <c r="AF46" s="555"/>
      <c r="AG46" s="555"/>
      <c r="AH46" s="555"/>
      <c r="AI46" s="555"/>
      <c r="AJ46" s="555"/>
      <c r="AK46" s="555"/>
      <c r="AL46" s="555"/>
      <c r="AM46" s="555"/>
      <c r="AN46" s="555"/>
      <c r="AO46" s="555"/>
      <c r="AP46" s="555"/>
      <c r="AQ46" s="555"/>
      <c r="AR46" s="555"/>
      <c r="AS46" s="555"/>
      <c r="AT46" s="555"/>
      <c r="AU46" s="555"/>
      <c r="AV46" s="555"/>
      <c r="AW46" s="555"/>
      <c r="AX46" s="555"/>
      <c r="AY46" s="555"/>
      <c r="AZ46" s="555"/>
      <c r="BA46" s="555"/>
      <c r="BB46" s="555"/>
      <c r="BC46" s="555"/>
      <c r="BD46" s="555"/>
      <c r="BE46" s="555"/>
      <c r="BF46" s="555"/>
      <c r="BG46" s="555"/>
      <c r="BH46" s="555"/>
      <c r="BI46" s="555"/>
      <c r="BJ46" s="555"/>
      <c r="BK46" s="555"/>
      <c r="BL46" s="640"/>
      <c r="BM46" s="555"/>
      <c r="BN46" s="195">
        <f t="shared" si="4"/>
        <v>0</v>
      </c>
      <c r="BO46" s="127">
        <f t="shared" si="5"/>
        <v>0</v>
      </c>
      <c r="BP46" s="127">
        <f t="shared" si="5"/>
        <v>0</v>
      </c>
      <c r="BQ46" s="127">
        <f t="shared" si="6"/>
        <v>0</v>
      </c>
      <c r="BR46" s="113">
        <f t="shared" si="7"/>
        <v>0</v>
      </c>
      <c r="BS46" s="113">
        <f t="shared" si="8"/>
        <v>0</v>
      </c>
      <c r="BT46" s="113">
        <f t="shared" si="9"/>
        <v>0</v>
      </c>
      <c r="BU46" s="113">
        <f t="shared" si="10"/>
        <v>0</v>
      </c>
      <c r="BV46" s="113">
        <f t="shared" si="11"/>
        <v>0</v>
      </c>
      <c r="BW46" s="127">
        <f t="shared" si="12"/>
        <v>0</v>
      </c>
      <c r="BX46" s="127">
        <f t="shared" si="13"/>
        <v>10</v>
      </c>
      <c r="BY46" s="2"/>
      <c r="BZ46" s="2"/>
      <c r="CA46" s="2"/>
      <c r="CB46" s="2"/>
      <c r="CC46" s="183">
        <f t="shared" si="14"/>
        <v>0</v>
      </c>
      <c r="CD46" s="183">
        <f t="shared" si="15"/>
        <v>0</v>
      </c>
      <c r="CE46" s="183">
        <f t="shared" si="16"/>
        <v>0</v>
      </c>
      <c r="CF46" s="183">
        <f t="shared" si="17"/>
        <v>0</v>
      </c>
      <c r="CG46" s="183">
        <f t="shared" si="18"/>
        <v>0</v>
      </c>
      <c r="CH46" s="183">
        <f t="shared" si="19"/>
        <v>0</v>
      </c>
      <c r="CI46" s="183">
        <f t="shared" si="20"/>
        <v>0</v>
      </c>
      <c r="CJ46" s="183">
        <f t="shared" si="21"/>
        <v>0</v>
      </c>
      <c r="CK46" s="183">
        <f t="shared" si="22"/>
        <v>0</v>
      </c>
      <c r="CL46">
        <f t="shared" si="23"/>
        <v>0</v>
      </c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</row>
    <row r="47" spans="1:179" hidden="1">
      <c r="E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</row>
    <row r="48" spans="1:179" hidden="1">
      <c r="E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</row>
    <row r="49" spans="5:179" hidden="1">
      <c r="E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</row>
    <row r="50" spans="5:179" hidden="1">
      <c r="E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</row>
    <row r="51" spans="5:179" hidden="1">
      <c r="E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</row>
    <row r="52" spans="5:179" hidden="1">
      <c r="E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</row>
    <row r="53" spans="5:179" hidden="1">
      <c r="E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</row>
    <row r="54" spans="5:179" hidden="1">
      <c r="E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</row>
    <row r="55" spans="5:179" hidden="1">
      <c r="E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</row>
    <row r="56" spans="5:179" hidden="1">
      <c r="E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</row>
    <row r="57" spans="5:179" hidden="1">
      <c r="E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</row>
    <row r="58" spans="5:179" hidden="1">
      <c r="E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</row>
    <row r="59" spans="5:179" hidden="1">
      <c r="E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</row>
    <row r="60" spans="5:179" hidden="1">
      <c r="E60" s="2"/>
    </row>
    <row r="61" spans="5:179" hidden="1">
      <c r="E61" s="2"/>
    </row>
    <row r="62" spans="5:179" hidden="1">
      <c r="E62" s="2"/>
    </row>
    <row r="63" spans="5:179" hidden="1">
      <c r="E63" s="2"/>
    </row>
    <row r="64" spans="5:179" hidden="1">
      <c r="E64" s="2"/>
    </row>
    <row r="65" spans="5:5" hidden="1">
      <c r="E65" s="2"/>
    </row>
    <row r="66" spans="5:5" hidden="1">
      <c r="E66" s="2"/>
    </row>
    <row r="67" spans="5:5" hidden="1">
      <c r="E67" s="2"/>
    </row>
    <row r="68" spans="5:5" hidden="1">
      <c r="E68" s="2"/>
    </row>
    <row r="69" spans="5:5" hidden="1">
      <c r="E69" s="2"/>
    </row>
    <row r="70" spans="5:5" hidden="1">
      <c r="E70" s="2"/>
    </row>
    <row r="145" spans="2:2" hidden="1">
      <c r="B145" t="e">
        <f>ASISTENCIAIIS!EJ3Ç</f>
        <v>#NAME?</v>
      </c>
    </row>
  </sheetData>
  <mergeCells count="6">
    <mergeCell ref="J1:N1"/>
    <mergeCell ref="B3:D3"/>
    <mergeCell ref="J4:M4"/>
    <mergeCell ref="F5:I5"/>
    <mergeCell ref="E6:E46"/>
    <mergeCell ref="C2:I2"/>
  </mergeCells>
  <conditionalFormatting sqref="CC7:CK46">
    <cfRule type="cellIs" dxfId="31" priority="8" operator="equal">
      <formula>0</formula>
    </cfRule>
  </conditionalFormatting>
  <conditionalFormatting sqref="I7:I46">
    <cfRule type="cellIs" dxfId="30" priority="7" operator="lessThan">
      <formula>6</formula>
    </cfRule>
  </conditionalFormatting>
  <conditionalFormatting sqref="K46:BM46">
    <cfRule type="cellIs" dxfId="29" priority="6" operator="equal">
      <formula>0</formula>
    </cfRule>
  </conditionalFormatting>
  <conditionalFormatting sqref="K7:BM45">
    <cfRule type="containsText" dxfId="28" priority="2" operator="containsText" text="J">
      <formula>NOT(ISERROR(SEARCH("J",K7)))</formula>
    </cfRule>
    <cfRule type="containsText" dxfId="27" priority="3" operator="containsText" text="T">
      <formula>NOT(ISERROR(SEARCH("T",K7)))</formula>
    </cfRule>
    <cfRule type="containsText" dxfId="26" priority="4" operator="containsText" text="P">
      <formula>NOT(ISERROR(SEARCH("P",K7)))</formula>
    </cfRule>
    <cfRule type="containsText" dxfId="25" priority="5" operator="containsText" text="A">
      <formula>NOT(ISERROR(SEARCH("A",K7)))</formula>
    </cfRule>
  </conditionalFormatting>
  <conditionalFormatting sqref="K7:BM45">
    <cfRule type="cellIs" dxfId="24" priority="1" operator="equal">
      <formula>0</formula>
    </cfRule>
  </conditionalFormatting>
  <pageMargins left="0.7" right="0.7" top="0.75" bottom="0.75" header="0.3" footer="0.3"/>
  <pageSetup paperSize="9" orientation="portrait" horizontalDpi="360" verticalDpi="36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13" filterMode="1">
    <tabColor rgb="FF9F480D"/>
  </sheetPr>
  <dimension ref="A1:N661"/>
  <sheetViews>
    <sheetView showGridLines="0" showRowColHeaders="0" zoomScaleNormal="100" workbookViewId="0"/>
  </sheetViews>
  <sheetFormatPr baseColWidth="10" defaultRowHeight="15"/>
  <cols>
    <col min="1" max="1" width="4.42578125" customWidth="1"/>
    <col min="2" max="2" width="19.28515625" customWidth="1"/>
    <col min="3" max="3" width="14.140625" customWidth="1"/>
    <col min="4" max="4" width="15.7109375" customWidth="1"/>
    <col min="5" max="5" width="11.85546875" customWidth="1"/>
    <col min="6" max="6" width="16.28515625" customWidth="1"/>
    <col min="7" max="7" width="7.85546875" customWidth="1"/>
    <col min="8" max="8" width="13.42578125" customWidth="1"/>
    <col min="9" max="9" width="13" style="102" customWidth="1"/>
    <col min="10" max="11" width="11.42578125" style="102"/>
  </cols>
  <sheetData>
    <row r="1" spans="1:14" ht="15.75" thickBot="1">
      <c r="A1" s="132"/>
      <c r="B1" s="132"/>
      <c r="C1" s="132"/>
      <c r="D1" s="132"/>
      <c r="E1" s="132"/>
      <c r="F1" s="132"/>
      <c r="G1" s="132"/>
    </row>
    <row r="2" spans="1:14" ht="16.5" thickBot="1">
      <c r="A2" s="132"/>
      <c r="B2" s="1017">
        <f>'REGISTRO DATOS'!I3</f>
        <v>0</v>
      </c>
      <c r="C2" s="1017"/>
      <c r="D2" s="1017"/>
      <c r="E2" s="1017"/>
      <c r="F2" s="1017"/>
      <c r="G2" s="132"/>
      <c r="H2" s="1064" t="s">
        <v>72</v>
      </c>
      <c r="J2" s="227" t="s">
        <v>203</v>
      </c>
      <c r="K2" s="228"/>
      <c r="L2" s="132"/>
      <c r="M2" s="132"/>
      <c r="N2" s="132"/>
    </row>
    <row r="3" spans="1:14" ht="21" thickBot="1">
      <c r="A3" s="132"/>
      <c r="B3" s="1094" t="s">
        <v>253</v>
      </c>
      <c r="C3" s="1094"/>
      <c r="D3" s="1094"/>
      <c r="E3" s="1094"/>
      <c r="F3" s="1094"/>
      <c r="G3" s="132"/>
      <c r="H3" s="1065"/>
      <c r="J3" s="1033">
        <f>K10</f>
        <v>1</v>
      </c>
      <c r="K3" s="1034"/>
      <c r="L3" s="132"/>
      <c r="M3" s="132"/>
      <c r="N3" s="132"/>
    </row>
    <row r="4" spans="1:14" ht="16.5" thickBot="1">
      <c r="A4" s="132"/>
      <c r="B4" s="135" t="s">
        <v>62</v>
      </c>
      <c r="C4" s="1095">
        <f>'REGISTRO DATOS'!I6</f>
        <v>0</v>
      </c>
      <c r="D4" s="1095"/>
      <c r="E4" s="1095"/>
      <c r="F4" s="134"/>
      <c r="G4" s="132"/>
      <c r="H4" s="104">
        <v>1</v>
      </c>
      <c r="J4" s="599" t="s">
        <v>202</v>
      </c>
      <c r="K4" s="600" t="b">
        <v>1</v>
      </c>
      <c r="L4" s="226">
        <f t="shared" ref="L4:L9" si="0">IF(K4=TRUE,1,0)</f>
        <v>1</v>
      </c>
      <c r="M4" s="132"/>
      <c r="N4" s="132"/>
    </row>
    <row r="5" spans="1:14" ht="18">
      <c r="A5" s="132"/>
      <c r="B5" s="579" t="s">
        <v>65</v>
      </c>
      <c r="C5" s="186">
        <f>'REGISTRO DATOS'!I7</f>
        <v>0</v>
      </c>
      <c r="D5" s="135"/>
      <c r="E5" s="135"/>
      <c r="F5" s="134"/>
      <c r="G5" s="132"/>
      <c r="J5" s="601" t="s">
        <v>312</v>
      </c>
      <c r="K5" s="602" t="b">
        <v>1</v>
      </c>
      <c r="L5" s="226">
        <f t="shared" si="0"/>
        <v>1</v>
      </c>
      <c r="M5" s="132"/>
      <c r="N5" s="132"/>
    </row>
    <row r="6" spans="1:14" ht="15.75">
      <c r="A6" s="132"/>
      <c r="B6" s="135" t="s">
        <v>63</v>
      </c>
      <c r="C6" s="1092" t="str">
        <f>VLOOKUP(H4,'Registro General'!A15:D55,4,FALSE)</f>
        <v>MARIANELA</v>
      </c>
      <c r="D6" s="1092"/>
      <c r="E6" s="777" t="str">
        <f>VLOOKUP(H4,'Registro General'!A15:D55,2,FALSE)</f>
        <v/>
      </c>
      <c r="F6" s="778" t="str">
        <f>VLOOKUP(H4,'Registro General'!A15:D55,3,FALSE)</f>
        <v/>
      </c>
      <c r="G6" s="132"/>
      <c r="J6" s="601" t="s">
        <v>313</v>
      </c>
      <c r="K6" s="602" t="b">
        <v>1</v>
      </c>
      <c r="L6" s="226">
        <f t="shared" si="0"/>
        <v>1</v>
      </c>
      <c r="M6" s="132"/>
      <c r="N6" s="132"/>
    </row>
    <row r="7" spans="1:14" ht="17.25" customHeight="1">
      <c r="A7" s="132"/>
      <c r="B7" s="136" t="s">
        <v>64</v>
      </c>
      <c r="C7" s="196" t="str">
        <f>VLOOKUP(H4,'REGISTRO DATOS'!B13:I52,8,FALSE)</f>
        <v>@est.mep.go.cr</v>
      </c>
      <c r="D7" s="136"/>
      <c r="E7" s="137" t="s">
        <v>66</v>
      </c>
      <c r="F7" s="138">
        <f ca="1">TODAY()</f>
        <v>46178</v>
      </c>
      <c r="G7" s="132"/>
      <c r="J7" s="601" t="s">
        <v>314</v>
      </c>
      <c r="K7" s="602" t="b">
        <v>1</v>
      </c>
      <c r="L7" s="226">
        <f t="shared" si="0"/>
        <v>1</v>
      </c>
      <c r="M7" s="132"/>
      <c r="N7" s="132"/>
    </row>
    <row r="8" spans="1:14" ht="21" customHeight="1" thickBot="1">
      <c r="A8" s="132"/>
      <c r="B8" s="139" t="s">
        <v>67</v>
      </c>
      <c r="C8" s="140">
        <f>'Registro General'!X5</f>
        <v>0</v>
      </c>
      <c r="D8" s="141"/>
      <c r="E8" s="167"/>
      <c r="F8" s="185"/>
      <c r="G8" s="132"/>
      <c r="J8" s="601" t="s">
        <v>315</v>
      </c>
      <c r="K8" s="602" t="b">
        <v>1</v>
      </c>
      <c r="L8" s="226">
        <f t="shared" si="0"/>
        <v>1</v>
      </c>
      <c r="M8" s="132"/>
      <c r="N8" s="132"/>
    </row>
    <row r="9" spans="1:14" ht="21" customHeight="1" thickBot="1">
      <c r="A9" s="132"/>
      <c r="B9" s="363" t="s">
        <v>147</v>
      </c>
      <c r="C9" s="364" t="s">
        <v>148</v>
      </c>
      <c r="D9" s="193">
        <f>VLOOKUP($H$4,ASISTENCIAIIS!$A$7:$FK$46,9,FALSE)</f>
        <v>10</v>
      </c>
      <c r="F9" s="186"/>
      <c r="G9" s="132"/>
      <c r="J9" s="603" t="s">
        <v>316</v>
      </c>
      <c r="K9" s="604" t="b">
        <v>1</v>
      </c>
      <c r="L9" s="226">
        <f t="shared" si="0"/>
        <v>1</v>
      </c>
      <c r="M9" s="132"/>
      <c r="N9" s="132"/>
    </row>
    <row r="10" spans="1:14" ht="21" customHeight="1" thickBot="1">
      <c r="A10" s="132"/>
      <c r="B10" s="1096" t="s">
        <v>76</v>
      </c>
      <c r="C10" s="1097"/>
      <c r="D10" s="365" t="s">
        <v>77</v>
      </c>
      <c r="E10" s="146"/>
      <c r="F10" s="142"/>
      <c r="G10" s="132"/>
      <c r="H10" s="132"/>
      <c r="J10" s="187"/>
      <c r="K10" s="102">
        <f>(SUM(L4:L9)/6)*1</f>
        <v>1</v>
      </c>
      <c r="L10" s="132"/>
      <c r="M10" s="132"/>
      <c r="N10" s="132"/>
    </row>
    <row r="11" spans="1:14" ht="15" customHeight="1">
      <c r="A11" s="132"/>
      <c r="B11" s="1098" t="str">
        <f>ASISTENCIAIIS!K$6</f>
        <v>JULIO 17 (2)</v>
      </c>
      <c r="C11" s="1028"/>
      <c r="D11" s="368" t="str">
        <f>IF(I11=0,"PRESENTE",I11)</f>
        <v>PRESENTE</v>
      </c>
      <c r="E11" s="580"/>
      <c r="F11" s="144"/>
      <c r="G11" s="132"/>
      <c r="H11" s="132"/>
      <c r="I11" s="118">
        <f>VLOOKUP($H$4,ASISTENCIAIIS!$A$7:$FK$46,11,FALSE)</f>
        <v>0</v>
      </c>
      <c r="J11" s="114"/>
      <c r="K11" s="187"/>
      <c r="L11" s="132"/>
      <c r="M11" s="132"/>
    </row>
    <row r="12" spans="1:14" ht="18" hidden="1" customHeight="1">
      <c r="A12" s="132"/>
      <c r="B12" s="1026">
        <f>ASISTENCIAIIS!L$6</f>
        <v>0</v>
      </c>
      <c r="C12" s="1027"/>
      <c r="D12" s="143" t="str">
        <f t="shared" ref="D12:D65" si="1">IF(I12=0,"PRESENTE",I12)</f>
        <v>PRESENTE</v>
      </c>
      <c r="F12" s="145"/>
      <c r="G12" s="132"/>
      <c r="H12" s="132"/>
      <c r="I12" s="118">
        <f>VLOOKUP($H$4,ASISTENCIAIIS!$A$7:$FK$46,12,FALSE)</f>
        <v>0</v>
      </c>
      <c r="J12" s="187"/>
      <c r="K12" s="187"/>
      <c r="L12" s="132"/>
      <c r="M12" s="132"/>
    </row>
    <row r="13" spans="1:14" ht="15" hidden="1" customHeight="1">
      <c r="A13" s="132"/>
      <c r="B13" s="1093">
        <f>ASISTENCIAIIS!M$6</f>
        <v>0</v>
      </c>
      <c r="C13" s="1025"/>
      <c r="D13" s="143" t="str">
        <f t="shared" si="1"/>
        <v>PRESENTE</v>
      </c>
      <c r="F13" s="145"/>
      <c r="G13" s="132"/>
      <c r="H13" s="132"/>
      <c r="I13" s="118">
        <f>VLOOKUP($H$4,ASISTENCIAIIS!$A$7:$FK$46,13,FALSE)</f>
        <v>0</v>
      </c>
      <c r="J13" s="187"/>
      <c r="K13" s="187"/>
      <c r="L13" s="132"/>
      <c r="M13" s="132"/>
    </row>
    <row r="14" spans="1:14" ht="17.25" hidden="1" customHeight="1">
      <c r="B14" s="1026">
        <f>ASISTENCIAIIS!N$6</f>
        <v>0</v>
      </c>
      <c r="C14" s="1027"/>
      <c r="D14" s="143" t="str">
        <f t="shared" si="1"/>
        <v>PRESENTE</v>
      </c>
      <c r="F14" s="265"/>
      <c r="H14" s="132"/>
      <c r="I14" s="118">
        <f>VLOOKUP($H$4,ASISTENCIAIIS!$A$7:$FK$46,14,FALSE)</f>
        <v>0</v>
      </c>
      <c r="J14" s="187"/>
      <c r="K14" s="187"/>
      <c r="L14" s="132"/>
      <c r="M14" s="132"/>
    </row>
    <row r="15" spans="1:14" ht="17.25" hidden="1" customHeight="1">
      <c r="A15" s="132"/>
      <c r="B15" s="1093">
        <f>ASISTENCIAIIS!O$6</f>
        <v>0</v>
      </c>
      <c r="C15" s="1025"/>
      <c r="D15" s="143" t="str">
        <f t="shared" si="1"/>
        <v>PRESENTE</v>
      </c>
      <c r="F15" s="145"/>
      <c r="G15" s="132"/>
      <c r="H15" s="132"/>
      <c r="I15" s="118">
        <f>VLOOKUP($H$4,ASISTENCIAIIS!$A$7:$FK$46,15,FALSE)</f>
        <v>0</v>
      </c>
      <c r="J15" s="187"/>
      <c r="K15" s="187"/>
      <c r="L15" s="132"/>
      <c r="M15" s="132"/>
    </row>
    <row r="16" spans="1:14" ht="16.5" hidden="1" customHeight="1">
      <c r="B16" s="1026">
        <f>ASISTENCIAIIS!P$6</f>
        <v>0</v>
      </c>
      <c r="C16" s="1027"/>
      <c r="D16" s="143" t="str">
        <f t="shared" si="1"/>
        <v>PRESENTE</v>
      </c>
      <c r="F16" s="265"/>
      <c r="H16" s="132"/>
      <c r="I16" s="118">
        <f>VLOOKUP($H$4,ASISTENCIAIIS!$A$7:$FK$46,16,FALSE)</f>
        <v>0</v>
      </c>
      <c r="J16" s="187"/>
      <c r="K16" s="187"/>
      <c r="L16" s="132"/>
      <c r="M16" s="132"/>
    </row>
    <row r="17" spans="2:13" ht="18" hidden="1" customHeight="1">
      <c r="B17" s="1024">
        <f>ASISTENCIAIIS!Q$6</f>
        <v>0</v>
      </c>
      <c r="C17" s="1025"/>
      <c r="D17" s="143" t="str">
        <f t="shared" si="1"/>
        <v>PRESENTE</v>
      </c>
      <c r="F17" s="265"/>
      <c r="H17" s="132"/>
      <c r="I17" s="118">
        <f>VLOOKUP($H$4,ASISTENCIAIIS!$A$7:$FK$46,17,FALSE)</f>
        <v>0</v>
      </c>
      <c r="J17" s="188"/>
      <c r="K17" s="189"/>
      <c r="L17" s="132"/>
      <c r="M17" s="132"/>
    </row>
    <row r="18" spans="2:13" ht="17.25" hidden="1" customHeight="1">
      <c r="B18" s="1026">
        <f>ASISTENCIAIIS!R$6</f>
        <v>0</v>
      </c>
      <c r="C18" s="1027"/>
      <c r="D18" s="143" t="str">
        <f t="shared" si="1"/>
        <v>PRESENTE</v>
      </c>
      <c r="F18" s="265"/>
      <c r="H18" s="132"/>
      <c r="I18" s="118">
        <f>VLOOKUP($H$4,ASISTENCIAIIS!$A$7:$FK$46,18,FALSE)</f>
        <v>0</v>
      </c>
      <c r="J18" s="188"/>
      <c r="K18" s="189"/>
      <c r="L18" s="132"/>
      <c r="M18" s="132"/>
    </row>
    <row r="19" spans="2:13" ht="17.25" hidden="1" customHeight="1">
      <c r="B19" s="1093">
        <f>ASISTENCIAIIS!S$6</f>
        <v>0</v>
      </c>
      <c r="C19" s="1025"/>
      <c r="D19" s="143" t="str">
        <f t="shared" si="1"/>
        <v>PRESENTE</v>
      </c>
      <c r="F19" s="265"/>
      <c r="I19" s="118">
        <f>VLOOKUP($H$4,ASISTENCIAIIS!$A$7:$FK$46,19,FALSE)</f>
        <v>0</v>
      </c>
      <c r="J19" s="103"/>
      <c r="K19" s="110"/>
    </row>
    <row r="20" spans="2:13" ht="15.75" hidden="1" customHeight="1">
      <c r="B20" s="1093">
        <f>ASISTENCIAIIS!T$6</f>
        <v>0</v>
      </c>
      <c r="C20" s="1025"/>
      <c r="D20" s="143" t="str">
        <f t="shared" si="1"/>
        <v>PRESENTE</v>
      </c>
      <c r="F20" s="265"/>
      <c r="I20" s="118">
        <f>VLOOKUP($H$4,ASISTENCIAIIS!$A$7:$FK$46,20,FALSE)</f>
        <v>0</v>
      </c>
      <c r="J20" s="114"/>
      <c r="K20" s="110"/>
    </row>
    <row r="21" spans="2:13" ht="15" hidden="1" customHeight="1">
      <c r="B21" s="1093">
        <f>ASISTENCIAIIS!U$6</f>
        <v>0</v>
      </c>
      <c r="C21" s="1025"/>
      <c r="D21" s="143" t="str">
        <f t="shared" si="1"/>
        <v>PRESENTE</v>
      </c>
      <c r="F21" s="265"/>
      <c r="I21" s="118">
        <f>VLOOKUP($H$4,ASISTENCIAIIS!$A$7:$FK$46,21,FALSE)</f>
        <v>0</v>
      </c>
      <c r="J21" s="103"/>
      <c r="K21" s="110"/>
    </row>
    <row r="22" spans="2:13" ht="15.75" hidden="1" customHeight="1">
      <c r="B22" s="1093">
        <f>ASISTENCIAIIS!V$6</f>
        <v>0</v>
      </c>
      <c r="C22" s="1025"/>
      <c r="D22" s="143" t="str">
        <f t="shared" si="1"/>
        <v>PRESENTE</v>
      </c>
      <c r="F22" s="265"/>
      <c r="I22" s="118">
        <f>VLOOKUP($H$4,ASISTENCIAIIS!$A$7:$FK$46,22,FALSE)</f>
        <v>0</v>
      </c>
      <c r="J22" s="103"/>
      <c r="K22" s="110"/>
    </row>
    <row r="23" spans="2:13" ht="18" hidden="1" customHeight="1">
      <c r="B23" s="1093">
        <f>ASISTENCIAIIS!W$6</f>
        <v>0</v>
      </c>
      <c r="C23" s="1025"/>
      <c r="D23" s="143" t="str">
        <f t="shared" si="1"/>
        <v>PRESENTE</v>
      </c>
      <c r="F23" s="265"/>
      <c r="I23" s="118">
        <f>VLOOKUP($H$4,ASISTENCIAIIS!$A$7:$FK$46,23,FALSE)</f>
        <v>0</v>
      </c>
      <c r="J23" s="103"/>
      <c r="K23" s="110"/>
    </row>
    <row r="24" spans="2:13" ht="15.75" hidden="1" customHeight="1">
      <c r="B24" s="1093">
        <f>ASISTENCIAIIS!X$6</f>
        <v>0</v>
      </c>
      <c r="C24" s="1025"/>
      <c r="D24" s="143" t="str">
        <f t="shared" si="1"/>
        <v>PRESENTE</v>
      </c>
      <c r="F24" s="265"/>
      <c r="I24" s="118">
        <f>VLOOKUP($H$4,ASISTENCIAIIS!$A$7:$FK$46,24,FALSE)</f>
        <v>0</v>
      </c>
      <c r="J24" s="103"/>
      <c r="K24" s="110"/>
    </row>
    <row r="25" spans="2:13" ht="15.75" hidden="1" customHeight="1">
      <c r="B25" s="1093">
        <f>ASISTENCIAIIS!Y$6</f>
        <v>0</v>
      </c>
      <c r="C25" s="1025"/>
      <c r="D25" s="143" t="str">
        <f t="shared" si="1"/>
        <v>PRESENTE</v>
      </c>
      <c r="F25" s="265"/>
      <c r="I25" s="118">
        <f>VLOOKUP($H$4,ASISTENCIAIIS!$A$7:$FK$46,25,FALSE)</f>
        <v>0</v>
      </c>
      <c r="J25" s="103"/>
      <c r="K25" s="110"/>
    </row>
    <row r="26" spans="2:13" ht="14.25" hidden="1" customHeight="1">
      <c r="B26" s="1093">
        <f>ASISTENCIAIIS!Z$6</f>
        <v>0</v>
      </c>
      <c r="C26" s="1025"/>
      <c r="D26" s="143" t="str">
        <f t="shared" si="1"/>
        <v>PRESENTE</v>
      </c>
      <c r="F26" s="265"/>
      <c r="I26" s="118">
        <f>VLOOKUP($H$4,ASISTENCIAIIS!$A$7:$FK$46,26,FALSE)</f>
        <v>0</v>
      </c>
      <c r="J26" s="103"/>
      <c r="K26" s="110"/>
    </row>
    <row r="27" spans="2:13" ht="13.5" hidden="1" customHeight="1">
      <c r="B27" s="1093">
        <f>ASISTENCIAIIS!AA$6</f>
        <v>0</v>
      </c>
      <c r="C27" s="1025"/>
      <c r="D27" s="143" t="str">
        <f t="shared" si="1"/>
        <v>PRESENTE</v>
      </c>
      <c r="F27" s="265"/>
      <c r="I27" s="118">
        <f>VLOOKUP($H$4,ASISTENCIAIIS!$A$7:$FK$46,27,FALSE)</f>
        <v>0</v>
      </c>
      <c r="J27" s="103"/>
      <c r="K27" s="110"/>
    </row>
    <row r="28" spans="2:13" ht="15" hidden="1" customHeight="1">
      <c r="B28" s="1093">
        <f>ASISTENCIAIIS!AB$6</f>
        <v>0</v>
      </c>
      <c r="C28" s="1025"/>
      <c r="D28" s="143" t="str">
        <f t="shared" si="1"/>
        <v>PRESENTE</v>
      </c>
      <c r="F28" s="265"/>
      <c r="I28" s="118">
        <f>VLOOKUP($H$4,ASISTENCIAIIS!$A$7:$FK$46,28,FALSE)</f>
        <v>0</v>
      </c>
      <c r="J28" s="103"/>
      <c r="K28" s="110"/>
    </row>
    <row r="29" spans="2:13" ht="17.25" hidden="1" customHeight="1">
      <c r="B29" s="1024">
        <f>ASISTENCIAIIS!AC$6</f>
        <v>0</v>
      </c>
      <c r="C29" s="1025"/>
      <c r="D29" s="143" t="str">
        <f t="shared" si="1"/>
        <v>PRESENTE</v>
      </c>
      <c r="F29" s="265"/>
      <c r="I29" s="118">
        <f>VLOOKUP($H$4,ASISTENCIAIIS!$A$7:$FK$46,29,FALSE)</f>
        <v>0</v>
      </c>
      <c r="J29" s="103"/>
      <c r="K29" s="110"/>
    </row>
    <row r="30" spans="2:13" ht="18" hidden="1" customHeight="1">
      <c r="B30" s="1024">
        <f>ASISTENCIAIIS!AD$6</f>
        <v>0</v>
      </c>
      <c r="C30" s="1025"/>
      <c r="D30" s="143" t="str">
        <f t="shared" si="1"/>
        <v>PRESENTE</v>
      </c>
      <c r="F30" s="265"/>
      <c r="I30" s="118">
        <f>VLOOKUP($H$4,ASISTENCIAIIS!$A$7:$FK$46,30,FALSE)</f>
        <v>0</v>
      </c>
      <c r="J30" s="103"/>
      <c r="K30" s="110"/>
    </row>
    <row r="31" spans="2:13" ht="13.5" hidden="1" customHeight="1">
      <c r="B31" s="1093">
        <f>ASISTENCIAIIS!AE$6</f>
        <v>0</v>
      </c>
      <c r="C31" s="1025"/>
      <c r="D31" s="143" t="str">
        <f t="shared" si="1"/>
        <v>PRESENTE</v>
      </c>
      <c r="I31" s="118">
        <f>VLOOKUP($H$4,ASISTENCIAIIS!$A$7:$FK$46,31,FALSE)</f>
        <v>0</v>
      </c>
      <c r="J31" s="103"/>
      <c r="K31" s="110"/>
    </row>
    <row r="32" spans="2:13" ht="15.75" hidden="1" customHeight="1">
      <c r="B32" s="1093">
        <f>ASISTENCIAIIS!AF$6</f>
        <v>0</v>
      </c>
      <c r="C32" s="1025"/>
      <c r="D32" s="143" t="str">
        <f t="shared" si="1"/>
        <v>PRESENTE</v>
      </c>
      <c r="I32" s="118">
        <f>VLOOKUP($H$4,ASISTENCIAIIS!$A$7:$FK$46,32,FALSE)</f>
        <v>0</v>
      </c>
      <c r="J32" s="103"/>
      <c r="K32" s="110"/>
    </row>
    <row r="33" spans="2:11" ht="15" hidden="1" customHeight="1">
      <c r="B33" s="1093">
        <f>ASISTENCIAIIS!AG$6</f>
        <v>0</v>
      </c>
      <c r="C33" s="1025"/>
      <c r="D33" s="143" t="str">
        <f t="shared" si="1"/>
        <v>PRESENTE</v>
      </c>
      <c r="I33" s="118">
        <f>VLOOKUP($H$4,ASISTENCIAIIS!$A$7:$FK$46,33,FALSE)</f>
        <v>0</v>
      </c>
      <c r="J33" s="103"/>
      <c r="K33" s="110"/>
    </row>
    <row r="34" spans="2:11" ht="15.75" hidden="1" customHeight="1">
      <c r="B34" s="1093">
        <f>ASISTENCIAIIS!AH$6</f>
        <v>0</v>
      </c>
      <c r="C34" s="1025"/>
      <c r="D34" s="143" t="str">
        <f t="shared" si="1"/>
        <v>PRESENTE</v>
      </c>
      <c r="I34" s="118">
        <f>VLOOKUP($H$4,ASISTENCIAIIS!$A$7:$FK$46,34,FALSE)</f>
        <v>0</v>
      </c>
      <c r="J34" s="103"/>
      <c r="K34" s="110"/>
    </row>
    <row r="35" spans="2:11" ht="17.25" hidden="1" customHeight="1">
      <c r="B35" s="1093">
        <f>ASISTENCIAIIS!AI$6</f>
        <v>0</v>
      </c>
      <c r="C35" s="1025"/>
      <c r="D35" s="143" t="str">
        <f t="shared" si="1"/>
        <v>PRESENTE</v>
      </c>
      <c r="I35" s="118">
        <f>VLOOKUP($H$4,ASISTENCIAIIS!$A$7:$FK$46,35,FALSE)</f>
        <v>0</v>
      </c>
      <c r="J35" s="103"/>
      <c r="K35" s="110"/>
    </row>
    <row r="36" spans="2:11" ht="18.75" hidden="1" customHeight="1">
      <c r="B36" s="1093">
        <f>ASISTENCIAIIS!AJ$6</f>
        <v>0</v>
      </c>
      <c r="C36" s="1025"/>
      <c r="D36" s="143" t="str">
        <f t="shared" si="1"/>
        <v>PRESENTE</v>
      </c>
      <c r="I36" s="118">
        <f>VLOOKUP($H$4,ASISTENCIAIIS!$A$7:$FK$46,36,FALSE)</f>
        <v>0</v>
      </c>
      <c r="J36" s="103"/>
      <c r="K36" s="110"/>
    </row>
    <row r="37" spans="2:11" ht="15" hidden="1" customHeight="1">
      <c r="B37" s="1093">
        <f>ASISTENCIAIIS!AK$6</f>
        <v>0</v>
      </c>
      <c r="C37" s="1025"/>
      <c r="D37" s="143" t="str">
        <f t="shared" si="1"/>
        <v>PRESENTE</v>
      </c>
      <c r="I37" s="118">
        <f>VLOOKUP($H$4,ASISTENCIAIIS!$A$7:$FK$46,37,FALSE)</f>
        <v>0</v>
      </c>
    </row>
    <row r="38" spans="2:11" ht="15" hidden="1" customHeight="1">
      <c r="B38" s="1093">
        <f>ASISTENCIAIIS!AL$6</f>
        <v>0</v>
      </c>
      <c r="C38" s="1025"/>
      <c r="D38" s="143" t="str">
        <f t="shared" si="1"/>
        <v>PRESENTE</v>
      </c>
      <c r="I38" s="118">
        <f>VLOOKUP($H$4,ASISTENCIAIIS!$A$7:$FK$46,38,FALSE)</f>
        <v>0</v>
      </c>
    </row>
    <row r="39" spans="2:11" ht="15" hidden="1" customHeight="1">
      <c r="B39" s="1093">
        <f>ASISTENCIAIIS!AM$6</f>
        <v>0</v>
      </c>
      <c r="C39" s="1025"/>
      <c r="D39" s="143" t="str">
        <f t="shared" si="1"/>
        <v>PRESENTE</v>
      </c>
      <c r="I39" s="118">
        <f>VLOOKUP($H$4,ASISTENCIAIIS!$A$7:$FK$46,39,FALSE)</f>
        <v>0</v>
      </c>
    </row>
    <row r="40" spans="2:11" ht="15.75" hidden="1">
      <c r="B40" s="1093">
        <f>ASISTENCIAIIS!AN$6</f>
        <v>0</v>
      </c>
      <c r="C40" s="1025"/>
      <c r="D40" s="143" t="str">
        <f t="shared" si="1"/>
        <v>PRESENTE</v>
      </c>
      <c r="I40" s="118">
        <f>VLOOKUP($H$4,ASISTENCIAIIS!$A$7:$FK$46,40,FALSE)</f>
        <v>0</v>
      </c>
    </row>
    <row r="41" spans="2:11" ht="15.75" hidden="1">
      <c r="B41" s="1093">
        <f>ASISTENCIAIIS!AO$6</f>
        <v>0</v>
      </c>
      <c r="C41" s="1025"/>
      <c r="D41" s="143" t="str">
        <f t="shared" si="1"/>
        <v>PRESENTE</v>
      </c>
      <c r="I41" s="118">
        <f>VLOOKUP($H$4,ASISTENCIAIIS!$A$7:$FK$46,41,FALSE)</f>
        <v>0</v>
      </c>
    </row>
    <row r="42" spans="2:11" ht="15.75" hidden="1">
      <c r="B42" s="1093">
        <f>ASISTENCIAIIS!AP$6</f>
        <v>0</v>
      </c>
      <c r="C42" s="1025"/>
      <c r="D42" s="143" t="str">
        <f t="shared" si="1"/>
        <v>PRESENTE</v>
      </c>
      <c r="I42" s="118">
        <f>VLOOKUP($H$4,ASISTENCIAIIS!$A$7:$FK$46,41,FALSE)</f>
        <v>0</v>
      </c>
    </row>
    <row r="43" spans="2:11" ht="15.75" hidden="1">
      <c r="B43" s="1093">
        <f>ASISTENCIAIIS!AQ$6</f>
        <v>0</v>
      </c>
      <c r="C43" s="1025"/>
      <c r="D43" s="143" t="str">
        <f t="shared" si="1"/>
        <v>PRESENTE</v>
      </c>
      <c r="I43" s="118">
        <f>VLOOKUP($H$4,ASISTENCIAIIS!$A$7:$FK$46,42,FALSE)</f>
        <v>0</v>
      </c>
    </row>
    <row r="44" spans="2:11" ht="15.75" hidden="1">
      <c r="B44" s="1093">
        <f>ASISTENCIAIIS!AR$6</f>
        <v>0</v>
      </c>
      <c r="C44" s="1025"/>
      <c r="D44" s="143" t="str">
        <f t="shared" si="1"/>
        <v>PRESENTE</v>
      </c>
      <c r="I44" s="118">
        <f>VLOOKUP($H$4,ASISTENCIAIIS!$A$7:$FK$46,43,FALSE)</f>
        <v>0</v>
      </c>
    </row>
    <row r="45" spans="2:11" ht="15.75" hidden="1">
      <c r="B45" s="1093">
        <f>ASISTENCIAIIS!AS$6</f>
        <v>0</v>
      </c>
      <c r="C45" s="1025"/>
      <c r="D45" s="143" t="str">
        <f t="shared" si="1"/>
        <v>PRESENTE</v>
      </c>
      <c r="I45" s="118">
        <f>VLOOKUP($H$4,ASISTENCIAIIS!$A$7:$FK$46,44,FALSE)</f>
        <v>0</v>
      </c>
    </row>
    <row r="46" spans="2:11" ht="15.75" hidden="1">
      <c r="B46" s="1093">
        <f>ASISTENCIAIIS!AT$6</f>
        <v>0</v>
      </c>
      <c r="C46" s="1025"/>
      <c r="D46" s="143" t="str">
        <f t="shared" si="1"/>
        <v>PRESENTE</v>
      </c>
      <c r="I46" s="118">
        <f>VLOOKUP($H$4,ASISTENCIAIIS!$A$7:$FK$46,45,FALSE)</f>
        <v>0</v>
      </c>
    </row>
    <row r="47" spans="2:11" ht="15.75" hidden="1">
      <c r="B47" s="1093">
        <f>ASISTENCIAIIS!AU$6</f>
        <v>0</v>
      </c>
      <c r="C47" s="1025"/>
      <c r="D47" s="143" t="str">
        <f t="shared" si="1"/>
        <v>PRESENTE</v>
      </c>
      <c r="I47" s="118">
        <f>VLOOKUP($H$4,ASISTENCIAIIS!$A$7:$FK$46,46,FALSE)</f>
        <v>0</v>
      </c>
    </row>
    <row r="48" spans="2:11" ht="15.75" hidden="1">
      <c r="B48" s="1093">
        <f>ASISTENCIAIIS!AV$6</f>
        <v>0</v>
      </c>
      <c r="C48" s="1025"/>
      <c r="D48" s="143" t="str">
        <f t="shared" si="1"/>
        <v>PRESENTE</v>
      </c>
      <c r="I48" s="118">
        <f>VLOOKUP($H$4,ASISTENCIAIIS!$A$7:$FK$46,47,FALSE)</f>
        <v>0</v>
      </c>
    </row>
    <row r="49" spans="2:9" ht="15.75" hidden="1">
      <c r="B49" s="1093">
        <f>ASISTENCIAIIS!AW$6</f>
        <v>0</v>
      </c>
      <c r="C49" s="1025"/>
      <c r="D49" s="143" t="str">
        <f t="shared" si="1"/>
        <v>PRESENTE</v>
      </c>
      <c r="I49" s="118">
        <f>VLOOKUP($H$4,ASISTENCIAIIS!$A$7:$FK$46,48,FALSE)</f>
        <v>0</v>
      </c>
    </row>
    <row r="50" spans="2:9" ht="15.75" hidden="1">
      <c r="B50" s="1093">
        <f>ASISTENCIAIIS!AX$6</f>
        <v>0</v>
      </c>
      <c r="C50" s="1025"/>
      <c r="D50" s="143" t="str">
        <f t="shared" si="1"/>
        <v>PRESENTE</v>
      </c>
      <c r="I50" s="118">
        <f>VLOOKUP($H$4,ASISTENCIAIIS!$A$7:$FK$46,49,FALSE)</f>
        <v>0</v>
      </c>
    </row>
    <row r="51" spans="2:9" ht="15.75" hidden="1">
      <c r="B51" s="1093">
        <f>ASISTENCIAIIS!AY$6</f>
        <v>0</v>
      </c>
      <c r="C51" s="1025"/>
      <c r="D51" s="143" t="str">
        <f t="shared" si="1"/>
        <v>PRESENTE</v>
      </c>
      <c r="I51" s="118">
        <f>VLOOKUP($H$4,ASISTENCIAIIS!$A$7:$FK$46,50,FALSE)</f>
        <v>0</v>
      </c>
    </row>
    <row r="52" spans="2:9" ht="15.75" hidden="1">
      <c r="B52" s="1093">
        <f>ASISTENCIAIIS!AZ$6</f>
        <v>0</v>
      </c>
      <c r="C52" s="1025"/>
      <c r="D52" s="143" t="str">
        <f t="shared" si="1"/>
        <v>PRESENTE</v>
      </c>
      <c r="I52" s="118">
        <f>VLOOKUP($H$4,ASISTENCIAIIS!$A$7:$FK$46,51,FALSE)</f>
        <v>0</v>
      </c>
    </row>
    <row r="53" spans="2:9" ht="15.75" hidden="1">
      <c r="B53" s="1093">
        <f>ASISTENCIAIIS!BA$6</f>
        <v>0</v>
      </c>
      <c r="C53" s="1025"/>
      <c r="D53" s="143" t="str">
        <f t="shared" si="1"/>
        <v>PRESENTE</v>
      </c>
      <c r="I53" s="118">
        <f>VLOOKUP($H$4,ASISTENCIAIIS!$A$7:$FK$46,52,FALSE)</f>
        <v>0</v>
      </c>
    </row>
    <row r="54" spans="2:9" ht="15.75" hidden="1">
      <c r="B54" s="1093">
        <f>ASISTENCIAIIS!BB$6</f>
        <v>0</v>
      </c>
      <c r="C54" s="1025"/>
      <c r="D54" s="143" t="str">
        <f t="shared" si="1"/>
        <v>PRESENTE</v>
      </c>
      <c r="I54" s="118">
        <f>VLOOKUP($H$4,ASISTENCIAIIS!$A$7:$FK$46,53,FALSE)</f>
        <v>0</v>
      </c>
    </row>
    <row r="55" spans="2:9" ht="15.75" hidden="1">
      <c r="B55" s="1093">
        <f>ASISTENCIAIIS!BC$6</f>
        <v>0</v>
      </c>
      <c r="C55" s="1025"/>
      <c r="D55" s="143" t="str">
        <f t="shared" si="1"/>
        <v>PRESENTE</v>
      </c>
      <c r="I55" s="118">
        <f>VLOOKUP($H$4,ASISTENCIAIIS!$A$7:$FK$46,54,FALSE)</f>
        <v>0</v>
      </c>
    </row>
    <row r="56" spans="2:9" ht="15.75" hidden="1">
      <c r="B56" s="1093">
        <f>ASISTENCIAIIS!BD$6</f>
        <v>0</v>
      </c>
      <c r="C56" s="1025"/>
      <c r="D56" s="143" t="str">
        <f t="shared" si="1"/>
        <v>PRESENTE</v>
      </c>
      <c r="I56" s="118">
        <f>VLOOKUP($H$4,ASISTENCIAIIS!$A$7:$FK$46,55,FALSE)</f>
        <v>0</v>
      </c>
    </row>
    <row r="57" spans="2:9" ht="15.75" hidden="1">
      <c r="B57" s="1093">
        <f>ASISTENCIAIIS!BE$6</f>
        <v>0</v>
      </c>
      <c r="C57" s="1025"/>
      <c r="D57" s="143" t="str">
        <f t="shared" si="1"/>
        <v>PRESENTE</v>
      </c>
      <c r="I57" s="118">
        <f>VLOOKUP($H$4,ASISTENCIAIIS!$A$7:$FK$46,56,FALSE)</f>
        <v>0</v>
      </c>
    </row>
    <row r="58" spans="2:9" ht="15.75" hidden="1">
      <c r="B58" s="1093">
        <f>ASISTENCIAIIS!BF$6</f>
        <v>0</v>
      </c>
      <c r="C58" s="1025"/>
      <c r="D58" s="143" t="str">
        <f t="shared" si="1"/>
        <v>PRESENTE</v>
      </c>
      <c r="I58" s="118">
        <f>VLOOKUP($H$4,ASISTENCIAIIS!$A$7:$FK$46,57,FALSE)</f>
        <v>0</v>
      </c>
    </row>
    <row r="59" spans="2:9" ht="15.75" hidden="1">
      <c r="B59" s="1093">
        <f>ASISTENCIAIIS!BG$6</f>
        <v>0</v>
      </c>
      <c r="C59" s="1025"/>
      <c r="D59" s="143" t="str">
        <f t="shared" si="1"/>
        <v>PRESENTE</v>
      </c>
      <c r="I59" s="118">
        <f>VLOOKUP($H$4,ASISTENCIAIIS!$A$7:$FK$46,58,FALSE)</f>
        <v>0</v>
      </c>
    </row>
    <row r="60" spans="2:9" ht="15.75" hidden="1">
      <c r="B60" s="1093">
        <f>ASISTENCIAIIS!BH$6</f>
        <v>0</v>
      </c>
      <c r="C60" s="1025"/>
      <c r="D60" s="143" t="str">
        <f t="shared" si="1"/>
        <v>PRESENTE</v>
      </c>
      <c r="I60" s="118">
        <f>VLOOKUP($H$4,ASISTENCIAIIS!$A$7:$FK$46,59,FALSE)</f>
        <v>0</v>
      </c>
    </row>
    <row r="61" spans="2:9" ht="15.75" hidden="1">
      <c r="B61" s="1093">
        <f>ASISTENCIAIIS!BI$6</f>
        <v>0</v>
      </c>
      <c r="C61" s="1025"/>
      <c r="D61" s="143" t="str">
        <f t="shared" si="1"/>
        <v>PRESENTE</v>
      </c>
      <c r="I61" s="118">
        <f>VLOOKUP($H$4,ASISTENCIAIIS!$A$7:$FK$46,60,FALSE)</f>
        <v>0</v>
      </c>
    </row>
    <row r="62" spans="2:9" ht="15.75" hidden="1">
      <c r="B62" s="1093">
        <f>ASISTENCIAIIS!BJ$6</f>
        <v>0</v>
      </c>
      <c r="C62" s="1025"/>
      <c r="D62" s="143" t="str">
        <f t="shared" si="1"/>
        <v>PRESENTE</v>
      </c>
      <c r="I62" s="118">
        <f>VLOOKUP($H$4,ASISTENCIAIIS!$A$7:$FK$46,61,FALSE)</f>
        <v>0</v>
      </c>
    </row>
    <row r="63" spans="2:9" ht="15.75" hidden="1">
      <c r="B63" s="1093">
        <f>ASISTENCIAIIS!BK$6</f>
        <v>0</v>
      </c>
      <c r="C63" s="1025"/>
      <c r="D63" s="143" t="str">
        <f t="shared" si="1"/>
        <v>PRESENTE</v>
      </c>
      <c r="I63" s="118">
        <f>VLOOKUP($H$4,ASISTENCIAIIS!$A$7:$FK$46,62,FALSE)</f>
        <v>0</v>
      </c>
    </row>
    <row r="64" spans="2:9" ht="15.75" hidden="1">
      <c r="B64" s="1093">
        <f>ASISTENCIAIIS!BL$6</f>
        <v>0</v>
      </c>
      <c r="C64" s="1025"/>
      <c r="D64" s="143" t="str">
        <f t="shared" si="1"/>
        <v>PRESENTE</v>
      </c>
      <c r="I64" s="118">
        <f>VLOOKUP($H$4,ASISTENCIAIIS!$A$7:$FK$46,63,FALSE)</f>
        <v>0</v>
      </c>
    </row>
    <row r="65" spans="2:13" ht="15.75" hidden="1">
      <c r="B65" s="1093">
        <f>ASISTENCIAIIS!BM$6</f>
        <v>0</v>
      </c>
      <c r="C65" s="1025"/>
      <c r="D65" s="143" t="str">
        <f t="shared" si="1"/>
        <v>PRESENTE</v>
      </c>
      <c r="I65" s="118">
        <f>VLOOKUP($H$4,ASISTENCIAIIS!$A$7:$FK$46,64,FALSE)</f>
        <v>0</v>
      </c>
    </row>
    <row r="66" spans="2:13" ht="15.75" hidden="1">
      <c r="B66" s="1029"/>
      <c r="C66" s="1029"/>
      <c r="D66" s="144"/>
      <c r="E66" s="2"/>
      <c r="F66" s="2"/>
      <c r="G66" s="2"/>
      <c r="H66" s="2"/>
      <c r="I66" s="118"/>
    </row>
    <row r="67" spans="2:13" ht="15.75" hidden="1">
      <c r="B67" s="1029"/>
      <c r="C67" s="1029"/>
      <c r="D67" s="144"/>
      <c r="E67" s="2"/>
      <c r="F67" s="2"/>
      <c r="G67" s="2"/>
      <c r="H67" s="2"/>
      <c r="I67" s="118"/>
    </row>
    <row r="68" spans="2:13" ht="15.75" hidden="1">
      <c r="B68" s="1029"/>
      <c r="C68" s="1029"/>
      <c r="D68" s="144"/>
      <c r="E68" s="2"/>
      <c r="F68" s="2"/>
      <c r="G68" s="2"/>
      <c r="H68" s="2"/>
      <c r="I68" s="118"/>
    </row>
    <row r="69" spans="2:13" ht="15.75" hidden="1">
      <c r="B69" s="1029"/>
      <c r="C69" s="1029"/>
      <c r="D69" s="144"/>
      <c r="E69" s="2"/>
      <c r="F69" s="2"/>
      <c r="G69" s="2"/>
      <c r="H69" s="2"/>
      <c r="I69" s="118"/>
      <c r="J69" s="191"/>
      <c r="K69" s="191"/>
      <c r="L69" s="2"/>
      <c r="M69" s="2"/>
    </row>
    <row r="70" spans="2:13" ht="15.75" hidden="1">
      <c r="B70" s="1029"/>
      <c r="C70" s="826"/>
      <c r="D70" s="144"/>
      <c r="E70" s="2"/>
      <c r="F70" s="2"/>
      <c r="G70" s="2"/>
      <c r="H70" s="2"/>
      <c r="I70" s="118"/>
      <c r="J70" s="191"/>
      <c r="K70" s="191"/>
      <c r="L70" s="2"/>
      <c r="M70" s="2"/>
    </row>
    <row r="71" spans="2:13" ht="15.75" hidden="1">
      <c r="B71" s="1029"/>
      <c r="C71" s="826"/>
      <c r="D71" s="144"/>
      <c r="E71" s="2"/>
      <c r="F71" s="2"/>
      <c r="G71" s="2"/>
      <c r="H71" s="2"/>
      <c r="I71" s="118"/>
      <c r="J71" s="191"/>
      <c r="K71" s="191"/>
      <c r="L71" s="2"/>
      <c r="M71" s="2"/>
    </row>
    <row r="72" spans="2:13" ht="15.75" hidden="1">
      <c r="B72" s="1029"/>
      <c r="C72" s="826"/>
      <c r="D72" s="144"/>
      <c r="E72" s="2"/>
      <c r="F72" s="2"/>
      <c r="G72" s="2"/>
      <c r="H72" s="2"/>
      <c r="I72" s="118"/>
      <c r="J72" s="191"/>
      <c r="K72" s="191"/>
      <c r="L72" s="2"/>
      <c r="M72" s="2"/>
    </row>
    <row r="73" spans="2:13" ht="15.75" hidden="1">
      <c r="B73" s="1029"/>
      <c r="C73" s="826"/>
      <c r="D73" s="144"/>
      <c r="E73" s="2"/>
      <c r="F73" s="2"/>
      <c r="G73" s="2"/>
      <c r="H73" s="2"/>
      <c r="I73" s="118"/>
      <c r="J73" s="191"/>
      <c r="K73" s="191"/>
      <c r="L73" s="2"/>
      <c r="M73" s="2"/>
    </row>
    <row r="74" spans="2:13" ht="15.75" hidden="1">
      <c r="B74" s="1029"/>
      <c r="C74" s="826"/>
      <c r="D74" s="144"/>
      <c r="E74" s="2"/>
      <c r="F74" s="2"/>
      <c r="G74" s="2"/>
      <c r="H74" s="2"/>
      <c r="I74" s="118"/>
      <c r="J74" s="191"/>
      <c r="K74" s="191"/>
      <c r="L74" s="2"/>
      <c r="M74" s="2"/>
    </row>
    <row r="75" spans="2:13" ht="15.75" hidden="1">
      <c r="B75" s="1029"/>
      <c r="C75" s="826"/>
      <c r="D75" s="144"/>
      <c r="E75" s="2"/>
      <c r="F75" s="2"/>
      <c r="G75" s="2"/>
      <c r="H75" s="2"/>
      <c r="I75" s="118"/>
      <c r="J75" s="191"/>
      <c r="K75" s="191"/>
      <c r="L75" s="2"/>
      <c r="M75" s="2"/>
    </row>
    <row r="76" spans="2:13" ht="15.75" hidden="1">
      <c r="B76" s="1029"/>
      <c r="C76" s="826"/>
      <c r="D76" s="144"/>
      <c r="E76" s="2"/>
      <c r="F76" s="2"/>
      <c r="G76" s="2"/>
      <c r="H76" s="2"/>
      <c r="I76" s="118"/>
      <c r="J76" s="191"/>
      <c r="K76" s="191"/>
      <c r="L76" s="2"/>
      <c r="M76" s="2"/>
    </row>
    <row r="77" spans="2:13" ht="15.75" hidden="1">
      <c r="B77" s="1029"/>
      <c r="C77" s="826"/>
      <c r="D77" s="144"/>
      <c r="E77" s="2"/>
      <c r="F77" s="2"/>
      <c r="G77" s="2"/>
      <c r="H77" s="2"/>
      <c r="I77" s="118"/>
      <c r="J77" s="191"/>
      <c r="K77" s="191"/>
      <c r="L77" s="2"/>
      <c r="M77" s="2"/>
    </row>
    <row r="78" spans="2:13" ht="15.75" hidden="1">
      <c r="B78" s="1029"/>
      <c r="C78" s="826"/>
      <c r="D78" s="144"/>
      <c r="E78" s="2"/>
      <c r="F78" s="2"/>
      <c r="G78" s="2"/>
      <c r="H78" s="2"/>
      <c r="I78" s="118"/>
      <c r="J78" s="191"/>
      <c r="K78" s="191"/>
      <c r="L78" s="2"/>
      <c r="M78" s="2"/>
    </row>
    <row r="79" spans="2:13" ht="15.75" hidden="1">
      <c r="B79" s="1029"/>
      <c r="C79" s="826"/>
      <c r="D79" s="144"/>
      <c r="E79" s="2"/>
      <c r="F79" s="2"/>
      <c r="G79" s="2"/>
      <c r="H79" s="2"/>
      <c r="I79" s="118"/>
      <c r="J79" s="191"/>
      <c r="K79" s="191"/>
      <c r="L79" s="2"/>
      <c r="M79" s="2"/>
    </row>
    <row r="80" spans="2:13" ht="15.75" hidden="1">
      <c r="B80" s="1029"/>
      <c r="C80" s="826"/>
      <c r="D80" s="144"/>
      <c r="E80" s="2"/>
      <c r="F80" s="2"/>
      <c r="G80" s="2"/>
      <c r="H80" s="2"/>
      <c r="I80" s="118"/>
      <c r="J80" s="191"/>
      <c r="K80" s="191"/>
      <c r="L80" s="2"/>
      <c r="M80" s="2"/>
    </row>
    <row r="81" spans="2:13" ht="15.75" hidden="1">
      <c r="B81" s="1029"/>
      <c r="C81" s="826"/>
      <c r="D81" s="144"/>
      <c r="E81" s="2"/>
      <c r="F81" s="2"/>
      <c r="G81" s="2"/>
      <c r="H81" s="2"/>
      <c r="I81" s="118"/>
      <c r="J81" s="191"/>
      <c r="K81" s="191"/>
      <c r="L81" s="2"/>
      <c r="M81" s="2"/>
    </row>
    <row r="82" spans="2:13" ht="15.75" hidden="1">
      <c r="B82" s="1029"/>
      <c r="C82" s="826"/>
      <c r="D82" s="144"/>
      <c r="E82" s="2"/>
      <c r="F82" s="2"/>
      <c r="G82" s="2"/>
      <c r="H82" s="2"/>
      <c r="I82" s="118"/>
      <c r="J82" s="191"/>
      <c r="K82" s="191"/>
      <c r="L82" s="2"/>
      <c r="M82" s="2"/>
    </row>
    <row r="83" spans="2:13" ht="15.75" hidden="1">
      <c r="B83" s="1029"/>
      <c r="C83" s="826"/>
      <c r="D83" s="144"/>
      <c r="E83" s="2"/>
      <c r="F83" s="2"/>
      <c r="G83" s="2"/>
      <c r="H83" s="2"/>
      <c r="I83" s="118"/>
      <c r="J83" s="191"/>
      <c r="K83" s="191"/>
      <c r="L83" s="2"/>
      <c r="M83" s="2"/>
    </row>
    <row r="84" spans="2:13" ht="15.75" hidden="1">
      <c r="B84" s="1029"/>
      <c r="C84" s="826"/>
      <c r="D84" s="144"/>
      <c r="E84" s="2"/>
      <c r="F84" s="2"/>
      <c r="G84" s="2"/>
      <c r="H84" s="2"/>
      <c r="I84" s="118"/>
      <c r="J84" s="191"/>
      <c r="K84" s="191"/>
      <c r="L84" s="2"/>
      <c r="M84" s="2"/>
    </row>
    <row r="85" spans="2:13" ht="15.75" hidden="1">
      <c r="B85" s="1029"/>
      <c r="C85" s="826"/>
      <c r="D85" s="144"/>
      <c r="E85" s="2"/>
      <c r="F85" s="2"/>
      <c r="G85" s="2"/>
      <c r="H85" s="2"/>
      <c r="I85" s="118"/>
      <c r="J85" s="191"/>
      <c r="K85" s="191"/>
      <c r="L85" s="2"/>
      <c r="M85" s="2"/>
    </row>
    <row r="86" spans="2:13" ht="15.75" hidden="1">
      <c r="B86" s="1029"/>
      <c r="C86" s="826"/>
      <c r="D86" s="144"/>
      <c r="E86" s="2"/>
      <c r="F86" s="2"/>
      <c r="G86" s="2"/>
      <c r="H86" s="2"/>
      <c r="I86" s="118"/>
      <c r="J86" s="191"/>
      <c r="K86" s="191"/>
      <c r="L86" s="2"/>
      <c r="M86" s="2"/>
    </row>
    <row r="87" spans="2:13" ht="15.75" hidden="1">
      <c r="B87" s="1029"/>
      <c r="C87" s="826"/>
      <c r="D87" s="144"/>
      <c r="E87" s="2"/>
      <c r="F87" s="2"/>
      <c r="G87" s="2"/>
      <c r="H87" s="2"/>
      <c r="I87" s="118"/>
      <c r="J87" s="191"/>
      <c r="K87" s="191"/>
      <c r="L87" s="2"/>
      <c r="M87" s="2"/>
    </row>
    <row r="88" spans="2:13" ht="15.75" hidden="1">
      <c r="B88" s="1029"/>
      <c r="C88" s="826"/>
      <c r="D88" s="144"/>
      <c r="E88" s="2"/>
      <c r="F88" s="2"/>
      <c r="G88" s="2"/>
      <c r="H88" s="2"/>
      <c r="I88" s="118"/>
      <c r="J88" s="191"/>
      <c r="K88" s="191"/>
      <c r="L88" s="2"/>
      <c r="M88" s="2"/>
    </row>
    <row r="89" spans="2:13" ht="15.75" hidden="1">
      <c r="B89" s="1029"/>
      <c r="C89" s="826"/>
      <c r="D89" s="144"/>
      <c r="E89" s="2"/>
      <c r="F89" s="2"/>
      <c r="G89" s="2"/>
      <c r="H89" s="2"/>
      <c r="I89" s="118"/>
      <c r="J89" s="191"/>
      <c r="K89" s="191"/>
      <c r="L89" s="2"/>
      <c r="M89" s="2"/>
    </row>
    <row r="90" spans="2:13" ht="15.75" hidden="1">
      <c r="B90" s="1029"/>
      <c r="C90" s="826"/>
      <c r="D90" s="144"/>
      <c r="E90" s="2"/>
      <c r="F90" s="2"/>
      <c r="G90" s="2"/>
      <c r="H90" s="2"/>
      <c r="I90" s="118"/>
      <c r="J90" s="191"/>
      <c r="K90" s="191"/>
      <c r="L90" s="2"/>
      <c r="M90" s="2"/>
    </row>
    <row r="91" spans="2:13" ht="15.75" hidden="1">
      <c r="B91" s="1029"/>
      <c r="C91" s="826"/>
      <c r="D91" s="144"/>
      <c r="E91" s="2"/>
      <c r="F91" s="2"/>
      <c r="G91" s="2"/>
      <c r="H91" s="2"/>
      <c r="I91" s="118"/>
      <c r="J91" s="191"/>
      <c r="K91" s="191"/>
      <c r="L91" s="2"/>
      <c r="M91" s="2"/>
    </row>
    <row r="92" spans="2:13" ht="15.75" hidden="1">
      <c r="B92" s="1029"/>
      <c r="C92" s="826"/>
      <c r="D92" s="144"/>
      <c r="E92" s="2"/>
      <c r="F92" s="2"/>
      <c r="G92" s="2"/>
      <c r="H92" s="2"/>
      <c r="I92" s="118"/>
      <c r="J92" s="191"/>
      <c r="K92" s="191"/>
      <c r="L92" s="2"/>
      <c r="M92" s="2"/>
    </row>
    <row r="93" spans="2:13" ht="15.75" hidden="1">
      <c r="B93" s="1029"/>
      <c r="C93" s="826"/>
      <c r="D93" s="144"/>
      <c r="E93" s="2"/>
      <c r="F93" s="2"/>
      <c r="G93" s="2"/>
      <c r="H93" s="2"/>
      <c r="I93" s="118"/>
      <c r="J93" s="191"/>
      <c r="K93" s="191"/>
      <c r="L93" s="2"/>
      <c r="M93" s="2"/>
    </row>
    <row r="94" spans="2:13" ht="15.75" hidden="1">
      <c r="B94" s="1029"/>
      <c r="C94" s="826"/>
      <c r="D94" s="144"/>
      <c r="E94" s="2"/>
      <c r="F94" s="2"/>
      <c r="G94" s="2"/>
      <c r="H94" s="2"/>
      <c r="I94" s="118"/>
      <c r="J94" s="191"/>
      <c r="K94" s="191"/>
      <c r="L94" s="2"/>
      <c r="M94" s="2"/>
    </row>
    <row r="95" spans="2:13" ht="15.75" hidden="1">
      <c r="B95" s="1029"/>
      <c r="C95" s="826"/>
      <c r="D95" s="144"/>
      <c r="E95" s="2"/>
      <c r="F95" s="2"/>
      <c r="G95" s="2"/>
      <c r="H95" s="2"/>
      <c r="I95" s="118"/>
      <c r="J95" s="191"/>
      <c r="K95" s="191"/>
      <c r="L95" s="2"/>
      <c r="M95" s="2"/>
    </row>
    <row r="96" spans="2:13" ht="15.75" hidden="1">
      <c r="B96" s="1029"/>
      <c r="C96" s="826"/>
      <c r="D96" s="144"/>
      <c r="E96" s="2"/>
      <c r="F96" s="2"/>
      <c r="G96" s="2"/>
      <c r="H96" s="2"/>
      <c r="I96" s="118"/>
      <c r="J96" s="191"/>
      <c r="K96" s="191"/>
      <c r="L96" s="2"/>
      <c r="M96" s="2"/>
    </row>
    <row r="97" spans="2:13" ht="15.75" hidden="1">
      <c r="B97" s="1029"/>
      <c r="C97" s="826"/>
      <c r="D97" s="144"/>
      <c r="E97" s="2"/>
      <c r="F97" s="2"/>
      <c r="G97" s="2"/>
      <c r="H97" s="2"/>
      <c r="I97" s="118"/>
      <c r="J97" s="191"/>
      <c r="K97" s="191"/>
      <c r="L97" s="2"/>
      <c r="M97" s="2"/>
    </row>
    <row r="98" spans="2:13" ht="15.75" hidden="1">
      <c r="B98" s="1029"/>
      <c r="C98" s="826"/>
      <c r="D98" s="144"/>
      <c r="E98" s="2"/>
      <c r="F98" s="2"/>
      <c r="G98" s="2"/>
      <c r="H98" s="2"/>
      <c r="I98" s="118"/>
      <c r="J98" s="191"/>
      <c r="K98" s="191"/>
      <c r="L98" s="2"/>
      <c r="M98" s="2"/>
    </row>
    <row r="99" spans="2:13" ht="15.75" hidden="1">
      <c r="B99" s="1029"/>
      <c r="C99" s="826"/>
      <c r="D99" s="144"/>
      <c r="E99" s="2"/>
      <c r="F99" s="2"/>
      <c r="G99" s="2"/>
      <c r="H99" s="2"/>
      <c r="I99" s="118"/>
      <c r="J99" s="191"/>
      <c r="K99" s="191"/>
      <c r="L99" s="2"/>
      <c r="M99" s="2"/>
    </row>
    <row r="100" spans="2:13" ht="15.75" hidden="1">
      <c r="B100" s="1029"/>
      <c r="C100" s="826"/>
      <c r="D100" s="144"/>
      <c r="E100" s="2"/>
      <c r="F100" s="2"/>
      <c r="G100" s="2"/>
      <c r="H100" s="2"/>
      <c r="I100" s="118"/>
      <c r="J100" s="191"/>
      <c r="K100" s="191"/>
      <c r="L100" s="2"/>
      <c r="M100" s="2"/>
    </row>
    <row r="101" spans="2:13" ht="15.75" hidden="1">
      <c r="B101" s="1029"/>
      <c r="C101" s="826"/>
      <c r="D101" s="144"/>
      <c r="E101" s="2"/>
      <c r="F101" s="2"/>
      <c r="G101" s="2"/>
      <c r="H101" s="2"/>
      <c r="I101" s="118"/>
      <c r="J101" s="191"/>
      <c r="K101" s="191"/>
      <c r="L101" s="2"/>
      <c r="M101" s="2"/>
    </row>
    <row r="102" spans="2:13" ht="15.75" hidden="1">
      <c r="B102" s="1029"/>
      <c r="C102" s="826"/>
      <c r="D102" s="144"/>
      <c r="E102" s="2"/>
      <c r="F102" s="2"/>
      <c r="G102" s="2"/>
      <c r="H102" s="2"/>
      <c r="I102" s="118"/>
      <c r="J102" s="191"/>
      <c r="K102" s="191"/>
      <c r="L102" s="2"/>
      <c r="M102" s="2"/>
    </row>
    <row r="103" spans="2:13" ht="15.75" hidden="1">
      <c r="B103" s="1029"/>
      <c r="C103" s="826"/>
      <c r="D103" s="144"/>
      <c r="E103" s="2"/>
      <c r="F103" s="2"/>
      <c r="G103" s="2"/>
      <c r="H103" s="2"/>
      <c r="I103" s="118"/>
      <c r="J103" s="191"/>
      <c r="K103" s="191"/>
      <c r="L103" s="2"/>
      <c r="M103" s="2"/>
    </row>
    <row r="104" spans="2:13" ht="15.75" hidden="1">
      <c r="B104" s="1029"/>
      <c r="C104" s="826"/>
      <c r="D104" s="144"/>
      <c r="E104" s="2"/>
      <c r="F104" s="2"/>
      <c r="G104" s="2"/>
      <c r="H104" s="2"/>
      <c r="I104" s="118"/>
      <c r="J104" s="191"/>
      <c r="K104" s="191"/>
      <c r="L104" s="2"/>
      <c r="M104" s="2"/>
    </row>
    <row r="105" spans="2:13" ht="15.75" hidden="1">
      <c r="B105" s="1029"/>
      <c r="C105" s="826"/>
      <c r="D105" s="144"/>
      <c r="E105" s="2"/>
      <c r="F105" s="2"/>
      <c r="G105" s="2"/>
      <c r="H105" s="2"/>
      <c r="I105" s="118"/>
      <c r="J105" s="191"/>
      <c r="K105" s="191"/>
      <c r="L105" s="2"/>
      <c r="M105" s="2"/>
    </row>
    <row r="106" spans="2:13" ht="15.75" hidden="1">
      <c r="B106" s="1029"/>
      <c r="C106" s="826"/>
      <c r="D106" s="144"/>
      <c r="E106" s="2"/>
      <c r="F106" s="2"/>
      <c r="G106" s="2"/>
      <c r="H106" s="2"/>
      <c r="I106" s="118"/>
      <c r="J106" s="191"/>
      <c r="K106" s="191"/>
      <c r="L106" s="2"/>
      <c r="M106" s="2"/>
    </row>
    <row r="107" spans="2:13" ht="15.75" hidden="1">
      <c r="B107" s="1029"/>
      <c r="C107" s="826"/>
      <c r="D107" s="144"/>
      <c r="E107" s="2"/>
      <c r="F107" s="2"/>
      <c r="G107" s="2"/>
      <c r="H107" s="2"/>
      <c r="I107" s="118"/>
      <c r="J107" s="191"/>
      <c r="K107" s="191"/>
      <c r="L107" s="2"/>
      <c r="M107" s="2"/>
    </row>
    <row r="108" spans="2:13" ht="15.75" hidden="1">
      <c r="B108" s="1029"/>
      <c r="C108" s="826"/>
      <c r="D108" s="144"/>
      <c r="E108" s="2"/>
      <c r="F108" s="2"/>
      <c r="G108" s="2"/>
      <c r="H108" s="2"/>
      <c r="I108" s="118"/>
      <c r="J108" s="191"/>
      <c r="K108" s="191"/>
      <c r="L108" s="2"/>
      <c r="M108" s="2"/>
    </row>
    <row r="109" spans="2:13" ht="15.75" hidden="1">
      <c r="B109" s="1029"/>
      <c r="C109" s="826"/>
      <c r="D109" s="144"/>
      <c r="E109" s="2"/>
      <c r="F109" s="2"/>
      <c r="G109" s="2"/>
      <c r="H109" s="2"/>
      <c r="I109" s="118"/>
      <c r="J109" s="191"/>
      <c r="K109" s="191"/>
      <c r="L109" s="2"/>
      <c r="M109" s="2"/>
    </row>
    <row r="110" spans="2:13" ht="15.75" hidden="1">
      <c r="B110" s="1029"/>
      <c r="C110" s="826"/>
      <c r="D110" s="144"/>
      <c r="E110" s="2"/>
      <c r="F110" s="2"/>
      <c r="G110" s="2"/>
      <c r="H110" s="2"/>
      <c r="I110" s="118"/>
      <c r="J110" s="191"/>
      <c r="K110" s="191"/>
      <c r="L110" s="2"/>
      <c r="M110" s="2"/>
    </row>
    <row r="111" spans="2:13" ht="15.75" hidden="1">
      <c r="B111" s="1029"/>
      <c r="C111" s="826"/>
      <c r="D111" s="144"/>
      <c r="E111" s="2"/>
      <c r="F111" s="2"/>
      <c r="G111" s="2"/>
      <c r="H111" s="2"/>
      <c r="I111" s="118"/>
      <c r="J111" s="191"/>
      <c r="K111" s="191"/>
      <c r="L111" s="2"/>
      <c r="M111" s="2"/>
    </row>
    <row r="112" spans="2:13" ht="15.75" hidden="1">
      <c r="B112" s="1029"/>
      <c r="C112" s="826"/>
      <c r="D112" s="144"/>
      <c r="E112" s="2"/>
      <c r="F112" s="2"/>
      <c r="G112" s="2"/>
      <c r="H112" s="2"/>
      <c r="I112" s="118"/>
      <c r="J112" s="191"/>
      <c r="K112" s="191"/>
      <c r="L112" s="2"/>
      <c r="M112" s="2"/>
    </row>
    <row r="113" spans="2:13" ht="15.75" hidden="1">
      <c r="B113" s="1029"/>
      <c r="C113" s="826"/>
      <c r="D113" s="144"/>
      <c r="E113" s="2"/>
      <c r="F113" s="2"/>
      <c r="G113" s="2"/>
      <c r="H113" s="2"/>
      <c r="I113" s="118"/>
      <c r="J113" s="191"/>
      <c r="K113" s="191"/>
      <c r="L113" s="2"/>
      <c r="M113" s="2"/>
    </row>
    <row r="114" spans="2:13" ht="15.75" hidden="1">
      <c r="B114" s="1029"/>
      <c r="C114" s="826"/>
      <c r="D114" s="144"/>
      <c r="E114" s="2"/>
      <c r="F114" s="2"/>
      <c r="G114" s="2"/>
      <c r="H114" s="2"/>
      <c r="I114" s="118"/>
      <c r="J114" s="191"/>
      <c r="K114" s="191"/>
      <c r="L114" s="2"/>
      <c r="M114" s="2"/>
    </row>
    <row r="115" spans="2:13" ht="15.75" hidden="1">
      <c r="B115" s="1029"/>
      <c r="C115" s="826"/>
      <c r="D115" s="144"/>
      <c r="E115" s="2"/>
      <c r="F115" s="2"/>
      <c r="G115" s="2"/>
      <c r="H115" s="2"/>
      <c r="I115" s="118"/>
      <c r="J115" s="191"/>
      <c r="K115" s="191"/>
      <c r="L115" s="2"/>
      <c r="M115" s="2"/>
    </row>
    <row r="116" spans="2:13" ht="15.75" hidden="1">
      <c r="B116" s="1029"/>
      <c r="C116" s="826"/>
      <c r="D116" s="144"/>
      <c r="E116" s="2"/>
      <c r="F116" s="2"/>
      <c r="G116" s="2"/>
      <c r="H116" s="2"/>
      <c r="I116" s="118"/>
      <c r="J116" s="191"/>
      <c r="K116" s="191"/>
      <c r="L116" s="2"/>
      <c r="M116" s="2"/>
    </row>
    <row r="117" spans="2:13" ht="15.75" hidden="1">
      <c r="B117" s="1029"/>
      <c r="C117" s="826"/>
      <c r="D117" s="144"/>
      <c r="E117" s="2"/>
      <c r="F117" s="2"/>
      <c r="G117" s="2"/>
      <c r="H117" s="2"/>
      <c r="I117" s="118"/>
      <c r="J117" s="191"/>
      <c r="K117" s="191"/>
      <c r="L117" s="2"/>
      <c r="M117" s="2"/>
    </row>
    <row r="118" spans="2:13" ht="15.75" hidden="1">
      <c r="B118" s="1029"/>
      <c r="C118" s="826"/>
      <c r="D118" s="144"/>
      <c r="E118" s="2"/>
      <c r="F118" s="2"/>
      <c r="G118" s="2"/>
      <c r="H118" s="2"/>
      <c r="I118" s="118"/>
      <c r="J118" s="191"/>
      <c r="K118" s="191"/>
      <c r="L118" s="2"/>
      <c r="M118" s="2"/>
    </row>
    <row r="119" spans="2:13" ht="15.75" hidden="1">
      <c r="B119" s="1029"/>
      <c r="C119" s="826"/>
      <c r="D119" s="144"/>
      <c r="E119" s="2"/>
      <c r="F119" s="2"/>
      <c r="G119" s="2"/>
      <c r="H119" s="2"/>
      <c r="I119" s="118"/>
      <c r="J119" s="191"/>
      <c r="K119" s="191"/>
      <c r="L119" s="2"/>
      <c r="M119" s="2"/>
    </row>
    <row r="120" spans="2:13" ht="15.75" hidden="1">
      <c r="B120" s="1029"/>
      <c r="C120" s="826"/>
      <c r="D120" s="144"/>
      <c r="E120" s="2"/>
      <c r="F120" s="2"/>
      <c r="G120" s="2"/>
      <c r="H120" s="2"/>
      <c r="I120" s="118"/>
      <c r="J120" s="191"/>
      <c r="K120" s="191"/>
      <c r="L120" s="2"/>
      <c r="M120" s="2"/>
    </row>
    <row r="121" spans="2:13" ht="15.75" hidden="1">
      <c r="B121" s="1029"/>
      <c r="C121" s="826"/>
      <c r="D121" s="144"/>
      <c r="E121" s="2"/>
      <c r="F121" s="2"/>
      <c r="G121" s="2"/>
      <c r="H121" s="2"/>
      <c r="I121" s="118"/>
      <c r="J121" s="191"/>
      <c r="K121" s="191"/>
      <c r="L121" s="2"/>
      <c r="M121" s="2"/>
    </row>
    <row r="122" spans="2:13" ht="15.75" hidden="1">
      <c r="B122" s="1029"/>
      <c r="C122" s="826"/>
      <c r="D122" s="144"/>
      <c r="E122" s="2"/>
      <c r="F122" s="2"/>
      <c r="G122" s="2"/>
      <c r="H122" s="2"/>
      <c r="I122" s="118"/>
      <c r="J122" s="191"/>
      <c r="K122" s="191"/>
      <c r="L122" s="2"/>
      <c r="M122" s="2"/>
    </row>
    <row r="123" spans="2:13" ht="15.75" hidden="1">
      <c r="B123" s="1029"/>
      <c r="C123" s="826"/>
      <c r="D123" s="144"/>
      <c r="E123" s="2"/>
      <c r="F123" s="2"/>
      <c r="G123" s="2"/>
      <c r="H123" s="2"/>
      <c r="I123" s="118"/>
      <c r="J123" s="191"/>
      <c r="K123" s="191"/>
      <c r="L123" s="2"/>
      <c r="M123" s="2"/>
    </row>
    <row r="124" spans="2:13" ht="15.75" hidden="1">
      <c r="B124" s="1029"/>
      <c r="C124" s="826"/>
      <c r="D124" s="144"/>
      <c r="E124" s="2"/>
      <c r="F124" s="2"/>
      <c r="G124" s="2"/>
      <c r="H124" s="2"/>
      <c r="I124" s="118"/>
      <c r="J124" s="191"/>
      <c r="K124" s="191"/>
      <c r="L124" s="2"/>
      <c r="M124" s="2"/>
    </row>
    <row r="125" spans="2:13" ht="15.75" hidden="1">
      <c r="B125" s="1029"/>
      <c r="C125" s="826"/>
      <c r="D125" s="144"/>
      <c r="E125" s="2"/>
      <c r="F125" s="2"/>
      <c r="G125" s="2"/>
      <c r="H125" s="2"/>
      <c r="I125" s="118"/>
      <c r="J125" s="191"/>
      <c r="K125" s="191"/>
      <c r="L125" s="2"/>
      <c r="M125" s="2"/>
    </row>
    <row r="126" spans="2:13" ht="15.75" hidden="1">
      <c r="B126" s="1029"/>
      <c r="C126" s="826"/>
      <c r="D126" s="144"/>
      <c r="E126" s="2"/>
      <c r="F126" s="2"/>
      <c r="G126" s="2"/>
      <c r="H126" s="2"/>
      <c r="I126" s="118"/>
      <c r="J126" s="191"/>
      <c r="K126" s="191"/>
      <c r="L126" s="2"/>
      <c r="M126" s="2"/>
    </row>
    <row r="127" spans="2:13" ht="15.75" hidden="1">
      <c r="B127" s="1029"/>
      <c r="C127" s="826"/>
      <c r="D127" s="144"/>
      <c r="E127" s="2"/>
      <c r="F127" s="2"/>
      <c r="G127" s="2"/>
      <c r="H127" s="2"/>
      <c r="I127" s="118"/>
      <c r="J127" s="191"/>
      <c r="K127" s="191"/>
      <c r="L127" s="2"/>
      <c r="M127" s="2"/>
    </row>
    <row r="128" spans="2:13" ht="15.75" hidden="1">
      <c r="B128" s="1029"/>
      <c r="C128" s="826"/>
      <c r="D128" s="144"/>
      <c r="E128" s="2"/>
      <c r="F128" s="2"/>
      <c r="G128" s="2"/>
      <c r="H128" s="2"/>
      <c r="I128" s="118"/>
      <c r="J128" s="191"/>
      <c r="K128" s="191"/>
      <c r="L128" s="2"/>
      <c r="M128" s="2"/>
    </row>
    <row r="129" spans="2:13" ht="15.75" hidden="1">
      <c r="B129" s="1029"/>
      <c r="C129" s="826"/>
      <c r="D129" s="144"/>
      <c r="E129" s="2"/>
      <c r="F129" s="2"/>
      <c r="G129" s="2"/>
      <c r="H129" s="2"/>
      <c r="I129" s="118"/>
      <c r="J129" s="191"/>
      <c r="K129" s="191"/>
      <c r="L129" s="2"/>
      <c r="M129" s="2"/>
    </row>
    <row r="130" spans="2:13" ht="15.75" hidden="1">
      <c r="B130" s="1029"/>
      <c r="C130" s="826"/>
      <c r="D130" s="144"/>
      <c r="E130" s="2"/>
      <c r="F130" s="2"/>
      <c r="G130" s="2"/>
      <c r="H130" s="2"/>
      <c r="I130" s="118"/>
      <c r="J130" s="191"/>
      <c r="K130" s="191"/>
      <c r="L130" s="2"/>
      <c r="M130" s="2"/>
    </row>
    <row r="131" spans="2:13" ht="15.75" hidden="1">
      <c r="B131" s="1029"/>
      <c r="C131" s="826"/>
      <c r="D131" s="144"/>
      <c r="E131" s="2"/>
      <c r="F131" s="2"/>
      <c r="G131" s="2"/>
      <c r="H131" s="2"/>
      <c r="I131" s="118"/>
      <c r="J131" s="191"/>
      <c r="K131" s="191"/>
      <c r="L131" s="2"/>
      <c r="M131" s="2"/>
    </row>
    <row r="132" spans="2:13" ht="15.75" hidden="1">
      <c r="B132" s="1029"/>
      <c r="C132" s="826"/>
      <c r="D132" s="144"/>
      <c r="E132" s="2"/>
      <c r="F132" s="2"/>
      <c r="G132" s="2"/>
      <c r="H132" s="2"/>
      <c r="I132" s="194"/>
      <c r="J132" s="191"/>
      <c r="K132" s="191"/>
      <c r="L132" s="2"/>
      <c r="M132" s="2"/>
    </row>
    <row r="133" spans="2:13" ht="15.75" hidden="1">
      <c r="B133" s="1029"/>
      <c r="C133" s="826"/>
      <c r="D133" s="144"/>
      <c r="E133" s="2"/>
      <c r="F133" s="2"/>
      <c r="G133" s="2"/>
      <c r="H133" s="2"/>
      <c r="I133" s="118"/>
      <c r="J133" s="191"/>
      <c r="K133" s="191"/>
      <c r="L133" s="2"/>
      <c r="M133" s="2"/>
    </row>
    <row r="134" spans="2:13" ht="15.75" hidden="1">
      <c r="B134" s="1029"/>
      <c r="C134" s="826"/>
      <c r="D134" s="144"/>
      <c r="E134" s="2"/>
      <c r="F134" s="2"/>
      <c r="G134" s="2"/>
      <c r="H134" s="2"/>
      <c r="I134" s="118"/>
      <c r="J134" s="191"/>
      <c r="K134" s="191"/>
      <c r="L134" s="2"/>
      <c r="M134" s="2"/>
    </row>
    <row r="135" spans="2:13" ht="15.75" hidden="1">
      <c r="B135" s="1029"/>
      <c r="C135" s="826"/>
      <c r="D135" s="144"/>
      <c r="E135" s="2"/>
      <c r="F135" s="2"/>
      <c r="G135" s="2"/>
      <c r="H135" s="2"/>
      <c r="I135" s="118"/>
      <c r="J135" s="191"/>
      <c r="K135" s="191"/>
      <c r="L135" s="2"/>
      <c r="M135" s="2"/>
    </row>
    <row r="136" spans="2:13" ht="15.75" hidden="1">
      <c r="B136" s="1029"/>
      <c r="C136" s="826"/>
      <c r="D136" s="144"/>
      <c r="E136" s="2"/>
      <c r="F136" s="2"/>
      <c r="G136" s="2"/>
      <c r="H136" s="2"/>
      <c r="I136" s="118"/>
      <c r="J136" s="191"/>
      <c r="K136" s="191"/>
      <c r="L136" s="2"/>
      <c r="M136" s="2"/>
    </row>
    <row r="137" spans="2:13" ht="15.75" hidden="1">
      <c r="B137" s="1029"/>
      <c r="C137" s="826"/>
      <c r="D137" s="144"/>
      <c r="E137" s="2"/>
      <c r="F137" s="2"/>
      <c r="G137" s="2"/>
      <c r="H137" s="2"/>
      <c r="I137" s="118"/>
      <c r="J137" s="191"/>
      <c r="K137" s="191"/>
      <c r="L137" s="2"/>
      <c r="M137" s="2"/>
    </row>
    <row r="138" spans="2:13" ht="15.75" hidden="1">
      <c r="B138" s="1029"/>
      <c r="C138" s="826"/>
      <c r="D138" s="144"/>
      <c r="E138" s="2"/>
      <c r="F138" s="2"/>
      <c r="G138" s="2"/>
      <c r="H138" s="2"/>
      <c r="I138" s="118"/>
      <c r="J138" s="191"/>
      <c r="K138" s="191"/>
      <c r="L138" s="2"/>
      <c r="M138" s="2"/>
    </row>
    <row r="139" spans="2:13" ht="15.75" hidden="1">
      <c r="B139" s="1029"/>
      <c r="C139" s="826"/>
      <c r="D139" s="144"/>
      <c r="E139" s="2"/>
      <c r="F139" s="2"/>
      <c r="G139" s="2"/>
      <c r="H139" s="2"/>
      <c r="I139" s="118"/>
      <c r="J139" s="191"/>
      <c r="K139" s="191"/>
      <c r="L139" s="2"/>
      <c r="M139" s="2"/>
    </row>
    <row r="140" spans="2:13" ht="15.75" hidden="1">
      <c r="B140" s="1029"/>
      <c r="C140" s="826"/>
      <c r="D140" s="144"/>
      <c r="E140" s="2"/>
      <c r="F140" s="2"/>
      <c r="G140" s="2"/>
      <c r="H140" s="2"/>
      <c r="I140" s="118"/>
      <c r="J140" s="191"/>
      <c r="K140" s="191"/>
      <c r="L140" s="2"/>
      <c r="M140" s="2"/>
    </row>
    <row r="141" spans="2:13" ht="15.75" hidden="1">
      <c r="B141" s="1029"/>
      <c r="C141" s="826"/>
      <c r="D141" s="144"/>
      <c r="E141" s="2"/>
      <c r="F141" s="2"/>
      <c r="G141" s="2"/>
      <c r="H141" s="2"/>
      <c r="I141" s="118"/>
      <c r="J141" s="191"/>
      <c r="K141" s="191"/>
      <c r="L141" s="2"/>
      <c r="M141" s="2"/>
    </row>
    <row r="142" spans="2:13" ht="15.75" hidden="1">
      <c r="B142" s="1029"/>
      <c r="C142" s="826"/>
      <c r="D142" s="144"/>
      <c r="E142" s="2"/>
      <c r="F142" s="2"/>
      <c r="G142" s="2"/>
      <c r="H142" s="2"/>
      <c r="I142" s="118"/>
      <c r="J142" s="191"/>
      <c r="K142" s="191"/>
      <c r="L142" s="2"/>
      <c r="M142" s="2"/>
    </row>
    <row r="143" spans="2:13" ht="15.75" hidden="1">
      <c r="B143" s="1029"/>
      <c r="C143" s="826"/>
      <c r="D143" s="144"/>
      <c r="E143" s="2"/>
      <c r="F143" s="2"/>
      <c r="G143" s="2"/>
      <c r="H143" s="2"/>
      <c r="I143" s="118"/>
      <c r="J143" s="191"/>
      <c r="K143" s="191"/>
      <c r="L143" s="2"/>
      <c r="M143" s="2"/>
    </row>
    <row r="144" spans="2:13" ht="15.75" hidden="1">
      <c r="B144" s="1029"/>
      <c r="C144" s="826"/>
      <c r="D144" s="144"/>
      <c r="E144" s="2"/>
      <c r="F144" s="2"/>
      <c r="G144" s="2"/>
      <c r="H144" s="2"/>
      <c r="I144" s="118"/>
      <c r="J144" s="191"/>
      <c r="K144" s="191"/>
      <c r="L144" s="2"/>
      <c r="M144" s="2"/>
    </row>
    <row r="145" spans="2:13" ht="15.75" hidden="1">
      <c r="B145" s="1029"/>
      <c r="C145" s="826"/>
      <c r="D145" s="144"/>
      <c r="E145" s="2"/>
      <c r="F145" s="2"/>
      <c r="G145" s="2"/>
      <c r="H145" s="2"/>
      <c r="I145" s="118"/>
      <c r="J145" s="191"/>
      <c r="K145" s="191"/>
      <c r="L145" s="2"/>
      <c r="M145" s="2"/>
    </row>
    <row r="146" spans="2:13" ht="15.75" hidden="1">
      <c r="B146" s="1029"/>
      <c r="C146" s="826"/>
      <c r="D146" s="144"/>
      <c r="E146" s="2"/>
      <c r="F146" s="2"/>
      <c r="G146" s="2"/>
      <c r="H146" s="2"/>
      <c r="I146" s="118"/>
      <c r="J146" s="191"/>
      <c r="K146" s="191"/>
      <c r="L146" s="2"/>
      <c r="M146" s="2"/>
    </row>
    <row r="147" spans="2:13" ht="15.75" hidden="1">
      <c r="B147" s="1029"/>
      <c r="C147" s="826"/>
      <c r="D147" s="144"/>
      <c r="E147" s="2"/>
      <c r="F147" s="2"/>
      <c r="G147" s="2"/>
      <c r="H147" s="2"/>
      <c r="I147" s="118"/>
      <c r="J147" s="191"/>
      <c r="K147" s="191"/>
      <c r="L147" s="2"/>
      <c r="M147" s="2"/>
    </row>
    <row r="148" spans="2:13" ht="15.75" hidden="1">
      <c r="B148" s="1029"/>
      <c r="C148" s="826"/>
      <c r="D148" s="144"/>
      <c r="E148" s="2"/>
      <c r="F148" s="2"/>
      <c r="G148" s="2"/>
      <c r="H148" s="2"/>
      <c r="I148" s="118"/>
      <c r="J148" s="191"/>
      <c r="K148" s="191"/>
      <c r="L148" s="2"/>
      <c r="M148" s="2"/>
    </row>
    <row r="149" spans="2:13" ht="15.75" hidden="1">
      <c r="B149" s="1029"/>
      <c r="C149" s="826"/>
      <c r="D149" s="144"/>
      <c r="E149" s="2"/>
      <c r="F149" s="2"/>
      <c r="G149" s="2"/>
      <c r="H149" s="2"/>
      <c r="I149" s="118"/>
      <c r="J149" s="191"/>
      <c r="K149" s="191"/>
      <c r="L149" s="2"/>
      <c r="M149" s="2"/>
    </row>
    <row r="150" spans="2:13" ht="15.75" hidden="1">
      <c r="B150" s="1029"/>
      <c r="C150" s="826"/>
      <c r="D150" s="144"/>
      <c r="E150" s="2"/>
      <c r="F150" s="2"/>
      <c r="G150" s="2"/>
      <c r="H150" s="2"/>
      <c r="I150" s="118"/>
      <c r="J150" s="191"/>
      <c r="K150" s="191"/>
      <c r="L150" s="2"/>
      <c r="M150" s="2"/>
    </row>
    <row r="151" spans="2:13" ht="15.75" hidden="1">
      <c r="B151" s="1029"/>
      <c r="C151" s="826"/>
      <c r="D151" s="144"/>
      <c r="E151" s="2"/>
      <c r="F151" s="2"/>
      <c r="G151" s="2"/>
      <c r="H151" s="2"/>
      <c r="I151" s="118"/>
      <c r="J151" s="191"/>
      <c r="K151" s="191"/>
      <c r="L151" s="2"/>
      <c r="M151" s="2"/>
    </row>
    <row r="152" spans="2:13" ht="15.75" hidden="1">
      <c r="B152" s="1029"/>
      <c r="C152" s="826"/>
      <c r="D152" s="144"/>
      <c r="E152" s="2"/>
      <c r="F152" s="2"/>
      <c r="G152" s="2"/>
      <c r="H152" s="2"/>
      <c r="I152" s="118"/>
      <c r="J152" s="191"/>
      <c r="K152" s="191"/>
      <c r="L152" s="2"/>
      <c r="M152" s="2"/>
    </row>
    <row r="153" spans="2:13" ht="15.75" hidden="1">
      <c r="B153" s="1029"/>
      <c r="C153" s="826"/>
      <c r="D153" s="144"/>
      <c r="E153" s="2"/>
      <c r="F153" s="2"/>
      <c r="G153" s="2"/>
      <c r="H153" s="2"/>
      <c r="I153" s="118"/>
      <c r="J153" s="191"/>
      <c r="K153" s="191"/>
      <c r="L153" s="2"/>
      <c r="M153" s="2"/>
    </row>
    <row r="154" spans="2:13" ht="15.75" hidden="1">
      <c r="B154" s="1029"/>
      <c r="C154" s="826"/>
      <c r="D154" s="144"/>
      <c r="E154" s="2"/>
      <c r="F154" s="2"/>
      <c r="G154" s="2"/>
      <c r="H154" s="2"/>
      <c r="I154" s="118"/>
      <c r="J154" s="191"/>
      <c r="K154" s="191"/>
      <c r="L154" s="2"/>
      <c r="M154" s="2"/>
    </row>
    <row r="155" spans="2:13" ht="15.75" hidden="1">
      <c r="B155" s="1029"/>
      <c r="C155" s="826"/>
      <c r="D155" s="144"/>
      <c r="E155" s="2"/>
      <c r="F155" s="2"/>
      <c r="G155" s="2"/>
      <c r="H155" s="2"/>
      <c r="I155" s="118"/>
      <c r="J155" s="191"/>
      <c r="K155" s="191"/>
      <c r="L155" s="2"/>
      <c r="M155" s="2"/>
    </row>
    <row r="156" spans="2:13" ht="15.75" hidden="1">
      <c r="B156" s="1029"/>
      <c r="C156" s="826"/>
      <c r="D156" s="144"/>
      <c r="E156" s="2"/>
      <c r="F156" s="2"/>
      <c r="G156" s="2"/>
      <c r="H156" s="2"/>
      <c r="I156" s="118"/>
      <c r="J156" s="191"/>
      <c r="K156" s="191"/>
      <c r="L156" s="2"/>
      <c r="M156" s="2"/>
    </row>
    <row r="157" spans="2:13" ht="15.75" hidden="1">
      <c r="B157" s="1029"/>
      <c r="C157" s="826"/>
      <c r="D157" s="144"/>
      <c r="E157" s="2"/>
      <c r="F157" s="2"/>
      <c r="G157" s="2"/>
      <c r="H157" s="2"/>
      <c r="I157" s="118"/>
      <c r="J157" s="191"/>
      <c r="K157" s="191"/>
      <c r="L157" s="2"/>
      <c r="M157" s="2"/>
    </row>
    <row r="158" spans="2:13" ht="15.75" hidden="1">
      <c r="B158" s="1029"/>
      <c r="C158" s="826"/>
      <c r="D158" s="144"/>
      <c r="E158" s="2"/>
      <c r="F158" s="2"/>
      <c r="G158" s="2"/>
      <c r="H158" s="2"/>
      <c r="I158" s="118"/>
      <c r="J158" s="191"/>
      <c r="K158" s="191"/>
      <c r="L158" s="2"/>
      <c r="M158" s="2"/>
    </row>
    <row r="159" spans="2:13" ht="15.75" hidden="1">
      <c r="B159" s="1029"/>
      <c r="C159" s="826"/>
      <c r="D159" s="144"/>
      <c r="E159" s="2"/>
      <c r="F159" s="2"/>
      <c r="G159" s="2"/>
      <c r="H159" s="2"/>
      <c r="I159" s="118"/>
      <c r="J159" s="191"/>
      <c r="K159" s="191"/>
      <c r="L159" s="2"/>
      <c r="M159" s="2"/>
    </row>
    <row r="160" spans="2:13" ht="15.75" hidden="1">
      <c r="B160" s="1029"/>
      <c r="C160" s="826"/>
      <c r="D160" s="144"/>
      <c r="E160" s="2"/>
      <c r="F160" s="2"/>
      <c r="G160" s="2"/>
      <c r="H160" s="2"/>
      <c r="I160" s="118"/>
      <c r="J160" s="191"/>
      <c r="K160" s="191"/>
      <c r="L160" s="2"/>
      <c r="M160" s="2"/>
    </row>
    <row r="161" spans="1:13" ht="15.75" hidden="1">
      <c r="B161" s="1029"/>
      <c r="C161" s="826"/>
      <c r="D161" s="144"/>
      <c r="E161" s="2"/>
      <c r="F161" s="2"/>
      <c r="G161" s="2"/>
      <c r="H161" s="2"/>
      <c r="I161" s="118"/>
      <c r="J161" s="191"/>
      <c r="K161" s="191"/>
      <c r="L161" s="2"/>
      <c r="M161" s="2"/>
    </row>
    <row r="162" spans="1:13" ht="15.75" hidden="1">
      <c r="B162" s="1029"/>
      <c r="C162" s="826"/>
      <c r="D162" s="144"/>
      <c r="E162" s="2"/>
      <c r="F162" s="2"/>
      <c r="G162" s="2"/>
      <c r="H162" s="2"/>
      <c r="I162" s="118"/>
      <c r="J162" s="191"/>
      <c r="K162" s="191"/>
      <c r="L162" s="2"/>
      <c r="M162" s="2"/>
    </row>
    <row r="163" spans="1:13" ht="15.75" hidden="1">
      <c r="B163" s="1029"/>
      <c r="C163" s="826"/>
      <c r="D163" s="144"/>
      <c r="E163" s="2"/>
      <c r="F163" s="2"/>
      <c r="G163" s="2"/>
      <c r="H163" s="2"/>
      <c r="I163" s="118"/>
      <c r="J163" s="191"/>
      <c r="K163" s="191"/>
      <c r="L163" s="2"/>
      <c r="M163" s="2"/>
    </row>
    <row r="164" spans="1:13" ht="15.75" hidden="1">
      <c r="B164" s="1029"/>
      <c r="C164" s="826"/>
      <c r="D164" s="144"/>
      <c r="E164" s="2"/>
      <c r="F164" s="2"/>
      <c r="G164" s="2"/>
      <c r="H164" s="2"/>
      <c r="I164" s="118"/>
      <c r="J164" s="191"/>
      <c r="K164" s="191"/>
      <c r="L164" s="2"/>
      <c r="M164" s="2"/>
    </row>
    <row r="165" spans="1:13" ht="15.75" hidden="1">
      <c r="B165" s="1029"/>
      <c r="C165" s="826"/>
      <c r="D165" s="144"/>
      <c r="E165" s="2"/>
      <c r="F165" s="2"/>
      <c r="G165" s="2"/>
      <c r="H165" s="2"/>
      <c r="I165" s="118"/>
      <c r="J165" s="191"/>
      <c r="K165" s="191"/>
      <c r="L165" s="2"/>
      <c r="M165" s="2"/>
    </row>
    <row r="166" spans="1:13" ht="15.75" hidden="1">
      <c r="B166" s="1029"/>
      <c r="C166" s="826"/>
      <c r="D166" s="144"/>
      <c r="E166" s="2"/>
      <c r="F166" s="2"/>
      <c r="G166" s="2"/>
      <c r="H166" s="2"/>
      <c r="I166" s="118"/>
      <c r="J166" s="191"/>
      <c r="K166" s="191"/>
      <c r="L166" s="2"/>
      <c r="M166" s="2"/>
    </row>
    <row r="167" spans="1:13" ht="15.75" hidden="1">
      <c r="B167" s="1029"/>
      <c r="C167" s="826"/>
      <c r="D167" s="144"/>
      <c r="E167" s="2"/>
      <c r="F167" s="2"/>
      <c r="G167" s="2"/>
      <c r="H167" s="2"/>
      <c r="I167" s="118"/>
      <c r="J167" s="191"/>
      <c r="K167" s="191"/>
      <c r="L167" s="2"/>
      <c r="M167" s="2"/>
    </row>
    <row r="168" spans="1:13" ht="15.75" hidden="1">
      <c r="B168" s="1029"/>
      <c r="C168" s="826"/>
      <c r="D168" s="144"/>
      <c r="E168" s="2"/>
      <c r="F168" s="2"/>
      <c r="G168" s="2"/>
      <c r="H168" s="2"/>
      <c r="I168" s="118"/>
      <c r="J168" s="191"/>
      <c r="K168" s="191"/>
      <c r="L168" s="2"/>
      <c r="M168" s="2"/>
    </row>
    <row r="169" spans="1:13" ht="15.75" hidden="1">
      <c r="B169" s="1029"/>
      <c r="C169" s="826"/>
      <c r="D169" s="144"/>
      <c r="E169" s="2"/>
      <c r="F169" s="2"/>
      <c r="G169" s="2"/>
      <c r="H169" s="2"/>
      <c r="I169" s="118"/>
      <c r="J169" s="191"/>
      <c r="K169" s="191"/>
      <c r="L169" s="2"/>
      <c r="M169" s="2"/>
    </row>
    <row r="170" spans="1:13">
      <c r="A170" s="132"/>
      <c r="B170" s="1031"/>
      <c r="C170" s="1031"/>
      <c r="D170" s="581"/>
      <c r="E170" s="194"/>
      <c r="F170" s="581"/>
      <c r="G170" s="581"/>
      <c r="H170" s="2"/>
      <c r="I170" s="191"/>
      <c r="J170" s="191"/>
      <c r="K170" s="191"/>
      <c r="L170" s="2"/>
      <c r="M170" s="2"/>
    </row>
    <row r="171" spans="1:13">
      <c r="A171" s="132"/>
      <c r="B171" s="1030"/>
      <c r="C171" s="1030"/>
      <c r="D171" s="132"/>
      <c r="E171" s="226"/>
      <c r="F171" s="132"/>
      <c r="G171" s="132"/>
    </row>
    <row r="172" spans="1:13">
      <c r="A172" s="132"/>
      <c r="B172" s="1030"/>
      <c r="C172" s="1030"/>
      <c r="D172" s="132"/>
      <c r="E172" s="226"/>
      <c r="F172" s="132"/>
      <c r="G172" s="132"/>
    </row>
    <row r="173" spans="1:13">
      <c r="A173" s="132"/>
      <c r="B173" s="1030"/>
      <c r="C173" s="1030"/>
      <c r="D173" s="132"/>
      <c r="E173" s="226"/>
      <c r="F173" s="132"/>
      <c r="G173" s="132"/>
    </row>
    <row r="174" spans="1:13">
      <c r="A174" s="132"/>
      <c r="B174" s="1030"/>
      <c r="C174" s="1030"/>
      <c r="D174" s="132"/>
      <c r="E174" s="226"/>
      <c r="F174" s="132"/>
      <c r="G174" s="132"/>
    </row>
    <row r="175" spans="1:13">
      <c r="A175" s="132"/>
      <c r="B175" s="1030"/>
      <c r="C175" s="1030"/>
      <c r="D175" s="132"/>
      <c r="E175" s="226"/>
      <c r="F175" s="132"/>
      <c r="G175" s="132"/>
    </row>
    <row r="176" spans="1:13">
      <c r="A176" s="132"/>
      <c r="B176" s="1030"/>
      <c r="C176" s="1030"/>
      <c r="D176" s="132"/>
      <c r="E176" s="226"/>
      <c r="F176" s="132"/>
      <c r="G176" s="132"/>
    </row>
    <row r="177" spans="1:7">
      <c r="A177" s="132"/>
      <c r="B177" s="1030"/>
      <c r="C177" s="1030"/>
      <c r="D177" s="132"/>
      <c r="E177" s="226"/>
      <c r="F177" s="132"/>
      <c r="G177" s="132"/>
    </row>
    <row r="178" spans="1:7">
      <c r="A178" s="132"/>
      <c r="B178" s="1030"/>
      <c r="C178" s="1030"/>
      <c r="D178" s="132"/>
      <c r="E178" s="226"/>
      <c r="F178" s="132"/>
      <c r="G178" s="132"/>
    </row>
    <row r="179" spans="1:7">
      <c r="A179" s="132"/>
      <c r="B179" s="1030"/>
      <c r="C179" s="1030"/>
      <c r="D179" s="132"/>
      <c r="E179" s="226"/>
      <c r="F179" s="132"/>
      <c r="G179" s="132"/>
    </row>
    <row r="180" spans="1:7">
      <c r="A180" s="132"/>
      <c r="B180" s="1030"/>
      <c r="C180" s="1030"/>
      <c r="D180" s="132"/>
      <c r="E180" s="226"/>
      <c r="F180" s="132"/>
      <c r="G180" s="132"/>
    </row>
    <row r="181" spans="1:7">
      <c r="A181" s="132"/>
      <c r="B181" s="1030"/>
      <c r="C181" s="1030"/>
      <c r="D181" s="132"/>
      <c r="E181" s="226"/>
      <c r="F181" s="132"/>
      <c r="G181" s="132"/>
    </row>
    <row r="182" spans="1:7">
      <c r="A182" s="132"/>
      <c r="B182" s="1030"/>
      <c r="C182" s="1030"/>
      <c r="D182" s="132"/>
      <c r="E182" s="226"/>
      <c r="F182" s="132"/>
      <c r="G182" s="132"/>
    </row>
    <row r="183" spans="1:7">
      <c r="A183" s="132"/>
      <c r="B183" s="1030"/>
      <c r="C183" s="1030"/>
      <c r="D183" s="132"/>
      <c r="E183" s="226"/>
      <c r="F183" s="132"/>
      <c r="G183" s="132"/>
    </row>
    <row r="184" spans="1:7">
      <c r="A184" s="132"/>
      <c r="B184" s="1030"/>
      <c r="C184" s="1030"/>
      <c r="D184" s="132"/>
      <c r="E184" s="226"/>
      <c r="F184" s="132"/>
      <c r="G184" s="132"/>
    </row>
    <row r="185" spans="1:7">
      <c r="A185" s="132"/>
      <c r="B185" s="1030"/>
      <c r="C185" s="1030"/>
      <c r="D185" s="132"/>
      <c r="E185" s="226"/>
      <c r="F185" s="132"/>
      <c r="G185" s="132"/>
    </row>
    <row r="186" spans="1:7">
      <c r="A186" s="132"/>
      <c r="B186" s="1030"/>
      <c r="C186" s="1030"/>
      <c r="D186" s="132"/>
      <c r="E186" s="226"/>
      <c r="F186" s="132"/>
      <c r="G186" s="132"/>
    </row>
    <row r="187" spans="1:7">
      <c r="A187" s="132"/>
      <c r="B187" s="1030"/>
      <c r="C187" s="1030"/>
      <c r="D187" s="132"/>
      <c r="E187" s="226"/>
      <c r="F187" s="132"/>
      <c r="G187" s="132"/>
    </row>
    <row r="188" spans="1:7">
      <c r="A188" s="132"/>
      <c r="B188" s="1030"/>
      <c r="C188" s="1030"/>
      <c r="D188" s="132"/>
      <c r="E188" s="226"/>
      <c r="F188" s="132"/>
      <c r="G188" s="132"/>
    </row>
    <row r="189" spans="1:7">
      <c r="A189" s="132"/>
      <c r="B189" s="1030"/>
      <c r="C189" s="1030"/>
      <c r="D189" s="132"/>
      <c r="E189" s="226"/>
      <c r="F189" s="132"/>
      <c r="G189" s="132"/>
    </row>
    <row r="190" spans="1:7">
      <c r="A190" s="132"/>
      <c r="B190" s="1030"/>
      <c r="C190" s="1030"/>
      <c r="D190" s="132"/>
      <c r="E190" s="226"/>
      <c r="F190" s="132"/>
      <c r="G190" s="132"/>
    </row>
    <row r="191" spans="1:7">
      <c r="A191" s="132"/>
      <c r="B191" s="1030"/>
      <c r="C191" s="1030"/>
      <c r="D191" s="132"/>
      <c r="E191" s="226"/>
      <c r="F191" s="132"/>
      <c r="G191" s="132"/>
    </row>
    <row r="192" spans="1:7">
      <c r="A192" s="132"/>
      <c r="B192" s="1030"/>
      <c r="C192" s="1030"/>
      <c r="D192" s="132"/>
      <c r="E192" s="226"/>
      <c r="F192" s="132"/>
      <c r="G192" s="132"/>
    </row>
    <row r="193" spans="1:7">
      <c r="A193" s="132"/>
      <c r="B193" s="1030"/>
      <c r="C193" s="1030"/>
      <c r="D193" s="132"/>
      <c r="E193" s="226"/>
      <c r="F193" s="132"/>
      <c r="G193" s="132"/>
    </row>
    <row r="194" spans="1:7">
      <c r="A194" s="132"/>
      <c r="B194" s="1030"/>
      <c r="C194" s="1030"/>
      <c r="D194" s="132"/>
      <c r="E194" s="226"/>
      <c r="F194" s="132"/>
      <c r="G194" s="132"/>
    </row>
    <row r="195" spans="1:7">
      <c r="A195" s="132"/>
      <c r="B195" s="1030"/>
      <c r="C195" s="1030"/>
      <c r="D195" s="132"/>
      <c r="E195" s="226"/>
      <c r="F195" s="132"/>
      <c r="G195" s="132"/>
    </row>
    <row r="196" spans="1:7">
      <c r="A196" s="132"/>
      <c r="B196" s="1030"/>
      <c r="C196" s="1030"/>
      <c r="D196" s="132"/>
      <c r="E196" s="226"/>
      <c r="F196" s="132"/>
      <c r="G196" s="132"/>
    </row>
    <row r="197" spans="1:7">
      <c r="A197" s="132"/>
      <c r="B197" s="1030"/>
      <c r="C197" s="1030"/>
      <c r="D197" s="132"/>
      <c r="E197" s="226"/>
      <c r="F197" s="132"/>
      <c r="G197" s="132"/>
    </row>
    <row r="198" spans="1:7">
      <c r="A198" s="132"/>
      <c r="B198" s="1030"/>
      <c r="C198" s="1030"/>
      <c r="D198" s="132"/>
      <c r="E198" s="226"/>
      <c r="F198" s="132"/>
      <c r="G198" s="132"/>
    </row>
    <row r="199" spans="1:7">
      <c r="A199" s="132"/>
      <c r="B199" s="1030"/>
      <c r="C199" s="1030"/>
      <c r="D199" s="132"/>
      <c r="E199" s="226"/>
      <c r="F199" s="132"/>
      <c r="G199" s="132"/>
    </row>
    <row r="200" spans="1:7">
      <c r="A200" s="132"/>
      <c r="B200" s="1030"/>
      <c r="C200" s="1030"/>
      <c r="D200" s="132"/>
      <c r="E200" s="226"/>
      <c r="F200" s="132"/>
      <c r="G200" s="132"/>
    </row>
    <row r="201" spans="1:7">
      <c r="A201" s="132"/>
      <c r="B201" s="1030"/>
      <c r="C201" s="1030"/>
      <c r="D201" s="132"/>
      <c r="E201" s="226"/>
      <c r="F201" s="132"/>
      <c r="G201" s="132"/>
    </row>
    <row r="202" spans="1:7">
      <c r="A202" s="132"/>
      <c r="B202" s="1030"/>
      <c r="C202" s="1030"/>
      <c r="D202" s="132"/>
      <c r="E202" s="226"/>
      <c r="F202" s="132"/>
      <c r="G202" s="132"/>
    </row>
    <row r="203" spans="1:7">
      <c r="A203" s="132"/>
      <c r="B203" s="1030"/>
      <c r="C203" s="1030"/>
      <c r="D203" s="132"/>
      <c r="E203" s="226"/>
      <c r="F203" s="132"/>
      <c r="G203" s="132"/>
    </row>
    <row r="204" spans="1:7">
      <c r="A204" s="132"/>
      <c r="B204" s="1030"/>
      <c r="C204" s="1030"/>
      <c r="D204" s="132"/>
      <c r="E204" s="226"/>
      <c r="F204" s="132"/>
      <c r="G204" s="132"/>
    </row>
    <row r="205" spans="1:7">
      <c r="A205" s="132"/>
      <c r="B205" s="1030"/>
      <c r="C205" s="1030"/>
      <c r="D205" s="132"/>
      <c r="E205" s="226"/>
      <c r="F205" s="132"/>
      <c r="G205" s="132"/>
    </row>
    <row r="206" spans="1:7">
      <c r="A206" s="132"/>
      <c r="B206" s="1030"/>
      <c r="C206" s="1030"/>
      <c r="D206" s="132"/>
      <c r="E206" s="226"/>
      <c r="F206" s="132"/>
      <c r="G206" s="132"/>
    </row>
    <row r="207" spans="1:7">
      <c r="A207" s="132"/>
      <c r="B207" s="1030"/>
      <c r="C207" s="1030"/>
      <c r="D207" s="132"/>
      <c r="E207" s="226"/>
      <c r="F207" s="132"/>
      <c r="G207" s="132"/>
    </row>
    <row r="208" spans="1:7">
      <c r="A208" s="132"/>
      <c r="B208" s="1030"/>
      <c r="C208" s="1030"/>
      <c r="D208" s="132"/>
      <c r="E208" s="226"/>
      <c r="F208" s="132"/>
      <c r="G208" s="132"/>
    </row>
    <row r="209" spans="1:7">
      <c r="A209" s="132"/>
      <c r="B209" s="1030"/>
      <c r="C209" s="1030"/>
      <c r="D209" s="132"/>
      <c r="E209" s="226"/>
      <c r="F209" s="132"/>
      <c r="G209" s="132"/>
    </row>
    <row r="210" spans="1:7">
      <c r="A210" s="132"/>
      <c r="B210" s="1030"/>
      <c r="C210" s="1030"/>
      <c r="D210" s="132"/>
      <c r="E210" s="226"/>
      <c r="F210" s="132"/>
      <c r="G210" s="132"/>
    </row>
    <row r="211" spans="1:7">
      <c r="A211" s="132"/>
      <c r="B211" s="1030"/>
      <c r="C211" s="1030"/>
      <c r="D211" s="132"/>
      <c r="E211" s="226"/>
      <c r="F211" s="132"/>
      <c r="G211" s="132"/>
    </row>
    <row r="212" spans="1:7">
      <c r="A212" s="132"/>
      <c r="B212" s="1030"/>
      <c r="C212" s="1030"/>
      <c r="D212" s="132"/>
      <c r="E212" s="226"/>
      <c r="F212" s="132"/>
      <c r="G212" s="132"/>
    </row>
    <row r="213" spans="1:7">
      <c r="A213" s="132"/>
      <c r="B213" s="1030"/>
      <c r="C213" s="1030"/>
      <c r="D213" s="132"/>
      <c r="E213" s="226"/>
      <c r="F213" s="132"/>
      <c r="G213" s="132"/>
    </row>
    <row r="214" spans="1:7">
      <c r="A214" s="132"/>
      <c r="B214" s="1030"/>
      <c r="C214" s="1030"/>
      <c r="D214" s="132"/>
      <c r="E214" s="226"/>
      <c r="F214" s="132"/>
      <c r="G214" s="132"/>
    </row>
    <row r="215" spans="1:7">
      <c r="A215" s="132"/>
      <c r="B215" s="1030"/>
      <c r="C215" s="1030"/>
      <c r="D215" s="132"/>
      <c r="E215" s="226"/>
      <c r="F215" s="132"/>
      <c r="G215" s="132"/>
    </row>
    <row r="216" spans="1:7">
      <c r="A216" s="132"/>
      <c r="B216" s="1030"/>
      <c r="C216" s="1030"/>
      <c r="D216" s="132"/>
      <c r="E216" s="226"/>
      <c r="F216" s="132"/>
      <c r="G216" s="132"/>
    </row>
    <row r="217" spans="1:7">
      <c r="A217" s="132"/>
      <c r="B217" s="1030"/>
      <c r="C217" s="1030"/>
      <c r="D217" s="132"/>
      <c r="E217" s="226"/>
      <c r="F217" s="132"/>
      <c r="G217" s="132"/>
    </row>
    <row r="218" spans="1:7">
      <c r="A218" s="132"/>
      <c r="B218" s="1030"/>
      <c r="C218" s="1030"/>
      <c r="D218" s="132"/>
      <c r="E218" s="226"/>
      <c r="F218" s="132"/>
      <c r="G218" s="132"/>
    </row>
    <row r="219" spans="1:7">
      <c r="A219" s="132"/>
      <c r="B219" s="1030"/>
      <c r="C219" s="1030"/>
      <c r="D219" s="132"/>
      <c r="E219" s="226"/>
      <c r="F219" s="132"/>
      <c r="G219" s="132"/>
    </row>
    <row r="220" spans="1:7">
      <c r="A220" s="132"/>
      <c r="B220" s="1030"/>
      <c r="C220" s="1030"/>
      <c r="D220" s="132"/>
      <c r="E220" s="226"/>
      <c r="F220" s="132"/>
      <c r="G220" s="132"/>
    </row>
    <row r="221" spans="1:7">
      <c r="A221" s="132"/>
      <c r="B221" s="1030"/>
      <c r="C221" s="1030"/>
      <c r="D221" s="132"/>
      <c r="E221" s="226"/>
      <c r="F221" s="132"/>
      <c r="G221" s="132"/>
    </row>
    <row r="222" spans="1:7">
      <c r="A222" s="132"/>
      <c r="B222" s="1030"/>
      <c r="C222" s="1030"/>
      <c r="D222" s="132"/>
      <c r="E222" s="226"/>
      <c r="F222" s="132"/>
      <c r="G222" s="132"/>
    </row>
    <row r="223" spans="1:7">
      <c r="A223" s="132"/>
      <c r="B223" s="1030"/>
      <c r="C223" s="1030"/>
      <c r="D223" s="132"/>
      <c r="E223" s="226"/>
      <c r="F223" s="132"/>
      <c r="G223" s="132"/>
    </row>
    <row r="224" spans="1:7">
      <c r="A224" s="132"/>
      <c r="B224" s="1030"/>
      <c r="C224" s="1030"/>
      <c r="D224" s="132"/>
      <c r="E224" s="226"/>
      <c r="F224" s="132"/>
      <c r="G224" s="132"/>
    </row>
    <row r="225" spans="1:7">
      <c r="A225" s="132"/>
      <c r="B225" s="1030"/>
      <c r="C225" s="1030"/>
      <c r="D225" s="132"/>
      <c r="E225" s="226"/>
      <c r="F225" s="132"/>
      <c r="G225" s="132"/>
    </row>
    <row r="226" spans="1:7">
      <c r="A226" s="132"/>
      <c r="B226" s="1030"/>
      <c r="C226" s="1030"/>
      <c r="D226" s="132"/>
      <c r="E226" s="226"/>
      <c r="F226" s="132"/>
      <c r="G226" s="132"/>
    </row>
    <row r="227" spans="1:7">
      <c r="A227" s="132"/>
      <c r="B227" s="1030"/>
      <c r="C227" s="1030"/>
      <c r="D227" s="132"/>
      <c r="E227" s="226"/>
      <c r="F227" s="132"/>
      <c r="G227" s="132"/>
    </row>
    <row r="228" spans="1:7">
      <c r="A228" s="132"/>
      <c r="B228" s="1030"/>
      <c r="C228" s="1030"/>
      <c r="D228" s="132"/>
      <c r="E228" s="226"/>
      <c r="F228" s="132"/>
      <c r="G228" s="132"/>
    </row>
    <row r="229" spans="1:7">
      <c r="A229" s="132"/>
      <c r="B229" s="1030"/>
      <c r="C229" s="1030"/>
      <c r="D229" s="132"/>
      <c r="E229" s="226"/>
      <c r="F229" s="132"/>
      <c r="G229" s="132"/>
    </row>
    <row r="230" spans="1:7">
      <c r="A230" s="132"/>
      <c r="B230" s="1030"/>
      <c r="C230" s="1030"/>
      <c r="D230" s="132"/>
      <c r="E230" s="226"/>
      <c r="F230" s="132"/>
      <c r="G230" s="132"/>
    </row>
    <row r="231" spans="1:7">
      <c r="A231" s="132"/>
      <c r="B231" s="1030"/>
      <c r="C231" s="1030"/>
      <c r="D231" s="132"/>
      <c r="E231" s="226"/>
      <c r="F231" s="132"/>
      <c r="G231" s="132"/>
    </row>
    <row r="232" spans="1:7">
      <c r="A232" s="132"/>
      <c r="B232" s="1030"/>
      <c r="C232" s="1030"/>
      <c r="D232" s="132"/>
      <c r="E232" s="226"/>
      <c r="F232" s="132"/>
      <c r="G232" s="132"/>
    </row>
    <row r="233" spans="1:7">
      <c r="A233" s="132"/>
      <c r="B233" s="1030"/>
      <c r="C233" s="1030"/>
      <c r="D233" s="132"/>
      <c r="E233" s="226"/>
      <c r="F233" s="132"/>
      <c r="G233" s="132"/>
    </row>
    <row r="234" spans="1:7">
      <c r="A234" s="132"/>
      <c r="B234" s="1030"/>
      <c r="C234" s="1030"/>
      <c r="D234" s="132"/>
      <c r="E234" s="226"/>
      <c r="F234" s="132"/>
      <c r="G234" s="132"/>
    </row>
    <row r="235" spans="1:7">
      <c r="A235" s="132"/>
      <c r="B235" s="1030"/>
      <c r="C235" s="1030"/>
      <c r="D235" s="132"/>
      <c r="E235" s="226"/>
      <c r="F235" s="132"/>
      <c r="G235" s="132"/>
    </row>
    <row r="236" spans="1:7">
      <c r="A236" s="132"/>
      <c r="B236" s="1030"/>
      <c r="C236" s="1030"/>
      <c r="D236" s="132"/>
      <c r="E236" s="226"/>
      <c r="F236" s="132"/>
      <c r="G236" s="132"/>
    </row>
    <row r="237" spans="1:7">
      <c r="A237" s="132"/>
      <c r="B237" s="1030"/>
      <c r="C237" s="1030"/>
      <c r="D237" s="132"/>
      <c r="E237" s="226"/>
      <c r="F237" s="132"/>
      <c r="G237" s="132"/>
    </row>
    <row r="238" spans="1:7">
      <c r="A238" s="132"/>
      <c r="B238" s="1030"/>
      <c r="C238" s="1030"/>
      <c r="D238" s="132"/>
      <c r="E238" s="226"/>
      <c r="F238" s="132"/>
      <c r="G238" s="132"/>
    </row>
    <row r="239" spans="1:7">
      <c r="A239" s="132"/>
      <c r="B239" s="1030"/>
      <c r="C239" s="1030"/>
      <c r="D239" s="132"/>
      <c r="E239" s="226"/>
      <c r="F239" s="132"/>
      <c r="G239" s="132"/>
    </row>
    <row r="240" spans="1:7">
      <c r="A240" s="132"/>
      <c r="B240" s="1030"/>
      <c r="C240" s="1030"/>
      <c r="D240" s="132"/>
      <c r="E240" s="226"/>
      <c r="F240" s="132"/>
      <c r="G240" s="132"/>
    </row>
    <row r="241" spans="1:7">
      <c r="A241" s="132"/>
      <c r="B241" s="1030"/>
      <c r="C241" s="1030"/>
      <c r="D241" s="132"/>
      <c r="E241" s="226"/>
      <c r="F241" s="132"/>
      <c r="G241" s="132"/>
    </row>
    <row r="242" spans="1:7">
      <c r="A242" s="132"/>
      <c r="B242" s="1030"/>
      <c r="C242" s="1030"/>
      <c r="D242" s="132"/>
      <c r="E242" s="226"/>
      <c r="F242" s="132"/>
      <c r="G242" s="132"/>
    </row>
    <row r="243" spans="1:7">
      <c r="A243" s="132"/>
      <c r="B243" s="1030"/>
      <c r="C243" s="1030"/>
      <c r="D243" s="132"/>
      <c r="E243" s="226"/>
      <c r="F243" s="132"/>
      <c r="G243" s="132"/>
    </row>
    <row r="244" spans="1:7">
      <c r="A244" s="132"/>
      <c r="B244" s="1030"/>
      <c r="C244" s="1030"/>
      <c r="D244" s="132"/>
      <c r="E244" s="226"/>
      <c r="F244" s="132"/>
      <c r="G244" s="132"/>
    </row>
    <row r="245" spans="1:7">
      <c r="A245" s="132"/>
      <c r="B245" s="1030"/>
      <c r="C245" s="1030"/>
      <c r="D245" s="132"/>
      <c r="E245" s="226"/>
      <c r="F245" s="132"/>
      <c r="G245" s="132"/>
    </row>
    <row r="246" spans="1:7">
      <c r="A246" s="132"/>
      <c r="B246" s="1030"/>
      <c r="C246" s="1030"/>
      <c r="D246" s="132"/>
      <c r="E246" s="226"/>
      <c r="F246" s="132"/>
      <c r="G246" s="132"/>
    </row>
    <row r="247" spans="1:7">
      <c r="A247" s="132"/>
      <c r="B247" s="1030"/>
      <c r="C247" s="1030"/>
      <c r="D247" s="132"/>
      <c r="E247" s="226"/>
      <c r="F247" s="132"/>
      <c r="G247" s="132"/>
    </row>
    <row r="248" spans="1:7">
      <c r="A248" s="132"/>
      <c r="B248" s="1030"/>
      <c r="C248" s="1030"/>
      <c r="D248" s="132"/>
      <c r="E248" s="226"/>
      <c r="F248" s="132"/>
      <c r="G248" s="132"/>
    </row>
    <row r="249" spans="1:7">
      <c r="A249" s="132"/>
      <c r="B249" s="1030"/>
      <c r="C249" s="1030"/>
      <c r="D249" s="132"/>
      <c r="E249" s="226"/>
      <c r="F249" s="132"/>
      <c r="G249" s="132"/>
    </row>
    <row r="250" spans="1:7">
      <c r="A250" s="132"/>
      <c r="B250" s="1030"/>
      <c r="C250" s="1030"/>
      <c r="D250" s="132"/>
      <c r="E250" s="226"/>
      <c r="F250" s="132"/>
      <c r="G250" s="132"/>
    </row>
    <row r="251" spans="1:7">
      <c r="A251" s="132"/>
      <c r="B251" s="1030"/>
      <c r="C251" s="1030"/>
      <c r="D251" s="132"/>
      <c r="E251" s="226"/>
      <c r="F251" s="132"/>
      <c r="G251" s="132"/>
    </row>
    <row r="252" spans="1:7">
      <c r="A252" s="132"/>
      <c r="B252" s="1030"/>
      <c r="C252" s="1030"/>
      <c r="D252" s="132"/>
      <c r="E252" s="226"/>
      <c r="F252" s="132"/>
      <c r="G252" s="132"/>
    </row>
    <row r="253" spans="1:7">
      <c r="A253" s="132"/>
      <c r="B253" s="1030"/>
      <c r="C253" s="1030"/>
      <c r="D253" s="132"/>
      <c r="E253" s="226"/>
      <c r="F253" s="132"/>
      <c r="G253" s="132"/>
    </row>
    <row r="254" spans="1:7">
      <c r="A254" s="132"/>
      <c r="B254" s="1030"/>
      <c r="C254" s="1030"/>
      <c r="D254" s="132"/>
      <c r="E254" s="226"/>
      <c r="F254" s="132"/>
      <c r="G254" s="132"/>
    </row>
    <row r="255" spans="1:7">
      <c r="A255" s="132"/>
      <c r="B255" s="1030"/>
      <c r="C255" s="1030"/>
      <c r="D255" s="132"/>
      <c r="E255" s="226"/>
      <c r="F255" s="132"/>
      <c r="G255" s="132"/>
    </row>
    <row r="256" spans="1:7">
      <c r="A256" s="132"/>
      <c r="B256" s="1030"/>
      <c r="C256" s="1030"/>
      <c r="D256" s="132"/>
      <c r="E256" s="226"/>
      <c r="F256" s="132"/>
      <c r="G256" s="132"/>
    </row>
    <row r="257" spans="1:7">
      <c r="A257" s="132"/>
      <c r="B257" s="1030"/>
      <c r="C257" s="1030"/>
      <c r="D257" s="132"/>
      <c r="E257" s="226"/>
      <c r="F257" s="132"/>
      <c r="G257" s="132"/>
    </row>
    <row r="258" spans="1:7">
      <c r="A258" s="132"/>
      <c r="B258" s="1030"/>
      <c r="C258" s="1030"/>
      <c r="D258" s="132"/>
      <c r="E258" s="226"/>
      <c r="F258" s="132"/>
      <c r="G258" s="132"/>
    </row>
    <row r="259" spans="1:7">
      <c r="A259" s="132"/>
      <c r="B259" s="1030"/>
      <c r="C259" s="1030"/>
      <c r="D259" s="132"/>
      <c r="E259" s="226"/>
      <c r="F259" s="132"/>
      <c r="G259" s="132"/>
    </row>
    <row r="260" spans="1:7">
      <c r="A260" s="132"/>
      <c r="B260" s="1030"/>
      <c r="C260" s="1030"/>
      <c r="D260" s="132"/>
      <c r="E260" s="226"/>
      <c r="F260" s="132"/>
      <c r="G260" s="132"/>
    </row>
    <row r="261" spans="1:7">
      <c r="A261" s="132"/>
      <c r="B261" s="1030"/>
      <c r="C261" s="1030"/>
      <c r="D261" s="132"/>
      <c r="E261" s="226"/>
      <c r="F261" s="132"/>
      <c r="G261" s="132"/>
    </row>
    <row r="262" spans="1:7">
      <c r="A262" s="132"/>
      <c r="B262" s="1030"/>
      <c r="C262" s="1030"/>
      <c r="D262" s="132"/>
      <c r="E262" s="226"/>
      <c r="F262" s="132"/>
      <c r="G262" s="132"/>
    </row>
    <row r="263" spans="1:7">
      <c r="A263" s="132"/>
      <c r="B263" s="1030"/>
      <c r="C263" s="1030"/>
      <c r="D263" s="132"/>
      <c r="E263" s="226"/>
      <c r="F263" s="132"/>
      <c r="G263" s="132"/>
    </row>
    <row r="264" spans="1:7">
      <c r="A264" s="132"/>
      <c r="B264" s="1030"/>
      <c r="C264" s="1030"/>
      <c r="D264" s="132"/>
      <c r="E264" s="226"/>
      <c r="F264" s="132"/>
      <c r="G264" s="132"/>
    </row>
    <row r="265" spans="1:7">
      <c r="A265" s="132"/>
      <c r="B265" s="1030"/>
      <c r="C265" s="1030"/>
      <c r="D265" s="132"/>
      <c r="E265" s="226"/>
      <c r="F265" s="132"/>
      <c r="G265" s="132"/>
    </row>
    <row r="266" spans="1:7">
      <c r="A266" s="132"/>
      <c r="B266" s="1030"/>
      <c r="C266" s="1030"/>
      <c r="D266" s="132"/>
      <c r="E266" s="226"/>
      <c r="F266" s="132"/>
      <c r="G266" s="132"/>
    </row>
    <row r="267" spans="1:7">
      <c r="A267" s="132"/>
      <c r="B267" s="1030"/>
      <c r="C267" s="1030"/>
      <c r="D267" s="132"/>
      <c r="E267" s="226"/>
      <c r="F267" s="132"/>
      <c r="G267" s="132"/>
    </row>
    <row r="268" spans="1:7">
      <c r="A268" s="132"/>
      <c r="B268" s="1030"/>
      <c r="C268" s="1030"/>
      <c r="D268" s="132"/>
      <c r="E268" s="226"/>
      <c r="F268" s="132"/>
      <c r="G268" s="132"/>
    </row>
    <row r="269" spans="1:7">
      <c r="A269" s="132"/>
      <c r="B269" s="1030"/>
      <c r="C269" s="1030"/>
      <c r="D269" s="132"/>
      <c r="E269" s="226"/>
      <c r="F269" s="132"/>
      <c r="G269" s="132"/>
    </row>
    <row r="270" spans="1:7">
      <c r="A270" s="132"/>
      <c r="B270" s="1030"/>
      <c r="C270" s="1030"/>
      <c r="D270" s="132"/>
      <c r="E270" s="226"/>
      <c r="F270" s="132"/>
      <c r="G270" s="132"/>
    </row>
    <row r="271" spans="1:7">
      <c r="A271" s="132"/>
      <c r="B271" s="1030"/>
      <c r="C271" s="1030"/>
      <c r="D271" s="132"/>
      <c r="E271" s="226"/>
      <c r="F271" s="132"/>
      <c r="G271" s="132"/>
    </row>
    <row r="272" spans="1:7">
      <c r="A272" s="132"/>
      <c r="B272" s="1030"/>
      <c r="C272" s="1030"/>
      <c r="D272" s="132"/>
      <c r="E272" s="226"/>
      <c r="F272" s="132"/>
      <c r="G272" s="132"/>
    </row>
    <row r="273" spans="1:7">
      <c r="A273" s="132"/>
      <c r="B273" s="1030"/>
      <c r="C273" s="1030"/>
      <c r="D273" s="132"/>
      <c r="E273" s="226"/>
      <c r="F273" s="132"/>
      <c r="G273" s="132"/>
    </row>
    <row r="274" spans="1:7">
      <c r="A274" s="132"/>
      <c r="B274" s="1030"/>
      <c r="C274" s="1030"/>
      <c r="D274" s="132"/>
      <c r="E274" s="226"/>
      <c r="F274" s="132"/>
      <c r="G274" s="132"/>
    </row>
    <row r="275" spans="1:7">
      <c r="A275" s="132"/>
      <c r="B275" s="1030"/>
      <c r="C275" s="1030"/>
      <c r="D275" s="132"/>
      <c r="E275" s="226"/>
      <c r="F275" s="132"/>
      <c r="G275" s="132"/>
    </row>
    <row r="276" spans="1:7">
      <c r="A276" s="132"/>
      <c r="B276" s="1030"/>
      <c r="C276" s="1030"/>
      <c r="D276" s="132"/>
      <c r="E276" s="226"/>
      <c r="F276" s="132"/>
      <c r="G276" s="132"/>
    </row>
    <row r="277" spans="1:7">
      <c r="A277" s="132"/>
      <c r="B277" s="1030"/>
      <c r="C277" s="1030"/>
      <c r="D277" s="132"/>
      <c r="E277" s="226"/>
      <c r="F277" s="132"/>
      <c r="G277" s="132"/>
    </row>
    <row r="278" spans="1:7">
      <c r="A278" s="132"/>
      <c r="B278" s="1030"/>
      <c r="C278" s="1030"/>
      <c r="D278" s="132"/>
      <c r="E278" s="226"/>
      <c r="F278" s="132"/>
      <c r="G278" s="132"/>
    </row>
    <row r="279" spans="1:7">
      <c r="A279" s="132"/>
      <c r="B279" s="1030"/>
      <c r="C279" s="1030"/>
      <c r="D279" s="132"/>
      <c r="E279" s="226"/>
      <c r="F279" s="132"/>
      <c r="G279" s="132"/>
    </row>
    <row r="280" spans="1:7">
      <c r="A280" s="132"/>
      <c r="B280" s="1030"/>
      <c r="C280" s="1030"/>
      <c r="D280" s="132"/>
      <c r="E280" s="226"/>
      <c r="F280" s="132"/>
      <c r="G280" s="132"/>
    </row>
    <row r="281" spans="1:7">
      <c r="A281" s="132"/>
      <c r="B281" s="1030"/>
      <c r="C281" s="1030"/>
      <c r="D281" s="132"/>
      <c r="E281" s="226"/>
      <c r="F281" s="132"/>
      <c r="G281" s="132"/>
    </row>
    <row r="282" spans="1:7">
      <c r="A282" s="132"/>
      <c r="B282" s="1030"/>
      <c r="C282" s="1030"/>
      <c r="D282" s="132"/>
      <c r="E282" s="226"/>
      <c r="F282" s="132"/>
      <c r="G282" s="132"/>
    </row>
    <row r="283" spans="1:7">
      <c r="A283" s="132"/>
      <c r="B283" s="1030"/>
      <c r="C283" s="1030"/>
      <c r="D283" s="132"/>
      <c r="E283" s="226"/>
      <c r="F283" s="132"/>
      <c r="G283" s="132"/>
    </row>
    <row r="284" spans="1:7">
      <c r="A284" s="132"/>
      <c r="B284" s="1030"/>
      <c r="C284" s="1030"/>
      <c r="D284" s="132"/>
      <c r="E284" s="226"/>
      <c r="F284" s="132"/>
      <c r="G284" s="132"/>
    </row>
    <row r="285" spans="1:7">
      <c r="A285" s="132"/>
      <c r="B285" s="1030"/>
      <c r="C285" s="1030"/>
      <c r="D285" s="132"/>
      <c r="E285" s="226"/>
      <c r="F285" s="132"/>
      <c r="G285" s="132"/>
    </row>
    <row r="286" spans="1:7">
      <c r="A286" s="132"/>
      <c r="B286" s="1030"/>
      <c r="C286" s="1030"/>
      <c r="D286" s="132"/>
      <c r="E286" s="226"/>
      <c r="F286" s="132"/>
      <c r="G286" s="132"/>
    </row>
    <row r="287" spans="1:7">
      <c r="A287" s="132"/>
      <c r="B287" s="1030"/>
      <c r="C287" s="1030"/>
      <c r="D287" s="132"/>
      <c r="E287" s="226"/>
      <c r="F287" s="132"/>
      <c r="G287" s="132"/>
    </row>
    <row r="288" spans="1:7">
      <c r="A288" s="132"/>
      <c r="B288" s="1030"/>
      <c r="C288" s="1030"/>
      <c r="D288" s="132"/>
      <c r="E288" s="226"/>
      <c r="F288" s="132"/>
      <c r="G288" s="132"/>
    </row>
    <row r="289" spans="1:7">
      <c r="A289" s="132"/>
      <c r="B289" s="1030"/>
      <c r="C289" s="1030"/>
      <c r="D289" s="132"/>
      <c r="E289" s="226"/>
      <c r="F289" s="132"/>
      <c r="G289" s="132"/>
    </row>
    <row r="290" spans="1:7">
      <c r="A290" s="132"/>
      <c r="B290" s="1030"/>
      <c r="C290" s="1030"/>
      <c r="D290" s="132"/>
      <c r="E290" s="226"/>
      <c r="F290" s="132"/>
      <c r="G290" s="132"/>
    </row>
    <row r="291" spans="1:7">
      <c r="A291" s="132"/>
      <c r="B291" s="1030"/>
      <c r="C291" s="1030"/>
      <c r="D291" s="132"/>
      <c r="E291" s="226"/>
      <c r="F291" s="132"/>
      <c r="G291" s="132"/>
    </row>
    <row r="292" spans="1:7">
      <c r="A292" s="132"/>
      <c r="B292" s="1030"/>
      <c r="C292" s="1030"/>
      <c r="D292" s="132"/>
      <c r="E292" s="226"/>
      <c r="F292" s="132"/>
      <c r="G292" s="132"/>
    </row>
    <row r="293" spans="1:7">
      <c r="A293" s="132"/>
      <c r="B293" s="1030"/>
      <c r="C293" s="1030"/>
      <c r="D293" s="132"/>
      <c r="E293" s="226"/>
      <c r="F293" s="132"/>
      <c r="G293" s="132"/>
    </row>
    <row r="294" spans="1:7">
      <c r="A294" s="132"/>
      <c r="B294" s="1030"/>
      <c r="C294" s="1030"/>
      <c r="D294" s="132"/>
      <c r="E294" s="226"/>
      <c r="F294" s="132"/>
      <c r="G294" s="132"/>
    </row>
    <row r="295" spans="1:7">
      <c r="A295" s="132"/>
      <c r="B295" s="1030"/>
      <c r="C295" s="1030"/>
      <c r="D295" s="132"/>
      <c r="E295" s="226"/>
      <c r="F295" s="132"/>
      <c r="G295" s="132"/>
    </row>
    <row r="296" spans="1:7">
      <c r="A296" s="132"/>
      <c r="B296" s="1030"/>
      <c r="C296" s="1030"/>
      <c r="D296" s="132"/>
      <c r="E296" s="226"/>
      <c r="F296" s="132"/>
      <c r="G296" s="132"/>
    </row>
    <row r="297" spans="1:7">
      <c r="A297" s="132"/>
      <c r="B297" s="1030"/>
      <c r="C297" s="1030"/>
      <c r="D297" s="132"/>
      <c r="E297" s="226"/>
      <c r="F297" s="132"/>
      <c r="G297" s="132"/>
    </row>
    <row r="298" spans="1:7">
      <c r="A298" s="132"/>
      <c r="B298" s="1030"/>
      <c r="C298" s="1030"/>
      <c r="D298" s="132"/>
      <c r="E298" s="226"/>
      <c r="F298" s="132"/>
      <c r="G298" s="132"/>
    </row>
    <row r="299" spans="1:7">
      <c r="A299" s="132"/>
      <c r="B299" s="1030"/>
      <c r="C299" s="1030"/>
      <c r="D299" s="132"/>
      <c r="E299" s="226"/>
      <c r="F299" s="132"/>
      <c r="G299" s="132"/>
    </row>
    <row r="300" spans="1:7">
      <c r="A300" s="132"/>
      <c r="B300" s="1030"/>
      <c r="C300" s="1030"/>
      <c r="D300" s="132"/>
      <c r="E300" s="226"/>
      <c r="F300" s="132"/>
      <c r="G300" s="132"/>
    </row>
    <row r="301" spans="1:7">
      <c r="A301" s="132"/>
      <c r="B301" s="1030"/>
      <c r="C301" s="1030"/>
      <c r="D301" s="132"/>
      <c r="E301" s="226"/>
      <c r="F301" s="132"/>
      <c r="G301" s="132"/>
    </row>
    <row r="302" spans="1:7">
      <c r="A302" s="132"/>
      <c r="B302" s="1030"/>
      <c r="C302" s="1030"/>
      <c r="D302" s="132"/>
      <c r="E302" s="226"/>
      <c r="F302" s="132"/>
      <c r="G302" s="132"/>
    </row>
    <row r="303" spans="1:7">
      <c r="A303" s="132"/>
      <c r="B303" s="1030"/>
      <c r="C303" s="1030"/>
      <c r="D303" s="132"/>
      <c r="E303" s="226"/>
      <c r="F303" s="132"/>
      <c r="G303" s="132"/>
    </row>
    <row r="304" spans="1:7">
      <c r="A304" s="132"/>
      <c r="B304" s="1030"/>
      <c r="C304" s="1030"/>
      <c r="D304" s="132"/>
      <c r="E304" s="226"/>
      <c r="F304" s="132"/>
      <c r="G304" s="132"/>
    </row>
    <row r="305" spans="1:7">
      <c r="A305" s="132"/>
      <c r="B305" s="1030"/>
      <c r="C305" s="1030"/>
      <c r="D305" s="132"/>
      <c r="E305" s="226"/>
      <c r="F305" s="132"/>
      <c r="G305" s="132"/>
    </row>
    <row r="306" spans="1:7">
      <c r="A306" s="132"/>
      <c r="B306" s="1030"/>
      <c r="C306" s="1030"/>
      <c r="D306" s="132"/>
      <c r="E306" s="226"/>
      <c r="F306" s="132"/>
      <c r="G306" s="132"/>
    </row>
    <row r="307" spans="1:7">
      <c r="A307" s="132"/>
      <c r="B307" s="1030"/>
      <c r="C307" s="1030"/>
      <c r="D307" s="132"/>
      <c r="E307" s="226"/>
      <c r="F307" s="132"/>
      <c r="G307" s="132"/>
    </row>
    <row r="308" spans="1:7">
      <c r="A308" s="132"/>
      <c r="B308" s="1030"/>
      <c r="C308" s="1030"/>
      <c r="D308" s="132"/>
      <c r="E308" s="226"/>
      <c r="F308" s="132"/>
      <c r="G308" s="132"/>
    </row>
    <row r="309" spans="1:7">
      <c r="A309" s="132"/>
      <c r="B309" s="1030"/>
      <c r="C309" s="1030"/>
      <c r="D309" s="132"/>
      <c r="E309" s="226"/>
      <c r="F309" s="132"/>
      <c r="G309" s="132"/>
    </row>
    <row r="310" spans="1:7">
      <c r="A310" s="132"/>
      <c r="B310" s="1030"/>
      <c r="C310" s="1030"/>
      <c r="D310" s="132"/>
      <c r="E310" s="226"/>
      <c r="F310" s="132"/>
      <c r="G310" s="132"/>
    </row>
    <row r="311" spans="1:7">
      <c r="A311" s="132"/>
      <c r="B311" s="1030"/>
      <c r="C311" s="1030"/>
      <c r="D311" s="132"/>
      <c r="E311" s="226"/>
      <c r="F311" s="132"/>
      <c r="G311" s="132"/>
    </row>
    <row r="312" spans="1:7">
      <c r="A312" s="132"/>
      <c r="B312" s="1030"/>
      <c r="C312" s="1030"/>
      <c r="D312" s="132"/>
      <c r="E312" s="226"/>
      <c r="F312" s="132"/>
      <c r="G312" s="132"/>
    </row>
    <row r="313" spans="1:7">
      <c r="A313" s="132"/>
      <c r="B313" s="1030"/>
      <c r="C313" s="1030"/>
      <c r="D313" s="132"/>
      <c r="E313" s="226"/>
      <c r="F313" s="132"/>
      <c r="G313" s="132"/>
    </row>
    <row r="314" spans="1:7">
      <c r="A314" s="132"/>
      <c r="B314" s="1030"/>
      <c r="C314" s="1030"/>
      <c r="D314" s="132"/>
      <c r="E314" s="226"/>
      <c r="F314" s="132"/>
      <c r="G314" s="132"/>
    </row>
    <row r="315" spans="1:7">
      <c r="A315" s="132"/>
      <c r="B315" s="1030"/>
      <c r="C315" s="1030"/>
      <c r="D315" s="132"/>
      <c r="E315" s="226"/>
      <c r="F315" s="132"/>
      <c r="G315" s="132"/>
    </row>
    <row r="316" spans="1:7">
      <c r="A316" s="132"/>
      <c r="B316" s="1030"/>
      <c r="C316" s="1030"/>
      <c r="D316" s="132"/>
      <c r="E316" s="226"/>
      <c r="F316" s="132"/>
      <c r="G316" s="132"/>
    </row>
    <row r="317" spans="1:7">
      <c r="A317" s="132"/>
      <c r="B317" s="1030"/>
      <c r="C317" s="1030"/>
      <c r="D317" s="132"/>
      <c r="E317" s="226"/>
      <c r="F317" s="132"/>
      <c r="G317" s="132"/>
    </row>
    <row r="318" spans="1:7">
      <c r="A318" s="132"/>
      <c r="B318" s="1030"/>
      <c r="C318" s="1030"/>
      <c r="D318" s="132"/>
      <c r="E318" s="226"/>
      <c r="F318" s="132"/>
      <c r="G318" s="132"/>
    </row>
    <row r="319" spans="1:7">
      <c r="B319" s="1032"/>
      <c r="C319" s="1032"/>
      <c r="E319" s="226"/>
    </row>
    <row r="320" spans="1:7">
      <c r="B320" s="1032"/>
      <c r="C320" s="1032"/>
      <c r="E320" s="226"/>
    </row>
    <row r="321" spans="2:5">
      <c r="B321" s="1032"/>
      <c r="C321" s="1032"/>
      <c r="E321" s="226"/>
    </row>
    <row r="322" spans="2:5">
      <c r="B322" s="1032"/>
      <c r="C322" s="1032"/>
      <c r="E322" s="226"/>
    </row>
    <row r="323" spans="2:5">
      <c r="B323" s="1032"/>
      <c r="C323" s="1032"/>
      <c r="E323" s="226"/>
    </row>
    <row r="324" spans="2:5">
      <c r="B324" s="1032"/>
      <c r="C324" s="1032"/>
      <c r="E324" s="226"/>
    </row>
    <row r="325" spans="2:5">
      <c r="B325" s="1032"/>
      <c r="C325" s="1032"/>
      <c r="E325" s="226"/>
    </row>
    <row r="326" spans="2:5">
      <c r="B326" s="1032"/>
      <c r="C326" s="1032"/>
      <c r="E326" s="226"/>
    </row>
    <row r="327" spans="2:5">
      <c r="B327" s="1032"/>
      <c r="C327" s="1032"/>
      <c r="E327" s="226"/>
    </row>
    <row r="328" spans="2:5">
      <c r="B328" s="1032"/>
      <c r="C328" s="1032"/>
      <c r="E328" s="226"/>
    </row>
    <row r="329" spans="2:5">
      <c r="B329" s="1032"/>
      <c r="C329" s="1032"/>
      <c r="E329" s="226"/>
    </row>
    <row r="330" spans="2:5">
      <c r="B330" s="1032"/>
      <c r="C330" s="1032"/>
      <c r="E330" s="226"/>
    </row>
    <row r="331" spans="2:5">
      <c r="B331" s="1032"/>
      <c r="C331" s="1032"/>
      <c r="E331" s="226"/>
    </row>
    <row r="332" spans="2:5">
      <c r="B332" s="1032"/>
      <c r="C332" s="1032"/>
      <c r="E332" s="226"/>
    </row>
    <row r="333" spans="2:5">
      <c r="B333" s="1032"/>
      <c r="C333" s="1032"/>
      <c r="E333" s="226"/>
    </row>
    <row r="334" spans="2:5">
      <c r="B334" s="1032"/>
      <c r="C334" s="1032"/>
      <c r="E334" s="226"/>
    </row>
    <row r="335" spans="2:5">
      <c r="B335" s="1032"/>
      <c r="C335" s="1032"/>
      <c r="E335" s="226"/>
    </row>
    <row r="336" spans="2:5">
      <c r="B336" s="1032"/>
      <c r="C336" s="1032"/>
      <c r="E336" s="226"/>
    </row>
    <row r="337" spans="2:5">
      <c r="B337" s="1032"/>
      <c r="C337" s="1032"/>
      <c r="E337" s="226"/>
    </row>
    <row r="338" spans="2:5">
      <c r="B338" s="1032"/>
      <c r="C338" s="1032"/>
      <c r="E338" s="226"/>
    </row>
    <row r="339" spans="2:5">
      <c r="B339" s="1032"/>
      <c r="C339" s="1032"/>
      <c r="E339" s="226"/>
    </row>
    <row r="340" spans="2:5">
      <c r="B340" s="1032"/>
      <c r="C340" s="1032"/>
      <c r="E340" s="226"/>
    </row>
    <row r="341" spans="2:5">
      <c r="B341" s="1032"/>
      <c r="C341" s="1032"/>
      <c r="E341" s="226"/>
    </row>
    <row r="342" spans="2:5">
      <c r="B342" s="1032"/>
      <c r="C342" s="1032"/>
      <c r="E342" s="226"/>
    </row>
    <row r="343" spans="2:5">
      <c r="B343" s="1032"/>
      <c r="C343" s="1032"/>
      <c r="E343" s="226"/>
    </row>
    <row r="344" spans="2:5">
      <c r="B344" s="1032"/>
      <c r="C344" s="1032"/>
      <c r="E344" s="226"/>
    </row>
    <row r="345" spans="2:5">
      <c r="B345" s="1032"/>
      <c r="C345" s="1032"/>
      <c r="E345" s="226"/>
    </row>
    <row r="346" spans="2:5">
      <c r="B346" s="1032"/>
      <c r="C346" s="1032"/>
      <c r="E346" s="226"/>
    </row>
    <row r="347" spans="2:5">
      <c r="B347" s="1032"/>
      <c r="C347" s="1032"/>
      <c r="E347" s="226"/>
    </row>
    <row r="348" spans="2:5">
      <c r="B348" s="1032"/>
      <c r="C348" s="1032"/>
      <c r="E348" s="226"/>
    </row>
    <row r="349" spans="2:5">
      <c r="B349" s="1032"/>
      <c r="C349" s="1032"/>
      <c r="E349" s="226"/>
    </row>
    <row r="350" spans="2:5">
      <c r="B350" s="1032"/>
      <c r="C350" s="1032"/>
      <c r="E350" s="226"/>
    </row>
    <row r="351" spans="2:5">
      <c r="B351" s="1032"/>
      <c r="C351" s="1032"/>
      <c r="E351" s="226"/>
    </row>
    <row r="352" spans="2:5">
      <c r="B352" s="1032"/>
      <c r="C352" s="1032"/>
      <c r="E352" s="226"/>
    </row>
    <row r="353" spans="2:5">
      <c r="B353" s="1032"/>
      <c r="C353" s="1032"/>
      <c r="E353" s="226"/>
    </row>
    <row r="354" spans="2:5">
      <c r="B354" s="1032"/>
      <c r="C354" s="1032"/>
      <c r="E354" s="226"/>
    </row>
    <row r="355" spans="2:5">
      <c r="B355" s="1032"/>
      <c r="C355" s="1032"/>
      <c r="E355" s="226"/>
    </row>
    <row r="356" spans="2:5">
      <c r="B356" s="1032"/>
      <c r="C356" s="1032"/>
      <c r="E356" s="226"/>
    </row>
    <row r="357" spans="2:5">
      <c r="B357" s="1032"/>
      <c r="C357" s="1032"/>
      <c r="E357" s="226"/>
    </row>
    <row r="358" spans="2:5">
      <c r="B358" s="1032"/>
      <c r="C358" s="1032"/>
      <c r="E358" s="226"/>
    </row>
    <row r="359" spans="2:5">
      <c r="B359" s="1032"/>
      <c r="C359" s="1032"/>
      <c r="E359" s="226"/>
    </row>
    <row r="360" spans="2:5">
      <c r="B360" s="1032"/>
      <c r="C360" s="1032"/>
      <c r="E360" s="226"/>
    </row>
    <row r="361" spans="2:5">
      <c r="B361" s="1032"/>
      <c r="C361" s="1032"/>
      <c r="E361" s="226"/>
    </row>
    <row r="362" spans="2:5">
      <c r="B362" s="1032"/>
      <c r="C362" s="1032"/>
      <c r="E362" s="226"/>
    </row>
    <row r="363" spans="2:5">
      <c r="B363" s="1032"/>
      <c r="C363" s="1032"/>
      <c r="E363" s="226"/>
    </row>
    <row r="364" spans="2:5">
      <c r="B364" s="1032"/>
      <c r="C364" s="1032"/>
      <c r="E364" s="226"/>
    </row>
    <row r="365" spans="2:5">
      <c r="B365" s="1032"/>
      <c r="C365" s="1032"/>
      <c r="E365" s="226"/>
    </row>
    <row r="366" spans="2:5">
      <c r="B366" s="1032"/>
      <c r="C366" s="1032"/>
      <c r="E366" s="226"/>
    </row>
    <row r="367" spans="2:5">
      <c r="B367" s="1032"/>
      <c r="C367" s="1032"/>
      <c r="E367" s="226"/>
    </row>
    <row r="368" spans="2:5">
      <c r="B368" s="1032"/>
      <c r="C368" s="1032"/>
      <c r="E368" s="226"/>
    </row>
    <row r="369" spans="2:5">
      <c r="B369" s="1032"/>
      <c r="C369" s="1032"/>
      <c r="E369" s="226"/>
    </row>
    <row r="370" spans="2:5">
      <c r="B370" s="1032"/>
      <c r="C370" s="1032"/>
      <c r="E370" s="226"/>
    </row>
    <row r="371" spans="2:5">
      <c r="B371" s="1032"/>
      <c r="C371" s="1032"/>
      <c r="E371" s="226"/>
    </row>
    <row r="372" spans="2:5">
      <c r="B372" s="1032"/>
      <c r="C372" s="1032"/>
      <c r="E372" s="226"/>
    </row>
    <row r="373" spans="2:5">
      <c r="B373" s="1032"/>
      <c r="C373" s="1032"/>
      <c r="E373" s="226"/>
    </row>
    <row r="374" spans="2:5">
      <c r="B374" s="1032"/>
      <c r="C374" s="1032"/>
      <c r="E374" s="226"/>
    </row>
    <row r="375" spans="2:5">
      <c r="B375" s="1032"/>
      <c r="C375" s="1032"/>
      <c r="E375" s="226"/>
    </row>
    <row r="376" spans="2:5">
      <c r="B376" s="1032"/>
      <c r="C376" s="1032"/>
      <c r="E376" s="226"/>
    </row>
    <row r="377" spans="2:5">
      <c r="B377" s="1032"/>
      <c r="C377" s="1032"/>
      <c r="E377" s="226"/>
    </row>
    <row r="378" spans="2:5">
      <c r="B378" s="1032"/>
      <c r="C378" s="1032"/>
      <c r="E378" s="226"/>
    </row>
    <row r="379" spans="2:5">
      <c r="B379" s="1032"/>
      <c r="C379" s="1032"/>
      <c r="E379" s="226"/>
    </row>
    <row r="380" spans="2:5">
      <c r="B380" s="1032"/>
      <c r="C380" s="1032"/>
      <c r="E380" s="226"/>
    </row>
    <row r="381" spans="2:5">
      <c r="B381" s="1032"/>
      <c r="C381" s="1032"/>
      <c r="E381" s="226"/>
    </row>
    <row r="382" spans="2:5">
      <c r="B382" s="1032"/>
      <c r="C382" s="1032"/>
      <c r="E382" s="226"/>
    </row>
    <row r="383" spans="2:5">
      <c r="B383" s="1032"/>
      <c r="C383" s="1032"/>
      <c r="E383" s="226"/>
    </row>
    <row r="384" spans="2:5">
      <c r="B384" s="1032"/>
      <c r="C384" s="1032"/>
      <c r="E384" s="226"/>
    </row>
    <row r="385" spans="2:5">
      <c r="B385" s="1032"/>
      <c r="C385" s="1032"/>
      <c r="E385" s="226"/>
    </row>
    <row r="386" spans="2:5">
      <c r="B386" s="1032"/>
      <c r="C386" s="1032"/>
      <c r="E386" s="226"/>
    </row>
    <row r="387" spans="2:5">
      <c r="B387" s="1032"/>
      <c r="C387" s="1032"/>
      <c r="E387" s="226"/>
    </row>
    <row r="388" spans="2:5">
      <c r="B388" s="1032"/>
      <c r="C388" s="1032"/>
      <c r="E388" s="226"/>
    </row>
    <row r="389" spans="2:5">
      <c r="B389" s="1032"/>
      <c r="C389" s="1032"/>
      <c r="E389" s="226"/>
    </row>
    <row r="390" spans="2:5">
      <c r="B390" s="1032"/>
      <c r="C390" s="1032"/>
      <c r="E390" s="226"/>
    </row>
    <row r="391" spans="2:5">
      <c r="B391" s="1032"/>
      <c r="C391" s="1032"/>
      <c r="E391" s="226"/>
    </row>
    <row r="392" spans="2:5">
      <c r="B392" s="1032"/>
      <c r="C392" s="1032"/>
      <c r="E392" s="226"/>
    </row>
    <row r="393" spans="2:5">
      <c r="B393" s="1032"/>
      <c r="C393" s="1032"/>
      <c r="E393" s="226"/>
    </row>
    <row r="394" spans="2:5">
      <c r="B394" s="1032"/>
      <c r="C394" s="1032"/>
      <c r="E394" s="226"/>
    </row>
    <row r="395" spans="2:5">
      <c r="B395" s="1032"/>
      <c r="C395" s="1032"/>
      <c r="E395" s="226"/>
    </row>
    <row r="396" spans="2:5">
      <c r="B396" s="1032"/>
      <c r="C396" s="1032"/>
      <c r="E396" s="226"/>
    </row>
    <row r="397" spans="2:5">
      <c r="B397" s="1032"/>
      <c r="C397" s="1032"/>
      <c r="E397" s="226"/>
    </row>
    <row r="398" spans="2:5">
      <c r="B398" s="1032"/>
      <c r="C398" s="1032"/>
      <c r="E398" s="226"/>
    </row>
    <row r="399" spans="2:5">
      <c r="B399" s="1032"/>
      <c r="C399" s="1032"/>
      <c r="E399" s="226"/>
    </row>
    <row r="400" spans="2:5">
      <c r="B400" s="1032"/>
      <c r="C400" s="1032"/>
      <c r="E400" s="226"/>
    </row>
    <row r="401" spans="2:5">
      <c r="B401" s="1032"/>
      <c r="C401" s="1032"/>
      <c r="E401" s="226"/>
    </row>
    <row r="402" spans="2:5">
      <c r="B402" s="1032"/>
      <c r="C402" s="1032"/>
      <c r="E402" s="226"/>
    </row>
    <row r="403" spans="2:5">
      <c r="B403" s="1032"/>
      <c r="C403" s="1032"/>
      <c r="E403" s="226"/>
    </row>
    <row r="404" spans="2:5">
      <c r="B404" s="1032"/>
      <c r="C404" s="1032"/>
      <c r="E404" s="226"/>
    </row>
    <row r="405" spans="2:5">
      <c r="B405" s="1032"/>
      <c r="C405" s="1032"/>
      <c r="E405" s="226"/>
    </row>
    <row r="406" spans="2:5">
      <c r="B406" s="1032"/>
      <c r="C406" s="1032"/>
      <c r="E406" s="226"/>
    </row>
    <row r="407" spans="2:5">
      <c r="B407" s="1032"/>
      <c r="C407" s="1032"/>
      <c r="E407" s="226"/>
    </row>
    <row r="408" spans="2:5">
      <c r="B408" s="1032"/>
      <c r="C408" s="1032"/>
      <c r="E408" s="226"/>
    </row>
    <row r="409" spans="2:5">
      <c r="B409" s="1032"/>
      <c r="C409" s="1032"/>
      <c r="E409" s="226"/>
    </row>
    <row r="410" spans="2:5">
      <c r="B410" s="1032"/>
      <c r="C410" s="1032"/>
      <c r="E410" s="226"/>
    </row>
    <row r="411" spans="2:5">
      <c r="B411" s="1032"/>
      <c r="C411" s="1032"/>
      <c r="E411" s="226"/>
    </row>
    <row r="412" spans="2:5">
      <c r="B412" s="1032"/>
      <c r="C412" s="1032"/>
      <c r="E412" s="226"/>
    </row>
    <row r="413" spans="2:5">
      <c r="B413" s="1032"/>
      <c r="C413" s="1032"/>
      <c r="E413" s="226"/>
    </row>
    <row r="414" spans="2:5">
      <c r="B414" s="1032"/>
      <c r="C414" s="1032"/>
      <c r="E414" s="226"/>
    </row>
    <row r="415" spans="2:5">
      <c r="B415" s="1032"/>
      <c r="C415" s="1032"/>
      <c r="E415" s="226"/>
    </row>
    <row r="416" spans="2:5">
      <c r="B416" s="1032"/>
      <c r="C416" s="1032"/>
      <c r="E416" s="226"/>
    </row>
    <row r="417" spans="2:5">
      <c r="B417" s="1032"/>
      <c r="C417" s="1032"/>
      <c r="E417" s="226"/>
    </row>
    <row r="418" spans="2:5">
      <c r="B418" s="1032"/>
      <c r="C418" s="1032"/>
      <c r="E418" s="226"/>
    </row>
    <row r="419" spans="2:5">
      <c r="B419" s="1032"/>
      <c r="C419" s="1032"/>
      <c r="E419" s="226"/>
    </row>
    <row r="420" spans="2:5">
      <c r="B420" s="1032"/>
      <c r="C420" s="1032"/>
      <c r="E420" s="226"/>
    </row>
    <row r="421" spans="2:5">
      <c r="B421" s="1032"/>
      <c r="C421" s="1032"/>
      <c r="E421" s="226"/>
    </row>
    <row r="422" spans="2:5">
      <c r="B422" s="1032"/>
      <c r="C422" s="1032"/>
      <c r="E422" s="226"/>
    </row>
    <row r="423" spans="2:5">
      <c r="B423" s="1032"/>
      <c r="C423" s="1032"/>
      <c r="E423" s="226"/>
    </row>
    <row r="424" spans="2:5">
      <c r="B424" s="1032"/>
      <c r="C424" s="1032"/>
      <c r="E424" s="226"/>
    </row>
    <row r="425" spans="2:5">
      <c r="B425" s="1032"/>
      <c r="C425" s="1032"/>
      <c r="E425" s="226"/>
    </row>
    <row r="426" spans="2:5">
      <c r="B426" s="1032"/>
      <c r="C426" s="1032"/>
      <c r="E426" s="226"/>
    </row>
    <row r="427" spans="2:5">
      <c r="B427" s="1032"/>
      <c r="C427" s="1032"/>
      <c r="E427" s="226"/>
    </row>
    <row r="428" spans="2:5">
      <c r="B428" s="1032"/>
      <c r="C428" s="1032"/>
      <c r="E428" s="226"/>
    </row>
    <row r="429" spans="2:5">
      <c r="B429" s="1032"/>
      <c r="C429" s="1032"/>
      <c r="E429" s="226"/>
    </row>
    <row r="430" spans="2:5">
      <c r="B430" s="1032"/>
      <c r="C430" s="1032"/>
      <c r="E430" s="226"/>
    </row>
    <row r="431" spans="2:5">
      <c r="B431" s="1032"/>
      <c r="C431" s="1032"/>
      <c r="E431" s="226"/>
    </row>
    <row r="432" spans="2:5">
      <c r="B432" s="1032"/>
      <c r="C432" s="1032"/>
      <c r="E432" s="226"/>
    </row>
    <row r="433" spans="2:5">
      <c r="B433" s="1032"/>
      <c r="C433" s="1032"/>
      <c r="E433" s="226"/>
    </row>
    <row r="434" spans="2:5">
      <c r="B434" s="1032"/>
      <c r="C434" s="1032"/>
      <c r="E434" s="226"/>
    </row>
    <row r="435" spans="2:5">
      <c r="B435" s="1032"/>
      <c r="C435" s="1032"/>
      <c r="E435" s="226"/>
    </row>
    <row r="436" spans="2:5">
      <c r="B436" s="1032"/>
      <c r="C436" s="1032"/>
      <c r="E436" s="226"/>
    </row>
    <row r="437" spans="2:5">
      <c r="B437" s="1032"/>
      <c r="C437" s="1032"/>
      <c r="E437" s="226"/>
    </row>
    <row r="438" spans="2:5">
      <c r="B438" s="1032"/>
      <c r="C438" s="1032"/>
      <c r="E438" s="226"/>
    </row>
    <row r="439" spans="2:5">
      <c r="B439" s="1032"/>
      <c r="C439" s="1032"/>
      <c r="E439" s="226"/>
    </row>
    <row r="440" spans="2:5">
      <c r="B440" s="1032"/>
      <c r="C440" s="1032"/>
      <c r="E440" s="226"/>
    </row>
    <row r="441" spans="2:5">
      <c r="B441" s="1032"/>
      <c r="C441" s="1032"/>
      <c r="E441" s="226"/>
    </row>
    <row r="442" spans="2:5">
      <c r="B442" s="1032"/>
      <c r="C442" s="1032"/>
      <c r="E442" s="226"/>
    </row>
    <row r="443" spans="2:5">
      <c r="B443" s="1032"/>
      <c r="C443" s="1032"/>
      <c r="E443" s="226"/>
    </row>
    <row r="444" spans="2:5">
      <c r="B444" s="1032"/>
      <c r="C444" s="1032"/>
      <c r="E444" s="226"/>
    </row>
    <row r="445" spans="2:5">
      <c r="B445" s="1032"/>
      <c r="C445" s="1032"/>
      <c r="E445" s="226"/>
    </row>
    <row r="446" spans="2:5">
      <c r="B446" s="1032"/>
      <c r="C446" s="1032"/>
      <c r="E446" s="226"/>
    </row>
    <row r="447" spans="2:5">
      <c r="B447" s="1032"/>
      <c r="C447" s="1032"/>
      <c r="E447" s="226"/>
    </row>
    <row r="448" spans="2:5">
      <c r="B448" s="1032"/>
      <c r="C448" s="1032"/>
      <c r="E448" s="226"/>
    </row>
    <row r="449" spans="2:5">
      <c r="B449" s="1032"/>
      <c r="C449" s="1032"/>
      <c r="E449" s="226"/>
    </row>
    <row r="450" spans="2:5">
      <c r="B450" s="1032"/>
      <c r="C450" s="1032"/>
      <c r="E450" s="226"/>
    </row>
    <row r="451" spans="2:5">
      <c r="B451" s="1032"/>
      <c r="C451" s="1032"/>
      <c r="E451" s="226"/>
    </row>
    <row r="452" spans="2:5">
      <c r="B452" s="1032"/>
      <c r="C452" s="1032"/>
      <c r="E452" s="226"/>
    </row>
    <row r="453" spans="2:5">
      <c r="B453" s="1032"/>
      <c r="C453" s="1032"/>
      <c r="E453" s="226"/>
    </row>
    <row r="454" spans="2:5">
      <c r="B454" s="1032"/>
      <c r="C454" s="1032"/>
      <c r="E454" s="226"/>
    </row>
    <row r="455" spans="2:5">
      <c r="B455" s="1032"/>
      <c r="C455" s="1032"/>
      <c r="E455" s="226"/>
    </row>
    <row r="456" spans="2:5">
      <c r="B456" s="1032"/>
      <c r="C456" s="1032"/>
      <c r="E456" s="226"/>
    </row>
    <row r="457" spans="2:5">
      <c r="B457" s="1032"/>
      <c r="C457" s="1032"/>
      <c r="E457" s="226"/>
    </row>
    <row r="458" spans="2:5">
      <c r="B458" s="1032"/>
      <c r="C458" s="1032"/>
      <c r="E458" s="226"/>
    </row>
    <row r="459" spans="2:5">
      <c r="B459" s="1032"/>
      <c r="C459" s="1032"/>
      <c r="E459" s="226"/>
    </row>
    <row r="460" spans="2:5">
      <c r="B460" s="1032"/>
      <c r="C460" s="1032"/>
      <c r="E460" s="226"/>
    </row>
    <row r="461" spans="2:5">
      <c r="B461" s="1032"/>
      <c r="C461" s="1032"/>
      <c r="E461" s="226"/>
    </row>
    <row r="462" spans="2:5">
      <c r="B462" s="1032"/>
      <c r="C462" s="1032"/>
      <c r="E462" s="226"/>
    </row>
    <row r="463" spans="2:5">
      <c r="B463" s="1032"/>
      <c r="C463" s="1032"/>
      <c r="E463" s="226"/>
    </row>
    <row r="464" spans="2:5">
      <c r="B464" s="1032"/>
      <c r="C464" s="1032"/>
      <c r="E464" s="226"/>
    </row>
    <row r="465" spans="2:5">
      <c r="B465" s="1032"/>
      <c r="C465" s="1032"/>
      <c r="E465" s="226"/>
    </row>
    <row r="466" spans="2:5">
      <c r="B466" s="1032"/>
      <c r="C466" s="1032"/>
      <c r="E466" s="226"/>
    </row>
    <row r="467" spans="2:5">
      <c r="B467" s="1032"/>
      <c r="C467" s="1032"/>
      <c r="E467" s="226"/>
    </row>
    <row r="468" spans="2:5">
      <c r="B468" s="1032"/>
      <c r="C468" s="1032"/>
      <c r="E468" s="226"/>
    </row>
    <row r="469" spans="2:5">
      <c r="B469" s="1032"/>
      <c r="C469" s="1032"/>
      <c r="E469" s="226"/>
    </row>
    <row r="470" spans="2:5">
      <c r="B470" s="1032"/>
      <c r="C470" s="1032"/>
      <c r="E470" s="226"/>
    </row>
    <row r="471" spans="2:5">
      <c r="B471" s="1032"/>
      <c r="C471" s="1032"/>
      <c r="E471" s="226"/>
    </row>
    <row r="472" spans="2:5">
      <c r="B472" s="1032"/>
      <c r="C472" s="1032"/>
      <c r="E472" s="226"/>
    </row>
    <row r="473" spans="2:5">
      <c r="B473" s="1032"/>
      <c r="C473" s="1032"/>
      <c r="E473" s="226"/>
    </row>
    <row r="474" spans="2:5">
      <c r="B474" s="1032"/>
      <c r="C474" s="1032"/>
      <c r="E474" s="226"/>
    </row>
    <row r="475" spans="2:5">
      <c r="B475" s="1032"/>
      <c r="C475" s="1032"/>
      <c r="E475" s="226"/>
    </row>
    <row r="476" spans="2:5">
      <c r="B476" s="1032"/>
      <c r="C476" s="1032"/>
      <c r="E476" s="226"/>
    </row>
    <row r="477" spans="2:5">
      <c r="B477" s="1032"/>
      <c r="C477" s="1032"/>
      <c r="E477" s="226"/>
    </row>
    <row r="478" spans="2:5">
      <c r="B478" s="1032"/>
      <c r="C478" s="1032"/>
      <c r="E478" s="226"/>
    </row>
    <row r="479" spans="2:5">
      <c r="B479" s="1032"/>
      <c r="C479" s="1032"/>
      <c r="E479" s="226"/>
    </row>
    <row r="480" spans="2:5">
      <c r="B480" s="1032"/>
      <c r="C480" s="1032"/>
      <c r="E480" s="226"/>
    </row>
    <row r="481" spans="2:5">
      <c r="B481" s="1032"/>
      <c r="C481" s="1032"/>
      <c r="E481" s="226"/>
    </row>
    <row r="482" spans="2:5">
      <c r="B482" s="1032"/>
      <c r="C482" s="1032"/>
      <c r="E482" s="226"/>
    </row>
    <row r="483" spans="2:5">
      <c r="B483" s="1032"/>
      <c r="C483" s="1032"/>
      <c r="E483" s="226"/>
    </row>
    <row r="484" spans="2:5">
      <c r="B484" s="1032"/>
      <c r="C484" s="1032"/>
      <c r="E484" s="226"/>
    </row>
    <row r="485" spans="2:5">
      <c r="B485" s="1032"/>
      <c r="C485" s="1032"/>
      <c r="E485" s="226"/>
    </row>
    <row r="486" spans="2:5">
      <c r="B486" s="1032"/>
      <c r="C486" s="1032"/>
      <c r="E486" s="226"/>
    </row>
    <row r="487" spans="2:5">
      <c r="B487" s="1032"/>
      <c r="C487" s="1032"/>
      <c r="E487" s="226"/>
    </row>
    <row r="488" spans="2:5">
      <c r="B488" s="1032"/>
      <c r="C488" s="1032"/>
      <c r="E488" s="226"/>
    </row>
    <row r="489" spans="2:5">
      <c r="B489" s="1032"/>
      <c r="C489" s="1032"/>
      <c r="E489" s="226"/>
    </row>
    <row r="490" spans="2:5">
      <c r="B490" s="1032"/>
      <c r="C490" s="1032"/>
      <c r="E490" s="226"/>
    </row>
    <row r="491" spans="2:5">
      <c r="B491" s="1032"/>
      <c r="C491" s="1032"/>
      <c r="E491" s="226"/>
    </row>
    <row r="492" spans="2:5">
      <c r="B492" s="1032"/>
      <c r="C492" s="1032"/>
      <c r="E492" s="226"/>
    </row>
    <row r="493" spans="2:5">
      <c r="B493" s="1032"/>
      <c r="C493" s="1032"/>
      <c r="E493" s="226"/>
    </row>
    <row r="494" spans="2:5">
      <c r="B494" s="1032"/>
      <c r="C494" s="1032"/>
      <c r="E494" s="226"/>
    </row>
    <row r="495" spans="2:5">
      <c r="B495" s="1032"/>
      <c r="C495" s="1032"/>
      <c r="E495" s="226"/>
    </row>
    <row r="496" spans="2:5">
      <c r="B496" s="1032"/>
      <c r="C496" s="1032"/>
      <c r="E496" s="226"/>
    </row>
    <row r="497" spans="2:5">
      <c r="B497" s="1032"/>
      <c r="C497" s="1032"/>
      <c r="E497" s="226"/>
    </row>
    <row r="498" spans="2:5">
      <c r="B498" s="1032"/>
      <c r="C498" s="1032"/>
      <c r="E498" s="226"/>
    </row>
    <row r="499" spans="2:5">
      <c r="B499" s="1032"/>
      <c r="C499" s="1032"/>
      <c r="E499" s="226"/>
    </row>
    <row r="500" spans="2:5">
      <c r="B500" s="1032"/>
      <c r="C500" s="1032"/>
      <c r="E500" s="226"/>
    </row>
    <row r="501" spans="2:5">
      <c r="B501" s="1032"/>
      <c r="C501" s="1032"/>
      <c r="E501" s="226"/>
    </row>
    <row r="502" spans="2:5">
      <c r="B502" s="1032"/>
      <c r="C502" s="1032"/>
      <c r="E502" s="226"/>
    </row>
    <row r="503" spans="2:5">
      <c r="B503" s="1032"/>
      <c r="C503" s="1032"/>
      <c r="E503" s="226"/>
    </row>
    <row r="504" spans="2:5">
      <c r="B504" s="1032"/>
      <c r="C504" s="1032"/>
      <c r="E504" s="226"/>
    </row>
    <row r="505" spans="2:5">
      <c r="B505" s="1032"/>
      <c r="C505" s="1032"/>
      <c r="E505" s="226"/>
    </row>
    <row r="506" spans="2:5">
      <c r="B506" s="1032"/>
      <c r="C506" s="1032"/>
      <c r="E506" s="226"/>
    </row>
    <row r="507" spans="2:5">
      <c r="B507" s="1032"/>
      <c r="C507" s="1032"/>
      <c r="E507" s="226"/>
    </row>
    <row r="508" spans="2:5">
      <c r="B508" s="1032"/>
      <c r="C508" s="1032"/>
      <c r="E508" s="226"/>
    </row>
    <row r="509" spans="2:5">
      <c r="B509" s="1032"/>
      <c r="C509" s="1032"/>
      <c r="E509" s="226"/>
    </row>
    <row r="510" spans="2:5">
      <c r="B510" s="1032"/>
      <c r="C510" s="1032"/>
      <c r="E510" s="226"/>
    </row>
    <row r="511" spans="2:5">
      <c r="B511" s="1032"/>
      <c r="C511" s="1032"/>
      <c r="E511" s="226"/>
    </row>
    <row r="512" spans="2:5">
      <c r="B512" s="1032"/>
      <c r="C512" s="1032"/>
      <c r="E512" s="226"/>
    </row>
    <row r="513" spans="2:5">
      <c r="B513" s="1032"/>
      <c r="C513" s="1032"/>
      <c r="E513" s="226"/>
    </row>
    <row r="514" spans="2:5">
      <c r="B514" s="1032"/>
      <c r="C514" s="1032"/>
      <c r="E514" s="226"/>
    </row>
    <row r="515" spans="2:5">
      <c r="B515" s="1032"/>
      <c r="C515" s="1032"/>
      <c r="E515" s="226"/>
    </row>
    <row r="516" spans="2:5">
      <c r="B516" s="1032"/>
      <c r="C516" s="1032"/>
      <c r="E516" s="226"/>
    </row>
    <row r="517" spans="2:5">
      <c r="B517" s="1032"/>
      <c r="C517" s="1032"/>
      <c r="E517" s="226"/>
    </row>
    <row r="518" spans="2:5">
      <c r="B518" s="1032"/>
      <c r="C518" s="1032"/>
      <c r="E518" s="226"/>
    </row>
    <row r="519" spans="2:5">
      <c r="B519" s="1032"/>
      <c r="C519" s="1032"/>
      <c r="E519" s="226"/>
    </row>
    <row r="520" spans="2:5">
      <c r="B520" s="1032"/>
      <c r="C520" s="1032"/>
      <c r="E520" s="226"/>
    </row>
    <row r="521" spans="2:5">
      <c r="B521" s="1032"/>
      <c r="C521" s="1032"/>
      <c r="E521" s="226"/>
    </row>
    <row r="522" spans="2:5">
      <c r="B522" s="1032"/>
      <c r="C522" s="1032"/>
      <c r="E522" s="226"/>
    </row>
    <row r="523" spans="2:5">
      <c r="B523" s="1032"/>
      <c r="C523" s="1032"/>
      <c r="E523" s="226"/>
    </row>
    <row r="524" spans="2:5">
      <c r="B524" s="1032"/>
      <c r="C524" s="1032"/>
      <c r="E524" s="226"/>
    </row>
    <row r="525" spans="2:5">
      <c r="B525" s="1032"/>
      <c r="C525" s="1032"/>
      <c r="E525" s="226"/>
    </row>
    <row r="526" spans="2:5">
      <c r="B526" s="1032"/>
      <c r="C526" s="1032"/>
      <c r="E526" s="226"/>
    </row>
    <row r="527" spans="2:5">
      <c r="B527" s="1032"/>
      <c r="C527" s="1032"/>
      <c r="E527" s="226"/>
    </row>
    <row r="528" spans="2:5">
      <c r="B528" s="1032"/>
      <c r="C528" s="1032"/>
      <c r="E528" s="226"/>
    </row>
    <row r="529" spans="2:5">
      <c r="B529" s="1032"/>
      <c r="C529" s="1032"/>
      <c r="E529" s="226"/>
    </row>
    <row r="530" spans="2:5">
      <c r="B530" s="1032"/>
      <c r="C530" s="1032"/>
      <c r="E530" s="226"/>
    </row>
    <row r="531" spans="2:5">
      <c r="B531" s="1032"/>
      <c r="C531" s="1032"/>
      <c r="E531" s="226"/>
    </row>
    <row r="532" spans="2:5">
      <c r="B532" s="1032"/>
      <c r="C532" s="1032"/>
      <c r="E532" s="226"/>
    </row>
    <row r="533" spans="2:5">
      <c r="B533" s="1032"/>
      <c r="C533" s="1032"/>
      <c r="E533" s="226"/>
    </row>
    <row r="534" spans="2:5">
      <c r="B534" s="1032"/>
      <c r="C534" s="1032"/>
      <c r="E534" s="226"/>
    </row>
    <row r="535" spans="2:5">
      <c r="B535" s="1032"/>
      <c r="C535" s="1032"/>
      <c r="E535" s="226"/>
    </row>
    <row r="536" spans="2:5">
      <c r="B536" s="1032"/>
      <c r="C536" s="1032"/>
      <c r="E536" s="226"/>
    </row>
    <row r="537" spans="2:5">
      <c r="B537" s="1032"/>
      <c r="C537" s="1032"/>
      <c r="E537" s="226"/>
    </row>
    <row r="538" spans="2:5">
      <c r="B538" s="1032"/>
      <c r="C538" s="1032"/>
      <c r="E538" s="226"/>
    </row>
    <row r="539" spans="2:5">
      <c r="B539" s="1032"/>
      <c r="C539" s="1032"/>
      <c r="E539" s="226"/>
    </row>
    <row r="540" spans="2:5">
      <c r="B540" s="1032"/>
      <c r="C540" s="1032"/>
      <c r="E540" s="226"/>
    </row>
    <row r="541" spans="2:5">
      <c r="B541" s="1032"/>
      <c r="C541" s="1032"/>
      <c r="E541" s="226"/>
    </row>
    <row r="542" spans="2:5">
      <c r="B542" s="1032"/>
      <c r="C542" s="1032"/>
      <c r="E542" s="226"/>
    </row>
    <row r="543" spans="2:5">
      <c r="B543" s="1032"/>
      <c r="C543" s="1032"/>
      <c r="E543" s="226"/>
    </row>
    <row r="544" spans="2:5">
      <c r="B544" s="1032"/>
      <c r="C544" s="1032"/>
      <c r="E544" s="226"/>
    </row>
    <row r="545" spans="2:5">
      <c r="B545" s="1032"/>
      <c r="C545" s="1032"/>
      <c r="E545" s="226"/>
    </row>
    <row r="546" spans="2:5">
      <c r="B546" s="1032"/>
      <c r="C546" s="1032"/>
      <c r="E546" s="226"/>
    </row>
    <row r="547" spans="2:5">
      <c r="B547" s="1032"/>
      <c r="C547" s="1032"/>
      <c r="E547" s="226"/>
    </row>
    <row r="548" spans="2:5">
      <c r="B548" s="1032"/>
      <c r="C548" s="1032"/>
      <c r="E548" s="226"/>
    </row>
    <row r="549" spans="2:5">
      <c r="B549" s="1032"/>
      <c r="C549" s="1032"/>
      <c r="E549" s="226"/>
    </row>
    <row r="550" spans="2:5">
      <c r="B550" s="1032"/>
      <c r="C550" s="1032"/>
      <c r="E550" s="226"/>
    </row>
    <row r="551" spans="2:5">
      <c r="B551" s="1032"/>
      <c r="C551" s="1032"/>
      <c r="E551" s="226"/>
    </row>
    <row r="552" spans="2:5">
      <c r="B552" s="1032"/>
      <c r="C552" s="1032"/>
      <c r="E552" s="226"/>
    </row>
    <row r="553" spans="2:5">
      <c r="B553" s="1032"/>
      <c r="C553" s="1032"/>
      <c r="E553" s="226"/>
    </row>
    <row r="554" spans="2:5">
      <c r="B554" s="1032"/>
      <c r="C554" s="1032"/>
      <c r="E554" s="226"/>
    </row>
    <row r="555" spans="2:5">
      <c r="B555" s="1032"/>
      <c r="C555" s="1032"/>
      <c r="E555" s="226"/>
    </row>
    <row r="556" spans="2:5">
      <c r="B556" s="1032"/>
      <c r="C556" s="1032"/>
      <c r="E556" s="226"/>
    </row>
    <row r="557" spans="2:5">
      <c r="B557" s="1032"/>
      <c r="C557" s="1032"/>
      <c r="E557" s="226"/>
    </row>
    <row r="558" spans="2:5">
      <c r="B558" s="1032"/>
      <c r="C558" s="1032"/>
      <c r="E558" s="226"/>
    </row>
    <row r="559" spans="2:5">
      <c r="B559" s="1032"/>
      <c r="C559" s="1032"/>
      <c r="E559" s="226"/>
    </row>
    <row r="560" spans="2:5">
      <c r="B560" s="1032"/>
      <c r="C560" s="1032"/>
      <c r="E560" s="226"/>
    </row>
    <row r="561" spans="2:5">
      <c r="B561" s="1032"/>
      <c r="C561" s="1032"/>
      <c r="E561" s="226"/>
    </row>
    <row r="562" spans="2:5">
      <c r="B562" s="1032"/>
      <c r="C562" s="1032"/>
      <c r="E562" s="226"/>
    </row>
    <row r="563" spans="2:5">
      <c r="B563" s="1032"/>
      <c r="C563" s="1032"/>
      <c r="E563" s="226"/>
    </row>
    <row r="564" spans="2:5">
      <c r="B564" s="1032"/>
      <c r="C564" s="1032"/>
      <c r="E564" s="226"/>
    </row>
    <row r="565" spans="2:5">
      <c r="B565" s="1032"/>
      <c r="C565" s="1032"/>
      <c r="E565" s="226"/>
    </row>
    <row r="566" spans="2:5">
      <c r="B566" s="1032"/>
      <c r="C566" s="1032"/>
      <c r="E566" s="226"/>
    </row>
    <row r="567" spans="2:5">
      <c r="B567" s="1032"/>
      <c r="C567" s="1032"/>
      <c r="E567" s="226"/>
    </row>
    <row r="568" spans="2:5">
      <c r="B568" s="1032"/>
      <c r="C568" s="1032"/>
      <c r="E568" s="226"/>
    </row>
    <row r="569" spans="2:5">
      <c r="B569" s="1032"/>
      <c r="C569" s="1032"/>
      <c r="E569" s="226"/>
    </row>
    <row r="570" spans="2:5">
      <c r="E570" s="226"/>
    </row>
    <row r="571" spans="2:5">
      <c r="E571" s="226"/>
    </row>
    <row r="572" spans="2:5">
      <c r="E572" s="226"/>
    </row>
    <row r="573" spans="2:5">
      <c r="E573" s="226"/>
    </row>
    <row r="574" spans="2:5">
      <c r="E574" s="226"/>
    </row>
    <row r="575" spans="2:5">
      <c r="E575" s="226"/>
    </row>
    <row r="576" spans="2:5">
      <c r="E576" s="226"/>
    </row>
    <row r="577" spans="5:5">
      <c r="E577" s="226"/>
    </row>
    <row r="578" spans="5:5">
      <c r="E578" s="226"/>
    </row>
    <row r="579" spans="5:5">
      <c r="E579" s="226"/>
    </row>
    <row r="580" spans="5:5">
      <c r="E580" s="226"/>
    </row>
    <row r="581" spans="5:5">
      <c r="E581" s="226"/>
    </row>
    <row r="582" spans="5:5">
      <c r="E582" s="226"/>
    </row>
    <row r="583" spans="5:5">
      <c r="E583" s="226"/>
    </row>
    <row r="584" spans="5:5">
      <c r="E584" s="226"/>
    </row>
    <row r="585" spans="5:5">
      <c r="E585" s="226"/>
    </row>
    <row r="586" spans="5:5">
      <c r="E586" s="226"/>
    </row>
    <row r="587" spans="5:5">
      <c r="E587" s="226"/>
    </row>
    <row r="588" spans="5:5">
      <c r="E588" s="226"/>
    </row>
    <row r="589" spans="5:5">
      <c r="E589" s="226"/>
    </row>
    <row r="590" spans="5:5">
      <c r="E590" s="226"/>
    </row>
    <row r="591" spans="5:5">
      <c r="E591" s="226"/>
    </row>
    <row r="592" spans="5:5">
      <c r="E592" s="226"/>
    </row>
    <row r="593" spans="5:5">
      <c r="E593" s="226"/>
    </row>
    <row r="594" spans="5:5">
      <c r="E594" s="226"/>
    </row>
    <row r="595" spans="5:5">
      <c r="E595" s="226"/>
    </row>
    <row r="596" spans="5:5">
      <c r="E596" s="226"/>
    </row>
    <row r="597" spans="5:5">
      <c r="E597" s="226"/>
    </row>
    <row r="598" spans="5:5">
      <c r="E598" s="226"/>
    </row>
    <row r="599" spans="5:5">
      <c r="E599" s="226"/>
    </row>
    <row r="600" spans="5:5">
      <c r="E600" s="226"/>
    </row>
    <row r="601" spans="5:5">
      <c r="E601" s="226"/>
    </row>
    <row r="602" spans="5:5">
      <c r="E602" s="226"/>
    </row>
    <row r="603" spans="5:5">
      <c r="E603" s="226"/>
    </row>
    <row r="604" spans="5:5">
      <c r="E604" s="226"/>
    </row>
    <row r="605" spans="5:5">
      <c r="E605" s="226"/>
    </row>
    <row r="606" spans="5:5">
      <c r="E606" s="226"/>
    </row>
    <row r="607" spans="5:5">
      <c r="E607" s="226"/>
    </row>
    <row r="608" spans="5:5">
      <c r="E608" s="226"/>
    </row>
    <row r="609" spans="5:5">
      <c r="E609" s="226"/>
    </row>
    <row r="610" spans="5:5">
      <c r="E610" s="226"/>
    </row>
    <row r="611" spans="5:5">
      <c r="E611" s="226"/>
    </row>
    <row r="612" spans="5:5">
      <c r="E612" s="226"/>
    </row>
    <row r="613" spans="5:5">
      <c r="E613" s="226"/>
    </row>
    <row r="614" spans="5:5">
      <c r="E614" s="226"/>
    </row>
    <row r="615" spans="5:5">
      <c r="E615" s="226"/>
    </row>
    <row r="616" spans="5:5">
      <c r="E616" s="226"/>
    </row>
    <row r="617" spans="5:5">
      <c r="E617" s="226"/>
    </row>
    <row r="618" spans="5:5">
      <c r="E618" s="226"/>
    </row>
    <row r="619" spans="5:5">
      <c r="E619" s="226"/>
    </row>
    <row r="620" spans="5:5">
      <c r="E620" s="226"/>
    </row>
    <row r="621" spans="5:5">
      <c r="E621" s="226"/>
    </row>
    <row r="622" spans="5:5">
      <c r="E622" s="226"/>
    </row>
    <row r="623" spans="5:5">
      <c r="E623" s="226"/>
    </row>
    <row r="624" spans="5:5">
      <c r="E624" s="226"/>
    </row>
    <row r="625" spans="5:5">
      <c r="E625" s="226"/>
    </row>
    <row r="626" spans="5:5">
      <c r="E626" s="226"/>
    </row>
    <row r="627" spans="5:5">
      <c r="E627" s="226"/>
    </row>
    <row r="628" spans="5:5">
      <c r="E628" s="226"/>
    </row>
    <row r="629" spans="5:5">
      <c r="E629" s="226"/>
    </row>
    <row r="630" spans="5:5">
      <c r="E630" s="226"/>
    </row>
    <row r="631" spans="5:5">
      <c r="E631" s="226"/>
    </row>
    <row r="632" spans="5:5">
      <c r="E632" s="226"/>
    </row>
    <row r="633" spans="5:5">
      <c r="E633" s="226"/>
    </row>
    <row r="634" spans="5:5">
      <c r="E634" s="226"/>
    </row>
    <row r="635" spans="5:5">
      <c r="E635" s="226"/>
    </row>
    <row r="636" spans="5:5">
      <c r="E636" s="226"/>
    </row>
    <row r="637" spans="5:5">
      <c r="E637" s="226"/>
    </row>
    <row r="638" spans="5:5">
      <c r="E638" s="226"/>
    </row>
    <row r="639" spans="5:5">
      <c r="E639" s="226"/>
    </row>
    <row r="640" spans="5:5">
      <c r="E640" s="226"/>
    </row>
    <row r="641" spans="5:5">
      <c r="E641" s="226"/>
    </row>
    <row r="642" spans="5:5">
      <c r="E642" s="226"/>
    </row>
    <row r="643" spans="5:5">
      <c r="E643" s="226"/>
    </row>
    <row r="644" spans="5:5">
      <c r="E644" s="226"/>
    </row>
    <row r="645" spans="5:5">
      <c r="E645" s="226"/>
    </row>
    <row r="646" spans="5:5">
      <c r="E646" s="226"/>
    </row>
    <row r="647" spans="5:5">
      <c r="E647" s="226"/>
    </row>
    <row r="648" spans="5:5">
      <c r="E648" s="226"/>
    </row>
    <row r="649" spans="5:5">
      <c r="E649" s="226"/>
    </row>
    <row r="650" spans="5:5">
      <c r="E650" s="226"/>
    </row>
    <row r="651" spans="5:5">
      <c r="E651" s="226"/>
    </row>
    <row r="652" spans="5:5">
      <c r="E652" s="226"/>
    </row>
    <row r="653" spans="5:5">
      <c r="E653" s="226"/>
    </row>
    <row r="654" spans="5:5">
      <c r="E654" s="226"/>
    </row>
    <row r="655" spans="5:5">
      <c r="E655" s="226"/>
    </row>
    <row r="656" spans="5:5">
      <c r="E656" s="226"/>
    </row>
    <row r="657" spans="5:5">
      <c r="E657" s="226"/>
    </row>
    <row r="658" spans="5:5">
      <c r="E658" s="226"/>
    </row>
    <row r="659" spans="5:5">
      <c r="E659" s="226"/>
    </row>
    <row r="660" spans="5:5">
      <c r="E660" s="226"/>
    </row>
    <row r="661" spans="5:5">
      <c r="E661" s="226"/>
    </row>
  </sheetData>
  <autoFilter ref="B10:D169" xr:uid="{00000000-0009-0000-0000-000019000000}">
    <filterColumn colId="0" showButton="0">
      <filters>
        <filter val="JULIO 17 (2)"/>
      </filters>
    </filterColumn>
  </autoFilter>
  <mergeCells count="566">
    <mergeCell ref="B12:C12"/>
    <mergeCell ref="B13:C13"/>
    <mergeCell ref="B14:C14"/>
    <mergeCell ref="B15:C15"/>
    <mergeCell ref="B16:C16"/>
    <mergeCell ref="B17:C17"/>
    <mergeCell ref="B2:F2"/>
    <mergeCell ref="H2:H3"/>
    <mergeCell ref="B3:F3"/>
    <mergeCell ref="C4:E4"/>
    <mergeCell ref="B10:C10"/>
    <mergeCell ref="B11:C11"/>
    <mergeCell ref="B24:C24"/>
    <mergeCell ref="B25:C25"/>
    <mergeCell ref="B26:C26"/>
    <mergeCell ref="B27:C27"/>
    <mergeCell ref="B28:C28"/>
    <mergeCell ref="B29:C29"/>
    <mergeCell ref="B18:C18"/>
    <mergeCell ref="B19:C19"/>
    <mergeCell ref="B20:C20"/>
    <mergeCell ref="B21:C21"/>
    <mergeCell ref="B22:C22"/>
    <mergeCell ref="B23:C23"/>
    <mergeCell ref="B36:C36"/>
    <mergeCell ref="B37:C37"/>
    <mergeCell ref="B38:C38"/>
    <mergeCell ref="B39:C39"/>
    <mergeCell ref="B40:C40"/>
    <mergeCell ref="B41:C41"/>
    <mergeCell ref="B30:C30"/>
    <mergeCell ref="B31:C31"/>
    <mergeCell ref="B32:C32"/>
    <mergeCell ref="B33:C33"/>
    <mergeCell ref="B34:C34"/>
    <mergeCell ref="B35:C35"/>
    <mergeCell ref="B48:C48"/>
    <mergeCell ref="B49:C49"/>
    <mergeCell ref="B50:C50"/>
    <mergeCell ref="B51:C51"/>
    <mergeCell ref="B52:C52"/>
    <mergeCell ref="B53:C53"/>
    <mergeCell ref="B42:C42"/>
    <mergeCell ref="B43:C43"/>
    <mergeCell ref="B44:C44"/>
    <mergeCell ref="B45:C45"/>
    <mergeCell ref="B46:C46"/>
    <mergeCell ref="B47:C47"/>
    <mergeCell ref="B60:C60"/>
    <mergeCell ref="B61:C61"/>
    <mergeCell ref="B62:C62"/>
    <mergeCell ref="B63:C63"/>
    <mergeCell ref="B64:C64"/>
    <mergeCell ref="B65:C65"/>
    <mergeCell ref="B54:C54"/>
    <mergeCell ref="B55:C55"/>
    <mergeCell ref="B56:C56"/>
    <mergeCell ref="B57:C57"/>
    <mergeCell ref="B58:C58"/>
    <mergeCell ref="B59:C59"/>
    <mergeCell ref="B72:C72"/>
    <mergeCell ref="B73:C73"/>
    <mergeCell ref="B74:C74"/>
    <mergeCell ref="B75:C75"/>
    <mergeCell ref="B76:C76"/>
    <mergeCell ref="B77:C77"/>
    <mergeCell ref="B66:C66"/>
    <mergeCell ref="B67:C67"/>
    <mergeCell ref="B68:C68"/>
    <mergeCell ref="B69:C69"/>
    <mergeCell ref="B70:C70"/>
    <mergeCell ref="B71:C71"/>
    <mergeCell ref="B84:C84"/>
    <mergeCell ref="B85:C85"/>
    <mergeCell ref="B86:C86"/>
    <mergeCell ref="B87:C87"/>
    <mergeCell ref="B88:C88"/>
    <mergeCell ref="B89:C89"/>
    <mergeCell ref="B78:C78"/>
    <mergeCell ref="B79:C79"/>
    <mergeCell ref="B80:C80"/>
    <mergeCell ref="B81:C81"/>
    <mergeCell ref="B82:C82"/>
    <mergeCell ref="B83:C83"/>
    <mergeCell ref="B96:C96"/>
    <mergeCell ref="B97:C97"/>
    <mergeCell ref="B98:C98"/>
    <mergeCell ref="B99:C99"/>
    <mergeCell ref="B100:C100"/>
    <mergeCell ref="B101:C101"/>
    <mergeCell ref="B90:C90"/>
    <mergeCell ref="B91:C91"/>
    <mergeCell ref="B92:C92"/>
    <mergeCell ref="B93:C93"/>
    <mergeCell ref="B94:C94"/>
    <mergeCell ref="B95:C95"/>
    <mergeCell ref="B108:C108"/>
    <mergeCell ref="B109:C109"/>
    <mergeCell ref="B110:C110"/>
    <mergeCell ref="B111:C111"/>
    <mergeCell ref="B112:C112"/>
    <mergeCell ref="B113:C113"/>
    <mergeCell ref="B102:C102"/>
    <mergeCell ref="B103:C103"/>
    <mergeCell ref="B104:C104"/>
    <mergeCell ref="B105:C105"/>
    <mergeCell ref="B106:C106"/>
    <mergeCell ref="B107:C107"/>
    <mergeCell ref="B120:C120"/>
    <mergeCell ref="B121:C121"/>
    <mergeCell ref="B122:C122"/>
    <mergeCell ref="B123:C123"/>
    <mergeCell ref="B124:C124"/>
    <mergeCell ref="B125:C125"/>
    <mergeCell ref="B114:C114"/>
    <mergeCell ref="B115:C115"/>
    <mergeCell ref="B116:C116"/>
    <mergeCell ref="B117:C117"/>
    <mergeCell ref="B118:C118"/>
    <mergeCell ref="B119:C119"/>
    <mergeCell ref="B132:C132"/>
    <mergeCell ref="B133:C133"/>
    <mergeCell ref="B134:C134"/>
    <mergeCell ref="B135:C135"/>
    <mergeCell ref="B136:C136"/>
    <mergeCell ref="B137:C137"/>
    <mergeCell ref="B126:C126"/>
    <mergeCell ref="B127:C127"/>
    <mergeCell ref="B128:C128"/>
    <mergeCell ref="B129:C129"/>
    <mergeCell ref="B130:C130"/>
    <mergeCell ref="B131:C131"/>
    <mergeCell ref="B144:C144"/>
    <mergeCell ref="B145:C145"/>
    <mergeCell ref="B146:C146"/>
    <mergeCell ref="B147:C147"/>
    <mergeCell ref="B148:C148"/>
    <mergeCell ref="B149:C149"/>
    <mergeCell ref="B138:C138"/>
    <mergeCell ref="B139:C139"/>
    <mergeCell ref="B140:C140"/>
    <mergeCell ref="B141:C141"/>
    <mergeCell ref="B142:C142"/>
    <mergeCell ref="B143:C143"/>
    <mergeCell ref="B156:C156"/>
    <mergeCell ref="B157:C157"/>
    <mergeCell ref="B158:C158"/>
    <mergeCell ref="B159:C159"/>
    <mergeCell ref="B160:C160"/>
    <mergeCell ref="B161:C161"/>
    <mergeCell ref="B150:C150"/>
    <mergeCell ref="B151:C151"/>
    <mergeCell ref="B152:C152"/>
    <mergeCell ref="B153:C153"/>
    <mergeCell ref="B154:C154"/>
    <mergeCell ref="B155:C155"/>
    <mergeCell ref="B168:C168"/>
    <mergeCell ref="B169:C169"/>
    <mergeCell ref="B170:C170"/>
    <mergeCell ref="B171:C171"/>
    <mergeCell ref="B172:C172"/>
    <mergeCell ref="B173:C173"/>
    <mergeCell ref="B162:C162"/>
    <mergeCell ref="B163:C163"/>
    <mergeCell ref="B164:C164"/>
    <mergeCell ref="B165:C165"/>
    <mergeCell ref="B166:C166"/>
    <mergeCell ref="B167:C167"/>
    <mergeCell ref="B180:C180"/>
    <mergeCell ref="B181:C181"/>
    <mergeCell ref="B182:C182"/>
    <mergeCell ref="B183:C183"/>
    <mergeCell ref="B184:C184"/>
    <mergeCell ref="B185:C185"/>
    <mergeCell ref="B174:C174"/>
    <mergeCell ref="B175:C175"/>
    <mergeCell ref="B176:C176"/>
    <mergeCell ref="B177:C177"/>
    <mergeCell ref="B178:C178"/>
    <mergeCell ref="B179:C179"/>
    <mergeCell ref="B192:C192"/>
    <mergeCell ref="B193:C193"/>
    <mergeCell ref="B194:C194"/>
    <mergeCell ref="B195:C195"/>
    <mergeCell ref="B196:C196"/>
    <mergeCell ref="B197:C197"/>
    <mergeCell ref="B186:C186"/>
    <mergeCell ref="B187:C187"/>
    <mergeCell ref="B188:C188"/>
    <mergeCell ref="B189:C189"/>
    <mergeCell ref="B190:C190"/>
    <mergeCell ref="B191:C191"/>
    <mergeCell ref="B204:C204"/>
    <mergeCell ref="B205:C205"/>
    <mergeCell ref="B206:C206"/>
    <mergeCell ref="B207:C207"/>
    <mergeCell ref="B208:C208"/>
    <mergeCell ref="B209:C209"/>
    <mergeCell ref="B198:C198"/>
    <mergeCell ref="B199:C199"/>
    <mergeCell ref="B200:C200"/>
    <mergeCell ref="B201:C201"/>
    <mergeCell ref="B202:C202"/>
    <mergeCell ref="B203:C203"/>
    <mergeCell ref="B216:C216"/>
    <mergeCell ref="B217:C217"/>
    <mergeCell ref="B218:C218"/>
    <mergeCell ref="B219:C219"/>
    <mergeCell ref="B220:C220"/>
    <mergeCell ref="B221:C221"/>
    <mergeCell ref="B210:C210"/>
    <mergeCell ref="B211:C211"/>
    <mergeCell ref="B212:C212"/>
    <mergeCell ref="B213:C213"/>
    <mergeCell ref="B214:C214"/>
    <mergeCell ref="B215:C215"/>
    <mergeCell ref="B228:C228"/>
    <mergeCell ref="B229:C229"/>
    <mergeCell ref="B230:C230"/>
    <mergeCell ref="B231:C231"/>
    <mergeCell ref="B232:C232"/>
    <mergeCell ref="B233:C233"/>
    <mergeCell ref="B222:C222"/>
    <mergeCell ref="B223:C223"/>
    <mergeCell ref="B224:C224"/>
    <mergeCell ref="B225:C225"/>
    <mergeCell ref="B226:C226"/>
    <mergeCell ref="B227:C227"/>
    <mergeCell ref="B240:C240"/>
    <mergeCell ref="B241:C241"/>
    <mergeCell ref="B242:C242"/>
    <mergeCell ref="B243:C243"/>
    <mergeCell ref="B244:C244"/>
    <mergeCell ref="B245:C245"/>
    <mergeCell ref="B234:C234"/>
    <mergeCell ref="B235:C235"/>
    <mergeCell ref="B236:C236"/>
    <mergeCell ref="B237:C237"/>
    <mergeCell ref="B238:C238"/>
    <mergeCell ref="B239:C239"/>
    <mergeCell ref="B252:C252"/>
    <mergeCell ref="B253:C253"/>
    <mergeCell ref="B254:C254"/>
    <mergeCell ref="B255:C255"/>
    <mergeCell ref="B256:C256"/>
    <mergeCell ref="B257:C257"/>
    <mergeCell ref="B246:C246"/>
    <mergeCell ref="B247:C247"/>
    <mergeCell ref="B248:C248"/>
    <mergeCell ref="B249:C249"/>
    <mergeCell ref="B250:C250"/>
    <mergeCell ref="B251:C251"/>
    <mergeCell ref="B264:C264"/>
    <mergeCell ref="B265:C265"/>
    <mergeCell ref="B266:C266"/>
    <mergeCell ref="B267:C267"/>
    <mergeCell ref="B268:C268"/>
    <mergeCell ref="B269:C269"/>
    <mergeCell ref="B258:C258"/>
    <mergeCell ref="B259:C259"/>
    <mergeCell ref="B260:C260"/>
    <mergeCell ref="B261:C261"/>
    <mergeCell ref="B262:C262"/>
    <mergeCell ref="B263:C263"/>
    <mergeCell ref="B276:C276"/>
    <mergeCell ref="B277:C277"/>
    <mergeCell ref="B278:C278"/>
    <mergeCell ref="B279:C279"/>
    <mergeCell ref="B280:C280"/>
    <mergeCell ref="B281:C281"/>
    <mergeCell ref="B270:C270"/>
    <mergeCell ref="B271:C271"/>
    <mergeCell ref="B272:C272"/>
    <mergeCell ref="B273:C273"/>
    <mergeCell ref="B274:C274"/>
    <mergeCell ref="B275:C275"/>
    <mergeCell ref="B288:C288"/>
    <mergeCell ref="B289:C289"/>
    <mergeCell ref="B290:C290"/>
    <mergeCell ref="B291:C291"/>
    <mergeCell ref="B292:C292"/>
    <mergeCell ref="B293:C293"/>
    <mergeCell ref="B282:C282"/>
    <mergeCell ref="B283:C283"/>
    <mergeCell ref="B284:C284"/>
    <mergeCell ref="B285:C285"/>
    <mergeCell ref="B286:C286"/>
    <mergeCell ref="B287:C287"/>
    <mergeCell ref="B300:C300"/>
    <mergeCell ref="B301:C301"/>
    <mergeCell ref="B302:C302"/>
    <mergeCell ref="B303:C303"/>
    <mergeCell ref="B304:C304"/>
    <mergeCell ref="B305:C305"/>
    <mergeCell ref="B294:C294"/>
    <mergeCell ref="B295:C295"/>
    <mergeCell ref="B296:C296"/>
    <mergeCell ref="B297:C297"/>
    <mergeCell ref="B298:C298"/>
    <mergeCell ref="B299:C299"/>
    <mergeCell ref="B312:C312"/>
    <mergeCell ref="B313:C313"/>
    <mergeCell ref="B314:C314"/>
    <mergeCell ref="B315:C315"/>
    <mergeCell ref="B316:C316"/>
    <mergeCell ref="B317:C317"/>
    <mergeCell ref="B306:C306"/>
    <mergeCell ref="B307:C307"/>
    <mergeCell ref="B308:C308"/>
    <mergeCell ref="B309:C309"/>
    <mergeCell ref="B310:C310"/>
    <mergeCell ref="B311:C311"/>
    <mergeCell ref="B324:C324"/>
    <mergeCell ref="B325:C325"/>
    <mergeCell ref="B326:C326"/>
    <mergeCell ref="B327:C327"/>
    <mergeCell ref="B328:C328"/>
    <mergeCell ref="B329:C329"/>
    <mergeCell ref="B318:C318"/>
    <mergeCell ref="B319:C319"/>
    <mergeCell ref="B320:C320"/>
    <mergeCell ref="B321:C321"/>
    <mergeCell ref="B322:C322"/>
    <mergeCell ref="B323:C323"/>
    <mergeCell ref="B336:C336"/>
    <mergeCell ref="B337:C337"/>
    <mergeCell ref="B338:C338"/>
    <mergeCell ref="B339:C339"/>
    <mergeCell ref="B340:C340"/>
    <mergeCell ref="B341:C341"/>
    <mergeCell ref="B330:C330"/>
    <mergeCell ref="B331:C331"/>
    <mergeCell ref="B332:C332"/>
    <mergeCell ref="B333:C333"/>
    <mergeCell ref="B334:C334"/>
    <mergeCell ref="B335:C335"/>
    <mergeCell ref="B348:C348"/>
    <mergeCell ref="B349:C349"/>
    <mergeCell ref="B350:C350"/>
    <mergeCell ref="B351:C351"/>
    <mergeCell ref="B352:C352"/>
    <mergeCell ref="B353:C353"/>
    <mergeCell ref="B342:C342"/>
    <mergeCell ref="B343:C343"/>
    <mergeCell ref="B344:C344"/>
    <mergeCell ref="B345:C345"/>
    <mergeCell ref="B346:C346"/>
    <mergeCell ref="B347:C347"/>
    <mergeCell ref="B360:C360"/>
    <mergeCell ref="B361:C361"/>
    <mergeCell ref="B362:C362"/>
    <mergeCell ref="B363:C363"/>
    <mergeCell ref="B364:C364"/>
    <mergeCell ref="B365:C365"/>
    <mergeCell ref="B354:C354"/>
    <mergeCell ref="B355:C355"/>
    <mergeCell ref="B356:C356"/>
    <mergeCell ref="B357:C357"/>
    <mergeCell ref="B358:C358"/>
    <mergeCell ref="B359:C359"/>
    <mergeCell ref="B372:C372"/>
    <mergeCell ref="B373:C373"/>
    <mergeCell ref="B374:C374"/>
    <mergeCell ref="B375:C375"/>
    <mergeCell ref="B376:C376"/>
    <mergeCell ref="B377:C377"/>
    <mergeCell ref="B366:C366"/>
    <mergeCell ref="B367:C367"/>
    <mergeCell ref="B368:C368"/>
    <mergeCell ref="B369:C369"/>
    <mergeCell ref="B370:C370"/>
    <mergeCell ref="B371:C371"/>
    <mergeCell ref="B384:C384"/>
    <mergeCell ref="B385:C385"/>
    <mergeCell ref="B386:C386"/>
    <mergeCell ref="B387:C387"/>
    <mergeCell ref="B388:C388"/>
    <mergeCell ref="B389:C389"/>
    <mergeCell ref="B378:C378"/>
    <mergeCell ref="B379:C379"/>
    <mergeCell ref="B380:C380"/>
    <mergeCell ref="B381:C381"/>
    <mergeCell ref="B382:C382"/>
    <mergeCell ref="B383:C383"/>
    <mergeCell ref="B396:C396"/>
    <mergeCell ref="B397:C397"/>
    <mergeCell ref="B398:C398"/>
    <mergeCell ref="B399:C399"/>
    <mergeCell ref="B400:C400"/>
    <mergeCell ref="B401:C401"/>
    <mergeCell ref="B390:C390"/>
    <mergeCell ref="B391:C391"/>
    <mergeCell ref="B392:C392"/>
    <mergeCell ref="B393:C393"/>
    <mergeCell ref="B394:C394"/>
    <mergeCell ref="B395:C395"/>
    <mergeCell ref="B408:C408"/>
    <mergeCell ref="B409:C409"/>
    <mergeCell ref="B410:C410"/>
    <mergeCell ref="B411:C411"/>
    <mergeCell ref="B412:C412"/>
    <mergeCell ref="B413:C413"/>
    <mergeCell ref="B402:C402"/>
    <mergeCell ref="B403:C403"/>
    <mergeCell ref="B404:C404"/>
    <mergeCell ref="B405:C405"/>
    <mergeCell ref="B406:C406"/>
    <mergeCell ref="B407:C407"/>
    <mergeCell ref="B420:C420"/>
    <mergeCell ref="B421:C421"/>
    <mergeCell ref="B422:C422"/>
    <mergeCell ref="B423:C423"/>
    <mergeCell ref="B424:C424"/>
    <mergeCell ref="B425:C425"/>
    <mergeCell ref="B414:C414"/>
    <mergeCell ref="B415:C415"/>
    <mergeCell ref="B416:C416"/>
    <mergeCell ref="B417:C417"/>
    <mergeCell ref="B418:C418"/>
    <mergeCell ref="B419:C419"/>
    <mergeCell ref="B432:C432"/>
    <mergeCell ref="B433:C433"/>
    <mergeCell ref="B434:C434"/>
    <mergeCell ref="B435:C435"/>
    <mergeCell ref="B436:C436"/>
    <mergeCell ref="B437:C437"/>
    <mergeCell ref="B426:C426"/>
    <mergeCell ref="B427:C427"/>
    <mergeCell ref="B428:C428"/>
    <mergeCell ref="B429:C429"/>
    <mergeCell ref="B430:C430"/>
    <mergeCell ref="B431:C431"/>
    <mergeCell ref="B444:C444"/>
    <mergeCell ref="B445:C445"/>
    <mergeCell ref="B446:C446"/>
    <mergeCell ref="B447:C447"/>
    <mergeCell ref="B448:C448"/>
    <mergeCell ref="B449:C449"/>
    <mergeCell ref="B438:C438"/>
    <mergeCell ref="B439:C439"/>
    <mergeCell ref="B440:C440"/>
    <mergeCell ref="B441:C441"/>
    <mergeCell ref="B442:C442"/>
    <mergeCell ref="B443:C443"/>
    <mergeCell ref="B456:C456"/>
    <mergeCell ref="B457:C457"/>
    <mergeCell ref="B458:C458"/>
    <mergeCell ref="B459:C459"/>
    <mergeCell ref="B460:C460"/>
    <mergeCell ref="B461:C461"/>
    <mergeCell ref="B450:C450"/>
    <mergeCell ref="B451:C451"/>
    <mergeCell ref="B452:C452"/>
    <mergeCell ref="B453:C453"/>
    <mergeCell ref="B454:C454"/>
    <mergeCell ref="B455:C455"/>
    <mergeCell ref="B468:C468"/>
    <mergeCell ref="B469:C469"/>
    <mergeCell ref="B470:C470"/>
    <mergeCell ref="B471:C471"/>
    <mergeCell ref="B472:C472"/>
    <mergeCell ref="B473:C473"/>
    <mergeCell ref="B462:C462"/>
    <mergeCell ref="B463:C463"/>
    <mergeCell ref="B464:C464"/>
    <mergeCell ref="B465:C465"/>
    <mergeCell ref="B466:C466"/>
    <mergeCell ref="B467:C467"/>
    <mergeCell ref="B480:C480"/>
    <mergeCell ref="B481:C481"/>
    <mergeCell ref="B482:C482"/>
    <mergeCell ref="B483:C483"/>
    <mergeCell ref="B484:C484"/>
    <mergeCell ref="B485:C485"/>
    <mergeCell ref="B474:C474"/>
    <mergeCell ref="B475:C475"/>
    <mergeCell ref="B476:C476"/>
    <mergeCell ref="B477:C477"/>
    <mergeCell ref="B478:C478"/>
    <mergeCell ref="B479:C479"/>
    <mergeCell ref="B492:C492"/>
    <mergeCell ref="B493:C493"/>
    <mergeCell ref="B494:C494"/>
    <mergeCell ref="B495:C495"/>
    <mergeCell ref="B496:C496"/>
    <mergeCell ref="B497:C497"/>
    <mergeCell ref="B486:C486"/>
    <mergeCell ref="B487:C487"/>
    <mergeCell ref="B488:C488"/>
    <mergeCell ref="B489:C489"/>
    <mergeCell ref="B490:C490"/>
    <mergeCell ref="B491:C491"/>
    <mergeCell ref="B504:C504"/>
    <mergeCell ref="B505:C505"/>
    <mergeCell ref="B506:C506"/>
    <mergeCell ref="B507:C507"/>
    <mergeCell ref="B508:C508"/>
    <mergeCell ref="B509:C509"/>
    <mergeCell ref="B498:C498"/>
    <mergeCell ref="B499:C499"/>
    <mergeCell ref="B500:C500"/>
    <mergeCell ref="B501:C501"/>
    <mergeCell ref="B502:C502"/>
    <mergeCell ref="B503:C503"/>
    <mergeCell ref="B516:C516"/>
    <mergeCell ref="B517:C517"/>
    <mergeCell ref="B518:C518"/>
    <mergeCell ref="B519:C519"/>
    <mergeCell ref="B520:C520"/>
    <mergeCell ref="B521:C521"/>
    <mergeCell ref="B510:C510"/>
    <mergeCell ref="B511:C511"/>
    <mergeCell ref="B512:C512"/>
    <mergeCell ref="B513:C513"/>
    <mergeCell ref="B514:C514"/>
    <mergeCell ref="B515:C515"/>
    <mergeCell ref="B528:C528"/>
    <mergeCell ref="B529:C529"/>
    <mergeCell ref="B530:C530"/>
    <mergeCell ref="B531:C531"/>
    <mergeCell ref="B532:C532"/>
    <mergeCell ref="B533:C533"/>
    <mergeCell ref="B522:C522"/>
    <mergeCell ref="B523:C523"/>
    <mergeCell ref="B524:C524"/>
    <mergeCell ref="B525:C525"/>
    <mergeCell ref="B526:C526"/>
    <mergeCell ref="B527:C527"/>
    <mergeCell ref="B550:C550"/>
    <mergeCell ref="B551:C551"/>
    <mergeCell ref="B540:C540"/>
    <mergeCell ref="B541:C541"/>
    <mergeCell ref="B542:C542"/>
    <mergeCell ref="B543:C543"/>
    <mergeCell ref="B544:C544"/>
    <mergeCell ref="B545:C545"/>
    <mergeCell ref="B534:C534"/>
    <mergeCell ref="B535:C535"/>
    <mergeCell ref="B536:C536"/>
    <mergeCell ref="B537:C537"/>
    <mergeCell ref="B538:C538"/>
    <mergeCell ref="B539:C539"/>
    <mergeCell ref="J3:K3"/>
    <mergeCell ref="C6:D6"/>
    <mergeCell ref="B564:C564"/>
    <mergeCell ref="B565:C565"/>
    <mergeCell ref="B566:C566"/>
    <mergeCell ref="B567:C567"/>
    <mergeCell ref="B568:C568"/>
    <mergeCell ref="B569:C569"/>
    <mergeCell ref="B558:C558"/>
    <mergeCell ref="B559:C559"/>
    <mergeCell ref="B560:C560"/>
    <mergeCell ref="B561:C561"/>
    <mergeCell ref="B562:C562"/>
    <mergeCell ref="B563:C563"/>
    <mergeCell ref="B552:C552"/>
    <mergeCell ref="B553:C553"/>
    <mergeCell ref="B554:C554"/>
    <mergeCell ref="B555:C555"/>
    <mergeCell ref="B556:C556"/>
    <mergeCell ref="B557:C557"/>
    <mergeCell ref="B546:C546"/>
    <mergeCell ref="B547:C547"/>
    <mergeCell ref="B548:C548"/>
    <mergeCell ref="B549:C549"/>
  </mergeCells>
  <conditionalFormatting sqref="F11:F30">
    <cfRule type="cellIs" dxfId="23" priority="4" operator="equal">
      <formula>"AVANZADO"</formula>
    </cfRule>
    <cfRule type="cellIs" dxfId="22" priority="5" operator="equal">
      <formula>"INTERMEDIO"</formula>
    </cfRule>
    <cfRule type="cellIs" dxfId="21" priority="6" operator="equal">
      <formula>"INICIAL"</formula>
    </cfRule>
  </conditionalFormatting>
  <conditionalFormatting sqref="D9">
    <cfRule type="cellIs" dxfId="20" priority="2" operator="lessThan">
      <formula>7</formula>
    </cfRule>
    <cfRule type="cellIs" dxfId="19" priority="3" operator="lessThan">
      <formula>5</formula>
    </cfRule>
  </conditionalFormatting>
  <conditionalFormatting sqref="J3">
    <cfRule type="dataBar" priority="1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{55EC0118-F222-4F4A-9746-542F9DEA60B6}</x14:id>
        </ext>
      </extLst>
    </cfRule>
  </conditionalFormatting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Check Box 1">
              <controlPr defaultSize="0" autoFill="0" autoLine="0" autoPict="0">
                <anchor moveWithCells="1">
                  <from>
                    <xdr:col>10</xdr:col>
                    <xdr:colOff>9525</xdr:colOff>
                    <xdr:row>5</xdr:row>
                    <xdr:rowOff>238125</xdr:rowOff>
                  </from>
                  <to>
                    <xdr:col>10</xdr:col>
                    <xdr:colOff>314325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Check Box 2">
              <controlPr defaultSize="0" autoFill="0" autoLine="0" autoPict="0">
                <anchor moveWithCells="1">
                  <from>
                    <xdr:col>10</xdr:col>
                    <xdr:colOff>9525</xdr:colOff>
                    <xdr:row>6</xdr:row>
                    <xdr:rowOff>238125</xdr:rowOff>
                  </from>
                  <to>
                    <xdr:col>10</xdr:col>
                    <xdr:colOff>314325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Check Box 3">
              <controlPr defaultSize="0" autoFill="0" autoLine="0" autoPict="0">
                <anchor moveWithCells="1">
                  <from>
                    <xdr:col>10</xdr:col>
                    <xdr:colOff>9525</xdr:colOff>
                    <xdr:row>3</xdr:row>
                    <xdr:rowOff>0</xdr:rowOff>
                  </from>
                  <to>
                    <xdr:col>10</xdr:col>
                    <xdr:colOff>314325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Check Box 4">
              <controlPr defaultSize="0" autoFill="0" autoLine="0" autoPict="0">
                <anchor moveWithCells="1">
                  <from>
                    <xdr:col>10</xdr:col>
                    <xdr:colOff>9525</xdr:colOff>
                    <xdr:row>3</xdr:row>
                    <xdr:rowOff>238125</xdr:rowOff>
                  </from>
                  <to>
                    <xdr:col>10</xdr:col>
                    <xdr:colOff>314325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Check Box 5">
              <controlPr defaultSize="0" autoFill="0" autoLine="0" autoPict="0">
                <anchor moveWithCells="1">
                  <from>
                    <xdr:col>10</xdr:col>
                    <xdr:colOff>9525</xdr:colOff>
                    <xdr:row>4</xdr:row>
                    <xdr:rowOff>238125</xdr:rowOff>
                  </from>
                  <to>
                    <xdr:col>10</xdr:col>
                    <xdr:colOff>314325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Check Box 6">
              <controlPr defaultSize="0" autoFill="0" autoLine="0" autoPict="0">
                <anchor moveWithCells="1">
                  <from>
                    <xdr:col>10</xdr:col>
                    <xdr:colOff>9525</xdr:colOff>
                    <xdr:row>7</xdr:row>
                    <xdr:rowOff>238125</xdr:rowOff>
                  </from>
                  <to>
                    <xdr:col>10</xdr:col>
                    <xdr:colOff>314325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5EC0118-F222-4F4A-9746-542F9DEA60B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J3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6"/>
  <dimension ref="A1:AM109"/>
  <sheetViews>
    <sheetView zoomScale="80" zoomScaleNormal="80" workbookViewId="0">
      <selection activeCell="F5" sqref="F5:T5"/>
    </sheetView>
  </sheetViews>
  <sheetFormatPr baseColWidth="10" defaultColWidth="11.42578125" defaultRowHeight="15"/>
  <cols>
    <col min="1" max="1" width="3.28515625" customWidth="1" collapsed="1"/>
    <col min="2" max="2" width="19.85546875" customWidth="1" collapsed="1"/>
    <col min="3" max="3" width="18.140625" customWidth="1" collapsed="1"/>
    <col min="4" max="4" width="31.140625" customWidth="1" collapsed="1"/>
    <col min="5" max="5" width="35.7109375" customWidth="1" collapsed="1"/>
    <col min="6" max="14" width="2.7109375" customWidth="1" collapsed="1"/>
    <col min="15" max="19" width="3.42578125" bestFit="1" customWidth="1" collapsed="1"/>
    <col min="20" max="20" width="3.42578125" customWidth="1" collapsed="1"/>
    <col min="21" max="21" width="3.28515625" customWidth="1" collapsed="1"/>
    <col min="22" max="24" width="3.42578125" bestFit="1" customWidth="1" collapsed="1"/>
    <col min="25" max="25" width="6.42578125" customWidth="1" collapsed="1"/>
    <col min="26" max="26" width="6.140625" bestFit="1" customWidth="1" collapsed="1"/>
    <col min="27" max="27" width="43.5703125" customWidth="1" collapsed="1"/>
    <col min="28" max="28" width="78" bestFit="1" customWidth="1" collapsed="1"/>
    <col min="29" max="29" width="21.5703125" customWidth="1" collapsed="1"/>
    <col min="30" max="30" width="4.85546875" customWidth="1" collapsed="1"/>
    <col min="31" max="31" width="2.85546875" customWidth="1" collapsed="1"/>
    <col min="32" max="33" width="3.28515625" customWidth="1" collapsed="1"/>
    <col min="34" max="36" width="9.7109375" customWidth="1" collapsed="1"/>
    <col min="37" max="37" width="16.7109375" customWidth="1" collapsed="1"/>
    <col min="38" max="38" width="36.28515625" customWidth="1" collapsed="1"/>
    <col min="39" max="39" width="5.5703125" customWidth="1" collapsed="1"/>
    <col min="40" max="16384" width="11.42578125" collapsed="1"/>
  </cols>
  <sheetData>
    <row r="1" spans="1:39" ht="22.5">
      <c r="A1" s="1107" t="s">
        <v>6</v>
      </c>
      <c r="B1" s="1107"/>
      <c r="C1" s="1107"/>
      <c r="D1" s="1107"/>
      <c r="E1" s="1107"/>
      <c r="F1" s="1107"/>
      <c r="G1" s="1107"/>
      <c r="H1" s="1107"/>
      <c r="I1" s="1107"/>
      <c r="J1" s="1107"/>
      <c r="K1" s="1107"/>
      <c r="L1" s="1107"/>
      <c r="M1" s="1107"/>
      <c r="N1" s="1107"/>
      <c r="O1" s="1107"/>
      <c r="P1" s="1107"/>
      <c r="Q1" s="1107"/>
      <c r="R1" s="1107"/>
      <c r="S1" s="1107"/>
      <c r="T1" s="1107"/>
      <c r="U1" s="1107"/>
      <c r="V1" s="1107"/>
      <c r="W1" s="1107"/>
      <c r="X1" s="1107"/>
      <c r="Y1" s="1107"/>
      <c r="Z1" s="1107"/>
      <c r="AA1" s="1107"/>
      <c r="AB1" s="1107"/>
      <c r="AC1" s="1107"/>
      <c r="AD1" s="1107"/>
      <c r="AE1" s="1107"/>
      <c r="AF1" s="1107"/>
      <c r="AG1" s="1107"/>
      <c r="AI1" s="24"/>
      <c r="AK1" s="2"/>
      <c r="AL1" s="4"/>
      <c r="AM1" s="6"/>
    </row>
    <row r="2" spans="1:39" ht="22.5">
      <c r="A2" s="1108" t="s">
        <v>45</v>
      </c>
      <c r="B2" s="1108"/>
      <c r="C2" s="1108"/>
      <c r="D2" s="1108"/>
      <c r="E2" s="1108"/>
      <c r="F2" s="1108"/>
      <c r="G2" s="1108"/>
      <c r="H2" s="1108"/>
      <c r="I2" s="1108"/>
      <c r="J2" s="1108"/>
      <c r="K2" s="1108"/>
      <c r="L2" s="1108"/>
      <c r="M2" s="1108"/>
      <c r="N2" s="1108"/>
      <c r="O2" s="1108"/>
      <c r="P2" s="1108"/>
      <c r="Q2" s="1108"/>
      <c r="R2" s="1108"/>
      <c r="S2" s="1108"/>
      <c r="T2" s="1108"/>
      <c r="U2" s="1108"/>
      <c r="V2" s="1108"/>
      <c r="W2" s="1108"/>
      <c r="X2" s="1108"/>
      <c r="Y2" s="1108"/>
      <c r="Z2" s="1108"/>
      <c r="AA2" s="1108"/>
      <c r="AB2" s="1108"/>
      <c r="AC2" s="1108"/>
      <c r="AD2" s="1108"/>
      <c r="AE2" s="1108"/>
      <c r="AF2" s="58"/>
      <c r="AG2" s="58"/>
      <c r="AH2" s="1109"/>
      <c r="AI2" s="1109"/>
      <c r="AJ2" s="23"/>
      <c r="AK2" s="2"/>
      <c r="AL2" s="4"/>
      <c r="AM2" s="6"/>
    </row>
    <row r="3" spans="1:39" ht="16.5" thickBot="1">
      <c r="A3" s="1110" t="s">
        <v>7</v>
      </c>
      <c r="B3" s="1110"/>
      <c r="C3" s="1110"/>
      <c r="D3" s="1110"/>
      <c r="E3" s="71" t="s">
        <v>24</v>
      </c>
      <c r="F3" s="1100"/>
      <c r="G3" s="1100"/>
      <c r="H3" s="1100"/>
      <c r="I3" s="1100"/>
      <c r="J3" s="1100"/>
      <c r="K3" s="1100"/>
      <c r="L3" s="59"/>
      <c r="M3" s="59"/>
      <c r="N3" s="59"/>
      <c r="O3" s="60"/>
      <c r="P3" s="61"/>
      <c r="Q3" s="61"/>
      <c r="R3" s="61"/>
      <c r="S3" s="61"/>
      <c r="T3" s="61"/>
      <c r="U3" s="62"/>
      <c r="V3" s="62"/>
      <c r="W3" s="62"/>
      <c r="X3" s="62"/>
      <c r="Y3" s="62"/>
      <c r="Z3" s="62"/>
      <c r="AA3" s="62"/>
      <c r="AB3" s="62"/>
      <c r="AC3" s="62"/>
      <c r="AD3" s="62"/>
      <c r="AE3" s="62"/>
      <c r="AF3" s="62"/>
      <c r="AG3" s="62"/>
      <c r="AH3" s="1109"/>
      <c r="AI3" s="1109"/>
      <c r="AJ3" s="23"/>
      <c r="AK3" s="2"/>
      <c r="AL3" s="4"/>
      <c r="AM3" s="2"/>
    </row>
    <row r="4" spans="1:39" ht="15.75">
      <c r="A4" s="1099" t="s">
        <v>8</v>
      </c>
      <c r="B4" s="1099"/>
      <c r="C4" s="1099"/>
      <c r="D4" s="1099"/>
      <c r="E4" s="70">
        <v>2</v>
      </c>
      <c r="F4" s="1100"/>
      <c r="G4" s="1100"/>
      <c r="H4" s="1100"/>
      <c r="I4" s="1100"/>
      <c r="J4" s="1100"/>
      <c r="K4" s="63"/>
      <c r="L4" s="63"/>
      <c r="M4" s="63"/>
      <c r="N4" s="63"/>
      <c r="O4" s="63"/>
      <c r="P4" s="63"/>
      <c r="Q4" s="63"/>
      <c r="R4" s="62"/>
      <c r="S4" s="62"/>
      <c r="T4" s="62"/>
      <c r="U4" s="62"/>
      <c r="V4" s="1101" t="s">
        <v>1</v>
      </c>
      <c r="W4" s="1102"/>
      <c r="X4" s="1102"/>
      <c r="Y4" s="64" t="s">
        <v>43</v>
      </c>
      <c r="Z4" s="65"/>
      <c r="AA4" s="62"/>
      <c r="AB4" s="62"/>
      <c r="AC4" s="62"/>
      <c r="AD4" s="62"/>
      <c r="AE4" s="62"/>
      <c r="AF4" s="62"/>
      <c r="AG4" s="62"/>
      <c r="AH4" s="74"/>
      <c r="AI4" s="74"/>
      <c r="AJ4" s="23"/>
      <c r="AK4" s="2"/>
      <c r="AL4" s="4"/>
      <c r="AM4" s="2"/>
    </row>
    <row r="5" spans="1:39" ht="16.5" thickBot="1">
      <c r="A5" s="1103" t="s">
        <v>9</v>
      </c>
      <c r="B5" s="1103"/>
      <c r="C5" s="1103"/>
      <c r="D5" s="1103"/>
      <c r="E5" s="72" t="s">
        <v>46</v>
      </c>
      <c r="F5" s="1104"/>
      <c r="G5" s="1104"/>
      <c r="H5" s="1104"/>
      <c r="I5" s="1104"/>
      <c r="J5" s="1104"/>
      <c r="K5" s="1104"/>
      <c r="L5" s="1104"/>
      <c r="M5" s="1104"/>
      <c r="N5" s="1104"/>
      <c r="O5" s="1104"/>
      <c r="P5" s="1104"/>
      <c r="Q5" s="1104"/>
      <c r="R5" s="1104"/>
      <c r="S5" s="1104"/>
      <c r="T5" s="1104"/>
      <c r="U5" s="66"/>
      <c r="V5" s="1105" t="s">
        <v>10</v>
      </c>
      <c r="W5" s="1106"/>
      <c r="X5" s="1106"/>
      <c r="Y5" s="67">
        <f>MAX($A$16:$A$55)-COUNTIF($E$16:$E$55,"")</f>
        <v>40</v>
      </c>
      <c r="Z5" s="68"/>
      <c r="AA5" s="69"/>
      <c r="AB5" s="69"/>
      <c r="AC5" s="69"/>
      <c r="AD5" s="69"/>
      <c r="AE5" s="62"/>
      <c r="AF5" s="62"/>
      <c r="AG5" s="62"/>
      <c r="AH5" s="1109"/>
      <c r="AI5" s="1109"/>
      <c r="AJ5" s="23"/>
      <c r="AK5" s="2"/>
      <c r="AL5" s="4"/>
      <c r="AM5" s="2"/>
    </row>
    <row r="6" spans="1:39" ht="15.75">
      <c r="A6" s="1103" t="s">
        <v>11</v>
      </c>
      <c r="B6" s="1103"/>
      <c r="C6" s="1103"/>
      <c r="D6" s="1103"/>
      <c r="E6" s="72" t="s">
        <v>47</v>
      </c>
      <c r="F6" s="1111"/>
      <c r="G6" s="1111"/>
      <c r="H6" s="1111"/>
      <c r="I6" s="1111"/>
      <c r="J6" s="1111"/>
      <c r="K6" s="1111"/>
      <c r="L6" s="1111"/>
      <c r="M6" s="1111"/>
      <c r="N6" s="1111"/>
      <c r="O6" s="1111"/>
      <c r="P6" s="1111"/>
      <c r="Q6" s="1111"/>
      <c r="R6" s="1111"/>
      <c r="S6" s="1111"/>
      <c r="T6" s="73"/>
      <c r="U6" s="73"/>
      <c r="V6" s="73"/>
      <c r="X6" s="3"/>
      <c r="Y6" s="3"/>
      <c r="Z6" s="3"/>
      <c r="AA6" s="3"/>
      <c r="AB6" s="3"/>
      <c r="AC6" s="3"/>
      <c r="AD6" s="3"/>
      <c r="AE6" s="2"/>
      <c r="AF6" s="2"/>
      <c r="AG6" s="2"/>
      <c r="AH6" s="74"/>
      <c r="AI6" s="74"/>
      <c r="AJ6" s="23"/>
      <c r="AK6" s="2"/>
      <c r="AL6" s="4"/>
      <c r="AM6" s="2"/>
    </row>
    <row r="7" spans="1:39" ht="18.75">
      <c r="A7" s="1110" t="s">
        <v>44</v>
      </c>
      <c r="B7" s="1112"/>
      <c r="C7" s="1112"/>
      <c r="D7" s="1112"/>
      <c r="E7" s="71" t="s">
        <v>40</v>
      </c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2"/>
      <c r="S7" s="2"/>
      <c r="T7" s="2"/>
      <c r="U7" s="2"/>
      <c r="V7" s="2"/>
      <c r="W7" s="2"/>
      <c r="X7" s="2"/>
      <c r="Y7" s="2"/>
      <c r="Z7" s="2"/>
      <c r="AA7" s="27" t="s">
        <v>13</v>
      </c>
      <c r="AB7" s="28"/>
      <c r="AC7" s="2"/>
      <c r="AD7" s="2"/>
      <c r="AE7" s="2"/>
      <c r="AF7" s="2"/>
      <c r="AG7" s="2"/>
      <c r="AH7" s="1113"/>
      <c r="AI7" s="1113"/>
      <c r="AJ7" s="5"/>
      <c r="AK7" s="2"/>
      <c r="AL7" s="4"/>
      <c r="AM7" s="2"/>
    </row>
    <row r="8" spans="1:39" ht="21">
      <c r="A8" s="1114"/>
      <c r="B8" s="1114"/>
      <c r="C8" s="1114"/>
      <c r="D8" s="1114"/>
      <c r="E8" s="78"/>
      <c r="F8" s="826"/>
      <c r="G8" s="826"/>
      <c r="H8" s="826"/>
      <c r="I8" s="826"/>
      <c r="J8" s="826"/>
      <c r="K8" s="826"/>
      <c r="L8" s="826"/>
      <c r="M8" s="826"/>
      <c r="N8" s="826"/>
      <c r="O8" s="826"/>
      <c r="P8" s="826"/>
      <c r="Q8" s="826"/>
      <c r="R8" s="2"/>
      <c r="S8" s="1115"/>
      <c r="T8" s="1115"/>
      <c r="U8" s="1115"/>
      <c r="V8" s="1115"/>
      <c r="W8" s="1115"/>
      <c r="X8" s="1115"/>
      <c r="Y8" s="1115"/>
      <c r="Z8" s="75"/>
      <c r="AA8" s="17" t="s">
        <v>3</v>
      </c>
      <c r="AB8" s="18"/>
      <c r="AC8" s="75"/>
      <c r="AD8" s="75"/>
      <c r="AE8" s="2"/>
      <c r="AF8" s="2"/>
      <c r="AG8" s="2"/>
      <c r="AH8" s="1116"/>
      <c r="AI8" s="1116"/>
      <c r="AJ8" s="77"/>
      <c r="AK8" s="2"/>
      <c r="AL8" s="2"/>
      <c r="AM8" s="2"/>
    </row>
    <row r="9" spans="1:39" ht="15.75" customHeight="1">
      <c r="A9" s="2"/>
      <c r="B9" s="2"/>
      <c r="C9" s="2"/>
      <c r="D9" s="2"/>
      <c r="E9" s="2"/>
      <c r="F9" s="806"/>
      <c r="G9" s="806"/>
      <c r="H9" s="806"/>
      <c r="I9" s="806"/>
      <c r="J9" s="1117"/>
      <c r="K9" s="1117"/>
      <c r="L9" s="1117"/>
      <c r="M9" s="1117"/>
      <c r="N9" s="1117"/>
      <c r="O9" s="1117"/>
      <c r="P9" s="1117"/>
      <c r="Q9" s="1117"/>
      <c r="R9" s="2"/>
      <c r="S9" s="1118"/>
      <c r="T9" s="1118"/>
      <c r="U9" s="1118"/>
      <c r="V9" s="1118"/>
      <c r="W9" s="1118"/>
      <c r="X9" s="1118"/>
      <c r="Y9" s="1118"/>
      <c r="Z9" s="76"/>
      <c r="AA9" s="19" t="s">
        <v>4</v>
      </c>
      <c r="AB9" s="20"/>
      <c r="AC9" s="76"/>
      <c r="AD9" s="76"/>
      <c r="AE9" s="2"/>
      <c r="AF9" s="2"/>
      <c r="AG9" s="2"/>
      <c r="AH9" s="1119"/>
      <c r="AI9" s="1119"/>
      <c r="AJ9" s="1119"/>
      <c r="AK9" s="2"/>
      <c r="AL9" s="2"/>
      <c r="AM9" s="2"/>
    </row>
    <row r="10" spans="1:39">
      <c r="A10" s="2"/>
      <c r="B10" s="2"/>
      <c r="C10" s="2"/>
      <c r="D10" s="2"/>
      <c r="E10" s="2"/>
      <c r="F10" s="826"/>
      <c r="G10" s="826"/>
      <c r="H10" s="826"/>
      <c r="I10" s="826"/>
      <c r="J10" s="826"/>
      <c r="K10" s="826"/>
      <c r="L10" s="826"/>
      <c r="M10" s="826"/>
      <c r="N10" s="826"/>
      <c r="O10" s="826"/>
      <c r="P10" s="826"/>
      <c r="Q10" s="826"/>
      <c r="R10" s="2"/>
      <c r="S10" s="870"/>
      <c r="T10" s="870"/>
      <c r="U10" s="870"/>
      <c r="V10" s="870"/>
      <c r="W10" s="870"/>
      <c r="X10" s="870"/>
      <c r="Y10" s="870"/>
      <c r="Z10" s="11"/>
      <c r="AA10" s="21" t="s">
        <v>12</v>
      </c>
      <c r="AB10" s="22"/>
      <c r="AC10" s="13"/>
      <c r="AD10" s="11"/>
      <c r="AE10" s="2"/>
      <c r="AF10" s="2"/>
      <c r="AG10" s="2"/>
      <c r="AH10" s="76"/>
      <c r="AI10" s="76"/>
      <c r="AJ10" s="76"/>
      <c r="AK10" s="2"/>
      <c r="AL10" s="2"/>
      <c r="AM10" s="2"/>
    </row>
    <row r="11" spans="1:39" ht="15.75" customHeight="1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15" t="s">
        <v>5</v>
      </c>
      <c r="AB11" s="16"/>
      <c r="AC11" s="2"/>
      <c r="AD11" s="2"/>
      <c r="AE11" s="2"/>
      <c r="AF11" s="2"/>
      <c r="AG11" s="2"/>
      <c r="AH11" s="23"/>
      <c r="AI11" s="23"/>
      <c r="AJ11" s="23"/>
      <c r="AK11" s="3"/>
      <c r="AL11" s="3"/>
      <c r="AM11" s="2"/>
    </row>
    <row r="12" spans="1:39" ht="15.75" thickBot="1">
      <c r="A12" s="37"/>
      <c r="B12" s="13" t="s">
        <v>28</v>
      </c>
      <c r="C12" s="37"/>
      <c r="D12" s="13" t="s">
        <v>31</v>
      </c>
      <c r="E12" s="11" t="s">
        <v>29</v>
      </c>
      <c r="F12" s="34" t="s">
        <v>30</v>
      </c>
      <c r="G12" s="2"/>
      <c r="H12" s="34"/>
      <c r="I12" s="2"/>
      <c r="J12" s="2"/>
      <c r="K12" s="2"/>
      <c r="L12" s="2"/>
      <c r="M12" s="34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</row>
    <row r="13" spans="1:39" ht="16.5" customHeight="1" thickBot="1">
      <c r="A13" s="1120" t="s">
        <v>17</v>
      </c>
      <c r="B13" s="1121"/>
      <c r="C13" s="1121"/>
      <c r="D13" s="1121"/>
      <c r="E13" s="35"/>
      <c r="F13" s="1124" t="s">
        <v>19</v>
      </c>
      <c r="G13" s="1125"/>
      <c r="H13" s="1125"/>
      <c r="I13" s="1125"/>
      <c r="J13" s="1125"/>
      <c r="K13" s="1125"/>
      <c r="L13" s="1125"/>
      <c r="M13" s="1125"/>
      <c r="N13" s="1125"/>
      <c r="O13" s="1125"/>
      <c r="P13" s="1125"/>
      <c r="Q13" s="1125"/>
      <c r="R13" s="1125"/>
      <c r="S13" s="1125"/>
      <c r="T13" s="1125"/>
      <c r="U13" s="1125"/>
      <c r="V13" s="1125"/>
      <c r="W13" s="1125"/>
      <c r="X13" s="1125"/>
      <c r="Y13" s="1126"/>
      <c r="Z13" s="11"/>
      <c r="AA13" s="11">
        <f>COLUMN()</f>
        <v>27</v>
      </c>
      <c r="AB13" s="11">
        <f>COLUMN()</f>
        <v>28</v>
      </c>
      <c r="AC13" s="11">
        <f>COLUMN()</f>
        <v>29</v>
      </c>
      <c r="AD13" s="11"/>
      <c r="AE13" s="2"/>
      <c r="AF13" s="2"/>
      <c r="AG13" s="2"/>
      <c r="AH13" s="2"/>
      <c r="AI13" s="1116"/>
      <c r="AJ13" s="1116"/>
      <c r="AK13" s="1116"/>
      <c r="AL13" s="1116"/>
      <c r="AM13" s="2"/>
    </row>
    <row r="14" spans="1:39" ht="12.75" customHeight="1">
      <c r="A14" s="1122"/>
      <c r="B14" s="1123"/>
      <c r="C14" s="1123"/>
      <c r="D14" s="1123"/>
      <c r="E14" s="36"/>
      <c r="F14" s="1127">
        <v>1</v>
      </c>
      <c r="G14" s="1127">
        <v>2</v>
      </c>
      <c r="H14" s="1127">
        <v>3</v>
      </c>
      <c r="I14" s="1127">
        <v>4</v>
      </c>
      <c r="J14" s="1127">
        <v>5</v>
      </c>
      <c r="K14" s="1127">
        <v>6</v>
      </c>
      <c r="L14" s="1127">
        <v>7</v>
      </c>
      <c r="M14" s="1127">
        <v>8</v>
      </c>
      <c r="N14" s="1127">
        <v>9</v>
      </c>
      <c r="O14" s="1127">
        <v>10</v>
      </c>
      <c r="P14" s="1127">
        <v>11</v>
      </c>
      <c r="Q14" s="1127">
        <v>12</v>
      </c>
      <c r="R14" s="1127">
        <v>13</v>
      </c>
      <c r="S14" s="1127">
        <v>14</v>
      </c>
      <c r="T14" s="1127">
        <v>15</v>
      </c>
      <c r="U14" s="1127">
        <v>16</v>
      </c>
      <c r="V14" s="1127">
        <v>17</v>
      </c>
      <c r="W14" s="1127">
        <v>18</v>
      </c>
      <c r="X14" s="1127">
        <v>19</v>
      </c>
      <c r="Y14" s="1127">
        <v>20</v>
      </c>
      <c r="Z14" s="1129" t="s">
        <v>16</v>
      </c>
      <c r="AA14" s="1131" t="s">
        <v>13</v>
      </c>
      <c r="AB14" s="1131" t="s">
        <v>14</v>
      </c>
      <c r="AC14" s="1133" t="s">
        <v>15</v>
      </c>
      <c r="AD14" s="11"/>
      <c r="AE14" s="2"/>
      <c r="AF14" s="2"/>
      <c r="AG14" s="2"/>
      <c r="AH14" s="2"/>
      <c r="AI14" s="2"/>
      <c r="AJ14" s="2"/>
      <c r="AK14" s="2"/>
      <c r="AL14" s="2"/>
      <c r="AM14" s="2"/>
    </row>
    <row r="15" spans="1:39" ht="17.25" customHeight="1" thickBot="1">
      <c r="A15" s="31"/>
      <c r="B15" s="31" t="s">
        <v>25</v>
      </c>
      <c r="C15" s="31" t="s">
        <v>25</v>
      </c>
      <c r="D15" s="31" t="s">
        <v>26</v>
      </c>
      <c r="E15" s="31" t="s">
        <v>27</v>
      </c>
      <c r="F15" s="1128"/>
      <c r="G15" s="1128"/>
      <c r="H15" s="1128"/>
      <c r="I15" s="1128"/>
      <c r="J15" s="1128"/>
      <c r="K15" s="1128"/>
      <c r="L15" s="1128"/>
      <c r="M15" s="1128"/>
      <c r="N15" s="1128"/>
      <c r="O15" s="1128"/>
      <c r="P15" s="1128"/>
      <c r="Q15" s="1128"/>
      <c r="R15" s="1128"/>
      <c r="S15" s="1128"/>
      <c r="T15" s="1128"/>
      <c r="U15" s="1128"/>
      <c r="V15" s="1128"/>
      <c r="W15" s="1128"/>
      <c r="X15" s="1128"/>
      <c r="Y15" s="1128"/>
      <c r="Z15" s="1130"/>
      <c r="AA15" s="1132"/>
      <c r="AB15" s="1132"/>
      <c r="AC15" s="1134"/>
      <c r="AD15" s="11"/>
      <c r="AE15" s="2"/>
      <c r="AF15" s="2"/>
      <c r="AG15" s="2"/>
      <c r="AH15" s="2"/>
      <c r="AI15" s="2"/>
      <c r="AJ15" s="2"/>
      <c r="AK15" s="2"/>
      <c r="AL15" s="2"/>
      <c r="AM15" s="2"/>
    </row>
    <row r="16" spans="1:39" ht="18" customHeight="1" thickBot="1">
      <c r="A16" s="29">
        <v>1</v>
      </c>
      <c r="B16" s="32">
        <f>IFERROR(VLOOKUP(A16,'REGISTRO DATOS'!B:H,2,0),"")</f>
        <v>0</v>
      </c>
      <c r="C16" s="30">
        <f>IFERROR(VLOOKUP(A16,'REGISTRO DATOS'!B:H,3,0),"")</f>
        <v>0</v>
      </c>
      <c r="D16" s="30" t="str">
        <f>IFERROR(VLOOKUP(A16,'REGISTRO DATOS'!B:H,4,0),"")</f>
        <v>MARIANELA</v>
      </c>
      <c r="E16" s="33" t="str">
        <f>IFERROR(VLOOKUP(A16,'REGISTRO DATOS'!B:I,8,0),"")</f>
        <v>@est.mep.go.cr</v>
      </c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1">
        <f t="shared" ref="Z16:Z55" si="0">(SUM(F16:Y16))*100/($AM$16)</f>
        <v>0</v>
      </c>
      <c r="AA16" s="14" t="s">
        <v>4</v>
      </c>
      <c r="AB16" s="56" t="s">
        <v>48</v>
      </c>
      <c r="AC16" s="57" t="s">
        <v>50</v>
      </c>
      <c r="AD16" s="12"/>
      <c r="AE16" s="2"/>
      <c r="AF16" s="2"/>
      <c r="AG16" s="2"/>
      <c r="AH16" s="2"/>
      <c r="AI16" s="2"/>
      <c r="AJ16" s="2"/>
      <c r="AK16" s="2"/>
      <c r="AL16" s="25" t="s">
        <v>0</v>
      </c>
      <c r="AM16" s="10">
        <f>SUM(AM20:AM64)</f>
        <v>12</v>
      </c>
    </row>
    <row r="17" spans="1:39" ht="18" customHeight="1" thickBot="1">
      <c r="A17" s="7">
        <v>2</v>
      </c>
      <c r="B17" s="49">
        <f>IFERROR(VLOOKUP(A17,'REGISTRO DATOS'!B:H,2,0),"")</f>
        <v>0</v>
      </c>
      <c r="C17" s="50">
        <f>IFERROR(VLOOKUP(A17,'REGISTRO DATOS'!B:H,3,0),"")</f>
        <v>0</v>
      </c>
      <c r="D17" s="50" t="str">
        <f>IFERROR(VLOOKUP(A17,'REGISTRO DATOS'!B:H,4,0),"")</f>
        <v>GENESIS</v>
      </c>
      <c r="E17" s="51" t="str">
        <f>IFERROR(VLOOKUP(A17,'REGISTRO DATOS'!B:I,8,0),"")</f>
        <v>@est.mep.go.cr</v>
      </c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8">
        <f t="shared" si="0"/>
        <v>0</v>
      </c>
      <c r="AA17" s="14" t="s">
        <v>5</v>
      </c>
      <c r="AB17" s="53" t="s">
        <v>49</v>
      </c>
      <c r="AC17" s="54" t="s">
        <v>51</v>
      </c>
      <c r="AD17" s="12"/>
      <c r="AE17" s="2"/>
      <c r="AF17" s="1150" t="s">
        <v>2</v>
      </c>
      <c r="AG17" s="1151"/>
      <c r="AH17" s="1151"/>
      <c r="AI17" s="1151"/>
      <c r="AJ17" s="1151"/>
      <c r="AK17" s="1151"/>
      <c r="AL17" s="1151"/>
      <c r="AM17" s="1152"/>
    </row>
    <row r="18" spans="1:39" ht="18" customHeight="1" thickBot="1">
      <c r="A18" s="7">
        <v>3</v>
      </c>
      <c r="B18" s="32">
        <f>IFERROR(VLOOKUP(A18,'REGISTRO DATOS'!B:H,2,0),"")</f>
        <v>0</v>
      </c>
      <c r="C18" s="30">
        <f>IFERROR(VLOOKUP(A18,'REGISTRO DATOS'!B:H,3,0),"")</f>
        <v>0</v>
      </c>
      <c r="D18" s="30" t="str">
        <f>IFERROR(VLOOKUP(A18,'REGISTRO DATOS'!B:H,4,0),"")</f>
        <v>EILEEN</v>
      </c>
      <c r="E18" s="33" t="str">
        <f>IFERROR(VLOOKUP(A18,'REGISTRO DATOS'!B:I,8,0),"")</f>
        <v>@est.mep.go.cr</v>
      </c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1">
        <f t="shared" si="0"/>
        <v>0</v>
      </c>
      <c r="AA18" s="14" t="s">
        <v>4</v>
      </c>
      <c r="AB18" s="14"/>
      <c r="AC18" s="26"/>
      <c r="AD18" s="12"/>
      <c r="AE18" s="2"/>
      <c r="AF18" s="38"/>
      <c r="AG18" s="39"/>
      <c r="AH18" s="39"/>
      <c r="AI18" s="39"/>
      <c r="AJ18" s="39"/>
      <c r="AK18" s="39"/>
      <c r="AL18" s="39"/>
      <c r="AM18" s="45"/>
    </row>
    <row r="19" spans="1:39" ht="18" customHeight="1" thickBot="1">
      <c r="A19" s="29">
        <v>4</v>
      </c>
      <c r="B19" s="49">
        <f>IFERROR(VLOOKUP(A19,'REGISTRO DATOS'!B:H,2,0),"")</f>
        <v>0</v>
      </c>
      <c r="C19" s="50">
        <f>IFERROR(VLOOKUP(A19,'REGISTRO DATOS'!B:H,3,0),"")</f>
        <v>0</v>
      </c>
      <c r="D19" s="50" t="str">
        <f>IFERROR(VLOOKUP(A19,'REGISTRO DATOS'!B:H,4,0),"")</f>
        <v>CINDEL</v>
      </c>
      <c r="E19" s="51" t="str">
        <f>IFERROR(VLOOKUP(A19,'REGISTRO DATOS'!B:I,8,0),"")</f>
        <v>@est.mep.go.cr</v>
      </c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1">
        <f t="shared" si="0"/>
        <v>0</v>
      </c>
      <c r="AA19" s="14" t="s">
        <v>4</v>
      </c>
      <c r="AB19" s="53"/>
      <c r="AC19" s="54"/>
      <c r="AD19" s="12"/>
      <c r="AE19" s="2"/>
      <c r="AF19" s="38"/>
      <c r="AG19" s="39"/>
      <c r="AH19" s="39"/>
      <c r="AI19" s="39"/>
      <c r="AJ19" s="39"/>
      <c r="AK19" s="39"/>
      <c r="AL19" s="39"/>
      <c r="AM19" s="45"/>
    </row>
    <row r="20" spans="1:39" ht="18" customHeight="1" thickBot="1">
      <c r="A20" s="7">
        <v>5</v>
      </c>
      <c r="B20" s="32">
        <f>IFERROR(VLOOKUP(A20,'REGISTRO DATOS'!B:H,2,0),"")</f>
        <v>0</v>
      </c>
      <c r="C20" s="30">
        <f>IFERROR(VLOOKUP(A20,'REGISTRO DATOS'!B:H,3,0),"")</f>
        <v>0</v>
      </c>
      <c r="D20" s="30" t="str">
        <f>IFERROR(VLOOKUP(A20,'REGISTRO DATOS'!B:H,4,0),"")</f>
        <v>NANCY</v>
      </c>
      <c r="E20" s="33" t="str">
        <f>IFERROR(VLOOKUP(A20,'REGISTRO DATOS'!B:I,8,0),"")</f>
        <v>@est.mep.go.cr</v>
      </c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1">
        <f t="shared" si="0"/>
        <v>0</v>
      </c>
      <c r="AA20" s="14" t="s">
        <v>5</v>
      </c>
      <c r="AB20" s="14"/>
      <c r="AC20" s="26"/>
      <c r="AD20" s="12"/>
      <c r="AE20" s="2"/>
      <c r="AF20" s="1135">
        <f>$F$14</f>
        <v>1</v>
      </c>
      <c r="AG20" s="1138" t="str">
        <f>'Indicadores + Descripción'!B12</f>
        <v>CAMINAR</v>
      </c>
      <c r="AH20" s="1139"/>
      <c r="AI20" s="1139"/>
      <c r="AJ20" s="1139"/>
      <c r="AK20" s="1140"/>
      <c r="AL20" s="40" t="s">
        <v>32</v>
      </c>
      <c r="AM20" s="1148">
        <v>3</v>
      </c>
    </row>
    <row r="21" spans="1:39" ht="18" customHeight="1" thickBot="1">
      <c r="A21" s="7">
        <v>6</v>
      </c>
      <c r="B21" s="49">
        <f>IFERROR(VLOOKUP(A21,'REGISTRO DATOS'!B:H,2,0),"")</f>
        <v>0</v>
      </c>
      <c r="C21" s="50">
        <f>IFERROR(VLOOKUP(A21,'REGISTRO DATOS'!B:H,3,0),"")</f>
        <v>0</v>
      </c>
      <c r="D21" s="50" t="str">
        <f>IFERROR(VLOOKUP(A21,'REGISTRO DATOS'!B:H,4,0),"")</f>
        <v>MARIANA</v>
      </c>
      <c r="E21" s="51" t="str">
        <f>IFERROR(VLOOKUP(A21,'REGISTRO DATOS'!B:I,8,0),"")</f>
        <v>@est.mep.go.cr</v>
      </c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1">
        <f t="shared" si="0"/>
        <v>0</v>
      </c>
      <c r="AA21" s="53" t="s">
        <v>5</v>
      </c>
      <c r="AB21" s="53"/>
      <c r="AC21" s="54"/>
      <c r="AD21" s="12"/>
      <c r="AE21" s="2"/>
      <c r="AF21" s="1136"/>
      <c r="AG21" s="1141"/>
      <c r="AH21" s="1142"/>
      <c r="AI21" s="1142"/>
      <c r="AJ21" s="1142"/>
      <c r="AK21" s="1143"/>
      <c r="AL21" s="41" t="s">
        <v>33</v>
      </c>
      <c r="AM21" s="1148"/>
    </row>
    <row r="22" spans="1:39" ht="18" customHeight="1" thickBot="1">
      <c r="A22" s="29">
        <v>7</v>
      </c>
      <c r="B22" s="32" t="str">
        <f>IFERROR(VLOOKUP(A22,'REGISTRO DATOS'!B:H,2,0),"")</f>
        <v xml:space="preserve">GONZALEZ </v>
      </c>
      <c r="C22" s="30" t="str">
        <f>IFERROR(VLOOKUP(A22,'REGISTRO DATOS'!B:H,3,0),"")</f>
        <v>CHAVARRIA</v>
      </c>
      <c r="D22" s="30" t="str">
        <f>IFERROR(VLOOKUP(A22,'REGISTRO DATOS'!B:H,4,0),"")</f>
        <v>STEPHANIE</v>
      </c>
      <c r="E22" s="33" t="str">
        <f>IFERROR(VLOOKUP(A22,'REGISTRO DATOS'!B:I,8,0),"")</f>
        <v>@est.mep.go.cr</v>
      </c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1">
        <f t="shared" si="0"/>
        <v>0</v>
      </c>
      <c r="AA22" s="14" t="s">
        <v>5</v>
      </c>
      <c r="AB22" s="14"/>
      <c r="AC22" s="26"/>
      <c r="AD22" s="12"/>
      <c r="AE22" s="2"/>
      <c r="AF22" s="1137"/>
      <c r="AG22" s="1144"/>
      <c r="AH22" s="1145"/>
      <c r="AI22" s="1145"/>
      <c r="AJ22" s="1145"/>
      <c r="AK22" s="1146"/>
      <c r="AL22" s="42" t="s">
        <v>34</v>
      </c>
      <c r="AM22" s="1149"/>
    </row>
    <row r="23" spans="1:39" ht="18" customHeight="1" thickBot="1">
      <c r="A23" s="7">
        <v>8</v>
      </c>
      <c r="B23" s="49">
        <f>IFERROR(VLOOKUP(A23,'REGISTRO DATOS'!B:H,2,0),"")</f>
        <v>0</v>
      </c>
      <c r="C23" s="50">
        <f>IFERROR(VLOOKUP(A23,'REGISTRO DATOS'!B:H,3,0),"")</f>
        <v>0</v>
      </c>
      <c r="D23" s="50" t="str">
        <f>IFERROR(VLOOKUP(A23,'REGISTRO DATOS'!B:H,4,0),"")</f>
        <v>YASCINI</v>
      </c>
      <c r="E23" s="51" t="str">
        <f>IFERROR(VLOOKUP(A23,'REGISTRO DATOS'!B:I,8,0),"")</f>
        <v>@est.mep.go.cr</v>
      </c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1">
        <f t="shared" si="0"/>
        <v>0</v>
      </c>
      <c r="AA23" s="53" t="s">
        <v>5</v>
      </c>
      <c r="AB23" s="53"/>
      <c r="AC23" s="54"/>
      <c r="AD23" s="12"/>
      <c r="AE23" s="2"/>
      <c r="AF23" s="1135">
        <f>$G$14</f>
        <v>2</v>
      </c>
      <c r="AG23" s="1138">
        <f>'Indicadores + Descripción'!B15</f>
        <v>0</v>
      </c>
      <c r="AH23" s="1139"/>
      <c r="AI23" s="1139"/>
      <c r="AJ23" s="1139"/>
      <c r="AK23" s="1140"/>
      <c r="AL23" s="40" t="s">
        <v>32</v>
      </c>
      <c r="AM23" s="1147">
        <v>3</v>
      </c>
    </row>
    <row r="24" spans="1:39" ht="18" customHeight="1" thickBot="1">
      <c r="A24" s="7">
        <v>9</v>
      </c>
      <c r="B24" s="32" t="str">
        <f>IFERROR(VLOOKUP(A24,'REGISTRO DATOS'!B:H,2,0),"")</f>
        <v>CUBILLO</v>
      </c>
      <c r="C24" s="30">
        <f>IFERROR(VLOOKUP(A24,'REGISTRO DATOS'!B:H,3,0),"")</f>
        <v>0</v>
      </c>
      <c r="D24" s="30" t="str">
        <f>IFERROR(VLOOKUP(A24,'REGISTRO DATOS'!B:H,4,0),"")</f>
        <v xml:space="preserve">DYLAN </v>
      </c>
      <c r="E24" s="33" t="str">
        <f>IFERROR(VLOOKUP(A24,'REGISTRO DATOS'!B:I,8,0),"")</f>
        <v>@est.mep.go.cr</v>
      </c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1">
        <f t="shared" si="0"/>
        <v>0</v>
      </c>
      <c r="AA24" s="14" t="s">
        <v>5</v>
      </c>
      <c r="AB24" s="14"/>
      <c r="AC24" s="26"/>
      <c r="AD24" s="12"/>
      <c r="AE24" s="2"/>
      <c r="AF24" s="1136"/>
      <c r="AG24" s="1141"/>
      <c r="AH24" s="1142"/>
      <c r="AI24" s="1142"/>
      <c r="AJ24" s="1142"/>
      <c r="AK24" s="1143"/>
      <c r="AL24" s="41" t="s">
        <v>33</v>
      </c>
      <c r="AM24" s="1148"/>
    </row>
    <row r="25" spans="1:39" ht="18" customHeight="1" thickBot="1">
      <c r="A25" s="29">
        <v>10</v>
      </c>
      <c r="B25" s="49">
        <f>IFERROR(VLOOKUP(A25,'REGISTRO DATOS'!B:H,2,0),"")</f>
        <v>0</v>
      </c>
      <c r="C25" s="50">
        <f>IFERROR(VLOOKUP(A25,'REGISTRO DATOS'!B:H,3,0),"")</f>
        <v>0</v>
      </c>
      <c r="D25" s="50" t="str">
        <f>IFERROR(VLOOKUP(A25,'REGISTRO DATOS'!B:H,4,0),"")</f>
        <v>KATTYA</v>
      </c>
      <c r="E25" s="51" t="str">
        <f>IFERROR(VLOOKUP(A25,'REGISTRO DATOS'!B:I,8,0),"")</f>
        <v>@est.mep.go.cr</v>
      </c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1">
        <f t="shared" si="0"/>
        <v>0</v>
      </c>
      <c r="AA25" s="53" t="s">
        <v>5</v>
      </c>
      <c r="AB25" s="53"/>
      <c r="AC25" s="54"/>
      <c r="AD25" s="12"/>
      <c r="AE25" s="2"/>
      <c r="AF25" s="1137"/>
      <c r="AG25" s="1144"/>
      <c r="AH25" s="1145"/>
      <c r="AI25" s="1145"/>
      <c r="AJ25" s="1145"/>
      <c r="AK25" s="1146"/>
      <c r="AL25" s="42" t="s">
        <v>34</v>
      </c>
      <c r="AM25" s="1149"/>
    </row>
    <row r="26" spans="1:39" ht="18" customHeight="1" thickBot="1">
      <c r="A26" s="7">
        <v>11</v>
      </c>
      <c r="B26" s="32" t="str">
        <f>IFERROR(VLOOKUP(A26,'REGISTRO DATOS'!B:H,2,0),"")</f>
        <v>BRIZUELA</v>
      </c>
      <c r="C26" s="30">
        <f>IFERROR(VLOOKUP(A26,'REGISTRO DATOS'!B:H,3,0),"")</f>
        <v>0</v>
      </c>
      <c r="D26" s="30" t="str">
        <f>IFERROR(VLOOKUP(A26,'REGISTRO DATOS'!B:H,4,0),"")</f>
        <v>FABIOLA</v>
      </c>
      <c r="E26" s="33" t="str">
        <f>IFERROR(VLOOKUP(A26,'REGISTRO DATOS'!B:I,8,0),"")</f>
        <v>@est.mep.go.cr</v>
      </c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1">
        <f t="shared" si="0"/>
        <v>0</v>
      </c>
      <c r="AA26" s="14" t="s">
        <v>5</v>
      </c>
      <c r="AB26" s="14"/>
      <c r="AC26" s="26"/>
      <c r="AD26" s="12"/>
      <c r="AE26" s="2"/>
      <c r="AF26" s="1135">
        <f>$H$14</f>
        <v>3</v>
      </c>
      <c r="AG26" s="1138">
        <f>'Indicadores + Descripción'!B18</f>
        <v>0</v>
      </c>
      <c r="AH26" s="1139"/>
      <c r="AI26" s="1139"/>
      <c r="AJ26" s="1139"/>
      <c r="AK26" s="1140"/>
      <c r="AL26" s="40" t="s">
        <v>32</v>
      </c>
      <c r="AM26" s="1147">
        <v>3</v>
      </c>
    </row>
    <row r="27" spans="1:39" ht="18" customHeight="1" thickBot="1">
      <c r="A27" s="7">
        <v>12</v>
      </c>
      <c r="B27" s="49">
        <f>IFERROR(VLOOKUP(A27,'REGISTRO DATOS'!B:H,2,0),"")</f>
        <v>0</v>
      </c>
      <c r="C27" s="50">
        <f>IFERROR(VLOOKUP(A27,'REGISTRO DATOS'!B:H,3,0),"")</f>
        <v>0</v>
      </c>
      <c r="D27" s="50" t="str">
        <f>IFERROR(VLOOKUP(A27,'REGISTRO DATOS'!B:H,4,0),"")</f>
        <v>DARIANA</v>
      </c>
      <c r="E27" s="51" t="str">
        <f>IFERROR(VLOOKUP(A27,'REGISTRO DATOS'!B:I,8,0),"")</f>
        <v>@est.mep.go.cr</v>
      </c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1">
        <f t="shared" si="0"/>
        <v>0</v>
      </c>
      <c r="AA27" s="53" t="s">
        <v>5</v>
      </c>
      <c r="AB27" s="53"/>
      <c r="AC27" s="54"/>
      <c r="AD27" s="12"/>
      <c r="AE27" s="2"/>
      <c r="AF27" s="1136"/>
      <c r="AG27" s="1141"/>
      <c r="AH27" s="1142"/>
      <c r="AI27" s="1142"/>
      <c r="AJ27" s="1142"/>
      <c r="AK27" s="1143"/>
      <c r="AL27" s="41" t="s">
        <v>33</v>
      </c>
      <c r="AM27" s="1148"/>
    </row>
    <row r="28" spans="1:39" ht="18" customHeight="1" thickBot="1">
      <c r="A28" s="29">
        <v>13</v>
      </c>
      <c r="B28" s="32">
        <f>IFERROR(VLOOKUP(A28,'REGISTRO DATOS'!B:H,2,0),"")</f>
        <v>0</v>
      </c>
      <c r="C28" s="30">
        <f>IFERROR(VLOOKUP(A28,'REGISTRO DATOS'!B:H,3,0),"")</f>
        <v>0</v>
      </c>
      <c r="D28" s="30" t="str">
        <f>IFERROR(VLOOKUP(A28,'REGISTRO DATOS'!B:H,4,0),"")</f>
        <v>JENIFER</v>
      </c>
      <c r="E28" s="33" t="str">
        <f>IFERROR(VLOOKUP(A28,'REGISTRO DATOS'!B:I,8,0),"")</f>
        <v>@est.mep.go.cr</v>
      </c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1">
        <f t="shared" si="0"/>
        <v>0</v>
      </c>
      <c r="AA28" s="14" t="s">
        <v>5</v>
      </c>
      <c r="AB28" s="14"/>
      <c r="AC28" s="26"/>
      <c r="AD28" s="12"/>
      <c r="AE28" s="2"/>
      <c r="AF28" s="1137"/>
      <c r="AG28" s="1144"/>
      <c r="AH28" s="1145"/>
      <c r="AI28" s="1145"/>
      <c r="AJ28" s="1145"/>
      <c r="AK28" s="1146"/>
      <c r="AL28" s="42" t="s">
        <v>34</v>
      </c>
      <c r="AM28" s="1149"/>
    </row>
    <row r="29" spans="1:39" ht="18" customHeight="1" thickBot="1">
      <c r="A29" s="52">
        <v>14</v>
      </c>
      <c r="B29" s="49">
        <f>IFERROR(VLOOKUP(A29,'REGISTRO DATOS'!B:H,2,0),"")</f>
        <v>0</v>
      </c>
      <c r="C29" s="50">
        <f>IFERROR(VLOOKUP(A29,'REGISTRO DATOS'!B:H,3,0),"")</f>
        <v>0</v>
      </c>
      <c r="D29" s="50" t="str">
        <f>IFERROR(VLOOKUP(A29,'REGISTRO DATOS'!B:H,4,0),"")</f>
        <v>GABRIELA</v>
      </c>
      <c r="E29" s="51" t="str">
        <f>IFERROR(VLOOKUP(A29,'REGISTRO DATOS'!B:I,8,0),"")</f>
        <v>@est.mep.go.cr</v>
      </c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8">
        <f t="shared" si="0"/>
        <v>0</v>
      </c>
      <c r="AA29" s="53" t="s">
        <v>5</v>
      </c>
      <c r="AB29" s="53"/>
      <c r="AC29" s="54"/>
      <c r="AD29" s="12"/>
      <c r="AE29" s="2"/>
      <c r="AF29" s="1135">
        <f>$I$14</f>
        <v>4</v>
      </c>
      <c r="AG29" s="1138">
        <f>'Indicadores + Descripción'!B21</f>
        <v>0</v>
      </c>
      <c r="AH29" s="1139"/>
      <c r="AI29" s="1139"/>
      <c r="AJ29" s="1139"/>
      <c r="AK29" s="1140"/>
      <c r="AL29" s="40" t="s">
        <v>32</v>
      </c>
      <c r="AM29" s="1147">
        <v>3</v>
      </c>
    </row>
    <row r="30" spans="1:39" ht="18" customHeight="1" thickBot="1">
      <c r="A30" s="7">
        <v>15</v>
      </c>
      <c r="B30" s="32" t="str">
        <f>IFERROR(VLOOKUP(A30,'REGISTRO DATOS'!B:H,2,0),"")</f>
        <v xml:space="preserve">SERRANO </v>
      </c>
      <c r="C30" s="30" t="str">
        <f>IFERROR(VLOOKUP(A30,'REGISTRO DATOS'!B:H,3,0),"")</f>
        <v>VILLEGAS</v>
      </c>
      <c r="D30" s="30" t="str">
        <f>IFERROR(VLOOKUP(A30,'REGISTRO DATOS'!B:H,4,0),"")</f>
        <v xml:space="preserve">DYLAN </v>
      </c>
      <c r="E30" s="33" t="str">
        <f>IFERROR(VLOOKUP(A30,'REGISTRO DATOS'!B:I,8,0),"")</f>
        <v>@est.mep.go.cr</v>
      </c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1">
        <f t="shared" si="0"/>
        <v>0</v>
      </c>
      <c r="AA30" s="14" t="s">
        <v>5</v>
      </c>
      <c r="AB30" s="14"/>
      <c r="AC30" s="26"/>
      <c r="AD30" s="12"/>
      <c r="AE30" s="2"/>
      <c r="AF30" s="1136"/>
      <c r="AG30" s="1141"/>
      <c r="AH30" s="1142"/>
      <c r="AI30" s="1142"/>
      <c r="AJ30" s="1142"/>
      <c r="AK30" s="1143"/>
      <c r="AL30" s="41" t="s">
        <v>33</v>
      </c>
      <c r="AM30" s="1148"/>
    </row>
    <row r="31" spans="1:39" ht="18" customHeight="1" thickBot="1">
      <c r="A31" s="55">
        <v>16</v>
      </c>
      <c r="B31" s="49">
        <f>IFERROR(VLOOKUP(A31,'REGISTRO DATOS'!B:H,2,0),"")</f>
        <v>0</v>
      </c>
      <c r="C31" s="50">
        <f>IFERROR(VLOOKUP(A31,'REGISTRO DATOS'!B:H,3,0),"")</f>
        <v>0</v>
      </c>
      <c r="D31" s="50" t="str">
        <f>IFERROR(VLOOKUP(A31,'REGISTRO DATOS'!B:H,4,0),"")</f>
        <v>ANA</v>
      </c>
      <c r="E31" s="51" t="str">
        <f>IFERROR(VLOOKUP(A31,'REGISTRO DATOS'!B:I,8,0),"")</f>
        <v>@est.mep.go.cr</v>
      </c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8">
        <f t="shared" si="0"/>
        <v>0</v>
      </c>
      <c r="AA31" s="53" t="s">
        <v>5</v>
      </c>
      <c r="AB31" s="53"/>
      <c r="AC31" s="54"/>
      <c r="AD31" s="12"/>
      <c r="AE31" s="2"/>
      <c r="AF31" s="1137"/>
      <c r="AG31" s="1144"/>
      <c r="AH31" s="1145"/>
      <c r="AI31" s="1145"/>
      <c r="AJ31" s="1145"/>
      <c r="AK31" s="1146"/>
      <c r="AL31" s="42" t="s">
        <v>34</v>
      </c>
      <c r="AM31" s="1149"/>
    </row>
    <row r="32" spans="1:39" ht="18" customHeight="1" thickBot="1">
      <c r="A32" s="7">
        <v>17</v>
      </c>
      <c r="B32" s="32" t="str">
        <f>IFERROR(VLOOKUP(A32,'REGISTRO DATOS'!B:H,2,0),"")</f>
        <v>QUIROS</v>
      </c>
      <c r="C32" s="30">
        <f>IFERROR(VLOOKUP(A32,'REGISTRO DATOS'!B:H,3,0),"")</f>
        <v>0</v>
      </c>
      <c r="D32" s="30" t="str">
        <f>IFERROR(VLOOKUP(A32,'REGISTRO DATOS'!B:H,4,0),"")</f>
        <v>ANDY</v>
      </c>
      <c r="E32" s="33" t="str">
        <f>IFERROR(VLOOKUP(A32,'REGISTRO DATOS'!B:I,8,0),"")</f>
        <v>@est.mep.go.cr</v>
      </c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1">
        <f t="shared" si="0"/>
        <v>0</v>
      </c>
      <c r="AA32" s="14" t="s">
        <v>5</v>
      </c>
      <c r="AB32" s="14"/>
      <c r="AC32" s="26"/>
      <c r="AD32" s="12"/>
      <c r="AE32" s="2"/>
      <c r="AF32" s="1135">
        <f>$J$14</f>
        <v>5</v>
      </c>
      <c r="AG32" s="1138">
        <f>'Indicadores + Descripción'!B24</f>
        <v>0</v>
      </c>
      <c r="AH32" s="1139"/>
      <c r="AI32" s="1139"/>
      <c r="AJ32" s="1139"/>
      <c r="AK32" s="1140"/>
      <c r="AL32" s="40" t="s">
        <v>32</v>
      </c>
      <c r="AM32" s="1147"/>
    </row>
    <row r="33" spans="1:39" ht="18" customHeight="1" thickBot="1">
      <c r="A33" s="52">
        <v>18</v>
      </c>
      <c r="B33" s="49" t="str">
        <f>IFERROR(VLOOKUP(A33,'REGISTRO DATOS'!B:H,2,0),"")</f>
        <v>RIVER</v>
      </c>
      <c r="C33" s="50">
        <f>IFERROR(VLOOKUP(A33,'REGISTRO DATOS'!B:H,3,0),"")</f>
        <v>0</v>
      </c>
      <c r="D33" s="50" t="str">
        <f>IFERROR(VLOOKUP(A33,'REGISTRO DATOS'!B:H,4,0),"")</f>
        <v>STEPHANIE</v>
      </c>
      <c r="E33" s="51" t="str">
        <f>IFERROR(VLOOKUP(A33,'REGISTRO DATOS'!B:I,8,0),"")</f>
        <v>@est.mep.go.cr</v>
      </c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8">
        <f t="shared" si="0"/>
        <v>0</v>
      </c>
      <c r="AA33" s="53" t="s">
        <v>5</v>
      </c>
      <c r="AB33" s="53"/>
      <c r="AC33" s="54"/>
      <c r="AD33" s="12"/>
      <c r="AE33" s="2"/>
      <c r="AF33" s="1136"/>
      <c r="AG33" s="1141"/>
      <c r="AH33" s="1142"/>
      <c r="AI33" s="1142"/>
      <c r="AJ33" s="1142"/>
      <c r="AK33" s="1143"/>
      <c r="AL33" s="41" t="s">
        <v>33</v>
      </c>
      <c r="AM33" s="1148"/>
    </row>
    <row r="34" spans="1:39" ht="18" customHeight="1" thickBot="1">
      <c r="A34" s="29">
        <v>19</v>
      </c>
      <c r="B34" s="32">
        <f>IFERROR(VLOOKUP(A34,'REGISTRO DATOS'!B:H,2,0),"")</f>
        <v>0</v>
      </c>
      <c r="C34" s="30" t="str">
        <f>IFERROR(VLOOKUP(A34,'REGISTRO DATOS'!B:H,3,0),"")</f>
        <v>FABIAN</v>
      </c>
      <c r="D34" s="30">
        <f>IFERROR(VLOOKUP(A34,'REGISTRO DATOS'!B:H,4,0),"")</f>
        <v>0</v>
      </c>
      <c r="E34" s="33" t="str">
        <f>IFERROR(VLOOKUP(A34,'REGISTRO DATOS'!B:I,8,0),"")</f>
        <v>@est.mep.go.cr</v>
      </c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1">
        <f t="shared" si="0"/>
        <v>0</v>
      </c>
      <c r="AA34" s="14" t="s">
        <v>5</v>
      </c>
      <c r="AB34" s="14"/>
      <c r="AC34" s="26"/>
      <c r="AD34" s="12"/>
      <c r="AE34" s="2"/>
      <c r="AF34" s="1137"/>
      <c r="AG34" s="1144"/>
      <c r="AH34" s="1145"/>
      <c r="AI34" s="1145"/>
      <c r="AJ34" s="1145"/>
      <c r="AK34" s="1146"/>
      <c r="AL34" s="42" t="s">
        <v>34</v>
      </c>
      <c r="AM34" s="1149"/>
    </row>
    <row r="35" spans="1:39" ht="18" customHeight="1" thickBot="1">
      <c r="A35" s="52">
        <v>20</v>
      </c>
      <c r="B35" s="49">
        <f>IFERROR(VLOOKUP(A35,'REGISTRO DATOS'!B:H,2,0),"")</f>
        <v>0</v>
      </c>
      <c r="C35" s="50" t="str">
        <f>IFERROR(VLOOKUP(A35,'REGISTRO DATOS'!B:H,3,0),"")</f>
        <v>EMILIN</v>
      </c>
      <c r="D35" s="50">
        <f>IFERROR(VLOOKUP(A35,'REGISTRO DATOS'!B:H,4,0),"")</f>
        <v>0</v>
      </c>
      <c r="E35" s="51" t="str">
        <f>IFERROR(VLOOKUP(A35,'REGISTRO DATOS'!B:I,8,0),"")</f>
        <v>@est.mep.go.cr</v>
      </c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1">
        <f t="shared" si="0"/>
        <v>0</v>
      </c>
      <c r="AA35" s="53" t="s">
        <v>5</v>
      </c>
      <c r="AB35" s="53"/>
      <c r="AC35" s="54"/>
      <c r="AD35" s="12"/>
      <c r="AE35" s="2"/>
      <c r="AF35" s="1135">
        <f>$K$14</f>
        <v>6</v>
      </c>
      <c r="AG35" s="1138">
        <f>'Indicadores + Descripción'!B27</f>
        <v>0</v>
      </c>
      <c r="AH35" s="1139"/>
      <c r="AI35" s="1139"/>
      <c r="AJ35" s="1139"/>
      <c r="AK35" s="1140"/>
      <c r="AL35" s="40" t="s">
        <v>32</v>
      </c>
      <c r="AM35" s="1147"/>
    </row>
    <row r="36" spans="1:39" ht="18" customHeight="1" thickBot="1">
      <c r="A36" s="7">
        <v>21</v>
      </c>
      <c r="B36" s="32">
        <f>IFERROR(VLOOKUP(A36,'REGISTRO DATOS'!B:H,2,0),"")</f>
        <v>0</v>
      </c>
      <c r="C36" s="30">
        <f>IFERROR(VLOOKUP(A36,'REGISTRO DATOS'!B:H,3,0),"")</f>
        <v>0</v>
      </c>
      <c r="D36" s="30">
        <f>IFERROR(VLOOKUP(A36,'REGISTRO DATOS'!B:H,4,0),"")</f>
        <v>0</v>
      </c>
      <c r="E36" s="33" t="str">
        <f>IFERROR(VLOOKUP(A36,'REGISTRO DATOS'!B:I,8,0),"")</f>
        <v>@est.mep.go.cr</v>
      </c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1">
        <f t="shared" si="0"/>
        <v>0</v>
      </c>
      <c r="AA36" s="14" t="s">
        <v>5</v>
      </c>
      <c r="AB36" s="14"/>
      <c r="AC36" s="26"/>
      <c r="AD36" s="12"/>
      <c r="AE36" s="2"/>
      <c r="AF36" s="1136"/>
      <c r="AG36" s="1141"/>
      <c r="AH36" s="1142"/>
      <c r="AI36" s="1142"/>
      <c r="AJ36" s="1142"/>
      <c r="AK36" s="1143"/>
      <c r="AL36" s="41" t="s">
        <v>33</v>
      </c>
      <c r="AM36" s="1148"/>
    </row>
    <row r="37" spans="1:39" ht="18" customHeight="1" thickBot="1">
      <c r="A37" s="55">
        <v>22</v>
      </c>
      <c r="B37" s="49">
        <f>IFERROR(VLOOKUP(A37,'REGISTRO DATOS'!B:H,2,0),"")</f>
        <v>0</v>
      </c>
      <c r="C37" s="50">
        <f>IFERROR(VLOOKUP(A37,'REGISTRO DATOS'!B:H,3,0),"")</f>
        <v>0</v>
      </c>
      <c r="D37" s="50">
        <f>IFERROR(VLOOKUP(A37,'REGISTRO DATOS'!B:H,4,0),"")</f>
        <v>0</v>
      </c>
      <c r="E37" s="51" t="str">
        <f>IFERROR(VLOOKUP(A37,'REGISTRO DATOS'!B:I,8,0),"")</f>
        <v>@est.mep.go.cr</v>
      </c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1">
        <f t="shared" si="0"/>
        <v>0</v>
      </c>
      <c r="AA37" s="53" t="s">
        <v>5</v>
      </c>
      <c r="AB37" s="53"/>
      <c r="AC37" s="54"/>
      <c r="AD37" s="12"/>
      <c r="AE37" s="2"/>
      <c r="AF37" s="1137"/>
      <c r="AG37" s="1144"/>
      <c r="AH37" s="1145"/>
      <c r="AI37" s="1145"/>
      <c r="AJ37" s="1145"/>
      <c r="AK37" s="1146"/>
      <c r="AL37" s="42" t="s">
        <v>34</v>
      </c>
      <c r="AM37" s="1149"/>
    </row>
    <row r="38" spans="1:39" ht="18" customHeight="1" thickBot="1">
      <c r="A38" s="7">
        <v>23</v>
      </c>
      <c r="B38" s="32">
        <f>IFERROR(VLOOKUP(A38,'REGISTRO DATOS'!B:H,2,0),"")</f>
        <v>0</v>
      </c>
      <c r="C38" s="30">
        <f>IFERROR(VLOOKUP(A38,'REGISTRO DATOS'!B:H,3,0),"")</f>
        <v>0</v>
      </c>
      <c r="D38" s="30">
        <f>IFERROR(VLOOKUP(A38,'REGISTRO DATOS'!B:H,4,0),"")</f>
        <v>0</v>
      </c>
      <c r="E38" s="33" t="str">
        <f>IFERROR(VLOOKUP(A38,'REGISTRO DATOS'!B:I,8,0),"")</f>
        <v>@est.mep.go.cr</v>
      </c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1">
        <f t="shared" si="0"/>
        <v>0</v>
      </c>
      <c r="AA38" s="14" t="s">
        <v>5</v>
      </c>
      <c r="AB38" s="14"/>
      <c r="AC38" s="26"/>
      <c r="AD38" s="12"/>
      <c r="AE38" s="2"/>
      <c r="AF38" s="1135">
        <f>$L$14</f>
        <v>7</v>
      </c>
      <c r="AG38" s="1138">
        <f>'Indicadores + Descripción'!B30</f>
        <v>0</v>
      </c>
      <c r="AH38" s="1139"/>
      <c r="AI38" s="1139"/>
      <c r="AJ38" s="1139"/>
      <c r="AK38" s="1140"/>
      <c r="AL38" s="40" t="s">
        <v>32</v>
      </c>
      <c r="AM38" s="1147"/>
    </row>
    <row r="39" spans="1:39" ht="18" customHeight="1" thickBot="1">
      <c r="A39" s="52">
        <v>24</v>
      </c>
      <c r="B39" s="49">
        <f>IFERROR(VLOOKUP(A39,'REGISTRO DATOS'!B:H,2,0),"")</f>
        <v>0</v>
      </c>
      <c r="C39" s="50">
        <f>IFERROR(VLOOKUP(A39,'REGISTRO DATOS'!B:H,3,0),"")</f>
        <v>0</v>
      </c>
      <c r="D39" s="50">
        <f>IFERROR(VLOOKUP(A39,'REGISTRO DATOS'!B:H,4,0),"")</f>
        <v>0</v>
      </c>
      <c r="E39" s="51" t="str">
        <f>IFERROR(VLOOKUP(A39,'REGISTRO DATOS'!B:I,8,0),"")</f>
        <v>@est.mep.go.cr</v>
      </c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1">
        <f t="shared" si="0"/>
        <v>0</v>
      </c>
      <c r="AA39" s="53" t="s">
        <v>5</v>
      </c>
      <c r="AB39" s="53"/>
      <c r="AC39" s="54"/>
      <c r="AD39" s="12"/>
      <c r="AE39" s="2"/>
      <c r="AF39" s="1136"/>
      <c r="AG39" s="1141"/>
      <c r="AH39" s="1142"/>
      <c r="AI39" s="1142"/>
      <c r="AJ39" s="1142"/>
      <c r="AK39" s="1143"/>
      <c r="AL39" s="41" t="s">
        <v>33</v>
      </c>
      <c r="AM39" s="1148"/>
    </row>
    <row r="40" spans="1:39" ht="18" customHeight="1" thickBot="1">
      <c r="A40" s="29">
        <v>25</v>
      </c>
      <c r="B40" s="32">
        <f>IFERROR(VLOOKUP(A40,'REGISTRO DATOS'!B:H,2,0),"")</f>
        <v>0</v>
      </c>
      <c r="C40" s="30">
        <f>IFERROR(VLOOKUP(A40,'REGISTRO DATOS'!B:H,3,0),"")</f>
        <v>0</v>
      </c>
      <c r="D40" s="30">
        <f>IFERROR(VLOOKUP(A40,'REGISTRO DATOS'!B:H,4,0),"")</f>
        <v>0</v>
      </c>
      <c r="E40" s="33" t="str">
        <f>IFERROR(VLOOKUP(A40,'REGISTRO DATOS'!B:I,8,0),"")</f>
        <v>@est.mep.go.cr</v>
      </c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1">
        <f t="shared" si="0"/>
        <v>0</v>
      </c>
      <c r="AA40" s="14" t="s">
        <v>5</v>
      </c>
      <c r="AB40" s="14"/>
      <c r="AC40" s="26"/>
      <c r="AD40" s="12"/>
      <c r="AE40" s="2"/>
      <c r="AF40" s="1137"/>
      <c r="AG40" s="1144"/>
      <c r="AH40" s="1145"/>
      <c r="AI40" s="1145"/>
      <c r="AJ40" s="1145"/>
      <c r="AK40" s="1146"/>
      <c r="AL40" s="42" t="s">
        <v>34</v>
      </c>
      <c r="AM40" s="1149"/>
    </row>
    <row r="41" spans="1:39" ht="18" customHeight="1" thickBot="1">
      <c r="A41" s="52">
        <v>26</v>
      </c>
      <c r="B41" s="49">
        <f>IFERROR(VLOOKUP(A41,'REGISTRO DATOS'!B:H,2,0),"")</f>
        <v>0</v>
      </c>
      <c r="C41" s="50">
        <f>IFERROR(VLOOKUP(A41,'REGISTRO DATOS'!B:H,3,0),"")</f>
        <v>0</v>
      </c>
      <c r="D41" s="50">
        <f>IFERROR(VLOOKUP(A41,'REGISTRO DATOS'!B:H,4,0),"")</f>
        <v>0</v>
      </c>
      <c r="E41" s="51" t="str">
        <f>IFERROR(VLOOKUP(A41,'REGISTRO DATOS'!B:I,8,0),"")</f>
        <v>@est.mep.go.cr</v>
      </c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1">
        <f t="shared" si="0"/>
        <v>0</v>
      </c>
      <c r="AA41" s="53" t="s">
        <v>5</v>
      </c>
      <c r="AB41" s="53"/>
      <c r="AC41" s="54"/>
      <c r="AD41" s="12"/>
      <c r="AE41" s="2"/>
      <c r="AF41" s="1135">
        <f>$M$14</f>
        <v>8</v>
      </c>
      <c r="AG41" s="1138">
        <f>'Indicadores + Descripción'!B33</f>
        <v>0</v>
      </c>
      <c r="AH41" s="1139"/>
      <c r="AI41" s="1139"/>
      <c r="AJ41" s="1139"/>
      <c r="AK41" s="1140"/>
      <c r="AL41" s="40" t="s">
        <v>32</v>
      </c>
      <c r="AM41" s="1147"/>
    </row>
    <row r="42" spans="1:39" ht="18" customHeight="1" thickBot="1">
      <c r="A42" s="7">
        <v>27</v>
      </c>
      <c r="B42" s="32">
        <f>IFERROR(VLOOKUP(A42,'REGISTRO DATOS'!B:H,2,0),"")</f>
        <v>0</v>
      </c>
      <c r="C42" s="30">
        <f>IFERROR(VLOOKUP(A42,'REGISTRO DATOS'!B:H,3,0),"")</f>
        <v>0</v>
      </c>
      <c r="D42" s="30">
        <f>IFERROR(VLOOKUP(A42,'REGISTRO DATOS'!B:H,4,0),"")</f>
        <v>0</v>
      </c>
      <c r="E42" s="33" t="str">
        <f>IFERROR(VLOOKUP(A42,'REGISTRO DATOS'!B:I,8,0),"")</f>
        <v>@est.mep.go.cr</v>
      </c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1">
        <f t="shared" si="0"/>
        <v>0</v>
      </c>
      <c r="AA42" s="14" t="s">
        <v>5</v>
      </c>
      <c r="AB42" s="14"/>
      <c r="AC42" s="26"/>
      <c r="AD42" s="12"/>
      <c r="AE42" s="2"/>
      <c r="AF42" s="1136"/>
      <c r="AG42" s="1141"/>
      <c r="AH42" s="1142"/>
      <c r="AI42" s="1142"/>
      <c r="AJ42" s="1142"/>
      <c r="AK42" s="1143"/>
      <c r="AL42" s="41" t="s">
        <v>33</v>
      </c>
      <c r="AM42" s="1148"/>
    </row>
    <row r="43" spans="1:39" ht="18" customHeight="1" thickBot="1">
      <c r="A43" s="55">
        <v>28</v>
      </c>
      <c r="B43" s="49">
        <f>IFERROR(VLOOKUP(A43,'REGISTRO DATOS'!B:H,2,0),"")</f>
        <v>0</v>
      </c>
      <c r="C43" s="50">
        <f>IFERROR(VLOOKUP(A43,'REGISTRO DATOS'!B:H,3,0),"")</f>
        <v>0</v>
      </c>
      <c r="D43" s="50">
        <f>IFERROR(VLOOKUP(A43,'REGISTRO DATOS'!B:H,4,0),"")</f>
        <v>0</v>
      </c>
      <c r="E43" s="51" t="str">
        <f>IFERROR(VLOOKUP(A43,'REGISTRO DATOS'!B:I,8,0),"")</f>
        <v>@est.mep.go.cr</v>
      </c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1">
        <f t="shared" si="0"/>
        <v>0</v>
      </c>
      <c r="AA43" s="53" t="s">
        <v>5</v>
      </c>
      <c r="AB43" s="53"/>
      <c r="AC43" s="54"/>
      <c r="AD43" s="12"/>
      <c r="AE43" s="2"/>
      <c r="AF43" s="1137"/>
      <c r="AG43" s="1144"/>
      <c r="AH43" s="1145"/>
      <c r="AI43" s="1145"/>
      <c r="AJ43" s="1145"/>
      <c r="AK43" s="1146"/>
      <c r="AL43" s="42" t="s">
        <v>34</v>
      </c>
      <c r="AM43" s="1149"/>
    </row>
    <row r="44" spans="1:39" ht="18" customHeight="1" thickBot="1">
      <c r="A44" s="7">
        <v>29</v>
      </c>
      <c r="B44" s="32">
        <f>IFERROR(VLOOKUP(A44,'REGISTRO DATOS'!B:H,2,0),"")</f>
        <v>0</v>
      </c>
      <c r="C44" s="30">
        <f>IFERROR(VLOOKUP(A44,'REGISTRO DATOS'!B:H,3,0),"")</f>
        <v>0</v>
      </c>
      <c r="D44" s="30">
        <f>IFERROR(VLOOKUP(A44,'REGISTRO DATOS'!B:H,4,0),"")</f>
        <v>0</v>
      </c>
      <c r="E44" s="33" t="str">
        <f>IFERROR(VLOOKUP(A44,'REGISTRO DATOS'!B:I,8,0),"")</f>
        <v>@est.mep.go.cr</v>
      </c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1">
        <f t="shared" si="0"/>
        <v>0</v>
      </c>
      <c r="AA44" s="14" t="s">
        <v>5</v>
      </c>
      <c r="AB44" s="14"/>
      <c r="AC44" s="26"/>
      <c r="AD44" s="12"/>
      <c r="AE44" s="2"/>
      <c r="AF44" s="1135">
        <f>$N$14</f>
        <v>9</v>
      </c>
      <c r="AG44" s="1138">
        <f>'Indicadores + Descripción'!B36</f>
        <v>0</v>
      </c>
      <c r="AH44" s="1139"/>
      <c r="AI44" s="1139"/>
      <c r="AJ44" s="1139"/>
      <c r="AK44" s="1140"/>
      <c r="AL44" s="40" t="s">
        <v>32</v>
      </c>
      <c r="AM44" s="1147"/>
    </row>
    <row r="45" spans="1:39" ht="18" customHeight="1" thickBot="1">
      <c r="A45" s="52">
        <v>30</v>
      </c>
      <c r="B45" s="49">
        <f>IFERROR(VLOOKUP(A45,'REGISTRO DATOS'!B:H,2,0),"")</f>
        <v>0</v>
      </c>
      <c r="C45" s="50">
        <f>IFERROR(VLOOKUP(A45,'REGISTRO DATOS'!B:H,3,0),"")</f>
        <v>0</v>
      </c>
      <c r="D45" s="50">
        <f>IFERROR(VLOOKUP(A45,'REGISTRO DATOS'!B:H,4,0),"")</f>
        <v>0</v>
      </c>
      <c r="E45" s="51" t="str">
        <f>IFERROR(VLOOKUP(A45,'REGISTRO DATOS'!B:I,8,0),"")</f>
        <v>@est.mep.go.cr</v>
      </c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1">
        <f t="shared" si="0"/>
        <v>0</v>
      </c>
      <c r="AA45" s="53" t="s">
        <v>5</v>
      </c>
      <c r="AB45" s="53"/>
      <c r="AC45" s="54"/>
      <c r="AD45" s="12"/>
      <c r="AE45" s="2"/>
      <c r="AF45" s="1136"/>
      <c r="AG45" s="1141"/>
      <c r="AH45" s="1142"/>
      <c r="AI45" s="1142"/>
      <c r="AJ45" s="1142"/>
      <c r="AK45" s="1143"/>
      <c r="AL45" s="41" t="s">
        <v>33</v>
      </c>
      <c r="AM45" s="1148"/>
    </row>
    <row r="46" spans="1:39" ht="18" customHeight="1" thickBot="1">
      <c r="A46" s="29">
        <v>31</v>
      </c>
      <c r="B46" s="32">
        <f>IFERROR(VLOOKUP(A46,'REGISTRO DATOS'!B:H,2,0),"")</f>
        <v>0</v>
      </c>
      <c r="C46" s="30">
        <f>IFERROR(VLOOKUP(A46,'REGISTRO DATOS'!B:H,3,0),"")</f>
        <v>0</v>
      </c>
      <c r="D46" s="30">
        <f>IFERROR(VLOOKUP(A46,'REGISTRO DATOS'!B:H,4,0),"")</f>
        <v>0</v>
      </c>
      <c r="E46" s="33" t="str">
        <f>IFERROR(VLOOKUP(A46,'REGISTRO DATOS'!B:I,8,0),"")</f>
        <v>@est.mep.go.cr</v>
      </c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1">
        <f t="shared" si="0"/>
        <v>0</v>
      </c>
      <c r="AA46" s="14" t="s">
        <v>5</v>
      </c>
      <c r="AB46" s="14"/>
      <c r="AC46" s="26"/>
      <c r="AD46" s="12"/>
      <c r="AE46" s="2"/>
      <c r="AF46" s="1137"/>
      <c r="AG46" s="1144"/>
      <c r="AH46" s="1145"/>
      <c r="AI46" s="1145"/>
      <c r="AJ46" s="1145"/>
      <c r="AK46" s="1146"/>
      <c r="AL46" s="42" t="s">
        <v>34</v>
      </c>
      <c r="AM46" s="1149"/>
    </row>
    <row r="47" spans="1:39" ht="18" customHeight="1" thickBot="1">
      <c r="A47" s="7">
        <v>32</v>
      </c>
      <c r="B47" s="49">
        <f>IFERROR(VLOOKUP(A47,'REGISTRO DATOS'!B:H,2,0),"")</f>
        <v>0</v>
      </c>
      <c r="C47" s="50">
        <f>IFERROR(VLOOKUP(A47,'REGISTRO DATOS'!B:H,3,0),"")</f>
        <v>0</v>
      </c>
      <c r="D47" s="50">
        <f>IFERROR(VLOOKUP(A47,'REGISTRO DATOS'!B:H,4,0),"")</f>
        <v>0</v>
      </c>
      <c r="E47" s="51" t="str">
        <f>IFERROR(VLOOKUP(A47,'REGISTRO DATOS'!B:I,8,0),"")</f>
        <v>@est.mep.go.cr</v>
      </c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1">
        <f t="shared" si="0"/>
        <v>0</v>
      </c>
      <c r="AA47" s="53" t="s">
        <v>5</v>
      </c>
      <c r="AB47" s="53"/>
      <c r="AC47" s="54"/>
      <c r="AD47" s="12"/>
      <c r="AE47" s="2"/>
      <c r="AF47" s="1135">
        <f>$O$14</f>
        <v>10</v>
      </c>
      <c r="AG47" s="1138">
        <f>'Indicadores + Descripción'!B39</f>
        <v>0</v>
      </c>
      <c r="AH47" s="1139"/>
      <c r="AI47" s="1139"/>
      <c r="AJ47" s="1139"/>
      <c r="AK47" s="1140"/>
      <c r="AL47" s="40" t="s">
        <v>32</v>
      </c>
      <c r="AM47" s="1147"/>
    </row>
    <row r="48" spans="1:39" ht="18" customHeight="1" thickBot="1">
      <c r="A48" s="7">
        <v>33</v>
      </c>
      <c r="B48" s="32">
        <f>IFERROR(VLOOKUP(A48,'REGISTRO DATOS'!B:H,2,0),"")</f>
        <v>0</v>
      </c>
      <c r="C48" s="30">
        <f>IFERROR(VLOOKUP(A48,'REGISTRO DATOS'!B:H,3,0),"")</f>
        <v>0</v>
      </c>
      <c r="D48" s="30">
        <f>IFERROR(VLOOKUP(A48,'REGISTRO DATOS'!B:H,4,0),"")</f>
        <v>0</v>
      </c>
      <c r="E48" s="33" t="str">
        <f>IFERROR(VLOOKUP(A48,'REGISTRO DATOS'!B:I,8,0),"")</f>
        <v>@est.mep.go.cr</v>
      </c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1">
        <f t="shared" si="0"/>
        <v>0</v>
      </c>
      <c r="AA48" s="14" t="s">
        <v>5</v>
      </c>
      <c r="AB48" s="14"/>
      <c r="AC48" s="26"/>
      <c r="AD48" s="12"/>
      <c r="AE48" s="2"/>
      <c r="AF48" s="1136"/>
      <c r="AG48" s="1141"/>
      <c r="AH48" s="1142"/>
      <c r="AI48" s="1142"/>
      <c r="AJ48" s="1142"/>
      <c r="AK48" s="1143"/>
      <c r="AL48" s="41" t="s">
        <v>33</v>
      </c>
      <c r="AM48" s="1148"/>
    </row>
    <row r="49" spans="1:39" ht="18" customHeight="1" thickBot="1">
      <c r="A49" s="55">
        <v>34</v>
      </c>
      <c r="B49" s="49">
        <f>IFERROR(VLOOKUP(A49,'REGISTRO DATOS'!B:H,2,0),"")</f>
        <v>0</v>
      </c>
      <c r="C49" s="50">
        <f>IFERROR(VLOOKUP(A49,'REGISTRO DATOS'!B:H,3,0),"")</f>
        <v>0</v>
      </c>
      <c r="D49" s="50">
        <f>IFERROR(VLOOKUP(A49,'REGISTRO DATOS'!B:H,4,0),"")</f>
        <v>0</v>
      </c>
      <c r="E49" s="51" t="str">
        <f>IFERROR(VLOOKUP(A49,'REGISTRO DATOS'!B:I,8,0),"")</f>
        <v>@est.mep.go.cr</v>
      </c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1">
        <f t="shared" si="0"/>
        <v>0</v>
      </c>
      <c r="AA49" s="53" t="s">
        <v>5</v>
      </c>
      <c r="AB49" s="53"/>
      <c r="AC49" s="54"/>
      <c r="AD49" s="12"/>
      <c r="AE49" s="2"/>
      <c r="AF49" s="1137"/>
      <c r="AG49" s="1144"/>
      <c r="AH49" s="1145"/>
      <c r="AI49" s="1145"/>
      <c r="AJ49" s="1145"/>
      <c r="AK49" s="1146"/>
      <c r="AL49" s="42" t="s">
        <v>34</v>
      </c>
      <c r="AM49" s="1149"/>
    </row>
    <row r="50" spans="1:39" ht="18" customHeight="1" thickBot="1">
      <c r="A50" s="7">
        <v>35</v>
      </c>
      <c r="B50" s="32">
        <f>IFERROR(VLOOKUP(A50,'REGISTRO DATOS'!B:H,2,0),"")</f>
        <v>0</v>
      </c>
      <c r="C50" s="30">
        <f>IFERROR(VLOOKUP(A50,'REGISTRO DATOS'!B:H,3,0),"")</f>
        <v>0</v>
      </c>
      <c r="D50" s="30">
        <f>IFERROR(VLOOKUP(A50,'REGISTRO DATOS'!B:H,4,0),"")</f>
        <v>0</v>
      </c>
      <c r="E50" s="33" t="str">
        <f>IFERROR(VLOOKUP(A50,'REGISTRO DATOS'!B:I,8,0),"")</f>
        <v>@est.mep.go.cr</v>
      </c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1">
        <f t="shared" si="0"/>
        <v>0</v>
      </c>
      <c r="AA50" s="14" t="s">
        <v>5</v>
      </c>
      <c r="AB50" s="14"/>
      <c r="AC50" s="26"/>
      <c r="AD50" s="12"/>
      <c r="AE50" s="2"/>
      <c r="AF50" s="1135">
        <f>$P$14</f>
        <v>11</v>
      </c>
      <c r="AG50" s="1138" t="e">
        <f>'Indicadores + Descripción'!#REF!</f>
        <v>#REF!</v>
      </c>
      <c r="AH50" s="1139"/>
      <c r="AI50" s="1139"/>
      <c r="AJ50" s="1139"/>
      <c r="AK50" s="1140"/>
      <c r="AL50" s="40" t="s">
        <v>32</v>
      </c>
      <c r="AM50" s="1147"/>
    </row>
    <row r="51" spans="1:39" ht="18" customHeight="1" thickBot="1">
      <c r="A51" s="52">
        <v>36</v>
      </c>
      <c r="B51" s="49">
        <f>IFERROR(VLOOKUP(A51,'REGISTRO DATOS'!B:H,2,0),"")</f>
        <v>0</v>
      </c>
      <c r="C51" s="50">
        <f>IFERROR(VLOOKUP(A51,'REGISTRO DATOS'!B:H,3,0),"")</f>
        <v>0</v>
      </c>
      <c r="D51" s="50">
        <f>IFERROR(VLOOKUP(A51,'REGISTRO DATOS'!B:H,4,0),"")</f>
        <v>0</v>
      </c>
      <c r="E51" s="51" t="str">
        <f>IFERROR(VLOOKUP(A51,'REGISTRO DATOS'!B:I,8,0),"")</f>
        <v>@est.mep.go.cr</v>
      </c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1">
        <f t="shared" si="0"/>
        <v>0</v>
      </c>
      <c r="AA51" s="53" t="s">
        <v>5</v>
      </c>
      <c r="AB51" s="53"/>
      <c r="AC51" s="54"/>
      <c r="AD51" s="12"/>
      <c r="AE51" s="2"/>
      <c r="AF51" s="1136"/>
      <c r="AG51" s="1141"/>
      <c r="AH51" s="1142"/>
      <c r="AI51" s="1142"/>
      <c r="AJ51" s="1142"/>
      <c r="AK51" s="1143"/>
      <c r="AL51" s="41" t="s">
        <v>33</v>
      </c>
      <c r="AM51" s="1148"/>
    </row>
    <row r="52" spans="1:39" ht="18" customHeight="1" thickBot="1">
      <c r="A52" s="29">
        <v>37</v>
      </c>
      <c r="B52" s="32">
        <f>IFERROR(VLOOKUP(A52,'REGISTRO DATOS'!B:H,2,0),"")</f>
        <v>0</v>
      </c>
      <c r="C52" s="30">
        <f>IFERROR(VLOOKUP(A52,'REGISTRO DATOS'!B:H,3,0),"")</f>
        <v>0</v>
      </c>
      <c r="D52" s="30">
        <f>IFERROR(VLOOKUP(A52,'REGISTRO DATOS'!B:H,4,0),"")</f>
        <v>0</v>
      </c>
      <c r="E52" s="33" t="str">
        <f>IFERROR(VLOOKUP(A52,'REGISTRO DATOS'!B:I,8,0),"")</f>
        <v>@est.mep.go.cr</v>
      </c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1">
        <f t="shared" si="0"/>
        <v>0</v>
      </c>
      <c r="AA52" s="14" t="s">
        <v>5</v>
      </c>
      <c r="AB52" s="14"/>
      <c r="AC52" s="26"/>
      <c r="AD52" s="12"/>
      <c r="AE52" s="2"/>
      <c r="AF52" s="1137"/>
      <c r="AG52" s="1144"/>
      <c r="AH52" s="1145"/>
      <c r="AI52" s="1145"/>
      <c r="AJ52" s="1145"/>
      <c r="AK52" s="1146"/>
      <c r="AL52" s="42" t="s">
        <v>34</v>
      </c>
      <c r="AM52" s="1149"/>
    </row>
    <row r="53" spans="1:39" ht="18" customHeight="1" thickBot="1">
      <c r="A53" s="52">
        <v>38</v>
      </c>
      <c r="B53" s="49">
        <f>IFERROR(VLOOKUP(A53,'REGISTRO DATOS'!B:H,2,0),"")</f>
        <v>0</v>
      </c>
      <c r="C53" s="50">
        <f>IFERROR(VLOOKUP(A53,'REGISTRO DATOS'!B:H,3,0),"")</f>
        <v>0</v>
      </c>
      <c r="D53" s="50">
        <f>IFERROR(VLOOKUP(A53,'REGISTRO DATOS'!B:H,4,0),"")</f>
        <v>0</v>
      </c>
      <c r="E53" s="51" t="str">
        <f>IFERROR(VLOOKUP(A53,'REGISTRO DATOS'!B:I,8,0),"")</f>
        <v>@est.mep.go.cr</v>
      </c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1">
        <f t="shared" si="0"/>
        <v>0</v>
      </c>
      <c r="AA53" s="53" t="s">
        <v>5</v>
      </c>
      <c r="AB53" s="53"/>
      <c r="AC53" s="54"/>
      <c r="AD53" s="12"/>
      <c r="AE53" s="2"/>
      <c r="AF53" s="1153">
        <f>$Q$14</f>
        <v>12</v>
      </c>
      <c r="AG53" s="1138" t="e">
        <f>'Indicadores + Descripción'!#REF!</f>
        <v>#REF!</v>
      </c>
      <c r="AH53" s="1139"/>
      <c r="AI53" s="1139"/>
      <c r="AJ53" s="1139"/>
      <c r="AK53" s="1140"/>
      <c r="AL53" s="40" t="s">
        <v>32</v>
      </c>
      <c r="AM53" s="1147"/>
    </row>
    <row r="54" spans="1:39" ht="18" customHeight="1" thickBot="1">
      <c r="A54" s="7">
        <v>39</v>
      </c>
      <c r="B54" s="32">
        <f>IFERROR(VLOOKUP(A54,'REGISTRO DATOS'!B:H,2,0),"")</f>
        <v>0</v>
      </c>
      <c r="C54" s="30">
        <f>IFERROR(VLOOKUP(A54,'REGISTRO DATOS'!B:H,3,0),"")</f>
        <v>0</v>
      </c>
      <c r="D54" s="30">
        <f>IFERROR(VLOOKUP(A54,'REGISTRO DATOS'!B:H,4,0),"")</f>
        <v>0</v>
      </c>
      <c r="E54" s="33" t="str">
        <f>IFERROR(VLOOKUP(A54,'REGISTRO DATOS'!B:I,8,0),"")</f>
        <v>@est.mep.go.cr</v>
      </c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1">
        <f t="shared" si="0"/>
        <v>0</v>
      </c>
      <c r="AA54" s="14" t="s">
        <v>5</v>
      </c>
      <c r="AB54" s="14"/>
      <c r="AC54" s="26"/>
      <c r="AD54" s="12"/>
      <c r="AE54" s="2"/>
      <c r="AF54" s="1154"/>
      <c r="AG54" s="1141"/>
      <c r="AH54" s="1142"/>
      <c r="AI54" s="1142"/>
      <c r="AJ54" s="1142"/>
      <c r="AK54" s="1143"/>
      <c r="AL54" s="41" t="s">
        <v>33</v>
      </c>
      <c r="AM54" s="1148"/>
    </row>
    <row r="55" spans="1:39" ht="18" customHeight="1" thickBot="1">
      <c r="A55" s="55">
        <v>40</v>
      </c>
      <c r="B55" s="49">
        <f>IFERROR(VLOOKUP(A55,'REGISTRO DATOS'!B:H,2,0),"")</f>
        <v>0</v>
      </c>
      <c r="C55" s="50">
        <f>IFERROR(VLOOKUP(A55,'REGISTRO DATOS'!B:H,3,0),"")</f>
        <v>0</v>
      </c>
      <c r="D55" s="50">
        <f>IFERROR(VLOOKUP(A55,'REGISTRO DATOS'!B:H,4,0),"")</f>
        <v>0</v>
      </c>
      <c r="E55" s="51" t="str">
        <f>IFERROR(VLOOKUP(A55,'REGISTRO DATOS'!B:I,8,0),"")</f>
        <v>@est.mep.go.cr</v>
      </c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1">
        <f t="shared" si="0"/>
        <v>0</v>
      </c>
      <c r="AA55" s="53" t="s">
        <v>5</v>
      </c>
      <c r="AB55" s="53"/>
      <c r="AC55" s="54"/>
      <c r="AD55" s="12"/>
      <c r="AE55" s="2"/>
      <c r="AF55" s="1155"/>
      <c r="AG55" s="1144"/>
      <c r="AH55" s="1145"/>
      <c r="AI55" s="1145"/>
      <c r="AJ55" s="1145"/>
      <c r="AK55" s="1146"/>
      <c r="AL55" s="42" t="s">
        <v>34</v>
      </c>
      <c r="AM55" s="1149"/>
    </row>
    <row r="56" spans="1:39" ht="18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1153">
        <f>$R$14</f>
        <v>13</v>
      </c>
      <c r="AG56" s="1138" t="e">
        <f>'Indicadores + Descripción'!#REF!</f>
        <v>#REF!</v>
      </c>
      <c r="AH56" s="1139"/>
      <c r="AI56" s="1139"/>
      <c r="AJ56" s="1139"/>
      <c r="AK56" s="1140"/>
      <c r="AL56" s="40" t="s">
        <v>32</v>
      </c>
      <c r="AM56" s="1147"/>
    </row>
    <row r="57" spans="1:39" ht="18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1154"/>
      <c r="AG57" s="1141"/>
      <c r="AH57" s="1142"/>
      <c r="AI57" s="1142"/>
      <c r="AJ57" s="1142"/>
      <c r="AK57" s="1143"/>
      <c r="AL57" s="41" t="s">
        <v>33</v>
      </c>
      <c r="AM57" s="1148"/>
    </row>
    <row r="58" spans="1:39" ht="18" customHeight="1" thickBo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1155"/>
      <c r="AG58" s="1144"/>
      <c r="AH58" s="1145"/>
      <c r="AI58" s="1145"/>
      <c r="AJ58" s="1145"/>
      <c r="AK58" s="1146"/>
      <c r="AL58" s="42" t="s">
        <v>34</v>
      </c>
      <c r="AM58" s="1149"/>
    </row>
    <row r="59" spans="1:39" ht="18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1153">
        <f>$S$14</f>
        <v>14</v>
      </c>
      <c r="AG59" s="1138" t="e">
        <f>'Indicadores + Descripción'!#REF!</f>
        <v>#REF!</v>
      </c>
      <c r="AH59" s="1139"/>
      <c r="AI59" s="1139"/>
      <c r="AJ59" s="1139"/>
      <c r="AK59" s="1140"/>
      <c r="AL59" s="40" t="s">
        <v>32</v>
      </c>
      <c r="AM59" s="1147"/>
    </row>
    <row r="60" spans="1:39" ht="18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1154"/>
      <c r="AG60" s="1141"/>
      <c r="AH60" s="1142"/>
      <c r="AI60" s="1142"/>
      <c r="AJ60" s="1142"/>
      <c r="AK60" s="1143"/>
      <c r="AL60" s="41" t="s">
        <v>33</v>
      </c>
      <c r="AM60" s="1148"/>
    </row>
    <row r="61" spans="1:39" ht="18" customHeight="1" thickBo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1155"/>
      <c r="AG61" s="1144"/>
      <c r="AH61" s="1145"/>
      <c r="AI61" s="1145"/>
      <c r="AJ61" s="1145"/>
      <c r="AK61" s="1146"/>
      <c r="AL61" s="42" t="s">
        <v>34</v>
      </c>
      <c r="AM61" s="1149"/>
    </row>
    <row r="62" spans="1:39" ht="17.2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1153">
        <f>$R$14</f>
        <v>13</v>
      </c>
      <c r="AG62" s="1138" t="e">
        <f>'Indicadores + Descripción'!#REF!</f>
        <v>#REF!</v>
      </c>
      <c r="AH62" s="1139"/>
      <c r="AI62" s="1139"/>
      <c r="AJ62" s="1139"/>
      <c r="AK62" s="1140"/>
      <c r="AL62" s="40" t="s">
        <v>32</v>
      </c>
      <c r="AM62" s="1147"/>
    </row>
    <row r="63" spans="1:39" ht="17.2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1154"/>
      <c r="AG63" s="1141"/>
      <c r="AH63" s="1142"/>
      <c r="AI63" s="1142"/>
      <c r="AJ63" s="1142"/>
      <c r="AK63" s="1143"/>
      <c r="AL63" s="41" t="s">
        <v>33</v>
      </c>
      <c r="AM63" s="1148"/>
    </row>
    <row r="64" spans="1:39" ht="17.25" customHeight="1" thickBo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1155"/>
      <c r="AG64" s="1144"/>
      <c r="AH64" s="1145"/>
      <c r="AI64" s="1145"/>
      <c r="AJ64" s="1145"/>
      <c r="AK64" s="1146"/>
      <c r="AL64" s="42" t="s">
        <v>34</v>
      </c>
      <c r="AM64" s="1149"/>
    </row>
    <row r="65" spans="1:39" ht="1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1153">
        <f>$S$14</f>
        <v>14</v>
      </c>
      <c r="AG65" s="1138" t="e">
        <f>'Indicadores + Descripción'!#REF!</f>
        <v>#REF!</v>
      </c>
      <c r="AH65" s="1139"/>
      <c r="AI65" s="1139"/>
      <c r="AJ65" s="1139"/>
      <c r="AK65" s="1140"/>
      <c r="AL65" s="40" t="s">
        <v>32</v>
      </c>
      <c r="AM65" s="1147"/>
    </row>
    <row r="66" spans="1:39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1154"/>
      <c r="AG66" s="1141"/>
      <c r="AH66" s="1142"/>
      <c r="AI66" s="1142"/>
      <c r="AJ66" s="1142"/>
      <c r="AK66" s="1143"/>
      <c r="AL66" s="41" t="s">
        <v>33</v>
      </c>
      <c r="AM66" s="1148"/>
    </row>
    <row r="67" spans="1:39" ht="15" customHeight="1" thickBo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1155"/>
      <c r="AG67" s="1144"/>
      <c r="AH67" s="1145"/>
      <c r="AI67" s="1145"/>
      <c r="AJ67" s="1145"/>
      <c r="AK67" s="1146"/>
      <c r="AL67" s="42" t="s">
        <v>34</v>
      </c>
      <c r="AM67" s="1149"/>
    </row>
    <row r="68" spans="1:39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1153">
        <f>$R$14</f>
        <v>13</v>
      </c>
      <c r="AG68" s="1138" t="e">
        <f>'Indicadores + Descripción'!#REF!</f>
        <v>#REF!</v>
      </c>
      <c r="AH68" s="1139"/>
      <c r="AI68" s="1139"/>
      <c r="AJ68" s="1139"/>
      <c r="AK68" s="1140"/>
      <c r="AL68" s="40" t="s">
        <v>32</v>
      </c>
      <c r="AM68" s="1147"/>
    </row>
    <row r="69" spans="1:39" ht="1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1154"/>
      <c r="AG69" s="1141"/>
      <c r="AH69" s="1142"/>
      <c r="AI69" s="1142"/>
      <c r="AJ69" s="1142"/>
      <c r="AK69" s="1143"/>
      <c r="AL69" s="41" t="s">
        <v>33</v>
      </c>
      <c r="AM69" s="1148"/>
    </row>
    <row r="70" spans="1:39" ht="15.75" customHeight="1" thickBo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1155"/>
      <c r="AG70" s="1144"/>
      <c r="AH70" s="1145"/>
      <c r="AI70" s="1145"/>
      <c r="AJ70" s="1145"/>
      <c r="AK70" s="1146"/>
      <c r="AL70" s="42" t="s">
        <v>34</v>
      </c>
      <c r="AM70" s="1149"/>
    </row>
    <row r="71" spans="1:39" ht="1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1153">
        <f>$S$14</f>
        <v>14</v>
      </c>
      <c r="AG71" s="1138" t="e">
        <f>'Indicadores + Descripción'!#REF!</f>
        <v>#REF!</v>
      </c>
      <c r="AH71" s="1139"/>
      <c r="AI71" s="1139"/>
      <c r="AJ71" s="1139"/>
      <c r="AK71" s="1140"/>
      <c r="AL71" s="40" t="s">
        <v>32</v>
      </c>
      <c r="AM71" s="1147"/>
    </row>
    <row r="72" spans="1:39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1154"/>
      <c r="AG72" s="1141"/>
      <c r="AH72" s="1142"/>
      <c r="AI72" s="1142"/>
      <c r="AJ72" s="1142"/>
      <c r="AK72" s="1143"/>
      <c r="AL72" s="41" t="s">
        <v>33</v>
      </c>
      <c r="AM72" s="1148"/>
    </row>
    <row r="73" spans="1:39" ht="15" customHeight="1" thickBo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1155"/>
      <c r="AG73" s="1144"/>
      <c r="AH73" s="1145"/>
      <c r="AI73" s="1145"/>
      <c r="AJ73" s="1145"/>
      <c r="AK73" s="1146"/>
      <c r="AL73" s="42" t="s">
        <v>34</v>
      </c>
      <c r="AM73" s="1149"/>
    </row>
    <row r="74" spans="1:39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1153">
        <f>$R$14</f>
        <v>13</v>
      </c>
      <c r="AG74" s="1138" t="e">
        <f>'Indicadores + Descripción'!#REF!</f>
        <v>#REF!</v>
      </c>
      <c r="AH74" s="1139"/>
      <c r="AI74" s="1139"/>
      <c r="AJ74" s="1139"/>
      <c r="AK74" s="1140"/>
      <c r="AL74" s="40" t="s">
        <v>32</v>
      </c>
      <c r="AM74" s="1147"/>
    </row>
    <row r="75" spans="1:39" ht="1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1154"/>
      <c r="AG75" s="1141"/>
      <c r="AH75" s="1142"/>
      <c r="AI75" s="1142"/>
      <c r="AJ75" s="1142"/>
      <c r="AK75" s="1143"/>
      <c r="AL75" s="41" t="s">
        <v>33</v>
      </c>
      <c r="AM75" s="1148"/>
    </row>
    <row r="76" spans="1:39" ht="15.75" customHeight="1" thickBo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1155"/>
      <c r="AG76" s="1144"/>
      <c r="AH76" s="1145"/>
      <c r="AI76" s="1145"/>
      <c r="AJ76" s="1145"/>
      <c r="AK76" s="1146"/>
      <c r="AL76" s="42" t="s">
        <v>34</v>
      </c>
      <c r="AM76" s="1149"/>
    </row>
    <row r="77" spans="1:39" ht="1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1153">
        <f>$S$14</f>
        <v>14</v>
      </c>
      <c r="AG77" s="1138" t="e">
        <f>'Indicadores + Descripción'!#REF!</f>
        <v>#REF!</v>
      </c>
      <c r="AH77" s="1139"/>
      <c r="AI77" s="1139"/>
      <c r="AJ77" s="1139"/>
      <c r="AK77" s="1140"/>
      <c r="AL77" s="40" t="s">
        <v>32</v>
      </c>
      <c r="AM77" s="1147"/>
    </row>
    <row r="78" spans="1:39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1154"/>
      <c r="AG78" s="1141"/>
      <c r="AH78" s="1142"/>
      <c r="AI78" s="1142"/>
      <c r="AJ78" s="1142"/>
      <c r="AK78" s="1143"/>
      <c r="AL78" s="41" t="s">
        <v>33</v>
      </c>
      <c r="AM78" s="1148"/>
    </row>
    <row r="79" spans="1:39" ht="15" customHeight="1" thickBo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1155"/>
      <c r="AG79" s="1144"/>
      <c r="AH79" s="1145"/>
      <c r="AI79" s="1145"/>
      <c r="AJ79" s="1145"/>
      <c r="AK79" s="1146"/>
      <c r="AL79" s="42" t="s">
        <v>34</v>
      </c>
      <c r="AM79" s="1148"/>
    </row>
    <row r="80" spans="1:39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</row>
    <row r="81" spans="1:3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</row>
    <row r="82" spans="1:3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</row>
    <row r="83" spans="1:3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</row>
    <row r="84" spans="1:3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</row>
    <row r="85" spans="1:3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</row>
    <row r="86" spans="1:3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</row>
    <row r="87" spans="1:3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</row>
    <row r="88" spans="1:3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</row>
    <row r="89" spans="1:3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</row>
    <row r="90" spans="1:3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</row>
    <row r="91" spans="1:3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</row>
    <row r="92" spans="1:3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</row>
    <row r="93" spans="1:3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</row>
    <row r="94" spans="1:3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</row>
    <row r="95" spans="1:3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</row>
    <row r="96" spans="1:3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</row>
    <row r="97" spans="1:3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</row>
    <row r="98" spans="1:3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</row>
    <row r="99" spans="1:3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</row>
    <row r="100" spans="1:3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</row>
    <row r="101" spans="1:3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</row>
    <row r="102" spans="1:3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</row>
    <row r="103" spans="1:3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</row>
    <row r="104" spans="1:3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</row>
    <row r="105" spans="1:3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</row>
    <row r="106" spans="1:3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</row>
    <row r="107" spans="1:3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</row>
    <row r="108" spans="1:3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</row>
    <row r="109" spans="1:3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</row>
  </sheetData>
  <dataConsolidate/>
  <mergeCells count="123">
    <mergeCell ref="AF74:AF76"/>
    <mergeCell ref="AG74:AK76"/>
    <mergeCell ref="AM74:AM76"/>
    <mergeCell ref="AF77:AF79"/>
    <mergeCell ref="AG77:AK79"/>
    <mergeCell ref="AM77:AM79"/>
    <mergeCell ref="AF68:AF70"/>
    <mergeCell ref="AG68:AK70"/>
    <mergeCell ref="AM68:AM70"/>
    <mergeCell ref="AF71:AF73"/>
    <mergeCell ref="AG71:AK73"/>
    <mergeCell ref="AM71:AM73"/>
    <mergeCell ref="AF62:AF64"/>
    <mergeCell ref="AG62:AK64"/>
    <mergeCell ref="AM62:AM64"/>
    <mergeCell ref="AF65:AF67"/>
    <mergeCell ref="AG65:AK67"/>
    <mergeCell ref="AM65:AM67"/>
    <mergeCell ref="AF56:AF58"/>
    <mergeCell ref="AG56:AK58"/>
    <mergeCell ref="AM56:AM58"/>
    <mergeCell ref="AF59:AF61"/>
    <mergeCell ref="AG59:AK61"/>
    <mergeCell ref="AM59:AM61"/>
    <mergeCell ref="AF50:AF52"/>
    <mergeCell ref="AG50:AK52"/>
    <mergeCell ref="AM50:AM52"/>
    <mergeCell ref="AF53:AF55"/>
    <mergeCell ref="AG53:AK55"/>
    <mergeCell ref="AM53:AM55"/>
    <mergeCell ref="AF44:AF46"/>
    <mergeCell ref="AG44:AK46"/>
    <mergeCell ref="AM44:AM46"/>
    <mergeCell ref="AF47:AF49"/>
    <mergeCell ref="AG47:AK49"/>
    <mergeCell ref="AM47:AM49"/>
    <mergeCell ref="AF38:AF40"/>
    <mergeCell ref="AG38:AK40"/>
    <mergeCell ref="AM38:AM40"/>
    <mergeCell ref="AF41:AF43"/>
    <mergeCell ref="AG41:AK43"/>
    <mergeCell ref="AM41:AM43"/>
    <mergeCell ref="AF32:AF34"/>
    <mergeCell ref="AG32:AK34"/>
    <mergeCell ref="AM32:AM34"/>
    <mergeCell ref="AF35:AF37"/>
    <mergeCell ref="AG35:AK37"/>
    <mergeCell ref="AM35:AM37"/>
    <mergeCell ref="U14:U15"/>
    <mergeCell ref="V14:V15"/>
    <mergeCell ref="W14:W15"/>
    <mergeCell ref="AF26:AF28"/>
    <mergeCell ref="AG26:AK28"/>
    <mergeCell ref="AM26:AM28"/>
    <mergeCell ref="AF29:AF31"/>
    <mergeCell ref="AG29:AK31"/>
    <mergeCell ref="AM29:AM31"/>
    <mergeCell ref="AF17:AM17"/>
    <mergeCell ref="AF20:AF22"/>
    <mergeCell ref="AG20:AK22"/>
    <mergeCell ref="AM20:AM22"/>
    <mergeCell ref="AF23:AF25"/>
    <mergeCell ref="AG23:AK25"/>
    <mergeCell ref="AM23:AM25"/>
    <mergeCell ref="A13:D14"/>
    <mergeCell ref="F13:Y13"/>
    <mergeCell ref="O14:O15"/>
    <mergeCell ref="P14:P15"/>
    <mergeCell ref="Q14:Q15"/>
    <mergeCell ref="AI13:AL13"/>
    <mergeCell ref="F14:F15"/>
    <mergeCell ref="G14:G15"/>
    <mergeCell ref="H14:H15"/>
    <mergeCell ref="I14:I15"/>
    <mergeCell ref="J14:J15"/>
    <mergeCell ref="K14:K15"/>
    <mergeCell ref="L14:L15"/>
    <mergeCell ref="M14:M15"/>
    <mergeCell ref="N14:N15"/>
    <mergeCell ref="X14:X15"/>
    <mergeCell ref="Y14:Y15"/>
    <mergeCell ref="Z14:Z15"/>
    <mergeCell ref="AA14:AA15"/>
    <mergeCell ref="AB14:AB15"/>
    <mergeCell ref="AC14:AC15"/>
    <mergeCell ref="R14:R15"/>
    <mergeCell ref="S14:S15"/>
    <mergeCell ref="T14:T15"/>
    <mergeCell ref="F9:I9"/>
    <mergeCell ref="J9:M9"/>
    <mergeCell ref="N9:Q9"/>
    <mergeCell ref="S9:U9"/>
    <mergeCell ref="V9:Y9"/>
    <mergeCell ref="AH9:AJ9"/>
    <mergeCell ref="AH5:AI5"/>
    <mergeCell ref="F10:I10"/>
    <mergeCell ref="J10:M10"/>
    <mergeCell ref="N10:Q10"/>
    <mergeCell ref="S10:U10"/>
    <mergeCell ref="V10:Y10"/>
    <mergeCell ref="A6:D6"/>
    <mergeCell ref="F6:S6"/>
    <mergeCell ref="A7:D7"/>
    <mergeCell ref="AH7:AI7"/>
    <mergeCell ref="A8:D8"/>
    <mergeCell ref="F8:I8"/>
    <mergeCell ref="J8:M8"/>
    <mergeCell ref="N8:Q8"/>
    <mergeCell ref="S8:U8"/>
    <mergeCell ref="V8:Y8"/>
    <mergeCell ref="AH8:AI8"/>
    <mergeCell ref="A4:D4"/>
    <mergeCell ref="F4:J4"/>
    <mergeCell ref="V4:X4"/>
    <mergeCell ref="A5:D5"/>
    <mergeCell ref="F5:T5"/>
    <mergeCell ref="V5:X5"/>
    <mergeCell ref="A1:AG1"/>
    <mergeCell ref="A2:AE2"/>
    <mergeCell ref="AH2:AI2"/>
    <mergeCell ref="A3:D3"/>
    <mergeCell ref="F3:K3"/>
    <mergeCell ref="AH3:AI3"/>
  </mergeCells>
  <conditionalFormatting sqref="Z16:Z55">
    <cfRule type="cellIs" dxfId="18" priority="2" operator="greaterThan">
      <formula>67</formula>
    </cfRule>
    <cfRule type="cellIs" dxfId="17" priority="3" operator="between">
      <formula>34</formula>
      <formula>67</formula>
    </cfRule>
    <cfRule type="cellIs" dxfId="16" priority="4" operator="lessThan">
      <formula>34</formula>
    </cfRule>
  </conditionalFormatting>
  <conditionalFormatting sqref="F16:Y55">
    <cfRule type="cellIs" dxfId="15" priority="1" operator="equal">
      <formula>1</formula>
    </cfRule>
  </conditionalFormatting>
  <dataValidations count="1">
    <dataValidation type="list" allowBlank="1" showInputMessage="1" showErrorMessage="1" sqref="AA16:AA64" xr:uid="{00000000-0002-0000-1A00-000000000000}">
      <formula1>$AA$8:$AA$11</formula1>
    </dataValidation>
  </dataValidations>
  <pageMargins left="0.7" right="0.7" top="0.75" bottom="0.75" header="0.3" footer="0.3"/>
  <pageSetup orientation="landscape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4">
    <tabColor theme="5"/>
    <pageSetUpPr fitToPage="1"/>
  </sheetPr>
  <dimension ref="A1:L60"/>
  <sheetViews>
    <sheetView showGridLines="0" showRowColHeaders="0" zoomScaleNormal="100" workbookViewId="0"/>
  </sheetViews>
  <sheetFormatPr baseColWidth="10" defaultColWidth="0" defaultRowHeight="15" zeroHeight="1"/>
  <cols>
    <col min="1" max="1" width="4.42578125" customWidth="1" collapsed="1"/>
    <col min="2" max="2" width="13" customWidth="1" collapsed="1"/>
    <col min="3" max="3" width="13.85546875" customWidth="1" collapsed="1"/>
    <col min="4" max="4" width="20.42578125" customWidth="1" collapsed="1"/>
    <col min="5" max="5" width="12.5703125" customWidth="1" collapsed="1"/>
    <col min="6" max="6" width="8.42578125" customWidth="1"/>
    <col min="7" max="7" width="24.7109375" customWidth="1" collapsed="1"/>
    <col min="8" max="8" width="7.85546875" customWidth="1"/>
    <col min="9" max="11" width="11.42578125" customWidth="1"/>
    <col min="12" max="12" width="11.42578125" hidden="1" customWidth="1"/>
    <col min="13" max="16384" width="11.42578125" hidden="1"/>
  </cols>
  <sheetData>
    <row r="1" spans="1:11" ht="1.5" customHeight="1">
      <c r="A1" s="96" t="s">
        <v>60</v>
      </c>
      <c r="B1" s="97"/>
      <c r="C1" s="97"/>
      <c r="D1" s="97"/>
      <c r="E1" s="97"/>
      <c r="F1" s="97"/>
      <c r="G1" s="98"/>
    </row>
    <row r="2" spans="1:11" ht="10.5" customHeight="1">
      <c r="A2" s="99"/>
      <c r="B2" s="100"/>
      <c r="C2" s="1165" t="s">
        <v>277</v>
      </c>
      <c r="D2" s="1165"/>
      <c r="E2" s="1165"/>
      <c r="F2" s="1165"/>
      <c r="G2" s="373"/>
    </row>
    <row r="3" spans="1:11" ht="15.75" customHeight="1">
      <c r="A3" s="99"/>
      <c r="B3" s="100"/>
      <c r="C3" s="1169" t="s">
        <v>276</v>
      </c>
      <c r="D3" s="1169"/>
      <c r="E3" s="1169"/>
      <c r="F3" s="1170" t="str">
        <f>'REGISTRO DATOS'!I4</f>
        <v>COTO</v>
      </c>
      <c r="G3" s="1171"/>
    </row>
    <row r="4" spans="1:11" ht="11.25" customHeight="1">
      <c r="A4" s="99"/>
      <c r="B4" s="100"/>
      <c r="C4" s="1166">
        <f>'REGISTRO DATOS'!I3</f>
        <v>0</v>
      </c>
      <c r="D4" s="1166"/>
      <c r="E4" s="1166"/>
      <c r="F4" s="1166"/>
      <c r="G4" s="373"/>
    </row>
    <row r="5" spans="1:11" ht="21" customHeight="1" thickBot="1">
      <c r="A5" s="92"/>
      <c r="B5" s="93"/>
      <c r="C5" s="1167" t="str">
        <f>"DIRECCION REGIONAL DE " &amp; 'REGISTRO DATOS'!I4</f>
        <v>DIRECCION REGIONAL DE COTO</v>
      </c>
      <c r="D5" s="1167"/>
      <c r="E5" s="1167"/>
      <c r="F5" s="1167"/>
      <c r="G5" s="94"/>
    </row>
    <row r="6" spans="1:11" s="286" customFormat="1" ht="6" hidden="1" customHeight="1">
      <c r="A6" s="372"/>
      <c r="B6" s="372"/>
      <c r="C6" s="257"/>
      <c r="D6" s="257"/>
      <c r="E6" s="257"/>
      <c r="F6" s="257"/>
      <c r="G6" s="372"/>
    </row>
    <row r="7" spans="1:11" ht="14.1" customHeight="1">
      <c r="A7" s="1168" t="s">
        <v>160</v>
      </c>
      <c r="B7" s="1168"/>
      <c r="C7" s="1168"/>
      <c r="D7" s="1168"/>
      <c r="E7" s="1168"/>
      <c r="F7" s="1168"/>
      <c r="G7" s="1168"/>
    </row>
    <row r="8" spans="1:11" ht="4.5" customHeight="1">
      <c r="A8" s="1168"/>
      <c r="B8" s="1168"/>
      <c r="C8" s="1168"/>
      <c r="D8" s="1168"/>
      <c r="E8" s="1168"/>
      <c r="F8" s="1168"/>
      <c r="G8" s="1168"/>
    </row>
    <row r="9" spans="1:11" ht="12.75" customHeight="1">
      <c r="A9" s="1157" t="str">
        <f>'Registro General'!A6</f>
        <v>DOCENTE:</v>
      </c>
      <c r="B9" s="1157"/>
      <c r="C9" s="1159">
        <f>'REGISTRO DATOS'!I6</f>
        <v>0</v>
      </c>
      <c r="D9" s="1159"/>
      <c r="E9" s="1159"/>
      <c r="F9" s="369"/>
      <c r="G9" s="381" t="s">
        <v>57</v>
      </c>
    </row>
    <row r="10" spans="1:11" ht="12.75" customHeight="1">
      <c r="A10" s="1158" t="str">
        <f>'Registro General'!A7</f>
        <v>ASIGNATURA:</v>
      </c>
      <c r="B10" s="1158"/>
      <c r="C10" s="1160">
        <f>'REGISTRO DATOS'!I7</f>
        <v>0</v>
      </c>
      <c r="D10" s="1160"/>
      <c r="E10" s="1160"/>
      <c r="F10" s="369"/>
      <c r="G10" s="370">
        <f>'Registro General'!X5</f>
        <v>0</v>
      </c>
    </row>
    <row r="11" spans="1:11" ht="14.25" customHeight="1">
      <c r="A11" s="371" t="s">
        <v>35</v>
      </c>
      <c r="B11" s="371" t="s">
        <v>58</v>
      </c>
      <c r="C11" s="371" t="s">
        <v>58</v>
      </c>
      <c r="D11" s="371" t="s">
        <v>36</v>
      </c>
      <c r="E11" s="371" t="s">
        <v>59</v>
      </c>
      <c r="F11" s="371" t="s">
        <v>16</v>
      </c>
      <c r="G11" s="371" t="s">
        <v>55</v>
      </c>
      <c r="I11" s="1161" t="s">
        <v>103</v>
      </c>
      <c r="J11" s="1162"/>
    </row>
    <row r="12" spans="1:11">
      <c r="A12" s="91">
        <v>1</v>
      </c>
      <c r="B12" s="82" t="str">
        <f>IFERROR(IF(VLOOKUP(A12,'REGISTRO DATOS'!B:H,2,0)=0,"",VLOOKUP(A12,'REGISTRO DATOS'!B:H,2,0)),"")</f>
        <v/>
      </c>
      <c r="C12" s="82" t="str">
        <f>IFERROR(IF(VLOOKUP(B12,'REGISTRO DATOS'!C:I,2,0)=0,"",VLOOKUP(B12,'REGISTRO DATOS'!C:I,2,0)),"")</f>
        <v/>
      </c>
      <c r="D12" s="82" t="str">
        <f>IFERROR(IF(VLOOKUP(C12,'REGISTRO DATOS'!D:I,2,0)=0,"",VLOOKUP(C12,'REGISTRO DATOS'!D:I,2,0)),"")</f>
        <v/>
      </c>
      <c r="E12" s="82" t="str">
        <f>IFERROR(IF(VLOOKUP(D12,'REGISTRO DATOS'!E:J,2,0)=0,"",VLOOKUP(D12,'REGISTRO DATOS'!E:J,2,0)),"")</f>
        <v/>
      </c>
      <c r="F12" s="417">
        <f>'Registro General'!AJ16</f>
        <v>102.22222222222223</v>
      </c>
      <c r="G12" s="85" t="str">
        <f>IF(F12&lt;1,"NSP",IF(F12&lt;$I$12,"APLAZADO","APROBADO"))</f>
        <v>APROBADO</v>
      </c>
      <c r="I12" s="1163">
        <v>65</v>
      </c>
      <c r="J12" s="1163"/>
    </row>
    <row r="13" spans="1:11">
      <c r="A13" s="91">
        <v>2</v>
      </c>
      <c r="B13" s="82" t="str">
        <f>IFERROR(IF(VLOOKUP(A13,'REGISTRO DATOS'!B:H,2,0)=0,"",VLOOKUP(A13,'REGISTRO DATOS'!B:H,2,0)),"")</f>
        <v/>
      </c>
      <c r="C13" s="82" t="str">
        <f>IFERROR(IF(VLOOKUP(B13,'REGISTRO DATOS'!C:I,2,0)=0,"",VLOOKUP(B13,'REGISTRO DATOS'!C:I,2,0)),"")</f>
        <v/>
      </c>
      <c r="D13" s="82" t="str">
        <f>IFERROR(IF(VLOOKUP(C13,'REGISTRO DATOS'!D:I,2,0)=0,"",VLOOKUP(C13,'REGISTRO DATOS'!D:I,2,0)),"")</f>
        <v/>
      </c>
      <c r="E13" s="82" t="str">
        <f>IFERROR(IF(VLOOKUP(D13,'REGISTRO DATOS'!E:J,2,0)=0,"",VLOOKUP(D13,'REGISTRO DATOS'!E:J,2,0)),"")</f>
        <v/>
      </c>
      <c r="F13" s="417">
        <f>'Registro General'!AJ17</f>
        <v>32.222222222222221</v>
      </c>
      <c r="G13" s="85" t="str">
        <f t="shared" ref="G13:G51" si="0">IF(F13&lt;1,"NSP",IF(F13&lt;$I$12,"APLAZADO","APROBADO"))</f>
        <v>APLAZADO</v>
      </c>
    </row>
    <row r="14" spans="1:11">
      <c r="A14" s="91">
        <v>3</v>
      </c>
      <c r="B14" s="82" t="str">
        <f>IFERROR(IF(VLOOKUP(A14,'REGISTRO DATOS'!B:H,2,0)=0,"",VLOOKUP(A14,'REGISTRO DATOS'!B:H,2,0)),"")</f>
        <v/>
      </c>
      <c r="C14" s="82" t="str">
        <f>IFERROR(IF(VLOOKUP(B14,'REGISTRO DATOS'!C:I,2,0)=0,"",VLOOKUP(B14,'REGISTRO DATOS'!C:I,2,0)),"")</f>
        <v/>
      </c>
      <c r="D14" s="82" t="str">
        <f>IFERROR(IF(VLOOKUP(C14,'REGISTRO DATOS'!D:I,2,0)=0,"",VLOOKUP(C14,'REGISTRO DATOS'!D:I,2,0)),"")</f>
        <v/>
      </c>
      <c r="E14" s="82" t="str">
        <f>IFERROR(IF(VLOOKUP(D14,'REGISTRO DATOS'!E:J,2,0)=0,"",VLOOKUP(D14,'REGISTRO DATOS'!E:J,2,0)),"")</f>
        <v/>
      </c>
      <c r="F14" s="417">
        <f>'Registro General'!AJ18</f>
        <v>35</v>
      </c>
      <c r="G14" s="85" t="str">
        <f t="shared" si="0"/>
        <v>APLAZADO</v>
      </c>
      <c r="I14" s="1164"/>
      <c r="J14" s="1164"/>
      <c r="K14" s="1164"/>
    </row>
    <row r="15" spans="1:11">
      <c r="A15" s="91">
        <v>4</v>
      </c>
      <c r="B15" s="82" t="str">
        <f>IFERROR(IF(VLOOKUP(A15,'REGISTRO DATOS'!B:H,2,0)=0,"",VLOOKUP(A15,'REGISTRO DATOS'!B:H,2,0)),"")</f>
        <v/>
      </c>
      <c r="C15" s="82" t="str">
        <f>IFERROR(IF(VLOOKUP(B15,'REGISTRO DATOS'!C:I,2,0)=0,"",VLOOKUP(B15,'REGISTRO DATOS'!C:I,2,0)),"")</f>
        <v/>
      </c>
      <c r="D15" s="82" t="str">
        <f>IFERROR(IF(VLOOKUP(C15,'REGISTRO DATOS'!D:I,2,0)=0,"",VLOOKUP(C15,'REGISTRO DATOS'!D:I,2,0)),"")</f>
        <v/>
      </c>
      <c r="E15" s="82" t="str">
        <f>IFERROR(IF(VLOOKUP(D15,'REGISTRO DATOS'!E:J,2,0)=0,"",VLOOKUP(D15,'REGISTRO DATOS'!E:J,2,0)),"")</f>
        <v/>
      </c>
      <c r="F15" s="417">
        <f>'Registro General'!AJ19</f>
        <v>9.0277777777777786</v>
      </c>
      <c r="G15" s="85" t="str">
        <f t="shared" si="0"/>
        <v>APLAZADO</v>
      </c>
      <c r="I15" s="6"/>
      <c r="J15" s="6"/>
      <c r="K15" s="6"/>
    </row>
    <row r="16" spans="1:11">
      <c r="A16" s="91">
        <v>5</v>
      </c>
      <c r="B16" s="82" t="str">
        <f>IFERROR(IF(VLOOKUP(A16,'REGISTRO DATOS'!B:H,2,0)=0,"",VLOOKUP(A16,'REGISTRO DATOS'!B:H,2,0)),"")</f>
        <v/>
      </c>
      <c r="C16" s="82" t="str">
        <f>IFERROR(IF(VLOOKUP(B16,'REGISTRO DATOS'!C:I,2,0)=0,"",VLOOKUP(B16,'REGISTRO DATOS'!C:I,2,0)),"")</f>
        <v/>
      </c>
      <c r="D16" s="82" t="str">
        <f>IFERROR(IF(VLOOKUP(C16,'REGISTRO DATOS'!D:I,2,0)=0,"",VLOOKUP(C16,'REGISTRO DATOS'!D:I,2,0)),"")</f>
        <v/>
      </c>
      <c r="E16" s="82" t="str">
        <f>IFERROR(IF(VLOOKUP(D16,'REGISTRO DATOS'!E:J,2,0)=0,"",VLOOKUP(D16,'REGISTRO DATOS'!E:J,2,0)),"")</f>
        <v/>
      </c>
      <c r="F16" s="417">
        <f>'Registro General'!AJ20</f>
        <v>30.972222222222221</v>
      </c>
      <c r="G16" s="85" t="str">
        <f t="shared" si="0"/>
        <v>APLAZADO</v>
      </c>
      <c r="I16" s="2"/>
      <c r="J16" s="2"/>
      <c r="K16" s="2"/>
    </row>
    <row r="17" spans="1:12">
      <c r="A17" s="91">
        <v>6</v>
      </c>
      <c r="B17" s="82" t="str">
        <f>IFERROR(IF(VLOOKUP(A17,'REGISTRO DATOS'!B:H,2,0)=0,"",VLOOKUP(A17,'REGISTRO DATOS'!B:H,2,0)),"")</f>
        <v/>
      </c>
      <c r="C17" s="82" t="str">
        <f>IFERROR(IF(VLOOKUP(B17,'REGISTRO DATOS'!C:I,2,0)=0,"",VLOOKUP(B17,'REGISTRO DATOS'!C:I,2,0)),"")</f>
        <v/>
      </c>
      <c r="D17" s="82" t="str">
        <f>IFERROR(IF(VLOOKUP(C17,'REGISTRO DATOS'!D:I,2,0)=0,"",VLOOKUP(C17,'REGISTRO DATOS'!D:I,2,0)),"")</f>
        <v/>
      </c>
      <c r="E17" s="82" t="str">
        <f>IFERROR(IF(VLOOKUP(D17,'REGISTRO DATOS'!E:J,2,0)=0,"",VLOOKUP(D17,'REGISTRO DATOS'!E:J,2,0)),"")</f>
        <v/>
      </c>
      <c r="F17" s="417">
        <f>'Registro General'!AJ21</f>
        <v>33.75</v>
      </c>
      <c r="G17" s="85" t="str">
        <f t="shared" si="0"/>
        <v>APLAZADO</v>
      </c>
    </row>
    <row r="18" spans="1:12">
      <c r="A18" s="91">
        <v>7</v>
      </c>
      <c r="B18" s="82" t="str">
        <f>IFERROR(IF(VLOOKUP(A18,'REGISTRO DATOS'!B:H,2,0)=0,"",VLOOKUP(A18,'REGISTRO DATOS'!B:H,2,0)),"")</f>
        <v xml:space="preserve">GONZALEZ </v>
      </c>
      <c r="C18" s="82" t="str">
        <f>IFERROR(IF(VLOOKUP(B18,'REGISTRO DATOS'!C:I,2,0)=0,"",VLOOKUP(B18,'REGISTRO DATOS'!C:I,2,0)),"")</f>
        <v>CHAVARRIA</v>
      </c>
      <c r="D18" s="82" t="str">
        <f>IFERROR(IF(VLOOKUP(C18,'REGISTRO DATOS'!D:I,2,0)=0,"",VLOOKUP(C18,'REGISTRO DATOS'!D:I,2,0)),"")</f>
        <v>STEPHANIE</v>
      </c>
      <c r="E18" s="82" t="str">
        <f>IFERROR(IF(VLOOKUP(D18,'REGISTRO DATOS'!E:J,2,0)=0,"",VLOOKUP(D18,'REGISTRO DATOS'!E:J,2,0)),"")</f>
        <v/>
      </c>
      <c r="F18" s="417">
        <f>'Registro General'!AJ22</f>
        <v>30.972222222222221</v>
      </c>
      <c r="G18" s="85" t="str">
        <f t="shared" si="0"/>
        <v>APLAZADO</v>
      </c>
    </row>
    <row r="19" spans="1:12">
      <c r="A19" s="91">
        <v>8</v>
      </c>
      <c r="B19" s="82" t="str">
        <f>IFERROR(IF(VLOOKUP(A19,'REGISTRO DATOS'!B:H,2,0)=0,"",VLOOKUP(A19,'REGISTRO DATOS'!B:H,2,0)),"")</f>
        <v/>
      </c>
      <c r="C19" s="82" t="str">
        <f>IFERROR(IF(VLOOKUP(B19,'REGISTRO DATOS'!C:I,2,0)=0,"",VLOOKUP(B19,'REGISTRO DATOS'!C:I,2,0)),"")</f>
        <v/>
      </c>
      <c r="D19" s="82" t="str">
        <f>IFERROR(IF(VLOOKUP(C19,'REGISTRO DATOS'!D:I,2,0)=0,"",VLOOKUP(C19,'REGISTRO DATOS'!D:I,2,0)),"")</f>
        <v/>
      </c>
      <c r="E19" s="82" t="str">
        <f>IFERROR(IF(VLOOKUP(D19,'REGISTRO DATOS'!E:J,2,0)=0,"",VLOOKUP(D19,'REGISTRO DATOS'!E:J,2,0)),"")</f>
        <v/>
      </c>
      <c r="F19" s="417">
        <f>'Registro General'!AJ23</f>
        <v>30.972222222222221</v>
      </c>
      <c r="G19" s="85" t="str">
        <f t="shared" si="0"/>
        <v>APLAZADO</v>
      </c>
    </row>
    <row r="20" spans="1:12">
      <c r="A20" s="91">
        <v>9</v>
      </c>
      <c r="B20" s="82" t="str">
        <f>IFERROR(IF(VLOOKUP(A20,'REGISTRO DATOS'!B:H,2,0)=0,"",VLOOKUP(A20,'REGISTRO DATOS'!B:H,2,0)),"")</f>
        <v>CUBILLO</v>
      </c>
      <c r="C20" s="418" t="str">
        <f>IFERROR(IF(VLOOKUP(B20,'REGISTRO DATOS'!C:I,2,0)=0,"",VLOOKUP(B20,'REGISTRO DATOS'!C:I,2,0)),"")</f>
        <v/>
      </c>
      <c r="D20" s="418" t="str">
        <f>IFERROR(IF(VLOOKUP(C20,'REGISTRO DATOS'!D:I,2,0)=0,"",VLOOKUP(C20,'REGISTRO DATOS'!D:I,2,0)),"")</f>
        <v/>
      </c>
      <c r="E20" s="82" t="str">
        <f>IFERROR(IF(VLOOKUP(D20,'REGISTRO DATOS'!E:J,2,0)=0,"",VLOOKUP(D20,'REGISTRO DATOS'!E:J,2,0)),"")</f>
        <v/>
      </c>
      <c r="F20" s="417">
        <f>'Registro General'!AJ24</f>
        <v>35</v>
      </c>
      <c r="G20" s="85" t="str">
        <f t="shared" si="0"/>
        <v>APLAZADO</v>
      </c>
    </row>
    <row r="21" spans="1:12">
      <c r="A21" s="91">
        <v>10</v>
      </c>
      <c r="B21" s="82" t="str">
        <f>IFERROR(IF(VLOOKUP(A21,'REGISTRO DATOS'!B:H,2,0)=0,"",VLOOKUP(A21,'REGISTRO DATOS'!B:H,2,0)),"")</f>
        <v/>
      </c>
      <c r="C21" s="82" t="str">
        <f>IFERROR(IF(VLOOKUP(B21,'REGISTRO DATOS'!C:I,2,0)=0,"",VLOOKUP(B21,'REGISTRO DATOS'!C:I,2,0)),"")</f>
        <v/>
      </c>
      <c r="D21" s="82" t="str">
        <f>IFERROR(IF(VLOOKUP(C21,'REGISTRO DATOS'!D:I,2,0)=0,"",VLOOKUP(C21,'REGISTRO DATOS'!D:I,2,0)),"")</f>
        <v/>
      </c>
      <c r="E21" s="82" t="str">
        <f>IFERROR(IF(VLOOKUP(D21,'REGISTRO DATOS'!E:J,2,0)=0,"",VLOOKUP(D21,'REGISTRO DATOS'!E:J,2,0)),"")</f>
        <v/>
      </c>
      <c r="F21" s="417">
        <f>'Registro General'!AJ25</f>
        <v>35</v>
      </c>
      <c r="G21" s="85" t="str">
        <f t="shared" si="0"/>
        <v>APLAZADO</v>
      </c>
    </row>
    <row r="22" spans="1:12">
      <c r="A22" s="91">
        <v>11</v>
      </c>
      <c r="B22" s="82" t="str">
        <f>IFERROR(IF(VLOOKUP(A22,'REGISTRO DATOS'!B:H,2,0)=0,"",VLOOKUP(A22,'REGISTRO DATOS'!B:H,2,0)),"")</f>
        <v>BRIZUELA</v>
      </c>
      <c r="C22" s="82" t="str">
        <f>IFERROR(IF(VLOOKUP(B22,'REGISTRO DATOS'!C:I,2,0)=0,"",VLOOKUP(B22,'REGISTRO DATOS'!C:I,2,0)),"")</f>
        <v/>
      </c>
      <c r="D22" s="82" t="str">
        <f>IFERROR(IF(VLOOKUP(C22,'REGISTRO DATOS'!D:I,2,0)=0,"",VLOOKUP(C22,'REGISTRO DATOS'!D:I,2,0)),"")</f>
        <v/>
      </c>
      <c r="E22" s="82" t="str">
        <f>IFERROR(IF(VLOOKUP(D22,'REGISTRO DATOS'!E:J,2,0)=0,"",VLOOKUP(D22,'REGISTRO DATOS'!E:J,2,0)),"")</f>
        <v/>
      </c>
      <c r="F22" s="417">
        <f>'Registro General'!AJ26</f>
        <v>29.444444444444446</v>
      </c>
      <c r="G22" s="85" t="str">
        <f t="shared" si="0"/>
        <v>APLAZADO</v>
      </c>
    </row>
    <row r="23" spans="1:12">
      <c r="A23" s="91">
        <v>12</v>
      </c>
      <c r="B23" s="82" t="str">
        <f>IFERROR(IF(VLOOKUP(A23,'REGISTRO DATOS'!B:H,2,0)=0,"",VLOOKUP(A23,'REGISTRO DATOS'!B:H,2,0)),"")</f>
        <v/>
      </c>
      <c r="C23" s="82" t="str">
        <f>IFERROR(IF(VLOOKUP(B23,'REGISTRO DATOS'!C:I,2,0)=0,"",VLOOKUP(B23,'REGISTRO DATOS'!C:I,2,0)),"")</f>
        <v/>
      </c>
      <c r="D23" s="82" t="str">
        <f>IFERROR(IF(VLOOKUP(C23,'REGISTRO DATOS'!D:I,2,0)=0,"",VLOOKUP(C23,'REGISTRO DATOS'!D:I,2,0)),"")</f>
        <v/>
      </c>
      <c r="E23" s="82" t="str">
        <f>IFERROR(IF(VLOOKUP(D23,'REGISTRO DATOS'!E:J,2,0)=0,"",VLOOKUP(D23,'REGISTRO DATOS'!E:J,2,0)),"")</f>
        <v/>
      </c>
      <c r="F23" s="417">
        <f>'Registro General'!AJ27</f>
        <v>35</v>
      </c>
      <c r="G23" s="85" t="str">
        <f t="shared" si="0"/>
        <v>APLAZADO</v>
      </c>
    </row>
    <row r="24" spans="1:12">
      <c r="A24" s="91">
        <v>13</v>
      </c>
      <c r="B24" s="82" t="str">
        <f>IFERROR(IF(VLOOKUP(A24,'REGISTRO DATOS'!B:H,2,0)=0,"",VLOOKUP(A24,'REGISTRO DATOS'!B:H,2,0)),"")</f>
        <v/>
      </c>
      <c r="C24" s="82" t="str">
        <f>IFERROR(IF(VLOOKUP(B24,'REGISTRO DATOS'!C:I,2,0)=0,"",VLOOKUP(B24,'REGISTRO DATOS'!C:I,2,0)),"")</f>
        <v/>
      </c>
      <c r="D24" s="82" t="str">
        <f>IFERROR(IF(VLOOKUP(C24,'REGISTRO DATOS'!D:I,2,0)=0,"",VLOOKUP(C24,'REGISTRO DATOS'!D:I,2,0)),"")</f>
        <v/>
      </c>
      <c r="E24" s="82" t="str">
        <f>IFERROR(IF(VLOOKUP(D24,'REGISTRO DATOS'!E:J,2,0)=0,"",VLOOKUP(D24,'REGISTRO DATOS'!E:J,2,0)),"")</f>
        <v/>
      </c>
      <c r="F24" s="417">
        <f>'Registro General'!AJ28</f>
        <v>35</v>
      </c>
      <c r="G24" s="85" t="str">
        <f t="shared" si="0"/>
        <v>APLAZADO</v>
      </c>
    </row>
    <row r="25" spans="1:12">
      <c r="A25" s="91">
        <v>14</v>
      </c>
      <c r="B25" s="82" t="str">
        <f>IFERROR(IF(VLOOKUP(A25,'REGISTRO DATOS'!B:H,2,0)=0,"",VLOOKUP(A25,'REGISTRO DATOS'!B:H,2,0)),"")</f>
        <v/>
      </c>
      <c r="C25" s="82" t="str">
        <f>IFERROR(IF(VLOOKUP(B25,'REGISTRO DATOS'!C:I,2,0)=0,"",VLOOKUP(B25,'REGISTRO DATOS'!C:I,2,0)),"")</f>
        <v/>
      </c>
      <c r="D25" s="82" t="str">
        <f>IFERROR(IF(VLOOKUP(C25,'REGISTRO DATOS'!D:I,2,0)=0,"",VLOOKUP(C25,'REGISTRO DATOS'!D:I,2,0)),"")</f>
        <v/>
      </c>
      <c r="E25" s="82" t="str">
        <f>IFERROR(IF(VLOOKUP(D25,'REGISTRO DATOS'!E:J,2,0)=0,"",VLOOKUP(D25,'REGISTRO DATOS'!E:J,2,0)),"")</f>
        <v/>
      </c>
      <c r="F25" s="417">
        <f>'Registro General'!AJ29</f>
        <v>35</v>
      </c>
      <c r="G25" s="85" t="str">
        <f t="shared" si="0"/>
        <v>APLAZADO</v>
      </c>
    </row>
    <row r="26" spans="1:12" ht="15.75" customHeight="1">
      <c r="A26" s="91">
        <v>15</v>
      </c>
      <c r="B26" s="82" t="str">
        <f>IFERROR(IF(VLOOKUP(A26,'REGISTRO DATOS'!B:H,2,0)=0,"",VLOOKUP(A26,'REGISTRO DATOS'!B:H,2,0)),"")</f>
        <v xml:space="preserve">SERRANO </v>
      </c>
      <c r="C26" s="82" t="str">
        <f>IFERROR(IF(VLOOKUP(B26,'REGISTRO DATOS'!C:I,2,0)=0,"",VLOOKUP(B26,'REGISTRO DATOS'!C:I,2,0)),"")</f>
        <v>VILLEGAS</v>
      </c>
      <c r="D26" s="82" t="str">
        <f>IFERROR(IF(VLOOKUP(C26,'REGISTRO DATOS'!D:I,2,0)=0,"",VLOOKUP(C26,'REGISTRO DATOS'!D:I,2,0)),"")</f>
        <v xml:space="preserve">DYLAN </v>
      </c>
      <c r="E26" s="82" t="str">
        <f>IFERROR(IF(VLOOKUP(D26,'REGISTRO DATOS'!E:J,2,0)=0,"",VLOOKUP(D26,'REGISTRO DATOS'!E:J,2,0)),"")</f>
        <v/>
      </c>
      <c r="F26" s="417">
        <f>'Registro General'!AJ30</f>
        <v>25.694444444444446</v>
      </c>
      <c r="G26" s="85" t="str">
        <f t="shared" si="0"/>
        <v>APLAZADO</v>
      </c>
      <c r="J26" s="1156"/>
      <c r="K26" s="1156"/>
      <c r="L26" s="1156"/>
    </row>
    <row r="27" spans="1:12">
      <c r="A27" s="91">
        <v>16</v>
      </c>
      <c r="B27" s="82" t="str">
        <f>IFERROR(IF(VLOOKUP(A27,'REGISTRO DATOS'!B:H,2,0)=0,"",VLOOKUP(A27,'REGISTRO DATOS'!B:H,2,0)),"")</f>
        <v/>
      </c>
      <c r="C27" s="82" t="str">
        <f>IFERROR(IF(VLOOKUP(B27,'REGISTRO DATOS'!C:I,2,0)=0,"",VLOOKUP(B27,'REGISTRO DATOS'!C:I,2,0)),"")</f>
        <v/>
      </c>
      <c r="D27" s="82" t="str">
        <f>IFERROR(IF(VLOOKUP(C27,'REGISTRO DATOS'!D:I,2,0)=0,"",VLOOKUP(C27,'REGISTRO DATOS'!D:I,2,0)),"")</f>
        <v/>
      </c>
      <c r="E27" s="82" t="str">
        <f>IFERROR(IF(VLOOKUP(D27,'REGISTRO DATOS'!E:J,2,0)=0,"",VLOOKUP(D27,'REGISTRO DATOS'!E:J,2,0)),"")</f>
        <v/>
      </c>
      <c r="F27" s="417">
        <f>'Registro General'!AJ31</f>
        <v>5.2777777777777777</v>
      </c>
      <c r="G27" s="85" t="str">
        <f t="shared" si="0"/>
        <v>APLAZADO</v>
      </c>
      <c r="J27" s="88"/>
    </row>
    <row r="28" spans="1:12">
      <c r="A28" s="91">
        <v>17</v>
      </c>
      <c r="B28" s="82" t="str">
        <f>IFERROR(IF(VLOOKUP(A28,'REGISTRO DATOS'!B:H,2,0)=0,"",VLOOKUP(A28,'REGISTRO DATOS'!B:H,2,0)),"")</f>
        <v>QUIROS</v>
      </c>
      <c r="C28" s="82" t="str">
        <f>IFERROR(IF(VLOOKUP(B28,'REGISTRO DATOS'!C:I,2,0)=0,"",VLOOKUP(B28,'REGISTRO DATOS'!C:I,2,0)),"")</f>
        <v/>
      </c>
      <c r="D28" s="82" t="str">
        <f>IFERROR(IF(VLOOKUP(C28,'REGISTRO DATOS'!D:I,2,0)=0,"",VLOOKUP(C28,'REGISTRO DATOS'!D:I,2,0)),"")</f>
        <v/>
      </c>
      <c r="E28" s="82" t="str">
        <f>IFERROR(IF(VLOOKUP(D28,'REGISTRO DATOS'!E:J,2,0)=0,"",VLOOKUP(D28,'REGISTRO DATOS'!E:J,2,0)),"")</f>
        <v/>
      </c>
      <c r="F28" s="417">
        <f>'Registro General'!AJ32</f>
        <v>33.75</v>
      </c>
      <c r="G28" s="85" t="str">
        <f t="shared" si="0"/>
        <v>APLAZADO</v>
      </c>
      <c r="J28" s="88"/>
    </row>
    <row r="29" spans="1:12">
      <c r="A29" s="91">
        <v>18</v>
      </c>
      <c r="B29" s="82" t="str">
        <f>IFERROR(IF(VLOOKUP(A29,'REGISTRO DATOS'!B:H,2,0)=0,"",VLOOKUP(A29,'REGISTRO DATOS'!B:H,2,0)),"")</f>
        <v>RIVER</v>
      </c>
      <c r="C29" s="82" t="str">
        <f>IFERROR(IF(VLOOKUP(B29,'REGISTRO DATOS'!C:I,2,0)=0,"",VLOOKUP(B29,'REGISTRO DATOS'!C:I,2,0)),"")</f>
        <v/>
      </c>
      <c r="D29" s="82" t="str">
        <f>IFERROR(IF(VLOOKUP(C29,'REGISTRO DATOS'!D:I,2,0)=0,"",VLOOKUP(C29,'REGISTRO DATOS'!D:I,2,0)),"")</f>
        <v/>
      </c>
      <c r="E29" s="82" t="str">
        <f>IFERROR(IF(VLOOKUP(D29,'REGISTRO DATOS'!E:J,2,0)=0,"",VLOOKUP(D29,'REGISTRO DATOS'!E:J,2,0)),"")</f>
        <v/>
      </c>
      <c r="F29" s="417">
        <f>'Registro General'!AJ33</f>
        <v>27.222222222222221</v>
      </c>
      <c r="G29" s="85" t="str">
        <f t="shared" si="0"/>
        <v>APLAZADO</v>
      </c>
      <c r="J29" s="88"/>
    </row>
    <row r="30" spans="1:12" ht="14.1" customHeight="1">
      <c r="A30" s="91">
        <v>19</v>
      </c>
      <c r="B30" s="82" t="str">
        <f>IFERROR(IF(VLOOKUP(A30,'REGISTRO DATOS'!B:H,2,0)=0,"",VLOOKUP(A30,'REGISTRO DATOS'!B:H,2,0)),"")</f>
        <v/>
      </c>
      <c r="C30" s="82" t="str">
        <f>IFERROR(IF(VLOOKUP(B30,'REGISTRO DATOS'!C:I,2,0)=0,"",VLOOKUP(B30,'REGISTRO DATOS'!C:I,2,0)),"")</f>
        <v/>
      </c>
      <c r="D30" s="82" t="str">
        <f>IFERROR(IF(VLOOKUP(C30,'REGISTRO DATOS'!D:I,2,0)=0,"",VLOOKUP(C30,'REGISTRO DATOS'!D:I,2,0)),"")</f>
        <v/>
      </c>
      <c r="E30" s="82" t="str">
        <f>IFERROR(IF(VLOOKUP(D30,'REGISTRO DATOS'!E:J,2,0)=0,"",VLOOKUP(D30,'REGISTRO DATOS'!E:J,2,0)),"")</f>
        <v/>
      </c>
      <c r="F30" s="417">
        <f>'Registro General'!AJ34</f>
        <v>32.222222222222221</v>
      </c>
      <c r="G30" s="85" t="str">
        <f t="shared" si="0"/>
        <v>APLAZADO</v>
      </c>
    </row>
    <row r="31" spans="1:12" ht="14.1" customHeight="1">
      <c r="A31" s="91">
        <v>20</v>
      </c>
      <c r="B31" s="82" t="str">
        <f>IFERROR(IF(VLOOKUP(A31,'REGISTRO DATOS'!B:H,2,0)=0,"",VLOOKUP(A31,'REGISTRO DATOS'!B:H,2,0)),"")</f>
        <v/>
      </c>
      <c r="C31" s="82" t="str">
        <f>IFERROR(IF(VLOOKUP(B31,'REGISTRO DATOS'!C:I,2,0)=0,"",VLOOKUP(B31,'REGISTRO DATOS'!C:I,2,0)),"")</f>
        <v/>
      </c>
      <c r="D31" s="82" t="str">
        <f>IFERROR(IF(VLOOKUP(C31,'REGISTRO DATOS'!D:I,2,0)=0,"",VLOOKUP(C31,'REGISTRO DATOS'!D:I,2,0)),"")</f>
        <v/>
      </c>
      <c r="E31" s="82" t="str">
        <f>IFERROR(IF(VLOOKUP(D31,'REGISTRO DATOS'!E:J,2,0)=0,"",VLOOKUP(D31,'REGISTRO DATOS'!E:J,2,0)),"")</f>
        <v/>
      </c>
      <c r="F31" s="417">
        <f>'Registro General'!AJ35</f>
        <v>35</v>
      </c>
      <c r="G31" s="85" t="str">
        <f t="shared" si="0"/>
        <v>APLAZADO</v>
      </c>
    </row>
    <row r="32" spans="1:12" ht="14.1" customHeight="1">
      <c r="A32" s="91">
        <v>21</v>
      </c>
      <c r="B32" s="82" t="str">
        <f>IFERROR(IF(VLOOKUP(A32,'REGISTRO DATOS'!B:H,2,0)=0,"",VLOOKUP(A32,'REGISTRO DATOS'!B:H,2,0)),"")</f>
        <v/>
      </c>
      <c r="C32" s="82" t="str">
        <f>IFERROR(IF(VLOOKUP(B32,'REGISTRO DATOS'!C:I,2,0)=0,"",VLOOKUP(B32,'REGISTRO DATOS'!C:I,2,0)),"")</f>
        <v/>
      </c>
      <c r="D32" s="82" t="str">
        <f>IFERROR(IF(VLOOKUP(C32,'REGISTRO DATOS'!D:I,2,0)=0,"",VLOOKUP(C32,'REGISTRO DATOS'!D:I,2,0)),"")</f>
        <v/>
      </c>
      <c r="E32" s="82" t="str">
        <f>IFERROR(IF(VLOOKUP(D32,'REGISTRO DATOS'!E:J,2,0)=0,"",VLOOKUP(D32,'REGISTRO DATOS'!E:J,2,0)),"")</f>
        <v/>
      </c>
      <c r="F32" s="417">
        <f>'Registro General'!AJ36</f>
        <v>10</v>
      </c>
      <c r="G32" s="85" t="str">
        <f t="shared" si="0"/>
        <v>APLAZADO</v>
      </c>
    </row>
    <row r="33" spans="1:7" ht="14.1" customHeight="1">
      <c r="A33" s="91">
        <v>22</v>
      </c>
      <c r="B33" s="82" t="str">
        <f>IFERROR(IF(VLOOKUP(A33,'REGISTRO DATOS'!B:H,2,0)=0,"",VLOOKUP(A33,'REGISTRO DATOS'!B:H,2,0)),"")</f>
        <v/>
      </c>
      <c r="C33" s="82" t="str">
        <f>IFERROR(IF(VLOOKUP(B33,'REGISTRO DATOS'!C:I,2,0)=0,"",VLOOKUP(B33,'REGISTRO DATOS'!C:I,2,0)),"")</f>
        <v/>
      </c>
      <c r="D33" s="82" t="str">
        <f>IFERROR(IF(VLOOKUP(C33,'REGISTRO DATOS'!D:I,2,0)=0,"",VLOOKUP(C33,'REGISTRO DATOS'!D:I,2,0)),"")</f>
        <v/>
      </c>
      <c r="E33" s="82" t="str">
        <f>IFERROR(IF(VLOOKUP(D33,'REGISTRO DATOS'!E:J,2,0)=0,"",VLOOKUP(D33,'REGISTRO DATOS'!E:J,2,0)),"")</f>
        <v/>
      </c>
      <c r="F33" s="417">
        <f>'Registro General'!AJ37</f>
        <v>10</v>
      </c>
      <c r="G33" s="85" t="str">
        <f t="shared" si="0"/>
        <v>APLAZADO</v>
      </c>
    </row>
    <row r="34" spans="1:7" ht="14.1" customHeight="1">
      <c r="A34" s="91">
        <v>23</v>
      </c>
      <c r="B34" s="82" t="str">
        <f>IFERROR(IF(VLOOKUP(A34,'REGISTRO DATOS'!B:H,2,0)=0,"",VLOOKUP(A34,'REGISTRO DATOS'!B:H,2,0)),"")</f>
        <v/>
      </c>
      <c r="C34" s="82" t="str">
        <f>IFERROR(IF(VLOOKUP(B34,'REGISTRO DATOS'!C:I,2,0)=0,"",VLOOKUP(B34,'REGISTRO DATOS'!C:I,2,0)),"")</f>
        <v/>
      </c>
      <c r="D34" s="82" t="str">
        <f>IFERROR(IF(VLOOKUP(C34,'REGISTRO DATOS'!D:I,2,0)=0,"",VLOOKUP(C34,'REGISTRO DATOS'!D:I,2,0)),"")</f>
        <v/>
      </c>
      <c r="E34" s="82" t="str">
        <f>IFERROR(IF(VLOOKUP(D34,'REGISTRO DATOS'!E:J,2,0)=0,"",VLOOKUP(D34,'REGISTRO DATOS'!E:J,2,0)),"")</f>
        <v/>
      </c>
      <c r="F34" s="417">
        <f>'Registro General'!AJ38</f>
        <v>10</v>
      </c>
      <c r="G34" s="85" t="str">
        <f t="shared" si="0"/>
        <v>APLAZADO</v>
      </c>
    </row>
    <row r="35" spans="1:7" ht="14.1" customHeight="1">
      <c r="A35" s="91">
        <v>24</v>
      </c>
      <c r="B35" s="82" t="str">
        <f>IFERROR(IF(VLOOKUP(A35,'REGISTRO DATOS'!B:H,2,0)=0,"",VLOOKUP(A35,'REGISTRO DATOS'!B:H,2,0)),"")</f>
        <v/>
      </c>
      <c r="C35" s="82" t="str">
        <f>IFERROR(IF(VLOOKUP(B35,'REGISTRO DATOS'!C:I,2,0)=0,"",VLOOKUP(B35,'REGISTRO DATOS'!C:I,2,0)),"")</f>
        <v/>
      </c>
      <c r="D35" s="82" t="str">
        <f>IFERROR(IF(VLOOKUP(C35,'REGISTRO DATOS'!D:I,2,0)=0,"",VLOOKUP(C35,'REGISTRO DATOS'!D:I,2,0)),"")</f>
        <v/>
      </c>
      <c r="E35" s="82" t="str">
        <f>IFERROR(IF(VLOOKUP(D35,'REGISTRO DATOS'!E:J,2,0)=0,"",VLOOKUP(D35,'REGISTRO DATOS'!E:J,2,0)),"")</f>
        <v/>
      </c>
      <c r="F35" s="417">
        <f>'Registro General'!AJ39</f>
        <v>10</v>
      </c>
      <c r="G35" s="85" t="str">
        <f t="shared" si="0"/>
        <v>APLAZADO</v>
      </c>
    </row>
    <row r="36" spans="1:7" ht="14.1" customHeight="1">
      <c r="A36" s="91">
        <v>25</v>
      </c>
      <c r="B36" s="82" t="str">
        <f>IFERROR(IF(VLOOKUP(A36,'REGISTRO DATOS'!B:H,2,0)=0,"",VLOOKUP(A36,'REGISTRO DATOS'!B:H,2,0)),"")</f>
        <v/>
      </c>
      <c r="C36" s="82" t="str">
        <f>IFERROR(IF(VLOOKUP(B36,'REGISTRO DATOS'!C:I,2,0)=0,"",VLOOKUP(B36,'REGISTRO DATOS'!C:I,2,0)),"")</f>
        <v/>
      </c>
      <c r="D36" s="82" t="str">
        <f>IFERROR(IF(VLOOKUP(C36,'REGISTRO DATOS'!D:I,2,0)=0,"",VLOOKUP(C36,'REGISTRO DATOS'!D:I,2,0)),"")</f>
        <v/>
      </c>
      <c r="E36" s="82" t="str">
        <f>IFERROR(IF(VLOOKUP(D36,'REGISTRO DATOS'!E:J,2,0)=0,"",VLOOKUP(D36,'REGISTRO DATOS'!E:J,2,0)),"")</f>
        <v/>
      </c>
      <c r="F36" s="417">
        <f>'Registro General'!AJ40</f>
        <v>10</v>
      </c>
      <c r="G36" s="85" t="str">
        <f t="shared" si="0"/>
        <v>APLAZADO</v>
      </c>
    </row>
    <row r="37" spans="1:7" ht="13.5" customHeight="1">
      <c r="A37" s="91">
        <v>26</v>
      </c>
      <c r="B37" s="82" t="str">
        <f>IFERROR(IF(VLOOKUP(A37,'REGISTRO DATOS'!B:H,2,0)=0,"",VLOOKUP(A37,'REGISTRO DATOS'!B:H,2,0)),"")</f>
        <v/>
      </c>
      <c r="C37" s="82" t="str">
        <f>IFERROR(IF(VLOOKUP(B37,'REGISTRO DATOS'!C:I,2,0)=0,"",VLOOKUP(B37,'REGISTRO DATOS'!C:I,2,0)),"")</f>
        <v/>
      </c>
      <c r="D37" s="82" t="str">
        <f>IFERROR(IF(VLOOKUP(C37,'REGISTRO DATOS'!D:I,2,0)=0,"",VLOOKUP(C37,'REGISTRO DATOS'!D:I,2,0)),"")</f>
        <v/>
      </c>
      <c r="E37" s="82" t="str">
        <f>IFERROR(IF(VLOOKUP(D37,'REGISTRO DATOS'!E:J,2,0)=0,"",VLOOKUP(D37,'REGISTRO DATOS'!E:J,2,0)),"")</f>
        <v/>
      </c>
      <c r="F37" s="417">
        <f>'Registro General'!AJ41</f>
        <v>10</v>
      </c>
      <c r="G37" s="85" t="str">
        <f t="shared" si="0"/>
        <v>APLAZADO</v>
      </c>
    </row>
    <row r="38" spans="1:7" ht="13.5" customHeight="1">
      <c r="A38" s="91">
        <v>27</v>
      </c>
      <c r="B38" s="82" t="str">
        <f>IFERROR(IF(VLOOKUP(A38,'REGISTRO DATOS'!B:H,2,0)=0,"",VLOOKUP(A38,'REGISTRO DATOS'!B:H,2,0)),"")</f>
        <v/>
      </c>
      <c r="C38" s="82" t="str">
        <f>IFERROR(IF(VLOOKUP(B38,'REGISTRO DATOS'!C:I,2,0)=0,"",VLOOKUP(B38,'REGISTRO DATOS'!C:I,2,0)),"")</f>
        <v/>
      </c>
      <c r="D38" s="82" t="str">
        <f>IFERROR(IF(VLOOKUP(C38,'REGISTRO DATOS'!D:I,2,0)=0,"",VLOOKUP(C38,'REGISTRO DATOS'!D:I,2,0)),"")</f>
        <v/>
      </c>
      <c r="E38" s="82" t="str">
        <f>IFERROR(IF(VLOOKUP(D38,'REGISTRO DATOS'!E:J,2,0)=0,"",VLOOKUP(D38,'REGISTRO DATOS'!E:J,2,0)),"")</f>
        <v/>
      </c>
      <c r="F38" s="417">
        <f>'Registro General'!AJ42</f>
        <v>10</v>
      </c>
      <c r="G38" s="85" t="str">
        <f t="shared" si="0"/>
        <v>APLAZADO</v>
      </c>
    </row>
    <row r="39" spans="1:7" ht="13.5" customHeight="1">
      <c r="A39" s="91">
        <v>28</v>
      </c>
      <c r="B39" s="82" t="str">
        <f>IFERROR(IF(VLOOKUP(A39,'REGISTRO DATOS'!B:H,2,0)=0,"",VLOOKUP(A39,'REGISTRO DATOS'!B:H,2,0)),"")</f>
        <v/>
      </c>
      <c r="C39" s="82" t="str">
        <f>IFERROR(IF(VLOOKUP(B39,'REGISTRO DATOS'!C:I,2,0)=0,"",VLOOKUP(B39,'REGISTRO DATOS'!C:I,2,0)),"")</f>
        <v/>
      </c>
      <c r="D39" s="82" t="str">
        <f>IFERROR(IF(VLOOKUP(C39,'REGISTRO DATOS'!D:I,2,0)=0,"",VLOOKUP(C39,'REGISTRO DATOS'!D:I,2,0)),"")</f>
        <v/>
      </c>
      <c r="E39" s="82" t="str">
        <f>IFERROR(IF(VLOOKUP(D39,'REGISTRO DATOS'!E:J,2,0)=0,"",VLOOKUP(D39,'REGISTRO DATOS'!E:J,2,0)),"")</f>
        <v/>
      </c>
      <c r="F39" s="417">
        <f>'Registro General'!AJ43</f>
        <v>10</v>
      </c>
      <c r="G39" s="85" t="str">
        <f t="shared" si="0"/>
        <v>APLAZADO</v>
      </c>
    </row>
    <row r="40" spans="1:7" ht="13.5" customHeight="1">
      <c r="A40" s="91">
        <v>29</v>
      </c>
      <c r="B40" s="82" t="str">
        <f>IFERROR(IF(VLOOKUP(A40,'REGISTRO DATOS'!B:H,2,0)=0,"",VLOOKUP(A40,'REGISTRO DATOS'!B:H,2,0)),"")</f>
        <v/>
      </c>
      <c r="C40" s="82" t="str">
        <f>IFERROR(IF(VLOOKUP(B40,'REGISTRO DATOS'!C:I,2,0)=0,"",VLOOKUP(B40,'REGISTRO DATOS'!C:I,2,0)),"")</f>
        <v/>
      </c>
      <c r="D40" s="82" t="str">
        <f>IFERROR(IF(VLOOKUP(C40,'REGISTRO DATOS'!D:I,2,0)=0,"",VLOOKUP(C40,'REGISTRO DATOS'!D:I,2,0)),"")</f>
        <v/>
      </c>
      <c r="E40" s="82" t="str">
        <f>IFERROR(IF(VLOOKUP(D40,'REGISTRO DATOS'!E:J,2,0)=0,"",VLOOKUP(D40,'REGISTRO DATOS'!E:J,2,0)),"")</f>
        <v/>
      </c>
      <c r="F40" s="417">
        <f>'Registro General'!AJ44</f>
        <v>10</v>
      </c>
      <c r="G40" s="85" t="str">
        <f t="shared" si="0"/>
        <v>APLAZADO</v>
      </c>
    </row>
    <row r="41" spans="1:7" ht="13.5" customHeight="1">
      <c r="A41" s="91">
        <v>30</v>
      </c>
      <c r="B41" s="82" t="str">
        <f>IFERROR(IF(VLOOKUP(A41,'REGISTRO DATOS'!B:H,2,0)=0,"",VLOOKUP(A41,'REGISTRO DATOS'!B:H,2,0)),"")</f>
        <v/>
      </c>
      <c r="C41" s="82" t="str">
        <f>IFERROR(IF(VLOOKUP(B41,'REGISTRO DATOS'!C:I,2,0)=0,"",VLOOKUP(B41,'REGISTRO DATOS'!C:I,2,0)),"")</f>
        <v/>
      </c>
      <c r="D41" s="82" t="str">
        <f>IFERROR(IF(VLOOKUP(C41,'REGISTRO DATOS'!D:I,2,0)=0,"",VLOOKUP(C41,'REGISTRO DATOS'!D:I,2,0)),"")</f>
        <v/>
      </c>
      <c r="E41" s="82" t="str">
        <f>IFERROR(IF(VLOOKUP(D41,'REGISTRO DATOS'!E:J,2,0)=0,"",VLOOKUP(D41,'REGISTRO DATOS'!E:J,2,0)),"")</f>
        <v/>
      </c>
      <c r="F41" s="417">
        <f>'Registro General'!AJ45</f>
        <v>10</v>
      </c>
      <c r="G41" s="85" t="str">
        <f t="shared" si="0"/>
        <v>APLAZADO</v>
      </c>
    </row>
    <row r="42" spans="1:7" ht="13.5" customHeight="1">
      <c r="A42" s="91">
        <v>31</v>
      </c>
      <c r="B42" s="82" t="str">
        <f>IFERROR(IF(VLOOKUP(A42,'REGISTRO DATOS'!B:H,2,0)=0,"",VLOOKUP(A42,'REGISTRO DATOS'!B:H,2,0)),"")</f>
        <v/>
      </c>
      <c r="C42" s="82" t="str">
        <f>IFERROR(IF(VLOOKUP(B42,'REGISTRO DATOS'!C:I,2,0)=0,"",VLOOKUP(B42,'REGISTRO DATOS'!C:I,2,0)),"")</f>
        <v/>
      </c>
      <c r="D42" s="82" t="str">
        <f>IFERROR(IF(VLOOKUP(C42,'REGISTRO DATOS'!D:I,2,0)=0,"",VLOOKUP(C42,'REGISTRO DATOS'!D:I,2,0)),"")</f>
        <v/>
      </c>
      <c r="E42" s="82" t="str">
        <f>IFERROR(IF(VLOOKUP(D42,'REGISTRO DATOS'!E:J,2,0)=0,"",VLOOKUP(D42,'REGISTRO DATOS'!E:J,2,0)),"")</f>
        <v/>
      </c>
      <c r="F42" s="417">
        <f>'Registro General'!AJ46</f>
        <v>10</v>
      </c>
      <c r="G42" s="85" t="str">
        <f t="shared" si="0"/>
        <v>APLAZADO</v>
      </c>
    </row>
    <row r="43" spans="1:7" ht="13.5" customHeight="1">
      <c r="A43" s="91">
        <v>32</v>
      </c>
      <c r="B43" s="82" t="str">
        <f>IFERROR(IF(VLOOKUP(A43,'REGISTRO DATOS'!B:H,2,0)=0,"",VLOOKUP(A43,'REGISTRO DATOS'!B:H,2,0)),"")</f>
        <v/>
      </c>
      <c r="C43" s="82" t="str">
        <f>IFERROR(IF(VLOOKUP(B43,'REGISTRO DATOS'!C:I,2,0)=0,"",VLOOKUP(B43,'REGISTRO DATOS'!C:I,2,0)),"")</f>
        <v/>
      </c>
      <c r="D43" s="82" t="str">
        <f>IFERROR(IF(VLOOKUP(C43,'REGISTRO DATOS'!D:I,2,0)=0,"",VLOOKUP(C43,'REGISTRO DATOS'!D:I,2,0)),"")</f>
        <v/>
      </c>
      <c r="E43" s="82" t="str">
        <f>IFERROR(IF(VLOOKUP(D43,'REGISTRO DATOS'!E:J,2,0)=0,"",VLOOKUP(D43,'REGISTRO DATOS'!E:J,2,0)),"")</f>
        <v/>
      </c>
      <c r="F43" s="417">
        <f>'Registro General'!AJ47</f>
        <v>10</v>
      </c>
      <c r="G43" s="85" t="str">
        <f t="shared" si="0"/>
        <v>APLAZADO</v>
      </c>
    </row>
    <row r="44" spans="1:7" ht="13.5" customHeight="1">
      <c r="A44" s="91">
        <v>33</v>
      </c>
      <c r="B44" s="82" t="str">
        <f>IFERROR(IF(VLOOKUP(A44,'REGISTRO DATOS'!B:H,2,0)=0,"",VLOOKUP(A44,'REGISTRO DATOS'!B:H,2,0)),"")</f>
        <v/>
      </c>
      <c r="C44" s="82" t="str">
        <f>IFERROR(IF(VLOOKUP(B44,'REGISTRO DATOS'!C:I,2,0)=0,"",VLOOKUP(B44,'REGISTRO DATOS'!C:I,2,0)),"")</f>
        <v/>
      </c>
      <c r="D44" s="82" t="str">
        <f>IFERROR(IF(VLOOKUP(C44,'REGISTRO DATOS'!D:I,2,0)=0,"",VLOOKUP(C44,'REGISTRO DATOS'!D:I,2,0)),"")</f>
        <v/>
      </c>
      <c r="E44" s="82" t="str">
        <f>IFERROR(IF(VLOOKUP(D44,'REGISTRO DATOS'!E:J,2,0)=0,"",VLOOKUP(D44,'REGISTRO DATOS'!E:J,2,0)),"")</f>
        <v/>
      </c>
      <c r="F44" s="417">
        <f>'Registro General'!AJ48</f>
        <v>10</v>
      </c>
      <c r="G44" s="85" t="str">
        <f t="shared" si="0"/>
        <v>APLAZADO</v>
      </c>
    </row>
    <row r="45" spans="1:7" ht="13.5" customHeight="1">
      <c r="A45" s="91">
        <v>34</v>
      </c>
      <c r="B45" s="82" t="str">
        <f>IFERROR(IF(VLOOKUP(A45,'REGISTRO DATOS'!B:H,2,0)=0,"",VLOOKUP(A45,'REGISTRO DATOS'!B:H,2,0)),"")</f>
        <v/>
      </c>
      <c r="C45" s="82" t="str">
        <f>IFERROR(IF(VLOOKUP(B45,'REGISTRO DATOS'!C:I,2,0)=0,"",VLOOKUP(B45,'REGISTRO DATOS'!C:I,2,0)),"")</f>
        <v/>
      </c>
      <c r="D45" s="82" t="str">
        <f>IFERROR(IF(VLOOKUP(C45,'REGISTRO DATOS'!D:I,2,0)=0,"",VLOOKUP(C45,'REGISTRO DATOS'!D:I,2,0)),"")</f>
        <v/>
      </c>
      <c r="E45" s="82" t="str">
        <f>IFERROR(IF(VLOOKUP(D45,'REGISTRO DATOS'!E:J,2,0)=0,"",VLOOKUP(D45,'REGISTRO DATOS'!E:J,2,0)),"")</f>
        <v/>
      </c>
      <c r="F45" s="417">
        <f>'Registro General'!AJ49</f>
        <v>10</v>
      </c>
      <c r="G45" s="85" t="str">
        <f t="shared" si="0"/>
        <v>APLAZADO</v>
      </c>
    </row>
    <row r="46" spans="1:7" ht="13.7" customHeight="1">
      <c r="A46" s="91">
        <v>35</v>
      </c>
      <c r="B46" s="82" t="str">
        <f>IFERROR(IF(VLOOKUP(A46,'REGISTRO DATOS'!B:H,2,0)=0,"",VLOOKUP(A46,'REGISTRO DATOS'!B:H,2,0)),"")</f>
        <v/>
      </c>
      <c r="C46" s="82" t="str">
        <f>IFERROR(IF(VLOOKUP(B46,'REGISTRO DATOS'!C:I,2,0)=0,"",VLOOKUP(B46,'REGISTRO DATOS'!C:I,2,0)),"")</f>
        <v/>
      </c>
      <c r="D46" s="82" t="str">
        <f>IFERROR(IF(VLOOKUP(C46,'REGISTRO DATOS'!D:I,2,0)=0,"",VLOOKUP(C46,'REGISTRO DATOS'!D:I,2,0)),"")</f>
        <v/>
      </c>
      <c r="E46" s="82" t="str">
        <f>IFERROR(IF(VLOOKUP(D46,'REGISTRO DATOS'!E:J,2,0)=0,"",VLOOKUP(D46,'REGISTRO DATOS'!E:J,2,0)),"")</f>
        <v/>
      </c>
      <c r="F46" s="417">
        <f>'Registro General'!AJ50</f>
        <v>10</v>
      </c>
      <c r="G46" s="85" t="str">
        <f t="shared" si="0"/>
        <v>APLAZADO</v>
      </c>
    </row>
    <row r="47" spans="1:7" ht="13.5" customHeight="1">
      <c r="A47" s="91">
        <v>36</v>
      </c>
      <c r="B47" s="82" t="str">
        <f>IFERROR(IF(VLOOKUP(A47,'REGISTRO DATOS'!B:H,2,0)=0,"",VLOOKUP(A47,'REGISTRO DATOS'!B:H,2,0)),"")</f>
        <v/>
      </c>
      <c r="C47" s="82" t="str">
        <f>IFERROR(IF(VLOOKUP(B47,'REGISTRO DATOS'!C:I,2,0)=0,"",VLOOKUP(B47,'REGISTRO DATOS'!C:I,2,0)),"")</f>
        <v/>
      </c>
      <c r="D47" s="82" t="str">
        <f>IFERROR(IF(VLOOKUP(C47,'REGISTRO DATOS'!D:I,2,0)=0,"",VLOOKUP(C47,'REGISTRO DATOS'!D:I,2,0)),"")</f>
        <v/>
      </c>
      <c r="E47" s="82" t="str">
        <f>IFERROR(IF(VLOOKUP(D47,'REGISTRO DATOS'!E:J,2,0)=0,"",VLOOKUP(D47,'REGISTRO DATOS'!E:J,2,0)),"")</f>
        <v/>
      </c>
      <c r="F47" s="417">
        <f>'Registro General'!AJ51</f>
        <v>10</v>
      </c>
      <c r="G47" s="85" t="str">
        <f t="shared" si="0"/>
        <v>APLAZADO</v>
      </c>
    </row>
    <row r="48" spans="1:7" ht="13.5" customHeight="1">
      <c r="A48" s="91">
        <v>37</v>
      </c>
      <c r="B48" s="82" t="str">
        <f>IFERROR(IF(VLOOKUP(A48,'REGISTRO DATOS'!B:H,2,0)=0,"",VLOOKUP(A48,'REGISTRO DATOS'!B:H,2,0)),"")</f>
        <v/>
      </c>
      <c r="C48" s="82" t="str">
        <f>IFERROR(IF(VLOOKUP(B48,'REGISTRO DATOS'!C:I,2,0)=0,"",VLOOKUP(B48,'REGISTRO DATOS'!C:I,2,0)),"")</f>
        <v/>
      </c>
      <c r="D48" s="82" t="str">
        <f>IFERROR(IF(VLOOKUP(C48,'REGISTRO DATOS'!D:I,2,0)=0,"",VLOOKUP(C48,'REGISTRO DATOS'!D:I,2,0)),"")</f>
        <v/>
      </c>
      <c r="E48" s="82" t="str">
        <f>IFERROR(IF(VLOOKUP(D48,'REGISTRO DATOS'!E:J,2,0)=0,"",VLOOKUP(D48,'REGISTRO DATOS'!E:J,2,0)),"")</f>
        <v/>
      </c>
      <c r="F48" s="417">
        <f>'Registro General'!AJ52</f>
        <v>10</v>
      </c>
      <c r="G48" s="85" t="str">
        <f t="shared" si="0"/>
        <v>APLAZADO</v>
      </c>
    </row>
    <row r="49" spans="1:7" ht="13.7" customHeight="1">
      <c r="A49" s="91">
        <v>38</v>
      </c>
      <c r="B49" s="82" t="str">
        <f>IFERROR(IF(VLOOKUP(A49,'REGISTRO DATOS'!B:H,2,0)=0,"",VLOOKUP(A49,'REGISTRO DATOS'!B:H,2,0)),"")</f>
        <v/>
      </c>
      <c r="C49" s="82" t="str">
        <f>IFERROR(IF(VLOOKUP(B49,'REGISTRO DATOS'!C:I,2,0)=0,"",VLOOKUP(B49,'REGISTRO DATOS'!C:I,2,0)),"")</f>
        <v/>
      </c>
      <c r="D49" s="82" t="str">
        <f>IFERROR(IF(VLOOKUP(C49,'REGISTRO DATOS'!D:I,2,0)=0,"",VLOOKUP(C49,'REGISTRO DATOS'!D:I,2,0)),"")</f>
        <v/>
      </c>
      <c r="E49" s="82" t="str">
        <f>IFERROR(IF(VLOOKUP(D49,'REGISTRO DATOS'!E:J,2,0)=0,"",VLOOKUP(D49,'REGISTRO DATOS'!E:J,2,0)),"")</f>
        <v/>
      </c>
      <c r="F49" s="417">
        <f>'Registro General'!AJ53</f>
        <v>10</v>
      </c>
      <c r="G49" s="85" t="str">
        <f t="shared" si="0"/>
        <v>APLAZADO</v>
      </c>
    </row>
    <row r="50" spans="1:7" ht="13.7" customHeight="1">
      <c r="A50" s="91">
        <v>39</v>
      </c>
      <c r="B50" s="82" t="str">
        <f>IFERROR(IF(VLOOKUP(A50,'REGISTRO DATOS'!B:H,2,0)=0,"",VLOOKUP(A50,'REGISTRO DATOS'!B:H,2,0)),"")</f>
        <v/>
      </c>
      <c r="C50" s="82" t="str">
        <f>IFERROR(IF(VLOOKUP(B50,'REGISTRO DATOS'!C:I,2,0)=0,"",VLOOKUP(B50,'REGISTRO DATOS'!C:I,2,0)),"")</f>
        <v/>
      </c>
      <c r="D50" s="82" t="str">
        <f>IFERROR(IF(VLOOKUP(C50,'REGISTRO DATOS'!D:I,2,0)=0,"",VLOOKUP(C50,'REGISTRO DATOS'!D:I,2,0)),"")</f>
        <v/>
      </c>
      <c r="E50" s="82" t="str">
        <f>IFERROR(IF(VLOOKUP(D50,'REGISTRO DATOS'!E:J,2,0)=0,"",VLOOKUP(D50,'REGISTRO DATOS'!E:J,2,0)),"")</f>
        <v/>
      </c>
      <c r="F50" s="417">
        <f>'Registro General'!AJ54</f>
        <v>10</v>
      </c>
      <c r="G50" s="85" t="str">
        <f t="shared" si="0"/>
        <v>APLAZADO</v>
      </c>
    </row>
    <row r="51" spans="1:7" ht="13.5" customHeight="1">
      <c r="A51" s="91">
        <v>40</v>
      </c>
      <c r="B51" s="82" t="str">
        <f>IFERROR(IF(VLOOKUP(A51,'REGISTRO DATOS'!B:H,2,0)=0,"",VLOOKUP(A51,'REGISTRO DATOS'!B:H,2,0)),"")</f>
        <v/>
      </c>
      <c r="C51" s="82" t="str">
        <f>IFERROR(IF(VLOOKUP(B51,'REGISTRO DATOS'!C:I,2,0)=0,"",VLOOKUP(B51,'REGISTRO DATOS'!C:I,2,0)),"")</f>
        <v/>
      </c>
      <c r="D51" s="82" t="str">
        <f>IFERROR(IF(VLOOKUP(C51,'REGISTRO DATOS'!D:I,2,0)=0,"",VLOOKUP(C51,'REGISTRO DATOS'!D:I,2,0)),"")</f>
        <v/>
      </c>
      <c r="E51" s="82" t="str">
        <f>IFERROR(IF(VLOOKUP(D51,'REGISTRO DATOS'!E:J,2,0)=0,"",VLOOKUP(D51,'REGISTRO DATOS'!E:J,2,0)),"")</f>
        <v/>
      </c>
      <c r="F51" s="417">
        <f>'Registro General'!AJ55</f>
        <v>10</v>
      </c>
      <c r="G51" s="85" t="str">
        <f t="shared" si="0"/>
        <v>APLAZADO</v>
      </c>
    </row>
    <row r="52" spans="1:7" ht="13.5" customHeight="1">
      <c r="A52" s="83" t="s">
        <v>53</v>
      </c>
      <c r="B52" s="83"/>
      <c r="C52" s="83"/>
      <c r="D52" s="83"/>
      <c r="E52" s="382" t="s">
        <v>254</v>
      </c>
      <c r="F52" s="384">
        <f ca="1">TODAY()</f>
        <v>46178</v>
      </c>
    </row>
    <row r="53" spans="1:7" ht="14.1" customHeight="1">
      <c r="A53" s="83"/>
      <c r="B53" s="83"/>
      <c r="C53" s="83"/>
      <c r="D53" s="83"/>
      <c r="E53" s="83"/>
      <c r="F53" s="383"/>
      <c r="G53" s="90"/>
    </row>
    <row r="54" spans="1:7" hidden="1">
      <c r="D54" s="80"/>
    </row>
    <row r="55" spans="1:7" hidden="1">
      <c r="D55" s="80"/>
      <c r="G55" s="81"/>
    </row>
    <row r="56" spans="1:7" ht="0.75" hidden="1" customHeight="1"/>
    <row r="58" spans="1:7" ht="2.25" hidden="1" customHeight="1"/>
    <row r="60" spans="1:7" ht="8.25" hidden="1" customHeight="1"/>
  </sheetData>
  <mergeCells count="14">
    <mergeCell ref="C2:F2"/>
    <mergeCell ref="C4:F4"/>
    <mergeCell ref="C5:F5"/>
    <mergeCell ref="A7:G8"/>
    <mergeCell ref="C3:E3"/>
    <mergeCell ref="F3:G3"/>
    <mergeCell ref="J26:L26"/>
    <mergeCell ref="A9:B9"/>
    <mergeCell ref="A10:B10"/>
    <mergeCell ref="C9:E9"/>
    <mergeCell ref="C10:E10"/>
    <mergeCell ref="I11:J11"/>
    <mergeCell ref="I12:J12"/>
    <mergeCell ref="I14:K14"/>
  </mergeCells>
  <conditionalFormatting sqref="G12:G51">
    <cfRule type="containsText" dxfId="14" priority="1" operator="containsText" text="e">
      <formula>NOT(ISERROR(SEARCH("e",G12)))</formula>
    </cfRule>
    <cfRule type="containsText" dxfId="13" priority="3" operator="containsText" text="APLAZADO">
      <formula>NOT(ISERROR(SEARCH("APLAZADO",G12)))</formula>
    </cfRule>
  </conditionalFormatting>
  <conditionalFormatting sqref="F12:F51">
    <cfRule type="cellIs" dxfId="12" priority="2" operator="lessThan">
      <formula>60</formula>
    </cfRule>
  </conditionalFormatting>
  <dataValidations count="1">
    <dataValidation type="list" allowBlank="1" showInputMessage="1" showErrorMessage="1" sqref="I7" xr:uid="{00000000-0002-0000-1B00-000000000000}">
      <formula1>Condiciones</formula1>
    </dataValidation>
  </dataValidations>
  <pageMargins left="0.25" right="0.25" top="0.75" bottom="0.75" header="0.3" footer="0.3"/>
  <pageSetup scale="96" fitToHeight="0" orientation="portrait" horizontalDpi="4294967294" r:id="rId1"/>
  <ignoredErrors>
    <ignoredError sqref="F3" unlockedFormula="1"/>
  </ignoredError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3">
    <tabColor theme="5"/>
    <pageSetUpPr fitToPage="1"/>
  </sheetPr>
  <dimension ref="A1:L61"/>
  <sheetViews>
    <sheetView showGridLines="0" showRowColHeaders="0" zoomScaleNormal="100" workbookViewId="0"/>
  </sheetViews>
  <sheetFormatPr baseColWidth="10" defaultRowHeight="15"/>
  <cols>
    <col min="1" max="1" width="4.42578125" customWidth="1" collapsed="1"/>
    <col min="2" max="2" width="13" customWidth="1" collapsed="1"/>
    <col min="3" max="3" width="13.85546875" customWidth="1" collapsed="1"/>
    <col min="4" max="4" width="20.5703125" bestFit="1" customWidth="1" collapsed="1"/>
    <col min="5" max="5" width="11.7109375" customWidth="1" collapsed="1"/>
    <col min="6" max="6" width="9.140625" customWidth="1"/>
    <col min="7" max="7" width="24.7109375" customWidth="1" collapsed="1"/>
    <col min="8" max="8" width="7.85546875" customWidth="1"/>
  </cols>
  <sheetData>
    <row r="1" spans="1:11" ht="3.75" customHeight="1">
      <c r="A1" s="96" t="s">
        <v>60</v>
      </c>
      <c r="B1" s="97"/>
      <c r="C1" s="97"/>
      <c r="D1" s="97"/>
      <c r="E1" s="97"/>
      <c r="F1" s="97"/>
      <c r="G1" s="98"/>
    </row>
    <row r="2" spans="1:11" ht="14.25" customHeight="1">
      <c r="A2" s="99"/>
      <c r="B2" s="100"/>
      <c r="C2" s="1174" t="s">
        <v>277</v>
      </c>
      <c r="D2" s="1174"/>
      <c r="E2" s="1174"/>
      <c r="F2" s="1174"/>
      <c r="G2" s="373"/>
    </row>
    <row r="3" spans="1:11" ht="15.75" customHeight="1">
      <c r="A3" s="99"/>
      <c r="B3" s="100"/>
      <c r="C3" s="1169" t="s">
        <v>276</v>
      </c>
      <c r="D3" s="1169"/>
      <c r="E3" s="1169"/>
      <c r="F3" s="1170" t="str">
        <f>'REGISTRO DATOS'!I4</f>
        <v>COTO</v>
      </c>
      <c r="G3" s="1171"/>
    </row>
    <row r="4" spans="1:11" ht="12" customHeight="1">
      <c r="A4" s="99"/>
      <c r="B4" s="100"/>
      <c r="C4" s="1166">
        <f>'REGISTRO DATOS'!I3</f>
        <v>0</v>
      </c>
      <c r="D4" s="1166"/>
      <c r="E4" s="1166"/>
      <c r="F4" s="1166"/>
      <c r="G4" s="373"/>
    </row>
    <row r="5" spans="1:11" ht="13.5" customHeight="1" thickBot="1">
      <c r="A5" s="92"/>
      <c r="B5" s="93"/>
      <c r="C5" s="1167" t="str">
        <f>"DIRECCIÓN REGIONAL DE " &amp; 'REGISTRO DATOS'!I4</f>
        <v>DIRECCIÓN REGIONAL DE COTO</v>
      </c>
      <c r="D5" s="1167"/>
      <c r="E5" s="1167"/>
      <c r="F5" s="1167"/>
      <c r="G5" s="94"/>
    </row>
    <row r="6" spans="1:11" ht="6" hidden="1" customHeight="1">
      <c r="A6" s="372"/>
      <c r="B6" s="372"/>
      <c r="C6" s="257"/>
      <c r="D6" s="257"/>
      <c r="E6" s="257"/>
      <c r="F6" s="257"/>
      <c r="G6" s="372"/>
    </row>
    <row r="7" spans="1:11" ht="6.75" customHeight="1">
      <c r="A7" s="1175" t="s">
        <v>278</v>
      </c>
      <c r="B7" s="1175"/>
      <c r="C7" s="1175"/>
      <c r="D7" s="1175"/>
      <c r="E7" s="1175"/>
      <c r="F7" s="1175"/>
      <c r="G7" s="1175"/>
    </row>
    <row r="8" spans="1:11" ht="9.75" customHeight="1">
      <c r="A8" s="1175"/>
      <c r="B8" s="1175"/>
      <c r="C8" s="1175"/>
      <c r="D8" s="1175"/>
      <c r="E8" s="1175"/>
      <c r="F8" s="1175"/>
      <c r="G8" s="1175"/>
    </row>
    <row r="9" spans="1:11" ht="14.1" customHeight="1">
      <c r="A9" s="1172" t="str">
        <f>'Registro General'!A6</f>
        <v>DOCENTE:</v>
      </c>
      <c r="B9" s="1172"/>
      <c r="C9" s="1173">
        <f>'REGISTRO DATOS'!I6</f>
        <v>0</v>
      </c>
      <c r="D9" s="1173"/>
      <c r="E9" s="1173"/>
      <c r="F9" s="376"/>
      <c r="G9" s="377" t="s">
        <v>57</v>
      </c>
    </row>
    <row r="10" spans="1:11" ht="14.1" customHeight="1">
      <c r="A10" s="1172" t="str">
        <f>'Registro General'!A7</f>
        <v>ASIGNATURA:</v>
      </c>
      <c r="B10" s="1172"/>
      <c r="C10" s="1173">
        <f>'REGISTRO DATOS'!I7</f>
        <v>0</v>
      </c>
      <c r="D10" s="1173"/>
      <c r="E10" s="1173"/>
      <c r="F10" s="376"/>
      <c r="G10" s="378">
        <f>'Registro General'!X5</f>
        <v>0</v>
      </c>
    </row>
    <row r="11" spans="1:11" ht="14.1" customHeight="1">
      <c r="A11" s="152" t="s">
        <v>35</v>
      </c>
      <c r="B11" s="152" t="s">
        <v>58</v>
      </c>
      <c r="C11" s="152" t="s">
        <v>58</v>
      </c>
      <c r="D11" s="152" t="s">
        <v>36</v>
      </c>
      <c r="E11" s="152" t="s">
        <v>59</v>
      </c>
      <c r="F11" s="152" t="s">
        <v>16</v>
      </c>
      <c r="G11" s="152" t="s">
        <v>55</v>
      </c>
      <c r="I11" s="1161" t="s">
        <v>103</v>
      </c>
      <c r="J11" s="1162"/>
    </row>
    <row r="12" spans="1:11">
      <c r="A12" s="91">
        <v>1</v>
      </c>
      <c r="B12" s="82" t="str">
        <f>IFERROR(IF(VLOOKUP(A12,'REGISTRO DATOS'!B:H,2,0)=0,"",VLOOKUP(A12,'REGISTRO DATOS'!B:H,2,0)),"")</f>
        <v/>
      </c>
      <c r="C12" s="82" t="str">
        <f>IFERROR(IF(VLOOKUP(B12,'REGISTRO DATOS'!C:I,2,0)=0,"",VLOOKUP(B12,'REGISTRO DATOS'!C:I,2,0)),"")</f>
        <v/>
      </c>
      <c r="D12" s="82" t="str">
        <f>IFERROR(IF(VLOOKUP(C12,'REGISTRO DATOS'!D:I,2,0)=0,"",VLOOKUP(C12,'REGISTRO DATOS'!D:I,2,0)),"")</f>
        <v/>
      </c>
      <c r="E12" s="82" t="str">
        <f>IFERROR(IF(VLOOKUP(D12,'REGISTRO DATOS'!E:J,2,0)=0,"",VLOOKUP(D12,'REGISTRO DATOS'!E:J,2,0)),"")</f>
        <v/>
      </c>
      <c r="F12" s="89" t="e">
        <f>'REGISTRO IIS'!AJ16</f>
        <v>#DIV/0!</v>
      </c>
      <c r="G12" s="85" t="e">
        <f>IF(F12&lt;1,"NSP",IF(F12&lt;$I$12,"APLAZADO","APROBADO"))</f>
        <v>#DIV/0!</v>
      </c>
      <c r="I12" s="1176">
        <v>65</v>
      </c>
      <c r="J12" s="1176"/>
    </row>
    <row r="13" spans="1:11">
      <c r="A13" s="91">
        <v>2</v>
      </c>
      <c r="B13" s="82" t="str">
        <f>IFERROR(IF(VLOOKUP(A13,'REGISTRO DATOS'!B:H,2,0)=0,"",VLOOKUP(A13,'REGISTRO DATOS'!B:H,2,0)),"")</f>
        <v/>
      </c>
      <c r="C13" s="82" t="str">
        <f>IFERROR(IF(VLOOKUP(B13,'REGISTRO DATOS'!C:I,2,0)=0,"",VLOOKUP(B13,'REGISTRO DATOS'!C:I,2,0)),"")</f>
        <v/>
      </c>
      <c r="D13" s="82" t="str">
        <f>IFERROR(IF(VLOOKUP(C13,'REGISTRO DATOS'!D:I,2,0)=0,"",VLOOKUP(C13,'REGISTRO DATOS'!D:I,2,0)),"")</f>
        <v/>
      </c>
      <c r="E13" s="82" t="str">
        <f>IFERROR(IF(VLOOKUP(D13,'REGISTRO DATOS'!E:J,2,0)=0,"",VLOOKUP(D13,'REGISTRO DATOS'!E:J,2,0)),"")</f>
        <v/>
      </c>
      <c r="F13" s="89" t="e">
        <f>'REGISTRO IIS'!AJ17</f>
        <v>#DIV/0!</v>
      </c>
      <c r="G13" s="85" t="e">
        <f t="shared" ref="G13:G51" si="0">IF(F13&lt;1,"NSP",IF(F13&lt;$I$12,"APLAZADO","APROBADO"))</f>
        <v>#DIV/0!</v>
      </c>
    </row>
    <row r="14" spans="1:11">
      <c r="A14" s="91">
        <v>3</v>
      </c>
      <c r="B14" s="82" t="str">
        <f>IFERROR(IF(VLOOKUP(A14,'REGISTRO DATOS'!B:H,2,0)=0,"",VLOOKUP(A14,'REGISTRO DATOS'!B:H,2,0)),"")</f>
        <v/>
      </c>
      <c r="C14" s="82" t="str">
        <f>IFERROR(IF(VLOOKUP(B14,'REGISTRO DATOS'!C:I,2,0)=0,"",VLOOKUP(B14,'REGISTRO DATOS'!C:I,2,0)),"")</f>
        <v/>
      </c>
      <c r="D14" s="82" t="str">
        <f>IFERROR(IF(VLOOKUP(C14,'REGISTRO DATOS'!D:I,2,0)=0,"",VLOOKUP(C14,'REGISTRO DATOS'!D:I,2,0)),"")</f>
        <v/>
      </c>
      <c r="E14" s="82" t="str">
        <f>IFERROR(IF(VLOOKUP(D14,'REGISTRO DATOS'!E:J,2,0)=0,"",VLOOKUP(D14,'REGISTRO DATOS'!E:J,2,0)),"")</f>
        <v/>
      </c>
      <c r="F14" s="89" t="e">
        <f>'REGISTRO IIS'!AJ18</f>
        <v>#DIV/0!</v>
      </c>
      <c r="G14" s="85" t="e">
        <f t="shared" si="0"/>
        <v>#DIV/0!</v>
      </c>
      <c r="I14" s="1164"/>
      <c r="J14" s="1164"/>
      <c r="K14" s="1164"/>
    </row>
    <row r="15" spans="1:11">
      <c r="A15" s="91">
        <v>4</v>
      </c>
      <c r="B15" s="82" t="str">
        <f>IFERROR(IF(VLOOKUP(A15,'REGISTRO DATOS'!B:H,2,0)=0,"",VLOOKUP(A15,'REGISTRO DATOS'!B:H,2,0)),"")</f>
        <v/>
      </c>
      <c r="C15" s="82" t="str">
        <f>IFERROR(IF(VLOOKUP(B15,'REGISTRO DATOS'!C:I,2,0)=0,"",VLOOKUP(B15,'REGISTRO DATOS'!C:I,2,0)),"")</f>
        <v/>
      </c>
      <c r="D15" s="82" t="str">
        <f>IFERROR(IF(VLOOKUP(C15,'REGISTRO DATOS'!D:I,2,0)=0,"",VLOOKUP(C15,'REGISTRO DATOS'!D:I,2,0)),"")</f>
        <v/>
      </c>
      <c r="E15" s="82" t="str">
        <f>IFERROR(IF(VLOOKUP(D15,'REGISTRO DATOS'!E:J,2,0)=0,"",VLOOKUP(D15,'REGISTRO DATOS'!E:J,2,0)),"")</f>
        <v/>
      </c>
      <c r="F15" s="89" t="e">
        <f>'REGISTRO IIS'!AJ19</f>
        <v>#DIV/0!</v>
      </c>
      <c r="G15" s="85" t="e">
        <f t="shared" si="0"/>
        <v>#DIV/0!</v>
      </c>
      <c r="I15" s="6"/>
      <c r="J15" s="6"/>
      <c r="K15" s="6"/>
    </row>
    <row r="16" spans="1:11">
      <c r="A16" s="91">
        <v>5</v>
      </c>
      <c r="B16" s="82" t="str">
        <f>IFERROR(IF(VLOOKUP(A16,'REGISTRO DATOS'!B:H,2,0)=0,"",VLOOKUP(A16,'REGISTRO DATOS'!B:H,2,0)),"")</f>
        <v/>
      </c>
      <c r="C16" s="82" t="str">
        <f>IFERROR(IF(VLOOKUP(B16,'REGISTRO DATOS'!C:I,2,0)=0,"",VLOOKUP(B16,'REGISTRO DATOS'!C:I,2,0)),"")</f>
        <v/>
      </c>
      <c r="D16" s="82" t="str">
        <f>IFERROR(IF(VLOOKUP(C16,'REGISTRO DATOS'!D:I,2,0)=0,"",VLOOKUP(C16,'REGISTRO DATOS'!D:I,2,0)),"")</f>
        <v/>
      </c>
      <c r="E16" s="82" t="str">
        <f>IFERROR(IF(VLOOKUP(D16,'REGISTRO DATOS'!E:J,2,0)=0,"",VLOOKUP(D16,'REGISTRO DATOS'!E:J,2,0)),"")</f>
        <v/>
      </c>
      <c r="F16" s="89" t="e">
        <f>'REGISTRO IIS'!AJ20</f>
        <v>#DIV/0!</v>
      </c>
      <c r="G16" s="85" t="e">
        <f t="shared" si="0"/>
        <v>#DIV/0!</v>
      </c>
      <c r="I16" s="2"/>
      <c r="J16" s="2"/>
      <c r="K16" s="2"/>
    </row>
    <row r="17" spans="1:12">
      <c r="A17" s="91">
        <v>6</v>
      </c>
      <c r="B17" s="82" t="str">
        <f>IFERROR(IF(VLOOKUP(A17,'REGISTRO DATOS'!B:H,2,0)=0,"",VLOOKUP(A17,'REGISTRO DATOS'!B:H,2,0)),"")</f>
        <v/>
      </c>
      <c r="C17" s="82" t="str">
        <f>IFERROR(IF(VLOOKUP(B17,'REGISTRO DATOS'!C:I,2,0)=0,"",VLOOKUP(B17,'REGISTRO DATOS'!C:I,2,0)),"")</f>
        <v/>
      </c>
      <c r="D17" s="82" t="str">
        <f>IFERROR(IF(VLOOKUP(C17,'REGISTRO DATOS'!D:I,2,0)=0,"",VLOOKUP(C17,'REGISTRO DATOS'!D:I,2,0)),"")</f>
        <v/>
      </c>
      <c r="E17" s="82" t="str">
        <f>IFERROR(IF(VLOOKUP(D17,'REGISTRO DATOS'!E:J,2,0)=0,"",VLOOKUP(D17,'REGISTRO DATOS'!E:J,2,0)),"")</f>
        <v/>
      </c>
      <c r="F17" s="89" t="e">
        <f>'REGISTRO IIS'!AJ21</f>
        <v>#DIV/0!</v>
      </c>
      <c r="G17" s="85" t="e">
        <f t="shared" si="0"/>
        <v>#DIV/0!</v>
      </c>
    </row>
    <row r="18" spans="1:12">
      <c r="A18" s="91">
        <v>7</v>
      </c>
      <c r="B18" s="82" t="str">
        <f>IFERROR(IF(VLOOKUP(A18,'REGISTRO DATOS'!B:H,2,0)=0,"",VLOOKUP(A18,'REGISTRO DATOS'!B:H,2,0)),"")</f>
        <v xml:space="preserve">GONZALEZ </v>
      </c>
      <c r="C18" s="82" t="str">
        <f>IFERROR(IF(VLOOKUP(B18,'REGISTRO DATOS'!C:I,2,0)=0,"",VLOOKUP(B18,'REGISTRO DATOS'!C:I,2,0)),"")</f>
        <v>CHAVARRIA</v>
      </c>
      <c r="D18" s="82" t="str">
        <f>IFERROR(IF(VLOOKUP(C18,'REGISTRO DATOS'!D:I,2,0)=0,"",VLOOKUP(C18,'REGISTRO DATOS'!D:I,2,0)),"")</f>
        <v>STEPHANIE</v>
      </c>
      <c r="E18" s="82" t="str">
        <f>IFERROR(IF(VLOOKUP(D18,'REGISTRO DATOS'!E:J,2,0)=0,"",VLOOKUP(D18,'REGISTRO DATOS'!E:J,2,0)),"")</f>
        <v/>
      </c>
      <c r="F18" s="89" t="e">
        <f>'REGISTRO IIS'!AJ22</f>
        <v>#DIV/0!</v>
      </c>
      <c r="G18" s="85" t="e">
        <f t="shared" si="0"/>
        <v>#DIV/0!</v>
      </c>
    </row>
    <row r="19" spans="1:12">
      <c r="A19" s="91">
        <v>8</v>
      </c>
      <c r="B19" s="82" t="str">
        <f>IFERROR(IF(VLOOKUP(A19,'REGISTRO DATOS'!B:H,2,0)=0,"",VLOOKUP(A19,'REGISTRO DATOS'!B:H,2,0)),"")</f>
        <v/>
      </c>
      <c r="C19" s="82" t="str">
        <f>IFERROR(IF(VLOOKUP(B19,'REGISTRO DATOS'!C:I,2,0)=0,"",VLOOKUP(B19,'REGISTRO DATOS'!C:I,2,0)),"")</f>
        <v/>
      </c>
      <c r="D19" s="82" t="str">
        <f>IFERROR(IF(VLOOKUP(C19,'REGISTRO DATOS'!D:I,2,0)=0,"",VLOOKUP(C19,'REGISTRO DATOS'!D:I,2,0)),"")</f>
        <v/>
      </c>
      <c r="E19" s="82" t="str">
        <f>IFERROR(IF(VLOOKUP(D19,'REGISTRO DATOS'!E:J,2,0)=0,"",VLOOKUP(D19,'REGISTRO DATOS'!E:J,2,0)),"")</f>
        <v/>
      </c>
      <c r="F19" s="89" t="e">
        <f>'REGISTRO IIS'!AJ23</f>
        <v>#DIV/0!</v>
      </c>
      <c r="G19" s="85" t="e">
        <f t="shared" si="0"/>
        <v>#DIV/0!</v>
      </c>
    </row>
    <row r="20" spans="1:12">
      <c r="A20" s="91">
        <v>9</v>
      </c>
      <c r="B20" s="82" t="str">
        <f>IFERROR(IF(VLOOKUP(A20,'REGISTRO DATOS'!B:H,2,0)=0,"",VLOOKUP(A20,'REGISTRO DATOS'!B:H,2,0)),"")</f>
        <v>CUBILLO</v>
      </c>
      <c r="C20" s="82" t="str">
        <f>IFERROR(IF(VLOOKUP(B20,'REGISTRO DATOS'!C:I,2,0)=0,"",VLOOKUP(B20,'REGISTRO DATOS'!C:I,2,0)),"")</f>
        <v/>
      </c>
      <c r="D20" s="82" t="str">
        <f>IFERROR(IF(VLOOKUP(C20,'REGISTRO DATOS'!D:I,2,0)=0,"",VLOOKUP(C20,'REGISTRO DATOS'!D:I,2,0)),"")</f>
        <v/>
      </c>
      <c r="E20" s="82" t="str">
        <f>IFERROR(IF(VLOOKUP(D20,'REGISTRO DATOS'!E:J,2,0)=0,"",VLOOKUP(D20,'REGISTRO DATOS'!E:J,2,0)),"")</f>
        <v/>
      </c>
      <c r="F20" s="89" t="e">
        <f>'REGISTRO IIS'!AJ24</f>
        <v>#DIV/0!</v>
      </c>
      <c r="G20" s="85" t="e">
        <f t="shared" si="0"/>
        <v>#DIV/0!</v>
      </c>
    </row>
    <row r="21" spans="1:12">
      <c r="A21" s="91">
        <v>10</v>
      </c>
      <c r="B21" s="82" t="str">
        <f>IFERROR(IF(VLOOKUP(A21,'REGISTRO DATOS'!B:H,2,0)=0,"",VLOOKUP(A21,'REGISTRO DATOS'!B:H,2,0)),"")</f>
        <v/>
      </c>
      <c r="C21" s="82" t="str">
        <f>IFERROR(IF(VLOOKUP(B21,'REGISTRO DATOS'!C:I,2,0)=0,"",VLOOKUP(B21,'REGISTRO DATOS'!C:I,2,0)),"")</f>
        <v/>
      </c>
      <c r="D21" s="82" t="str">
        <f>IFERROR(IF(VLOOKUP(C21,'REGISTRO DATOS'!D:I,2,0)=0,"",VLOOKUP(C21,'REGISTRO DATOS'!D:I,2,0)),"")</f>
        <v/>
      </c>
      <c r="E21" s="82" t="str">
        <f>IFERROR(IF(VLOOKUP(D21,'REGISTRO DATOS'!E:J,2,0)=0,"",VLOOKUP(D21,'REGISTRO DATOS'!E:J,2,0)),"")</f>
        <v/>
      </c>
      <c r="F21" s="89" t="e">
        <f>'REGISTRO IIS'!AJ25</f>
        <v>#DIV/0!</v>
      </c>
      <c r="G21" s="85" t="e">
        <f t="shared" si="0"/>
        <v>#DIV/0!</v>
      </c>
    </row>
    <row r="22" spans="1:12">
      <c r="A22" s="91">
        <v>11</v>
      </c>
      <c r="B22" s="82" t="str">
        <f>IFERROR(IF(VLOOKUP(A22,'REGISTRO DATOS'!B:H,2,0)=0,"",VLOOKUP(A22,'REGISTRO DATOS'!B:H,2,0)),"")</f>
        <v>BRIZUELA</v>
      </c>
      <c r="C22" s="82" t="str">
        <f>IFERROR(IF(VLOOKUP(B22,'REGISTRO DATOS'!C:I,2,0)=0,"",VLOOKUP(B22,'REGISTRO DATOS'!C:I,2,0)),"")</f>
        <v/>
      </c>
      <c r="D22" s="82" t="str">
        <f>IFERROR(IF(VLOOKUP(C22,'REGISTRO DATOS'!D:I,2,0)=0,"",VLOOKUP(C22,'REGISTRO DATOS'!D:I,2,0)),"")</f>
        <v/>
      </c>
      <c r="E22" s="82" t="str">
        <f>IFERROR(IF(VLOOKUP(D22,'REGISTRO DATOS'!E:J,2,0)=0,"",VLOOKUP(D22,'REGISTRO DATOS'!E:J,2,0)),"")</f>
        <v/>
      </c>
      <c r="F22" s="89" t="e">
        <f>'REGISTRO IIS'!AJ26</f>
        <v>#DIV/0!</v>
      </c>
      <c r="G22" s="85" t="e">
        <f t="shared" si="0"/>
        <v>#DIV/0!</v>
      </c>
    </row>
    <row r="23" spans="1:12">
      <c r="A23" s="91">
        <v>12</v>
      </c>
      <c r="B23" s="82" t="str">
        <f>IFERROR(IF(VLOOKUP(A23,'REGISTRO DATOS'!B:H,2,0)=0,"",VLOOKUP(A23,'REGISTRO DATOS'!B:H,2,0)),"")</f>
        <v/>
      </c>
      <c r="C23" s="82" t="str">
        <f>IFERROR(IF(VLOOKUP(B23,'REGISTRO DATOS'!C:I,2,0)=0,"",VLOOKUP(B23,'REGISTRO DATOS'!C:I,2,0)),"")</f>
        <v/>
      </c>
      <c r="D23" s="82" t="str">
        <f>IFERROR(IF(VLOOKUP(C23,'REGISTRO DATOS'!D:I,2,0)=0,"",VLOOKUP(C23,'REGISTRO DATOS'!D:I,2,0)),"")</f>
        <v/>
      </c>
      <c r="E23" s="82" t="str">
        <f>IFERROR(IF(VLOOKUP(D23,'REGISTRO DATOS'!E:J,2,0)=0,"",VLOOKUP(D23,'REGISTRO DATOS'!E:J,2,0)),"")</f>
        <v/>
      </c>
      <c r="F23" s="89" t="e">
        <f>'REGISTRO IIS'!AJ27</f>
        <v>#DIV/0!</v>
      </c>
      <c r="G23" s="85" t="e">
        <f t="shared" si="0"/>
        <v>#DIV/0!</v>
      </c>
    </row>
    <row r="24" spans="1:12">
      <c r="A24" s="91">
        <v>13</v>
      </c>
      <c r="B24" s="82" t="str">
        <f>IFERROR(IF(VLOOKUP(A24,'REGISTRO DATOS'!B:H,2,0)=0,"",VLOOKUP(A24,'REGISTRO DATOS'!B:H,2,0)),"")</f>
        <v/>
      </c>
      <c r="C24" s="82" t="str">
        <f>IFERROR(IF(VLOOKUP(B24,'REGISTRO DATOS'!C:I,2,0)=0,"",VLOOKUP(B24,'REGISTRO DATOS'!C:I,2,0)),"")</f>
        <v/>
      </c>
      <c r="D24" s="82" t="str">
        <f>IFERROR(IF(VLOOKUP(C24,'REGISTRO DATOS'!D:I,2,0)=0,"",VLOOKUP(C24,'REGISTRO DATOS'!D:I,2,0)),"")</f>
        <v/>
      </c>
      <c r="E24" s="82" t="str">
        <f>IFERROR(IF(VLOOKUP(D24,'REGISTRO DATOS'!E:J,2,0)=0,"",VLOOKUP(D24,'REGISTRO DATOS'!E:J,2,0)),"")</f>
        <v/>
      </c>
      <c r="F24" s="89" t="e">
        <f>'REGISTRO IIS'!AJ28</f>
        <v>#DIV/0!</v>
      </c>
      <c r="G24" s="85" t="e">
        <f t="shared" si="0"/>
        <v>#DIV/0!</v>
      </c>
    </row>
    <row r="25" spans="1:12">
      <c r="A25" s="91">
        <v>14</v>
      </c>
      <c r="B25" s="82" t="str">
        <f>IFERROR(IF(VLOOKUP(A25,'REGISTRO DATOS'!B:H,2,0)=0,"",VLOOKUP(A25,'REGISTRO DATOS'!B:H,2,0)),"")</f>
        <v/>
      </c>
      <c r="C25" s="82" t="str">
        <f>IFERROR(IF(VLOOKUP(B25,'REGISTRO DATOS'!C:I,2,0)=0,"",VLOOKUP(B25,'REGISTRO DATOS'!C:I,2,0)),"")</f>
        <v/>
      </c>
      <c r="D25" s="82" t="str">
        <f>IFERROR(IF(VLOOKUP(C25,'REGISTRO DATOS'!D:I,2,0)=0,"",VLOOKUP(C25,'REGISTRO DATOS'!D:I,2,0)),"")</f>
        <v/>
      </c>
      <c r="E25" s="82" t="str">
        <f>IFERROR(IF(VLOOKUP(D25,'REGISTRO DATOS'!E:J,2,0)=0,"",VLOOKUP(D25,'REGISTRO DATOS'!E:J,2,0)),"")</f>
        <v/>
      </c>
      <c r="F25" s="89" t="e">
        <f>'REGISTRO IIS'!AJ29</f>
        <v>#DIV/0!</v>
      </c>
      <c r="G25" s="85" t="e">
        <f t="shared" si="0"/>
        <v>#DIV/0!</v>
      </c>
    </row>
    <row r="26" spans="1:12" ht="15.75" customHeight="1">
      <c r="A26" s="91">
        <v>15</v>
      </c>
      <c r="B26" s="82" t="str">
        <f>IFERROR(IF(VLOOKUP(A26,'REGISTRO DATOS'!B:H,2,0)=0,"",VLOOKUP(A26,'REGISTRO DATOS'!B:H,2,0)),"")</f>
        <v xml:space="preserve">SERRANO </v>
      </c>
      <c r="C26" s="82" t="str">
        <f>IFERROR(IF(VLOOKUP(B26,'REGISTRO DATOS'!C:I,2,0)=0,"",VLOOKUP(B26,'REGISTRO DATOS'!C:I,2,0)),"")</f>
        <v>VILLEGAS</v>
      </c>
      <c r="D26" s="82" t="str">
        <f>IFERROR(IF(VLOOKUP(C26,'REGISTRO DATOS'!D:I,2,0)=0,"",VLOOKUP(C26,'REGISTRO DATOS'!D:I,2,0)),"")</f>
        <v xml:space="preserve">DYLAN </v>
      </c>
      <c r="E26" s="82" t="str">
        <f>IFERROR(IF(VLOOKUP(D26,'REGISTRO DATOS'!E:J,2,0)=0,"",VLOOKUP(D26,'REGISTRO DATOS'!E:J,2,0)),"")</f>
        <v/>
      </c>
      <c r="F26" s="89" t="e">
        <f>'REGISTRO IIS'!AJ30</f>
        <v>#DIV/0!</v>
      </c>
      <c r="G26" s="85" t="e">
        <f t="shared" si="0"/>
        <v>#DIV/0!</v>
      </c>
      <c r="J26" s="1156"/>
      <c r="K26" s="1156"/>
      <c r="L26" s="1156"/>
    </row>
    <row r="27" spans="1:12">
      <c r="A27" s="91">
        <v>16</v>
      </c>
      <c r="B27" s="82" t="str">
        <f>IFERROR(IF(VLOOKUP(A27,'REGISTRO DATOS'!B:H,2,0)=0,"",VLOOKUP(A27,'REGISTRO DATOS'!B:H,2,0)),"")</f>
        <v/>
      </c>
      <c r="C27" s="82" t="str">
        <f>IFERROR(IF(VLOOKUP(B27,'REGISTRO DATOS'!C:I,2,0)=0,"",VLOOKUP(B27,'REGISTRO DATOS'!C:I,2,0)),"")</f>
        <v/>
      </c>
      <c r="D27" s="82" t="str">
        <f>IFERROR(IF(VLOOKUP(C27,'REGISTRO DATOS'!D:I,2,0)=0,"",VLOOKUP(C27,'REGISTRO DATOS'!D:I,2,0)),"")</f>
        <v/>
      </c>
      <c r="E27" s="82" t="str">
        <f>IFERROR(IF(VLOOKUP(D27,'REGISTRO DATOS'!E:J,2,0)=0,"",VLOOKUP(D27,'REGISTRO DATOS'!E:J,2,0)),"")</f>
        <v/>
      </c>
      <c r="F27" s="89" t="e">
        <f>'REGISTRO IIS'!AJ31</f>
        <v>#DIV/0!</v>
      </c>
      <c r="G27" s="85" t="e">
        <f t="shared" si="0"/>
        <v>#DIV/0!</v>
      </c>
      <c r="J27" s="88"/>
    </row>
    <row r="28" spans="1:12">
      <c r="A28" s="91">
        <v>17</v>
      </c>
      <c r="B28" s="82" t="str">
        <f>IFERROR(IF(VLOOKUP(A28,'REGISTRO DATOS'!B:H,2,0)=0,"",VLOOKUP(A28,'REGISTRO DATOS'!B:H,2,0)),"")</f>
        <v>QUIROS</v>
      </c>
      <c r="C28" s="82" t="str">
        <f>IFERROR(IF(VLOOKUP(B28,'REGISTRO DATOS'!C:I,2,0)=0,"",VLOOKUP(B28,'REGISTRO DATOS'!C:I,2,0)),"")</f>
        <v/>
      </c>
      <c r="D28" s="82" t="str">
        <f>IFERROR(IF(VLOOKUP(C28,'REGISTRO DATOS'!D:I,2,0)=0,"",VLOOKUP(C28,'REGISTRO DATOS'!D:I,2,0)),"")</f>
        <v/>
      </c>
      <c r="E28" s="82" t="str">
        <f>IFERROR(IF(VLOOKUP(D28,'REGISTRO DATOS'!E:J,2,0)=0,"",VLOOKUP(D28,'REGISTRO DATOS'!E:J,2,0)),"")</f>
        <v/>
      </c>
      <c r="F28" s="89" t="e">
        <f>'REGISTRO IIS'!AJ32</f>
        <v>#DIV/0!</v>
      </c>
      <c r="G28" s="85" t="e">
        <f t="shared" si="0"/>
        <v>#DIV/0!</v>
      </c>
      <c r="J28" s="88"/>
    </row>
    <row r="29" spans="1:12">
      <c r="A29" s="91">
        <v>18</v>
      </c>
      <c r="B29" s="82" t="str">
        <f>IFERROR(IF(VLOOKUP(A29,'REGISTRO DATOS'!B:H,2,0)=0,"",VLOOKUP(A29,'REGISTRO DATOS'!B:H,2,0)),"")</f>
        <v>RIVER</v>
      </c>
      <c r="C29" s="82" t="str">
        <f>IFERROR(IF(VLOOKUP(B29,'REGISTRO DATOS'!C:I,2,0)=0,"",VLOOKUP(B29,'REGISTRO DATOS'!C:I,2,0)),"")</f>
        <v/>
      </c>
      <c r="D29" s="82" t="str">
        <f>IFERROR(IF(VLOOKUP(C29,'REGISTRO DATOS'!D:I,2,0)=0,"",VLOOKUP(C29,'REGISTRO DATOS'!D:I,2,0)),"")</f>
        <v/>
      </c>
      <c r="E29" s="82" t="str">
        <f>IFERROR(IF(VLOOKUP(D29,'REGISTRO DATOS'!E:J,2,0)=0,"",VLOOKUP(D29,'REGISTRO DATOS'!E:J,2,0)),"")</f>
        <v/>
      </c>
      <c r="F29" s="89" t="e">
        <f>'REGISTRO IIS'!AJ33</f>
        <v>#DIV/0!</v>
      </c>
      <c r="G29" s="85" t="e">
        <f t="shared" si="0"/>
        <v>#DIV/0!</v>
      </c>
      <c r="J29" s="88"/>
    </row>
    <row r="30" spans="1:12" ht="14.1" customHeight="1">
      <c r="A30" s="91">
        <v>19</v>
      </c>
      <c r="B30" s="82" t="str">
        <f>IFERROR(IF(VLOOKUP(A30,'REGISTRO DATOS'!B:H,2,0)=0,"",VLOOKUP(A30,'REGISTRO DATOS'!B:H,2,0)),"")</f>
        <v/>
      </c>
      <c r="C30" s="82" t="str">
        <f>IFERROR(IF(VLOOKUP(B30,'REGISTRO DATOS'!C:I,2,0)=0,"",VLOOKUP(B30,'REGISTRO DATOS'!C:I,2,0)),"")</f>
        <v/>
      </c>
      <c r="D30" s="82" t="str">
        <f>IFERROR(IF(VLOOKUP(C30,'REGISTRO DATOS'!D:I,2,0)=0,"",VLOOKUP(C30,'REGISTRO DATOS'!D:I,2,0)),"")</f>
        <v/>
      </c>
      <c r="E30" s="82" t="str">
        <f>IFERROR(IF(VLOOKUP(D30,'REGISTRO DATOS'!E:J,2,0)=0,"",VLOOKUP(D30,'REGISTRO DATOS'!E:J,2,0)),"")</f>
        <v/>
      </c>
      <c r="F30" s="89" t="e">
        <f>'REGISTRO IIS'!AJ34</f>
        <v>#DIV/0!</v>
      </c>
      <c r="G30" s="85" t="e">
        <f t="shared" si="0"/>
        <v>#DIV/0!</v>
      </c>
    </row>
    <row r="31" spans="1:12" ht="14.1" customHeight="1">
      <c r="A31" s="91">
        <v>20</v>
      </c>
      <c r="B31" s="82" t="str">
        <f>IFERROR(IF(VLOOKUP(A31,'REGISTRO DATOS'!B:H,2,0)=0,"",VLOOKUP(A31,'REGISTRO DATOS'!B:H,2,0)),"")</f>
        <v/>
      </c>
      <c r="C31" s="82" t="str">
        <f>IFERROR(IF(VLOOKUP(B31,'REGISTRO DATOS'!C:I,2,0)=0,"",VLOOKUP(B31,'REGISTRO DATOS'!C:I,2,0)),"")</f>
        <v/>
      </c>
      <c r="D31" s="82" t="str">
        <f>IFERROR(IF(VLOOKUP(C31,'REGISTRO DATOS'!D:I,2,0)=0,"",VLOOKUP(C31,'REGISTRO DATOS'!D:I,2,0)),"")</f>
        <v/>
      </c>
      <c r="E31" s="82" t="str">
        <f>IFERROR(IF(VLOOKUP(D31,'REGISTRO DATOS'!E:J,2,0)=0,"",VLOOKUP(D31,'REGISTRO DATOS'!E:J,2,0)),"")</f>
        <v/>
      </c>
      <c r="F31" s="89" t="e">
        <f>'REGISTRO IIS'!AJ35</f>
        <v>#DIV/0!</v>
      </c>
      <c r="G31" s="85" t="e">
        <f t="shared" si="0"/>
        <v>#DIV/0!</v>
      </c>
    </row>
    <row r="32" spans="1:12" ht="14.1" customHeight="1">
      <c r="A32" s="91">
        <v>21</v>
      </c>
      <c r="B32" s="82" t="str">
        <f>IFERROR(IF(VLOOKUP(A32,'REGISTRO DATOS'!B:H,2,0)=0,"",VLOOKUP(A32,'REGISTRO DATOS'!B:H,2,0)),"")</f>
        <v/>
      </c>
      <c r="C32" s="82" t="str">
        <f>IFERROR(IF(VLOOKUP(B32,'REGISTRO DATOS'!C:I,2,0)=0,"",VLOOKUP(B32,'REGISTRO DATOS'!C:I,2,0)),"")</f>
        <v/>
      </c>
      <c r="D32" s="82" t="str">
        <f>IFERROR(IF(VLOOKUP(C32,'REGISTRO DATOS'!D:I,2,0)=0,"",VLOOKUP(C32,'REGISTRO DATOS'!D:I,2,0)),"")</f>
        <v/>
      </c>
      <c r="E32" s="82" t="str">
        <f>IFERROR(IF(VLOOKUP(D32,'REGISTRO DATOS'!E:J,2,0)=0,"",VLOOKUP(D32,'REGISTRO DATOS'!E:J,2,0)),"")</f>
        <v/>
      </c>
      <c r="F32" s="89" t="e">
        <f>'REGISTRO IIS'!AJ36</f>
        <v>#DIV/0!</v>
      </c>
      <c r="G32" s="85" t="e">
        <f t="shared" si="0"/>
        <v>#DIV/0!</v>
      </c>
    </row>
    <row r="33" spans="1:7" ht="14.1" customHeight="1">
      <c r="A33" s="91">
        <v>22</v>
      </c>
      <c r="B33" s="82" t="str">
        <f>IFERROR(IF(VLOOKUP(A33,'REGISTRO DATOS'!B:H,2,0)=0,"",VLOOKUP(A33,'REGISTRO DATOS'!B:H,2,0)),"")</f>
        <v/>
      </c>
      <c r="C33" s="82" t="str">
        <f>IFERROR(IF(VLOOKUP(B33,'REGISTRO DATOS'!C:I,2,0)=0,"",VLOOKUP(B33,'REGISTRO DATOS'!C:I,2,0)),"")</f>
        <v/>
      </c>
      <c r="D33" s="82" t="str">
        <f>IFERROR(IF(VLOOKUP(C33,'REGISTRO DATOS'!D:I,2,0)=0,"",VLOOKUP(C33,'REGISTRO DATOS'!D:I,2,0)),"")</f>
        <v/>
      </c>
      <c r="E33" s="82" t="str">
        <f>IFERROR(IF(VLOOKUP(D33,'REGISTRO DATOS'!E:J,2,0)=0,"",VLOOKUP(D33,'REGISTRO DATOS'!E:J,2,0)),"")</f>
        <v/>
      </c>
      <c r="F33" s="89" t="e">
        <f>'REGISTRO IIS'!AJ37</f>
        <v>#DIV/0!</v>
      </c>
      <c r="G33" s="85" t="e">
        <f t="shared" si="0"/>
        <v>#DIV/0!</v>
      </c>
    </row>
    <row r="34" spans="1:7" ht="14.1" customHeight="1">
      <c r="A34" s="91">
        <v>23</v>
      </c>
      <c r="B34" s="82" t="str">
        <f>IFERROR(IF(VLOOKUP(A34,'REGISTRO DATOS'!B:H,2,0)=0,"",VLOOKUP(A34,'REGISTRO DATOS'!B:H,2,0)),"")</f>
        <v/>
      </c>
      <c r="C34" s="82" t="str">
        <f>IFERROR(IF(VLOOKUP(B34,'REGISTRO DATOS'!C:I,2,0)=0,"",VLOOKUP(B34,'REGISTRO DATOS'!C:I,2,0)),"")</f>
        <v/>
      </c>
      <c r="D34" s="82" t="str">
        <f>IFERROR(IF(VLOOKUP(C34,'REGISTRO DATOS'!D:I,2,0)=0,"",VLOOKUP(C34,'REGISTRO DATOS'!D:I,2,0)),"")</f>
        <v/>
      </c>
      <c r="E34" s="82" t="str">
        <f>IFERROR(IF(VLOOKUP(D34,'REGISTRO DATOS'!E:J,2,0)=0,"",VLOOKUP(D34,'REGISTRO DATOS'!E:J,2,0)),"")</f>
        <v/>
      </c>
      <c r="F34" s="89" t="e">
        <f>'REGISTRO IIS'!AJ38</f>
        <v>#DIV/0!</v>
      </c>
      <c r="G34" s="85" t="e">
        <f t="shared" si="0"/>
        <v>#DIV/0!</v>
      </c>
    </row>
    <row r="35" spans="1:7" ht="14.1" customHeight="1">
      <c r="A35" s="91">
        <v>24</v>
      </c>
      <c r="B35" s="82" t="str">
        <f>IFERROR(IF(VLOOKUP(A35,'REGISTRO DATOS'!B:H,2,0)=0,"",VLOOKUP(A35,'REGISTRO DATOS'!B:H,2,0)),"")</f>
        <v/>
      </c>
      <c r="C35" s="82" t="str">
        <f>IFERROR(IF(VLOOKUP(B35,'REGISTRO DATOS'!C:I,2,0)=0,"",VLOOKUP(B35,'REGISTRO DATOS'!C:I,2,0)),"")</f>
        <v/>
      </c>
      <c r="D35" s="82" t="str">
        <f>IFERROR(IF(VLOOKUP(C35,'REGISTRO DATOS'!D:I,2,0)=0,"",VLOOKUP(C35,'REGISTRO DATOS'!D:I,2,0)),"")</f>
        <v/>
      </c>
      <c r="E35" s="82" t="str">
        <f>IFERROR(IF(VLOOKUP(D35,'REGISTRO DATOS'!E:J,2,0)=0,"",VLOOKUP(D35,'REGISTRO DATOS'!E:J,2,0)),"")</f>
        <v/>
      </c>
      <c r="F35" s="89" t="e">
        <f>'REGISTRO IIS'!AJ39</f>
        <v>#DIV/0!</v>
      </c>
      <c r="G35" s="85" t="e">
        <f t="shared" si="0"/>
        <v>#DIV/0!</v>
      </c>
    </row>
    <row r="36" spans="1:7" ht="14.1" customHeight="1">
      <c r="A36" s="91">
        <v>25</v>
      </c>
      <c r="B36" s="82" t="str">
        <f>IFERROR(IF(VLOOKUP(A36,'REGISTRO DATOS'!B:H,2,0)=0,"",VLOOKUP(A36,'REGISTRO DATOS'!B:H,2,0)),"")</f>
        <v/>
      </c>
      <c r="C36" s="82" t="str">
        <f>IFERROR(IF(VLOOKUP(B36,'REGISTRO DATOS'!C:I,2,0)=0,"",VLOOKUP(B36,'REGISTRO DATOS'!C:I,2,0)),"")</f>
        <v/>
      </c>
      <c r="D36" s="82" t="str">
        <f>IFERROR(IF(VLOOKUP(C36,'REGISTRO DATOS'!D:I,2,0)=0,"",VLOOKUP(C36,'REGISTRO DATOS'!D:I,2,0)),"")</f>
        <v/>
      </c>
      <c r="E36" s="82" t="str">
        <f>IFERROR(IF(VLOOKUP(D36,'REGISTRO DATOS'!E:J,2,0)=0,"",VLOOKUP(D36,'REGISTRO DATOS'!E:J,2,0)),"")</f>
        <v/>
      </c>
      <c r="F36" s="89" t="e">
        <f>'REGISTRO IIS'!AJ40</f>
        <v>#DIV/0!</v>
      </c>
      <c r="G36" s="85" t="e">
        <f t="shared" si="0"/>
        <v>#DIV/0!</v>
      </c>
    </row>
    <row r="37" spans="1:7" ht="14.1" customHeight="1">
      <c r="A37" s="91">
        <v>26</v>
      </c>
      <c r="B37" s="82" t="str">
        <f>IFERROR(IF(VLOOKUP(A37,'REGISTRO DATOS'!B:H,2,0)=0,"",VLOOKUP(A37,'REGISTRO DATOS'!B:H,2,0)),"")</f>
        <v/>
      </c>
      <c r="C37" s="82" t="str">
        <f>IFERROR(IF(VLOOKUP(B37,'REGISTRO DATOS'!C:I,2,0)=0,"",VLOOKUP(B37,'REGISTRO DATOS'!C:I,2,0)),"")</f>
        <v/>
      </c>
      <c r="D37" s="82" t="str">
        <f>IFERROR(IF(VLOOKUP(C37,'REGISTRO DATOS'!D:I,2,0)=0,"",VLOOKUP(C37,'REGISTRO DATOS'!D:I,2,0)),"")</f>
        <v/>
      </c>
      <c r="E37" s="82" t="str">
        <f>IFERROR(IF(VLOOKUP(D37,'REGISTRO DATOS'!E:J,2,0)=0,"",VLOOKUP(D37,'REGISTRO DATOS'!E:J,2,0)),"")</f>
        <v/>
      </c>
      <c r="F37" s="89" t="e">
        <f>'REGISTRO IIS'!AJ41</f>
        <v>#DIV/0!</v>
      </c>
      <c r="G37" s="85" t="e">
        <f t="shared" si="0"/>
        <v>#DIV/0!</v>
      </c>
    </row>
    <row r="38" spans="1:7" ht="14.1" customHeight="1">
      <c r="A38" s="91">
        <v>27</v>
      </c>
      <c r="B38" s="82" t="str">
        <f>IFERROR(IF(VLOOKUP(A38,'REGISTRO DATOS'!B:H,2,0)=0,"",VLOOKUP(A38,'REGISTRO DATOS'!B:H,2,0)),"")</f>
        <v/>
      </c>
      <c r="C38" s="82" t="str">
        <f>IFERROR(IF(VLOOKUP(B38,'REGISTRO DATOS'!C:I,2,0)=0,"",VLOOKUP(B38,'REGISTRO DATOS'!C:I,2,0)),"")</f>
        <v/>
      </c>
      <c r="D38" s="82" t="str">
        <f>IFERROR(IF(VLOOKUP(C38,'REGISTRO DATOS'!D:I,2,0)=0,"",VLOOKUP(C38,'REGISTRO DATOS'!D:I,2,0)),"")</f>
        <v/>
      </c>
      <c r="E38" s="82" t="str">
        <f>IFERROR(IF(VLOOKUP(D38,'REGISTRO DATOS'!E:J,2,0)=0,"",VLOOKUP(D38,'REGISTRO DATOS'!E:J,2,0)),"")</f>
        <v/>
      </c>
      <c r="F38" s="89" t="e">
        <f>'REGISTRO IIS'!AJ42</f>
        <v>#DIV/0!</v>
      </c>
      <c r="G38" s="85" t="e">
        <f t="shared" si="0"/>
        <v>#DIV/0!</v>
      </c>
    </row>
    <row r="39" spans="1:7" ht="14.1" customHeight="1">
      <c r="A39" s="91">
        <v>28</v>
      </c>
      <c r="B39" s="82" t="str">
        <f>IFERROR(IF(VLOOKUP(A39,'REGISTRO DATOS'!B:H,2,0)=0,"",VLOOKUP(A39,'REGISTRO DATOS'!B:H,2,0)),"")</f>
        <v/>
      </c>
      <c r="C39" s="82" t="str">
        <f>IFERROR(IF(VLOOKUP(B39,'REGISTRO DATOS'!C:I,2,0)=0,"",VLOOKUP(B39,'REGISTRO DATOS'!C:I,2,0)),"")</f>
        <v/>
      </c>
      <c r="D39" s="82" t="str">
        <f>IFERROR(IF(VLOOKUP(C39,'REGISTRO DATOS'!D:I,2,0)=0,"",VLOOKUP(C39,'REGISTRO DATOS'!D:I,2,0)),"")</f>
        <v/>
      </c>
      <c r="E39" s="82" t="str">
        <f>IFERROR(IF(VLOOKUP(D39,'REGISTRO DATOS'!E:J,2,0)=0,"",VLOOKUP(D39,'REGISTRO DATOS'!E:J,2,0)),"")</f>
        <v/>
      </c>
      <c r="F39" s="89" t="e">
        <f>'REGISTRO IIS'!AJ43</f>
        <v>#DIV/0!</v>
      </c>
      <c r="G39" s="85" t="e">
        <f t="shared" si="0"/>
        <v>#DIV/0!</v>
      </c>
    </row>
    <row r="40" spans="1:7" ht="14.1" customHeight="1">
      <c r="A40" s="91">
        <v>29</v>
      </c>
      <c r="B40" s="82" t="str">
        <f>IFERROR(IF(VLOOKUP(A40,'REGISTRO DATOS'!B:H,2,0)=0,"",VLOOKUP(A40,'REGISTRO DATOS'!B:H,2,0)),"")</f>
        <v/>
      </c>
      <c r="C40" s="82" t="str">
        <f>IFERROR(IF(VLOOKUP(B40,'REGISTRO DATOS'!C:I,2,0)=0,"",VLOOKUP(B40,'REGISTRO DATOS'!C:I,2,0)),"")</f>
        <v/>
      </c>
      <c r="D40" s="82" t="str">
        <f>IFERROR(IF(VLOOKUP(C40,'REGISTRO DATOS'!D:I,2,0)=0,"",VLOOKUP(C40,'REGISTRO DATOS'!D:I,2,0)),"")</f>
        <v/>
      </c>
      <c r="E40" s="82" t="str">
        <f>IFERROR(IF(VLOOKUP(D40,'REGISTRO DATOS'!E:J,2,0)=0,"",VLOOKUP(D40,'REGISTRO DATOS'!E:J,2,0)),"")</f>
        <v/>
      </c>
      <c r="F40" s="89" t="e">
        <f>'REGISTRO IIS'!AJ44</f>
        <v>#DIV/0!</v>
      </c>
      <c r="G40" s="85" t="e">
        <f t="shared" si="0"/>
        <v>#DIV/0!</v>
      </c>
    </row>
    <row r="41" spans="1:7" ht="14.1" customHeight="1">
      <c r="A41" s="91">
        <v>30</v>
      </c>
      <c r="B41" s="82" t="str">
        <f>IFERROR(IF(VLOOKUP(A41,'REGISTRO DATOS'!B:H,2,0)=0,"",VLOOKUP(A41,'REGISTRO DATOS'!B:H,2,0)),"")</f>
        <v/>
      </c>
      <c r="C41" s="82" t="str">
        <f>IFERROR(IF(VLOOKUP(B41,'REGISTRO DATOS'!C:I,2,0)=0,"",VLOOKUP(B41,'REGISTRO DATOS'!C:I,2,0)),"")</f>
        <v/>
      </c>
      <c r="D41" s="82" t="str">
        <f>IFERROR(IF(VLOOKUP(C41,'REGISTRO DATOS'!D:I,2,0)=0,"",VLOOKUP(C41,'REGISTRO DATOS'!D:I,2,0)),"")</f>
        <v/>
      </c>
      <c r="E41" s="82" t="str">
        <f>IFERROR(IF(VLOOKUP(D41,'REGISTRO DATOS'!E:J,2,0)=0,"",VLOOKUP(D41,'REGISTRO DATOS'!E:J,2,0)),"")</f>
        <v/>
      </c>
      <c r="F41" s="89" t="e">
        <f>'REGISTRO IIS'!AJ45</f>
        <v>#DIV/0!</v>
      </c>
      <c r="G41" s="85" t="e">
        <f t="shared" si="0"/>
        <v>#DIV/0!</v>
      </c>
    </row>
    <row r="42" spans="1:7" ht="14.1" customHeight="1">
      <c r="A42" s="91">
        <v>31</v>
      </c>
      <c r="B42" s="82" t="str">
        <f>IFERROR(IF(VLOOKUP(A42,'REGISTRO DATOS'!B:H,2,0)=0,"",VLOOKUP(A42,'REGISTRO DATOS'!B:H,2,0)),"")</f>
        <v/>
      </c>
      <c r="C42" s="82" t="str">
        <f>IFERROR(IF(VLOOKUP(B42,'REGISTRO DATOS'!C:I,2,0)=0,"",VLOOKUP(B42,'REGISTRO DATOS'!C:I,2,0)),"")</f>
        <v/>
      </c>
      <c r="D42" s="82" t="str">
        <f>IFERROR(IF(VLOOKUP(C42,'REGISTRO DATOS'!D:I,2,0)=0,"",VLOOKUP(C42,'REGISTRO DATOS'!D:I,2,0)),"")</f>
        <v/>
      </c>
      <c r="E42" s="82" t="str">
        <f>IFERROR(IF(VLOOKUP(D42,'REGISTRO DATOS'!E:J,2,0)=0,"",VLOOKUP(D42,'REGISTRO DATOS'!E:J,2,0)),"")</f>
        <v/>
      </c>
      <c r="F42" s="89" t="e">
        <f>'REGISTRO IIS'!AJ46</f>
        <v>#DIV/0!</v>
      </c>
      <c r="G42" s="85" t="e">
        <f t="shared" si="0"/>
        <v>#DIV/0!</v>
      </c>
    </row>
    <row r="43" spans="1:7" ht="14.1" customHeight="1">
      <c r="A43" s="91">
        <v>32</v>
      </c>
      <c r="B43" s="82" t="str">
        <f>IFERROR(IF(VLOOKUP(A43,'REGISTRO DATOS'!B:H,2,0)=0,"",VLOOKUP(A43,'REGISTRO DATOS'!B:H,2,0)),"")</f>
        <v/>
      </c>
      <c r="C43" s="82" t="str">
        <f>IFERROR(IF(VLOOKUP(B43,'REGISTRO DATOS'!C:I,2,0)=0,"",VLOOKUP(B43,'REGISTRO DATOS'!C:I,2,0)),"")</f>
        <v/>
      </c>
      <c r="D43" s="82" t="str">
        <f>IFERROR(IF(VLOOKUP(C43,'REGISTRO DATOS'!D:I,2,0)=0,"",VLOOKUP(C43,'REGISTRO DATOS'!D:I,2,0)),"")</f>
        <v/>
      </c>
      <c r="E43" s="82" t="str">
        <f>IFERROR(IF(VLOOKUP(D43,'REGISTRO DATOS'!E:J,2,0)=0,"",VLOOKUP(D43,'REGISTRO DATOS'!E:J,2,0)),"")</f>
        <v/>
      </c>
      <c r="F43" s="89" t="e">
        <f>'REGISTRO IIS'!AJ47</f>
        <v>#DIV/0!</v>
      </c>
      <c r="G43" s="85" t="e">
        <f t="shared" si="0"/>
        <v>#DIV/0!</v>
      </c>
    </row>
    <row r="44" spans="1:7" ht="13.7" customHeight="1">
      <c r="A44" s="91">
        <v>33</v>
      </c>
      <c r="B44" s="82" t="str">
        <f>IFERROR(IF(VLOOKUP(A44,'REGISTRO DATOS'!B:H,2,0)=0,"",VLOOKUP(A44,'REGISTRO DATOS'!B:H,2,0)),"")</f>
        <v/>
      </c>
      <c r="C44" s="82" t="str">
        <f>IFERROR(IF(VLOOKUP(B44,'REGISTRO DATOS'!C:I,2,0)=0,"",VLOOKUP(B44,'REGISTRO DATOS'!C:I,2,0)),"")</f>
        <v/>
      </c>
      <c r="D44" s="82" t="str">
        <f>IFERROR(IF(VLOOKUP(C44,'REGISTRO DATOS'!D:I,2,0)=0,"",VLOOKUP(C44,'REGISTRO DATOS'!D:I,2,0)),"")</f>
        <v/>
      </c>
      <c r="E44" s="82" t="str">
        <f>IFERROR(IF(VLOOKUP(D44,'REGISTRO DATOS'!E:J,2,0)=0,"",VLOOKUP(D44,'REGISTRO DATOS'!E:J,2,0)),"")</f>
        <v/>
      </c>
      <c r="F44" s="89" t="e">
        <f>'REGISTRO IIS'!AJ48</f>
        <v>#DIV/0!</v>
      </c>
      <c r="G44" s="85" t="e">
        <f t="shared" si="0"/>
        <v>#DIV/0!</v>
      </c>
    </row>
    <row r="45" spans="1:7" ht="13.7" customHeight="1">
      <c r="A45" s="91">
        <v>34</v>
      </c>
      <c r="B45" s="82" t="str">
        <f>IFERROR(IF(VLOOKUP(A45,'REGISTRO DATOS'!B:H,2,0)=0,"",VLOOKUP(A45,'REGISTRO DATOS'!B:H,2,0)),"")</f>
        <v/>
      </c>
      <c r="C45" s="82" t="str">
        <f>IFERROR(IF(VLOOKUP(B45,'REGISTRO DATOS'!C:I,2,0)=0,"",VLOOKUP(B45,'REGISTRO DATOS'!C:I,2,0)),"")</f>
        <v/>
      </c>
      <c r="D45" s="82" t="str">
        <f>IFERROR(IF(VLOOKUP(C45,'REGISTRO DATOS'!D:I,2,0)=0,"",VLOOKUP(C45,'REGISTRO DATOS'!D:I,2,0)),"")</f>
        <v/>
      </c>
      <c r="E45" s="82" t="str">
        <f>IFERROR(IF(VLOOKUP(D45,'REGISTRO DATOS'!E:J,2,0)=0,"",VLOOKUP(D45,'REGISTRO DATOS'!E:J,2,0)),"")</f>
        <v/>
      </c>
      <c r="F45" s="89" t="e">
        <f>'REGISTRO IIS'!AJ49</f>
        <v>#DIV/0!</v>
      </c>
      <c r="G45" s="85" t="e">
        <f t="shared" si="0"/>
        <v>#DIV/0!</v>
      </c>
    </row>
    <row r="46" spans="1:7" ht="13.7" customHeight="1">
      <c r="A46" s="91">
        <v>35</v>
      </c>
      <c r="B46" s="82" t="str">
        <f>IFERROR(IF(VLOOKUP(A46,'REGISTRO DATOS'!B:H,2,0)=0,"",VLOOKUP(A46,'REGISTRO DATOS'!B:H,2,0)),"")</f>
        <v/>
      </c>
      <c r="C46" s="82" t="str">
        <f>IFERROR(IF(VLOOKUP(B46,'REGISTRO DATOS'!C:I,2,0)=0,"",VLOOKUP(B46,'REGISTRO DATOS'!C:I,2,0)),"")</f>
        <v/>
      </c>
      <c r="D46" s="82" t="str">
        <f>IFERROR(IF(VLOOKUP(C46,'REGISTRO DATOS'!D:I,2,0)=0,"",VLOOKUP(C46,'REGISTRO DATOS'!D:I,2,0)),"")</f>
        <v/>
      </c>
      <c r="E46" s="82" t="str">
        <f>IFERROR(IF(VLOOKUP(D46,'REGISTRO DATOS'!E:J,2,0)=0,"",VLOOKUP(D46,'REGISTRO DATOS'!E:J,2,0)),"")</f>
        <v/>
      </c>
      <c r="F46" s="89" t="e">
        <f>'REGISTRO IIS'!AJ50</f>
        <v>#DIV/0!</v>
      </c>
      <c r="G46" s="85" t="e">
        <f t="shared" si="0"/>
        <v>#DIV/0!</v>
      </c>
    </row>
    <row r="47" spans="1:7" ht="13.7" customHeight="1">
      <c r="A47" s="91">
        <v>36</v>
      </c>
      <c r="B47" s="82" t="str">
        <f>IFERROR(IF(VLOOKUP(A47,'REGISTRO DATOS'!B:H,2,0)=0,"",VLOOKUP(A47,'REGISTRO DATOS'!B:H,2,0)),"")</f>
        <v/>
      </c>
      <c r="C47" s="82" t="str">
        <f>IFERROR(IF(VLOOKUP(B47,'REGISTRO DATOS'!C:I,2,0)=0,"",VLOOKUP(B47,'REGISTRO DATOS'!C:I,2,0)),"")</f>
        <v/>
      </c>
      <c r="D47" s="82" t="str">
        <f>IFERROR(IF(VLOOKUP(C47,'REGISTRO DATOS'!D:I,2,0)=0,"",VLOOKUP(C47,'REGISTRO DATOS'!D:I,2,0)),"")</f>
        <v/>
      </c>
      <c r="E47" s="82" t="str">
        <f>IFERROR(IF(VLOOKUP(D47,'REGISTRO DATOS'!E:J,2,0)=0,"",VLOOKUP(D47,'REGISTRO DATOS'!E:J,2,0)),"")</f>
        <v/>
      </c>
      <c r="F47" s="89" t="e">
        <f>'REGISTRO IIS'!AJ51</f>
        <v>#DIV/0!</v>
      </c>
      <c r="G47" s="85" t="e">
        <f t="shared" si="0"/>
        <v>#DIV/0!</v>
      </c>
    </row>
    <row r="48" spans="1:7" ht="13.7" customHeight="1">
      <c r="A48" s="91">
        <v>37</v>
      </c>
      <c r="B48" s="82" t="str">
        <f>IFERROR(IF(VLOOKUP(A48,'REGISTRO DATOS'!B:H,2,0)=0,"",VLOOKUP(A48,'REGISTRO DATOS'!B:H,2,0)),"")</f>
        <v/>
      </c>
      <c r="C48" s="82" t="str">
        <f>IFERROR(IF(VLOOKUP(B48,'REGISTRO DATOS'!C:I,2,0)=0,"",VLOOKUP(B48,'REGISTRO DATOS'!C:I,2,0)),"")</f>
        <v/>
      </c>
      <c r="D48" s="82" t="str">
        <f>IFERROR(IF(VLOOKUP(C48,'REGISTRO DATOS'!D:I,2,0)=0,"",VLOOKUP(C48,'REGISTRO DATOS'!D:I,2,0)),"")</f>
        <v/>
      </c>
      <c r="E48" s="82" t="str">
        <f>IFERROR(IF(VLOOKUP(D48,'REGISTRO DATOS'!E:J,2,0)=0,"",VLOOKUP(D48,'REGISTRO DATOS'!E:J,2,0)),"")</f>
        <v/>
      </c>
      <c r="F48" s="89" t="e">
        <f>'REGISTRO IIS'!AJ52</f>
        <v>#DIV/0!</v>
      </c>
      <c r="G48" s="85" t="e">
        <f t="shared" si="0"/>
        <v>#DIV/0!</v>
      </c>
    </row>
    <row r="49" spans="1:7" ht="13.7" customHeight="1">
      <c r="A49" s="91">
        <v>38</v>
      </c>
      <c r="B49" s="82" t="str">
        <f>IFERROR(IF(VLOOKUP(A49,'REGISTRO DATOS'!B:H,2,0)=0,"",VLOOKUP(A49,'REGISTRO DATOS'!B:H,2,0)),"")</f>
        <v/>
      </c>
      <c r="C49" s="82" t="str">
        <f>IFERROR(IF(VLOOKUP(B49,'REGISTRO DATOS'!C:I,2,0)=0,"",VLOOKUP(B49,'REGISTRO DATOS'!C:I,2,0)),"")</f>
        <v/>
      </c>
      <c r="D49" s="82" t="str">
        <f>IFERROR(IF(VLOOKUP(C49,'REGISTRO DATOS'!D:I,2,0)=0,"",VLOOKUP(C49,'REGISTRO DATOS'!D:I,2,0)),"")</f>
        <v/>
      </c>
      <c r="E49" s="82" t="str">
        <f>IFERROR(IF(VLOOKUP(D49,'REGISTRO DATOS'!E:J,2,0)=0,"",VLOOKUP(D49,'REGISTRO DATOS'!E:J,2,0)),"")</f>
        <v/>
      </c>
      <c r="F49" s="89" t="e">
        <f>'REGISTRO IIS'!AJ53</f>
        <v>#DIV/0!</v>
      </c>
      <c r="G49" s="85" t="e">
        <f t="shared" si="0"/>
        <v>#DIV/0!</v>
      </c>
    </row>
    <row r="50" spans="1:7" ht="13.7" customHeight="1">
      <c r="A50" s="91">
        <v>39</v>
      </c>
      <c r="B50" s="82" t="str">
        <f>IFERROR(IF(VLOOKUP(A50,'REGISTRO DATOS'!B:H,2,0)=0,"",VLOOKUP(A50,'REGISTRO DATOS'!B:H,2,0)),"")</f>
        <v/>
      </c>
      <c r="C50" s="82" t="str">
        <f>IFERROR(IF(VLOOKUP(B50,'REGISTRO DATOS'!C:I,2,0)=0,"",VLOOKUP(B50,'REGISTRO DATOS'!C:I,2,0)),"")</f>
        <v/>
      </c>
      <c r="D50" s="82" t="str">
        <f>IFERROR(IF(VLOOKUP(C50,'REGISTRO DATOS'!D:I,2,0)=0,"",VLOOKUP(C50,'REGISTRO DATOS'!D:I,2,0)),"")</f>
        <v/>
      </c>
      <c r="E50" s="82" t="str">
        <f>IFERROR(IF(VLOOKUP(D50,'REGISTRO DATOS'!E:J,2,0)=0,"",VLOOKUP(D50,'REGISTRO DATOS'!E:J,2,0)),"")</f>
        <v/>
      </c>
      <c r="F50" s="89" t="e">
        <f>'REGISTRO IIS'!AJ54</f>
        <v>#DIV/0!</v>
      </c>
      <c r="G50" s="85" t="e">
        <f t="shared" si="0"/>
        <v>#DIV/0!</v>
      </c>
    </row>
    <row r="51" spans="1:7" ht="13.7" customHeight="1">
      <c r="A51" s="91">
        <v>40</v>
      </c>
      <c r="B51" s="82" t="str">
        <f>IFERROR(IF(VLOOKUP(A51,'REGISTRO DATOS'!B:H,2,0)=0,"",VLOOKUP(A51,'REGISTRO DATOS'!B:H,2,0)),"")</f>
        <v/>
      </c>
      <c r="C51" s="82" t="str">
        <f>IFERROR(IF(VLOOKUP(B51,'REGISTRO DATOS'!C:I,2,0)=0,"",VLOOKUP(B51,'REGISTRO DATOS'!C:I,2,0)),"")</f>
        <v/>
      </c>
      <c r="D51" s="82" t="str">
        <f>IFERROR(IF(VLOOKUP(C51,'REGISTRO DATOS'!D:I,2,0)=0,"",VLOOKUP(C51,'REGISTRO DATOS'!D:I,2,0)),"")</f>
        <v/>
      </c>
      <c r="E51" s="82" t="str">
        <f>IFERROR(IF(VLOOKUP(D51,'REGISTRO DATOS'!E:J,2,0)=0,"",VLOOKUP(D51,'REGISTRO DATOS'!E:J,2,0)),"")</f>
        <v/>
      </c>
      <c r="F51" s="89" t="e">
        <f>'REGISTRO IIS'!AJ55</f>
        <v>#DIV/0!</v>
      </c>
      <c r="G51" s="85" t="e">
        <f t="shared" si="0"/>
        <v>#DIV/0!</v>
      </c>
    </row>
    <row r="52" spans="1:7" ht="11.25" customHeight="1">
      <c r="A52" s="380" t="s">
        <v>53</v>
      </c>
      <c r="B52" s="380"/>
      <c r="C52" s="380"/>
      <c r="D52" s="380"/>
      <c r="E52" s="380"/>
      <c r="F52" s="379">
        <f ca="1">TODAY()</f>
        <v>46178</v>
      </c>
      <c r="G52" s="84"/>
    </row>
    <row r="53" spans="1:7" ht="14.1" customHeight="1">
      <c r="F53" s="130"/>
      <c r="G53" s="90"/>
    </row>
    <row r="54" spans="1:7">
      <c r="D54" s="80"/>
    </row>
    <row r="55" spans="1:7">
      <c r="D55" s="80"/>
      <c r="G55" s="81"/>
    </row>
    <row r="56" spans="1:7" ht="0.75" customHeight="1"/>
    <row r="57" spans="1:7" hidden="1"/>
    <row r="58" spans="1:7" ht="2.25" customHeight="1"/>
    <row r="59" spans="1:7" hidden="1"/>
    <row r="60" spans="1:7" ht="8.25" customHeight="1"/>
    <row r="61" spans="1:7" hidden="1"/>
  </sheetData>
  <mergeCells count="14">
    <mergeCell ref="J26:L26"/>
    <mergeCell ref="A9:B9"/>
    <mergeCell ref="C9:E9"/>
    <mergeCell ref="C2:F2"/>
    <mergeCell ref="C4:F4"/>
    <mergeCell ref="C5:F5"/>
    <mergeCell ref="A7:G8"/>
    <mergeCell ref="C3:E3"/>
    <mergeCell ref="F3:G3"/>
    <mergeCell ref="A10:B10"/>
    <mergeCell ref="C10:E10"/>
    <mergeCell ref="I11:J11"/>
    <mergeCell ref="I12:J12"/>
    <mergeCell ref="I14:K14"/>
  </mergeCells>
  <conditionalFormatting sqref="G12:G51">
    <cfRule type="containsText" dxfId="11" priority="1" operator="containsText" text="e">
      <formula>NOT(ISERROR(SEARCH("e",G12)))</formula>
    </cfRule>
    <cfRule type="containsText" dxfId="10" priority="3" operator="containsText" text="APLAZADO">
      <formula>NOT(ISERROR(SEARCH("APLAZADO",G12)))</formula>
    </cfRule>
  </conditionalFormatting>
  <conditionalFormatting sqref="F12:F51">
    <cfRule type="cellIs" dxfId="9" priority="2" operator="lessThan">
      <formula>60</formula>
    </cfRule>
  </conditionalFormatting>
  <dataValidations count="1">
    <dataValidation type="list" allowBlank="1" showInputMessage="1" showErrorMessage="1" sqref="I7" xr:uid="{00000000-0002-0000-1C00-000000000000}">
      <formula1>Condiciones</formula1>
    </dataValidation>
  </dataValidations>
  <pageMargins left="0.25" right="0.25" top="0.75" bottom="0.75" header="0.3" footer="0.3"/>
  <pageSetup scale="96" fitToHeight="0" orientation="portrait" horizontalDpi="4294967294" r:id="rId1"/>
  <ignoredErrors>
    <ignoredError sqref="F3" unlockedFormula="1"/>
  </ignoredError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0">
    <tabColor rgb="FFFFFF00"/>
    <pageSetUpPr fitToPage="1"/>
  </sheetPr>
  <dimension ref="A1:P61"/>
  <sheetViews>
    <sheetView showGridLines="0" zoomScaleNormal="100" workbookViewId="0">
      <selection activeCell="M14" sqref="M14"/>
    </sheetView>
  </sheetViews>
  <sheetFormatPr baseColWidth="10" defaultRowHeight="15"/>
  <cols>
    <col min="1" max="1" width="4.42578125" customWidth="1" collapsed="1"/>
    <col min="2" max="2" width="13" customWidth="1" collapsed="1"/>
    <col min="3" max="3" width="13.85546875" customWidth="1" collapsed="1"/>
    <col min="4" max="4" width="20.5703125" bestFit="1" customWidth="1" collapsed="1"/>
    <col min="5" max="5" width="13" bestFit="1" customWidth="1" collapsed="1"/>
    <col min="6" max="7" width="12.28515625" customWidth="1"/>
    <col min="8" max="9" width="11.28515625" customWidth="1"/>
    <col min="10" max="10" width="10.28515625" customWidth="1"/>
    <col min="11" max="11" width="24.7109375" customWidth="1" collapsed="1"/>
    <col min="12" max="13" width="7.85546875" customWidth="1"/>
    <col min="14" max="14" width="8.5703125" customWidth="1"/>
    <col min="15" max="15" width="9.28515625" customWidth="1"/>
  </cols>
  <sheetData>
    <row r="1" spans="1:16" ht="15" customHeight="1">
      <c r="A1" s="96" t="s">
        <v>60</v>
      </c>
      <c r="B1" s="97"/>
      <c r="C1" s="97"/>
      <c r="D1" s="97"/>
      <c r="E1" s="97"/>
      <c r="F1" s="97"/>
      <c r="G1" s="97"/>
      <c r="H1" s="97"/>
      <c r="I1" s="97"/>
      <c r="J1" s="97"/>
      <c r="K1" s="98"/>
    </row>
    <row r="2" spans="1:16" ht="15" customHeight="1">
      <c r="A2" s="99"/>
      <c r="B2" s="100"/>
      <c r="C2" s="1177" t="s">
        <v>277</v>
      </c>
      <c r="D2" s="1177"/>
      <c r="E2" s="1177"/>
      <c r="F2" s="1177"/>
      <c r="G2" s="1177"/>
      <c r="H2" s="1177"/>
      <c r="I2" s="1177"/>
      <c r="J2" s="1177"/>
      <c r="K2" s="101"/>
    </row>
    <row r="3" spans="1:16" ht="15.75" customHeight="1">
      <c r="A3" s="99"/>
      <c r="B3" s="100"/>
      <c r="C3" s="1178">
        <f>'REGISTRO DATOS'!$I$3</f>
        <v>0</v>
      </c>
      <c r="D3" s="1178"/>
      <c r="E3" s="1178"/>
      <c r="F3" s="1178"/>
      <c r="G3" s="1178"/>
      <c r="H3" s="1178"/>
      <c r="I3" s="1178"/>
      <c r="J3" s="1178"/>
      <c r="K3" s="101"/>
    </row>
    <row r="4" spans="1:16" ht="17.25" customHeight="1">
      <c r="A4" s="99"/>
      <c r="B4" s="100"/>
      <c r="C4" s="1179" t="str">
        <f>"DIRECCION REGIONAL DE  "&amp;'REGISTRO DATOS'!$I$4</f>
        <v>DIRECCION REGIONAL DE  COTO</v>
      </c>
      <c r="D4" s="1179"/>
      <c r="E4" s="1179"/>
      <c r="F4" s="1179"/>
      <c r="G4" s="1179"/>
      <c r="H4" s="1179"/>
      <c r="I4" s="1179"/>
      <c r="J4" s="1179"/>
      <c r="K4" s="101"/>
    </row>
    <row r="5" spans="1:16" ht="14.25" customHeight="1" thickBot="1">
      <c r="A5" s="92"/>
      <c r="B5" s="93"/>
      <c r="C5" s="374"/>
      <c r="D5" s="374"/>
      <c r="E5" s="374"/>
      <c r="F5" s="374"/>
      <c r="G5" s="374"/>
      <c r="H5" s="374"/>
      <c r="I5" s="374"/>
      <c r="J5" s="374"/>
      <c r="K5" s="94"/>
    </row>
    <row r="6" spans="1:16" ht="6" customHeight="1">
      <c r="A6" s="128"/>
      <c r="B6" s="128"/>
      <c r="C6" s="129"/>
      <c r="D6" s="129"/>
      <c r="E6" s="129"/>
      <c r="F6" s="129"/>
      <c r="G6" s="129"/>
      <c r="H6" s="129"/>
      <c r="I6" s="129"/>
      <c r="J6" s="129"/>
      <c r="K6" s="128"/>
    </row>
    <row r="7" spans="1:16" ht="14.1" customHeight="1">
      <c r="A7" s="1183" t="s">
        <v>99</v>
      </c>
      <c r="B7" s="1183"/>
      <c r="C7" s="1183"/>
      <c r="D7" s="1183"/>
      <c r="E7" s="1183"/>
      <c r="F7" s="1183"/>
      <c r="G7" s="1183"/>
      <c r="H7" s="1183"/>
      <c r="I7" s="1183"/>
      <c r="J7" s="1183"/>
      <c r="K7" s="1183"/>
    </row>
    <row r="8" spans="1:16" ht="14.1" customHeight="1">
      <c r="A8" s="1183"/>
      <c r="B8" s="1183"/>
      <c r="C8" s="1183"/>
      <c r="D8" s="1183"/>
      <c r="E8" s="1183"/>
      <c r="F8" s="1183"/>
      <c r="G8" s="1183"/>
      <c r="H8" s="1183"/>
      <c r="I8" s="1183"/>
      <c r="J8" s="1183"/>
      <c r="K8" s="1183"/>
    </row>
    <row r="9" spans="1:16" ht="14.1" customHeight="1">
      <c r="A9" s="1180" t="str">
        <f>'Registro General'!A6</f>
        <v>DOCENTE:</v>
      </c>
      <c r="B9" s="1180"/>
      <c r="C9" s="1181">
        <f>'REGISTRO DATOS'!$I$6</f>
        <v>0</v>
      </c>
      <c r="D9" s="1181"/>
      <c r="E9" s="1181"/>
      <c r="F9" s="131"/>
      <c r="G9" s="131"/>
      <c r="H9" s="131"/>
      <c r="I9" s="131"/>
      <c r="J9" s="131"/>
      <c r="K9" s="160" t="s">
        <v>57</v>
      </c>
    </row>
    <row r="10" spans="1:16" ht="14.1" customHeight="1">
      <c r="A10" s="1180" t="str">
        <f>'Registro General'!A7</f>
        <v>ASIGNATURA:</v>
      </c>
      <c r="B10" s="1180"/>
      <c r="C10" s="1181">
        <f>'REGISTRO DATOS'!$I$7</f>
        <v>0</v>
      </c>
      <c r="D10" s="1181"/>
      <c r="E10" s="1181"/>
      <c r="F10" s="131"/>
      <c r="G10" s="131"/>
      <c r="H10" s="131"/>
      <c r="I10" s="131"/>
      <c r="J10" s="131"/>
      <c r="K10" s="161">
        <f>'Registro General'!X5</f>
        <v>0</v>
      </c>
    </row>
    <row r="11" spans="1:16" ht="27" customHeight="1">
      <c r="A11" s="152" t="s">
        <v>35</v>
      </c>
      <c r="B11" s="152" t="s">
        <v>58</v>
      </c>
      <c r="C11" s="152" t="s">
        <v>58</v>
      </c>
      <c r="D11" s="152" t="s">
        <v>36</v>
      </c>
      <c r="E11" s="152" t="s">
        <v>59</v>
      </c>
      <c r="F11" s="153" t="s">
        <v>100</v>
      </c>
      <c r="G11" s="766">
        <v>0.4</v>
      </c>
      <c r="H11" s="153" t="s">
        <v>101</v>
      </c>
      <c r="I11" s="766">
        <v>0.6</v>
      </c>
      <c r="J11" s="153" t="s">
        <v>102</v>
      </c>
      <c r="K11" s="152" t="s">
        <v>55</v>
      </c>
    </row>
    <row r="12" spans="1:16">
      <c r="A12" s="91">
        <v>1</v>
      </c>
      <c r="B12" s="82" t="str">
        <f>IFERROR(IF(VLOOKUP(A12,'REGISTRO DATOS'!B:H,2,0)=0,"",VLOOKUP(A12,'REGISTRO DATOS'!B:H,2,0)),"")</f>
        <v/>
      </c>
      <c r="C12" s="82" t="str">
        <f>IFERROR(IF(VLOOKUP(B12,'REGISTRO DATOS'!C:I,2,0)=0,"",VLOOKUP(B12,'REGISTRO DATOS'!C:I,2,0)),"")</f>
        <v/>
      </c>
      <c r="D12" s="82" t="str">
        <f>IFERROR(IF(VLOOKUP(C12,'REGISTRO DATOS'!D:I,2,0)=0,"",VLOOKUP(C12,'REGISTRO DATOS'!D:I,2,0)),"")</f>
        <v/>
      </c>
      <c r="E12" s="82" t="str">
        <f>IFERROR(IF(VLOOKUP(D12,'REGISTRO DATOS'!E:J,2,0)=0,"",VLOOKUP(D12,'REGISTRO DATOS'!E:J,2,0)),"")</f>
        <v/>
      </c>
      <c r="F12" s="208">
        <f>'Registro General'!AJ16</f>
        <v>102.22222222222223</v>
      </c>
      <c r="G12" s="767">
        <f>F12*$G$11</f>
        <v>40.888888888888893</v>
      </c>
      <c r="H12" s="89" t="e">
        <f>'REGISTRO IIS'!AJ16</f>
        <v>#DIV/0!</v>
      </c>
      <c r="I12" s="417" t="e">
        <f>H12*$I$11</f>
        <v>#DIV/0!</v>
      </c>
      <c r="J12" s="417" t="e">
        <f>(G12+I12)</f>
        <v>#DIV/0!</v>
      </c>
      <c r="K12" s="85" t="e">
        <f>IF(J12&lt;1,"NSP",IF(J12&lt;$M$14,"APLAZADO","APROBADO"))</f>
        <v>#DIV/0!</v>
      </c>
      <c r="N12" s="156"/>
      <c r="O12" s="156"/>
    </row>
    <row r="13" spans="1:16">
      <c r="A13" s="91">
        <v>2</v>
      </c>
      <c r="B13" s="82" t="str">
        <f>IFERROR(IF(VLOOKUP(A13,'REGISTRO DATOS'!B:H,2,0)=0,"",VLOOKUP(A13,'REGISTRO DATOS'!B:H,2,0)),"")</f>
        <v/>
      </c>
      <c r="C13" s="82" t="str">
        <f>IFERROR(IF(VLOOKUP(B13,'REGISTRO DATOS'!C:I,2,0)=0,"",VLOOKUP(B13,'REGISTRO DATOS'!C:I,2,0)),"")</f>
        <v/>
      </c>
      <c r="D13" s="82" t="str">
        <f>IFERROR(IF(VLOOKUP(C13,'REGISTRO DATOS'!D:I,2,0)=0,"",VLOOKUP(C13,'REGISTRO DATOS'!D:I,2,0)),"")</f>
        <v/>
      </c>
      <c r="E13" s="82" t="str">
        <f>IFERROR(IF(VLOOKUP(D13,'REGISTRO DATOS'!E:J,2,0)=0,"",VLOOKUP(D13,'REGISTRO DATOS'!E:J,2,0)),"")</f>
        <v/>
      </c>
      <c r="F13" s="208">
        <f>'Registro General'!AJ17</f>
        <v>32.222222222222221</v>
      </c>
      <c r="G13" s="767">
        <f t="shared" ref="G13:G51" si="0">F13*$G$11</f>
        <v>12.888888888888889</v>
      </c>
      <c r="H13" s="89" t="e">
        <f>'REGISTRO IIS'!AJ17</f>
        <v>#DIV/0!</v>
      </c>
      <c r="I13" s="417" t="e">
        <f t="shared" ref="I13:I51" si="1">H13*$I$11</f>
        <v>#DIV/0!</v>
      </c>
      <c r="J13" s="417" t="e">
        <f t="shared" ref="J13:J51" si="2">(G13+I13)</f>
        <v>#DIV/0!</v>
      </c>
      <c r="K13" s="85" t="e">
        <f t="shared" ref="K13:K51" si="3">IF(J13&lt;1,"NSP",IF(J13&lt;$M$14,"APLAZADO","APROBADO"))</f>
        <v>#DIV/0!</v>
      </c>
      <c r="L13" s="155"/>
      <c r="M13" s="158" t="s">
        <v>103</v>
      </c>
      <c r="N13" s="157"/>
      <c r="O13" s="157"/>
      <c r="P13" s="154"/>
    </row>
    <row r="14" spans="1:16">
      <c r="A14" s="91">
        <v>3</v>
      </c>
      <c r="B14" s="82" t="str">
        <f>IFERROR(IF(VLOOKUP(A14,'REGISTRO DATOS'!B:H,2,0)=0,"",VLOOKUP(A14,'REGISTRO DATOS'!B:H,2,0)),"")</f>
        <v/>
      </c>
      <c r="C14" s="82" t="str">
        <f>IFERROR(IF(VLOOKUP(B14,'REGISTRO DATOS'!C:I,2,0)=0,"",VLOOKUP(B14,'REGISTRO DATOS'!C:I,2,0)),"")</f>
        <v/>
      </c>
      <c r="D14" s="82" t="str">
        <f>IFERROR(IF(VLOOKUP(C14,'REGISTRO DATOS'!D:I,2,0)=0,"",VLOOKUP(C14,'REGISTRO DATOS'!D:I,2,0)),"")</f>
        <v/>
      </c>
      <c r="E14" s="82" t="str">
        <f>IFERROR(IF(VLOOKUP(D14,'REGISTRO DATOS'!E:J,2,0)=0,"",VLOOKUP(D14,'REGISTRO DATOS'!E:J,2,0)),"")</f>
        <v/>
      </c>
      <c r="F14" s="208">
        <f>'Registro General'!AJ18</f>
        <v>35</v>
      </c>
      <c r="G14" s="767">
        <f t="shared" si="0"/>
        <v>14</v>
      </c>
      <c r="H14" s="89" t="e">
        <f>'REGISTRO IIS'!AJ18</f>
        <v>#DIV/0!</v>
      </c>
      <c r="I14" s="417" t="e">
        <f t="shared" si="1"/>
        <v>#DIV/0!</v>
      </c>
      <c r="J14" s="417" t="e">
        <f t="shared" si="2"/>
        <v>#DIV/0!</v>
      </c>
      <c r="K14" s="85" t="e">
        <f t="shared" si="3"/>
        <v>#DIV/0!</v>
      </c>
      <c r="M14" s="159">
        <v>65</v>
      </c>
    </row>
    <row r="15" spans="1:16">
      <c r="A15" s="91">
        <v>4</v>
      </c>
      <c r="B15" s="82" t="str">
        <f>IFERROR(IF(VLOOKUP(A15,'REGISTRO DATOS'!B:H,2,0)=0,"",VLOOKUP(A15,'REGISTRO DATOS'!B:H,2,0)),"")</f>
        <v/>
      </c>
      <c r="C15" s="82" t="str">
        <f>IFERROR(IF(VLOOKUP(B15,'REGISTRO DATOS'!C:I,2,0)=0,"",VLOOKUP(B15,'REGISTRO DATOS'!C:I,2,0)),"")</f>
        <v/>
      </c>
      <c r="D15" s="82" t="str">
        <f>IFERROR(IF(VLOOKUP(C15,'REGISTRO DATOS'!D:I,2,0)=0,"",VLOOKUP(C15,'REGISTRO DATOS'!D:I,2,0)),"")</f>
        <v/>
      </c>
      <c r="E15" s="82" t="str">
        <f>IFERROR(IF(VLOOKUP(D15,'REGISTRO DATOS'!E:J,2,0)=0,"",VLOOKUP(D15,'REGISTRO DATOS'!E:J,2,0)),"")</f>
        <v/>
      </c>
      <c r="F15" s="208">
        <f>'Registro General'!AJ19</f>
        <v>9.0277777777777786</v>
      </c>
      <c r="G15" s="767">
        <f t="shared" si="0"/>
        <v>3.6111111111111116</v>
      </c>
      <c r="H15" s="89" t="e">
        <f>'REGISTRO IIS'!AJ19</f>
        <v>#DIV/0!</v>
      </c>
      <c r="I15" s="417" t="e">
        <f t="shared" si="1"/>
        <v>#DIV/0!</v>
      </c>
      <c r="J15" s="417" t="e">
        <f t="shared" si="2"/>
        <v>#DIV/0!</v>
      </c>
      <c r="K15" s="85" t="e">
        <f t="shared" si="3"/>
        <v>#DIV/0!</v>
      </c>
    </row>
    <row r="16" spans="1:16">
      <c r="A16" s="91">
        <v>5</v>
      </c>
      <c r="B16" s="82" t="str">
        <f>IFERROR(IF(VLOOKUP(A16,'REGISTRO DATOS'!B:H,2,0)=0,"",VLOOKUP(A16,'REGISTRO DATOS'!B:H,2,0)),"")</f>
        <v/>
      </c>
      <c r="C16" s="82" t="str">
        <f>IFERROR(IF(VLOOKUP(B16,'REGISTRO DATOS'!C:I,2,0)=0,"",VLOOKUP(B16,'REGISTRO DATOS'!C:I,2,0)),"")</f>
        <v/>
      </c>
      <c r="D16" s="82" t="str">
        <f>IFERROR(IF(VLOOKUP(C16,'REGISTRO DATOS'!D:I,2,0)=0,"",VLOOKUP(C16,'REGISTRO DATOS'!D:I,2,0)),"")</f>
        <v/>
      </c>
      <c r="E16" s="82" t="str">
        <f>IFERROR(IF(VLOOKUP(D16,'REGISTRO DATOS'!E:J,2,0)=0,"",VLOOKUP(D16,'REGISTRO DATOS'!E:J,2,0)),"")</f>
        <v/>
      </c>
      <c r="F16" s="208">
        <f>'Registro General'!AJ20</f>
        <v>30.972222222222221</v>
      </c>
      <c r="G16" s="767">
        <f t="shared" si="0"/>
        <v>12.388888888888889</v>
      </c>
      <c r="H16" s="89" t="e">
        <f>'REGISTRO IIS'!AJ20</f>
        <v>#DIV/0!</v>
      </c>
      <c r="I16" s="417" t="e">
        <f t="shared" si="1"/>
        <v>#DIV/0!</v>
      </c>
      <c r="J16" s="417" t="e">
        <f t="shared" si="2"/>
        <v>#DIV/0!</v>
      </c>
      <c r="K16" s="85" t="e">
        <f t="shared" si="3"/>
        <v>#DIV/0!</v>
      </c>
      <c r="M16" s="1164"/>
      <c r="N16" s="1164"/>
      <c r="O16" s="1164"/>
      <c r="P16" s="2"/>
    </row>
    <row r="17" spans="1:16">
      <c r="A17" s="91">
        <v>6</v>
      </c>
      <c r="B17" s="82" t="str">
        <f>IFERROR(IF(VLOOKUP(A17,'REGISTRO DATOS'!B:H,2,0)=0,"",VLOOKUP(A17,'REGISTRO DATOS'!B:H,2,0)),"")</f>
        <v/>
      </c>
      <c r="C17" s="82" t="str">
        <f>IFERROR(IF(VLOOKUP(B17,'REGISTRO DATOS'!C:I,2,0)=0,"",VLOOKUP(B17,'REGISTRO DATOS'!C:I,2,0)),"")</f>
        <v/>
      </c>
      <c r="D17" s="82" t="str">
        <f>IFERROR(IF(VLOOKUP(C17,'REGISTRO DATOS'!D:I,2,0)=0,"",VLOOKUP(C17,'REGISTRO DATOS'!D:I,2,0)),"")</f>
        <v/>
      </c>
      <c r="E17" s="82" t="str">
        <f>IFERROR(IF(VLOOKUP(D17,'REGISTRO DATOS'!E:J,2,0)=0,"",VLOOKUP(D17,'REGISTRO DATOS'!E:J,2,0)),"")</f>
        <v/>
      </c>
      <c r="F17" s="208">
        <f>'Registro General'!AJ21</f>
        <v>33.75</v>
      </c>
      <c r="G17" s="767">
        <f t="shared" si="0"/>
        <v>13.5</v>
      </c>
      <c r="H17" s="89" t="e">
        <f>'REGISTRO IIS'!AJ21</f>
        <v>#DIV/0!</v>
      </c>
      <c r="I17" s="417" t="e">
        <f t="shared" si="1"/>
        <v>#DIV/0!</v>
      </c>
      <c r="J17" s="417" t="e">
        <f t="shared" si="2"/>
        <v>#DIV/0!</v>
      </c>
      <c r="K17" s="85" t="e">
        <f t="shared" si="3"/>
        <v>#DIV/0!</v>
      </c>
      <c r="M17" s="6"/>
      <c r="N17" s="6"/>
      <c r="O17" s="6"/>
      <c r="P17" s="2"/>
    </row>
    <row r="18" spans="1:16">
      <c r="A18" s="91">
        <v>7</v>
      </c>
      <c r="B18" s="82" t="str">
        <f>IFERROR(IF(VLOOKUP(A18,'REGISTRO DATOS'!B:H,2,0)=0,"",VLOOKUP(A18,'REGISTRO DATOS'!B:H,2,0)),"")</f>
        <v xml:space="preserve">GONZALEZ </v>
      </c>
      <c r="C18" s="82" t="str">
        <f>IFERROR(IF(VLOOKUP(B18,'REGISTRO DATOS'!C:I,2,0)=0,"",VLOOKUP(B18,'REGISTRO DATOS'!C:I,2,0)),"")</f>
        <v>CHAVARRIA</v>
      </c>
      <c r="D18" s="82" t="str">
        <f>IFERROR(IF(VLOOKUP(C18,'REGISTRO DATOS'!D:I,2,0)=0,"",VLOOKUP(C18,'REGISTRO DATOS'!D:I,2,0)),"")</f>
        <v>STEPHANIE</v>
      </c>
      <c r="E18" s="82" t="str">
        <f>IFERROR(IF(VLOOKUP(D18,'REGISTRO DATOS'!E:J,2,0)=0,"",VLOOKUP(D18,'REGISTRO DATOS'!E:J,2,0)),"")</f>
        <v/>
      </c>
      <c r="F18" s="208">
        <f>'Registro General'!AJ22</f>
        <v>30.972222222222221</v>
      </c>
      <c r="G18" s="767">
        <f t="shared" si="0"/>
        <v>12.388888888888889</v>
      </c>
      <c r="H18" s="89" t="e">
        <f>'REGISTRO IIS'!AJ22</f>
        <v>#DIV/0!</v>
      </c>
      <c r="I18" s="417" t="e">
        <f t="shared" si="1"/>
        <v>#DIV/0!</v>
      </c>
      <c r="J18" s="417" t="e">
        <f t="shared" si="2"/>
        <v>#DIV/0!</v>
      </c>
      <c r="K18" s="85" t="e">
        <f t="shared" si="3"/>
        <v>#DIV/0!</v>
      </c>
      <c r="M18" s="2"/>
      <c r="N18" s="2"/>
      <c r="O18" s="2"/>
      <c r="P18" s="2"/>
    </row>
    <row r="19" spans="1:16">
      <c r="A19" s="91">
        <v>8</v>
      </c>
      <c r="B19" s="82" t="str">
        <f>IFERROR(IF(VLOOKUP(A19,'REGISTRO DATOS'!B:H,2,0)=0,"",VLOOKUP(A19,'REGISTRO DATOS'!B:H,2,0)),"")</f>
        <v/>
      </c>
      <c r="C19" s="82" t="str">
        <f>IFERROR(IF(VLOOKUP(B19,'REGISTRO DATOS'!C:I,2,0)=0,"",VLOOKUP(B19,'REGISTRO DATOS'!C:I,2,0)),"")</f>
        <v/>
      </c>
      <c r="D19" s="82" t="str">
        <f>IFERROR(IF(VLOOKUP(C19,'REGISTRO DATOS'!D:I,2,0)=0,"",VLOOKUP(C19,'REGISTRO DATOS'!D:I,2,0)),"")</f>
        <v/>
      </c>
      <c r="E19" s="82" t="str">
        <f>IFERROR(IF(VLOOKUP(D19,'REGISTRO DATOS'!E:J,2,0)=0,"",VLOOKUP(D19,'REGISTRO DATOS'!E:J,2,0)),"")</f>
        <v/>
      </c>
      <c r="F19" s="208">
        <f>'Registro General'!AJ23</f>
        <v>30.972222222222221</v>
      </c>
      <c r="G19" s="767">
        <f t="shared" si="0"/>
        <v>12.388888888888889</v>
      </c>
      <c r="H19" s="89" t="e">
        <f>'REGISTRO IIS'!AJ23</f>
        <v>#DIV/0!</v>
      </c>
      <c r="I19" s="417" t="e">
        <f t="shared" si="1"/>
        <v>#DIV/0!</v>
      </c>
      <c r="J19" s="417" t="e">
        <f t="shared" si="2"/>
        <v>#DIV/0!</v>
      </c>
      <c r="K19" s="85" t="e">
        <f t="shared" si="3"/>
        <v>#DIV/0!</v>
      </c>
    </row>
    <row r="20" spans="1:16">
      <c r="A20" s="91">
        <v>9</v>
      </c>
      <c r="B20" s="82" t="str">
        <f>IFERROR(IF(VLOOKUP(A20,'REGISTRO DATOS'!B:H,2,0)=0,"",VLOOKUP(A20,'REGISTRO DATOS'!B:H,2,0)),"")</f>
        <v>CUBILLO</v>
      </c>
      <c r="C20" s="82" t="str">
        <f>IFERROR(IF(VLOOKUP(B20,'REGISTRO DATOS'!C:I,2,0)=0,"",VLOOKUP(B20,'REGISTRO DATOS'!C:I,2,0)),"")</f>
        <v/>
      </c>
      <c r="D20" s="82" t="str">
        <f>IFERROR(IF(VLOOKUP(C20,'REGISTRO DATOS'!D:I,2,0)=0,"",VLOOKUP(C20,'REGISTRO DATOS'!D:I,2,0)),"")</f>
        <v/>
      </c>
      <c r="E20" s="82" t="str">
        <f>IFERROR(IF(VLOOKUP(D20,'REGISTRO DATOS'!E:J,2,0)=0,"",VLOOKUP(D20,'REGISTRO DATOS'!E:J,2,0)),"")</f>
        <v/>
      </c>
      <c r="F20" s="208">
        <f>'Registro General'!AJ24</f>
        <v>35</v>
      </c>
      <c r="G20" s="767">
        <f t="shared" si="0"/>
        <v>14</v>
      </c>
      <c r="H20" s="89" t="e">
        <f>'REGISTRO IIS'!AJ24</f>
        <v>#DIV/0!</v>
      </c>
      <c r="I20" s="417" t="e">
        <f t="shared" si="1"/>
        <v>#DIV/0!</v>
      </c>
      <c r="J20" s="417" t="e">
        <f t="shared" si="2"/>
        <v>#DIV/0!</v>
      </c>
      <c r="K20" s="85" t="e">
        <f t="shared" si="3"/>
        <v>#DIV/0!</v>
      </c>
    </row>
    <row r="21" spans="1:16">
      <c r="A21" s="91">
        <v>10</v>
      </c>
      <c r="B21" s="82" t="str">
        <f>IFERROR(IF(VLOOKUP(A21,'REGISTRO DATOS'!B:H,2,0)=0,"",VLOOKUP(A21,'REGISTRO DATOS'!B:H,2,0)),"")</f>
        <v/>
      </c>
      <c r="C21" s="82" t="str">
        <f>IFERROR(IF(VLOOKUP(B21,'REGISTRO DATOS'!C:I,2,0)=0,"",VLOOKUP(B21,'REGISTRO DATOS'!C:I,2,0)),"")</f>
        <v/>
      </c>
      <c r="D21" s="82" t="str">
        <f>IFERROR(IF(VLOOKUP(C21,'REGISTRO DATOS'!D:I,2,0)=0,"",VLOOKUP(C21,'REGISTRO DATOS'!D:I,2,0)),"")</f>
        <v/>
      </c>
      <c r="E21" s="82" t="str">
        <f>IFERROR(IF(VLOOKUP(D21,'REGISTRO DATOS'!E:J,2,0)=0,"",VLOOKUP(D21,'REGISTRO DATOS'!E:J,2,0)),"")</f>
        <v/>
      </c>
      <c r="F21" s="208">
        <f>'Registro General'!AJ25</f>
        <v>35</v>
      </c>
      <c r="G21" s="767">
        <f t="shared" si="0"/>
        <v>14</v>
      </c>
      <c r="H21" s="89" t="e">
        <f>'REGISTRO IIS'!AJ25</f>
        <v>#DIV/0!</v>
      </c>
      <c r="I21" s="417" t="e">
        <f t="shared" si="1"/>
        <v>#DIV/0!</v>
      </c>
      <c r="J21" s="417" t="e">
        <f t="shared" si="2"/>
        <v>#DIV/0!</v>
      </c>
      <c r="K21" s="85" t="e">
        <f t="shared" si="3"/>
        <v>#DIV/0!</v>
      </c>
    </row>
    <row r="22" spans="1:16">
      <c r="A22" s="91">
        <v>11</v>
      </c>
      <c r="B22" s="82" t="str">
        <f>IFERROR(IF(VLOOKUP(A22,'REGISTRO DATOS'!B:H,2,0)=0,"",VLOOKUP(A22,'REGISTRO DATOS'!B:H,2,0)),"")</f>
        <v>BRIZUELA</v>
      </c>
      <c r="C22" s="82" t="str">
        <f>IFERROR(IF(VLOOKUP(B22,'REGISTRO DATOS'!C:I,2,0)=0,"",VLOOKUP(B22,'REGISTRO DATOS'!C:I,2,0)),"")</f>
        <v/>
      </c>
      <c r="D22" s="82" t="str">
        <f>IFERROR(IF(VLOOKUP(C22,'REGISTRO DATOS'!D:I,2,0)=0,"",VLOOKUP(C22,'REGISTRO DATOS'!D:I,2,0)),"")</f>
        <v/>
      </c>
      <c r="E22" s="82" t="str">
        <f>IFERROR(IF(VLOOKUP(D22,'REGISTRO DATOS'!E:J,2,0)=0,"",VLOOKUP(D22,'REGISTRO DATOS'!E:J,2,0)),"")</f>
        <v/>
      </c>
      <c r="F22" s="208">
        <f>'Registro General'!AJ26</f>
        <v>29.444444444444446</v>
      </c>
      <c r="G22" s="767">
        <f t="shared" si="0"/>
        <v>11.777777777777779</v>
      </c>
      <c r="H22" s="89" t="e">
        <f>'REGISTRO IIS'!AJ26</f>
        <v>#DIV/0!</v>
      </c>
      <c r="I22" s="417" t="e">
        <f t="shared" si="1"/>
        <v>#DIV/0!</v>
      </c>
      <c r="J22" s="417" t="e">
        <f t="shared" si="2"/>
        <v>#DIV/0!</v>
      </c>
      <c r="K22" s="85" t="e">
        <f t="shared" si="3"/>
        <v>#DIV/0!</v>
      </c>
    </row>
    <row r="23" spans="1:16">
      <c r="A23" s="91">
        <v>12</v>
      </c>
      <c r="B23" s="82" t="str">
        <f>IFERROR(IF(VLOOKUP(A23,'REGISTRO DATOS'!B:H,2,0)=0,"",VLOOKUP(A23,'REGISTRO DATOS'!B:H,2,0)),"")</f>
        <v/>
      </c>
      <c r="C23" s="82" t="str">
        <f>IFERROR(IF(VLOOKUP(B23,'REGISTRO DATOS'!C:I,2,0)=0,"",VLOOKUP(B23,'REGISTRO DATOS'!C:I,2,0)),"")</f>
        <v/>
      </c>
      <c r="D23" s="82" t="str">
        <f>IFERROR(IF(VLOOKUP(C23,'REGISTRO DATOS'!D:I,2,0)=0,"",VLOOKUP(C23,'REGISTRO DATOS'!D:I,2,0)),"")</f>
        <v/>
      </c>
      <c r="E23" s="82" t="str">
        <f>IFERROR(IF(VLOOKUP(D23,'REGISTRO DATOS'!E:J,2,0)=0,"",VLOOKUP(D23,'REGISTRO DATOS'!E:J,2,0)),"")</f>
        <v/>
      </c>
      <c r="F23" s="208">
        <f>'Registro General'!AJ27</f>
        <v>35</v>
      </c>
      <c r="G23" s="767">
        <f t="shared" si="0"/>
        <v>14</v>
      </c>
      <c r="H23" s="89" t="e">
        <f>'REGISTRO IIS'!AJ27</f>
        <v>#DIV/0!</v>
      </c>
      <c r="I23" s="417" t="e">
        <f t="shared" si="1"/>
        <v>#DIV/0!</v>
      </c>
      <c r="J23" s="417" t="e">
        <f t="shared" si="2"/>
        <v>#DIV/0!</v>
      </c>
      <c r="K23" s="85" t="e">
        <f t="shared" si="3"/>
        <v>#DIV/0!</v>
      </c>
    </row>
    <row r="24" spans="1:16">
      <c r="A24" s="91">
        <v>13</v>
      </c>
      <c r="B24" s="82" t="str">
        <f>IFERROR(IF(VLOOKUP(A24,'REGISTRO DATOS'!B:H,2,0)=0,"",VLOOKUP(A24,'REGISTRO DATOS'!B:H,2,0)),"")</f>
        <v/>
      </c>
      <c r="C24" s="82" t="str">
        <f>IFERROR(IF(VLOOKUP(B24,'REGISTRO DATOS'!C:I,2,0)=0,"",VLOOKUP(B24,'REGISTRO DATOS'!C:I,2,0)),"")</f>
        <v/>
      </c>
      <c r="D24" s="82" t="str">
        <f>IFERROR(IF(VLOOKUP(C24,'REGISTRO DATOS'!D:I,2,0)=0,"",VLOOKUP(C24,'REGISTRO DATOS'!D:I,2,0)),"")</f>
        <v/>
      </c>
      <c r="E24" s="82" t="str">
        <f>IFERROR(IF(VLOOKUP(D24,'REGISTRO DATOS'!E:J,2,0)=0,"",VLOOKUP(D24,'REGISTRO DATOS'!E:J,2,0)),"")</f>
        <v/>
      </c>
      <c r="F24" s="208">
        <f>'Registro General'!AJ28</f>
        <v>35</v>
      </c>
      <c r="G24" s="767">
        <f t="shared" si="0"/>
        <v>14</v>
      </c>
      <c r="H24" s="89" t="e">
        <f>'REGISTRO IIS'!AJ28</f>
        <v>#DIV/0!</v>
      </c>
      <c r="I24" s="417" t="e">
        <f t="shared" si="1"/>
        <v>#DIV/0!</v>
      </c>
      <c r="J24" s="417" t="e">
        <f t="shared" si="2"/>
        <v>#DIV/0!</v>
      </c>
      <c r="K24" s="85" t="e">
        <f t="shared" si="3"/>
        <v>#DIV/0!</v>
      </c>
    </row>
    <row r="25" spans="1:16">
      <c r="A25" s="91">
        <v>14</v>
      </c>
      <c r="B25" s="82" t="str">
        <f>IFERROR(IF(VLOOKUP(A25,'REGISTRO DATOS'!B:H,2,0)=0,"",VLOOKUP(A25,'REGISTRO DATOS'!B:H,2,0)),"")</f>
        <v/>
      </c>
      <c r="C25" s="82" t="str">
        <f>IFERROR(IF(VLOOKUP(B25,'REGISTRO DATOS'!C:I,2,0)=0,"",VLOOKUP(B25,'REGISTRO DATOS'!C:I,2,0)),"")</f>
        <v/>
      </c>
      <c r="D25" s="82" t="str">
        <f>IFERROR(IF(VLOOKUP(C25,'REGISTRO DATOS'!D:I,2,0)=0,"",VLOOKUP(C25,'REGISTRO DATOS'!D:I,2,0)),"")</f>
        <v/>
      </c>
      <c r="E25" s="82" t="str">
        <f>IFERROR(IF(VLOOKUP(D25,'REGISTRO DATOS'!E:J,2,0)=0,"",VLOOKUP(D25,'REGISTRO DATOS'!E:J,2,0)),"")</f>
        <v/>
      </c>
      <c r="F25" s="208">
        <f>'Registro General'!AJ29</f>
        <v>35</v>
      </c>
      <c r="G25" s="767">
        <f t="shared" si="0"/>
        <v>14</v>
      </c>
      <c r="H25" s="89" t="e">
        <f>'REGISTRO IIS'!AJ29</f>
        <v>#DIV/0!</v>
      </c>
      <c r="I25" s="417" t="e">
        <f t="shared" si="1"/>
        <v>#DIV/0!</v>
      </c>
      <c r="J25" s="417" t="e">
        <f t="shared" si="2"/>
        <v>#DIV/0!</v>
      </c>
      <c r="K25" s="85" t="e">
        <f t="shared" si="3"/>
        <v>#DIV/0!</v>
      </c>
    </row>
    <row r="26" spans="1:16" ht="15.75" customHeight="1">
      <c r="A26" s="91">
        <v>15</v>
      </c>
      <c r="B26" s="82" t="str">
        <f>IFERROR(IF(VLOOKUP(A26,'REGISTRO DATOS'!B:H,2,0)=0,"",VLOOKUP(A26,'REGISTRO DATOS'!B:H,2,0)),"")</f>
        <v xml:space="preserve">SERRANO </v>
      </c>
      <c r="C26" s="82" t="str">
        <f>IFERROR(IF(VLOOKUP(B26,'REGISTRO DATOS'!C:I,2,0)=0,"",VLOOKUP(B26,'REGISTRO DATOS'!C:I,2,0)),"")</f>
        <v>VILLEGAS</v>
      </c>
      <c r="D26" s="82" t="str">
        <f>IFERROR(IF(VLOOKUP(C26,'REGISTRO DATOS'!D:I,2,0)=0,"",VLOOKUP(C26,'REGISTRO DATOS'!D:I,2,0)),"")</f>
        <v xml:space="preserve">DYLAN </v>
      </c>
      <c r="E26" s="82" t="str">
        <f>IFERROR(IF(VLOOKUP(D26,'REGISTRO DATOS'!E:J,2,0)=0,"",VLOOKUP(D26,'REGISTRO DATOS'!E:J,2,0)),"")</f>
        <v/>
      </c>
      <c r="F26" s="208">
        <f>'Registro General'!AJ30</f>
        <v>25.694444444444446</v>
      </c>
      <c r="G26" s="767">
        <f t="shared" si="0"/>
        <v>10.277777777777779</v>
      </c>
      <c r="H26" s="89" t="e">
        <f>'REGISTRO IIS'!AJ30</f>
        <v>#DIV/0!</v>
      </c>
      <c r="I26" s="417" t="e">
        <f t="shared" si="1"/>
        <v>#DIV/0!</v>
      </c>
      <c r="J26" s="417" t="e">
        <f t="shared" si="2"/>
        <v>#DIV/0!</v>
      </c>
      <c r="K26" s="85" t="e">
        <f t="shared" si="3"/>
        <v>#DIV/0!</v>
      </c>
      <c r="N26" s="1156"/>
      <c r="O26" s="1156"/>
      <c r="P26" s="1156"/>
    </row>
    <row r="27" spans="1:16">
      <c r="A27" s="91">
        <v>16</v>
      </c>
      <c r="B27" s="82" t="str">
        <f>IFERROR(IF(VLOOKUP(A27,'REGISTRO DATOS'!B:H,2,0)=0,"",VLOOKUP(A27,'REGISTRO DATOS'!B:H,2,0)),"")</f>
        <v/>
      </c>
      <c r="C27" s="82" t="str">
        <f>IFERROR(IF(VLOOKUP(B27,'REGISTRO DATOS'!C:I,2,0)=0,"",VLOOKUP(B27,'REGISTRO DATOS'!C:I,2,0)),"")</f>
        <v/>
      </c>
      <c r="D27" s="82" t="str">
        <f>IFERROR(IF(VLOOKUP(C27,'REGISTRO DATOS'!D:I,2,0)=0,"",VLOOKUP(C27,'REGISTRO DATOS'!D:I,2,0)),"")</f>
        <v/>
      </c>
      <c r="E27" s="82" t="str">
        <f>IFERROR(IF(VLOOKUP(D27,'REGISTRO DATOS'!E:J,2,0)=0,"",VLOOKUP(D27,'REGISTRO DATOS'!E:J,2,0)),"")</f>
        <v/>
      </c>
      <c r="F27" s="208">
        <f>'Registro General'!AJ31</f>
        <v>5.2777777777777777</v>
      </c>
      <c r="G27" s="767">
        <f t="shared" si="0"/>
        <v>2.1111111111111112</v>
      </c>
      <c r="H27" s="89" t="e">
        <f>'REGISTRO IIS'!AJ31</f>
        <v>#DIV/0!</v>
      </c>
      <c r="I27" s="417" t="e">
        <f t="shared" si="1"/>
        <v>#DIV/0!</v>
      </c>
      <c r="J27" s="417" t="e">
        <f t="shared" si="2"/>
        <v>#DIV/0!</v>
      </c>
      <c r="K27" s="85" t="e">
        <f t="shared" si="3"/>
        <v>#DIV/0!</v>
      </c>
      <c r="N27" s="88"/>
    </row>
    <row r="28" spans="1:16">
      <c r="A28" s="91">
        <v>17</v>
      </c>
      <c r="B28" s="82" t="str">
        <f>IFERROR(IF(VLOOKUP(A28,'REGISTRO DATOS'!B:H,2,0)=0,"",VLOOKUP(A28,'REGISTRO DATOS'!B:H,2,0)),"")</f>
        <v>QUIROS</v>
      </c>
      <c r="C28" s="82" t="str">
        <f>IFERROR(IF(VLOOKUP(B28,'REGISTRO DATOS'!C:I,2,0)=0,"",VLOOKUP(B28,'REGISTRO DATOS'!C:I,2,0)),"")</f>
        <v/>
      </c>
      <c r="D28" s="82" t="str">
        <f>IFERROR(IF(VLOOKUP(C28,'REGISTRO DATOS'!D:I,2,0)=0,"",VLOOKUP(C28,'REGISTRO DATOS'!D:I,2,0)),"")</f>
        <v/>
      </c>
      <c r="E28" s="82" t="str">
        <f>IFERROR(IF(VLOOKUP(D28,'REGISTRO DATOS'!E:J,2,0)=0,"",VLOOKUP(D28,'REGISTRO DATOS'!E:J,2,0)),"")</f>
        <v/>
      </c>
      <c r="F28" s="208">
        <f>'Registro General'!AJ32</f>
        <v>33.75</v>
      </c>
      <c r="G28" s="767">
        <f t="shared" si="0"/>
        <v>13.5</v>
      </c>
      <c r="H28" s="89" t="e">
        <f>'REGISTRO IIS'!AJ32</f>
        <v>#DIV/0!</v>
      </c>
      <c r="I28" s="417" t="e">
        <f t="shared" si="1"/>
        <v>#DIV/0!</v>
      </c>
      <c r="J28" s="417" t="e">
        <f t="shared" si="2"/>
        <v>#DIV/0!</v>
      </c>
      <c r="K28" s="85" t="e">
        <f t="shared" si="3"/>
        <v>#DIV/0!</v>
      </c>
      <c r="N28" s="88"/>
    </row>
    <row r="29" spans="1:16">
      <c r="A29" s="91">
        <v>18</v>
      </c>
      <c r="B29" s="82" t="str">
        <f>IFERROR(IF(VLOOKUP(A29,'REGISTRO DATOS'!B:H,2,0)=0,"",VLOOKUP(A29,'REGISTRO DATOS'!B:H,2,0)),"")</f>
        <v>RIVER</v>
      </c>
      <c r="C29" s="82" t="str">
        <f>IFERROR(IF(VLOOKUP(B29,'REGISTRO DATOS'!C:I,2,0)=0,"",VLOOKUP(B29,'REGISTRO DATOS'!C:I,2,0)),"")</f>
        <v/>
      </c>
      <c r="D29" s="82" t="str">
        <f>IFERROR(IF(VLOOKUP(C29,'REGISTRO DATOS'!D:I,2,0)=0,"",VLOOKUP(C29,'REGISTRO DATOS'!D:I,2,0)),"")</f>
        <v/>
      </c>
      <c r="E29" s="82" t="str">
        <f>IFERROR(IF(VLOOKUP(D29,'REGISTRO DATOS'!E:J,2,0)=0,"",VLOOKUP(D29,'REGISTRO DATOS'!E:J,2,0)),"")</f>
        <v/>
      </c>
      <c r="F29" s="208">
        <f>'Registro General'!AJ33</f>
        <v>27.222222222222221</v>
      </c>
      <c r="G29" s="767">
        <f t="shared" si="0"/>
        <v>10.888888888888889</v>
      </c>
      <c r="H29" s="89" t="e">
        <f>'REGISTRO IIS'!AJ33</f>
        <v>#DIV/0!</v>
      </c>
      <c r="I29" s="417" t="e">
        <f t="shared" si="1"/>
        <v>#DIV/0!</v>
      </c>
      <c r="J29" s="417" t="e">
        <f t="shared" si="2"/>
        <v>#DIV/0!</v>
      </c>
      <c r="K29" s="85" t="e">
        <f t="shared" si="3"/>
        <v>#DIV/0!</v>
      </c>
      <c r="N29" s="88"/>
    </row>
    <row r="30" spans="1:16" ht="14.1" customHeight="1">
      <c r="A30" s="91">
        <v>19</v>
      </c>
      <c r="B30" s="82" t="str">
        <f>IFERROR(IF(VLOOKUP(A30,'REGISTRO DATOS'!B:H,2,0)=0,"",VLOOKUP(A30,'REGISTRO DATOS'!B:H,2,0)),"")</f>
        <v/>
      </c>
      <c r="C30" s="82" t="str">
        <f>IFERROR(IF(VLOOKUP(B30,'REGISTRO DATOS'!C:I,2,0)=0,"",VLOOKUP(B30,'REGISTRO DATOS'!C:I,2,0)),"")</f>
        <v/>
      </c>
      <c r="D30" s="82" t="str">
        <f>IFERROR(IF(VLOOKUP(C30,'REGISTRO DATOS'!D:I,2,0)=0,"",VLOOKUP(C30,'REGISTRO DATOS'!D:I,2,0)),"")</f>
        <v/>
      </c>
      <c r="E30" s="82" t="str">
        <f>IFERROR(IF(VLOOKUP(D30,'REGISTRO DATOS'!E:J,2,0)=0,"",VLOOKUP(D30,'REGISTRO DATOS'!E:J,2,0)),"")</f>
        <v/>
      </c>
      <c r="F30" s="208">
        <f>'Registro General'!AJ34</f>
        <v>32.222222222222221</v>
      </c>
      <c r="G30" s="767">
        <f t="shared" si="0"/>
        <v>12.888888888888889</v>
      </c>
      <c r="H30" s="89" t="e">
        <f>'REGISTRO IIS'!AJ34</f>
        <v>#DIV/0!</v>
      </c>
      <c r="I30" s="417" t="e">
        <f t="shared" si="1"/>
        <v>#DIV/0!</v>
      </c>
      <c r="J30" s="417" t="e">
        <f t="shared" si="2"/>
        <v>#DIV/0!</v>
      </c>
      <c r="K30" s="85" t="e">
        <f t="shared" si="3"/>
        <v>#DIV/0!</v>
      </c>
    </row>
    <row r="31" spans="1:16" ht="14.1" customHeight="1">
      <c r="A31" s="91">
        <v>20</v>
      </c>
      <c r="B31" s="82" t="str">
        <f>IFERROR(IF(VLOOKUP(A31,'REGISTRO DATOS'!B:H,2,0)=0,"",VLOOKUP(A31,'REGISTRO DATOS'!B:H,2,0)),"")</f>
        <v/>
      </c>
      <c r="C31" s="82" t="str">
        <f>IFERROR(IF(VLOOKUP(B31,'REGISTRO DATOS'!C:I,2,0)=0,"",VLOOKUP(B31,'REGISTRO DATOS'!C:I,2,0)),"")</f>
        <v/>
      </c>
      <c r="D31" s="82" t="str">
        <f>IFERROR(IF(VLOOKUP(C31,'REGISTRO DATOS'!D:I,2,0)=0,"",VLOOKUP(C31,'REGISTRO DATOS'!D:I,2,0)),"")</f>
        <v/>
      </c>
      <c r="E31" s="82" t="str">
        <f>IFERROR(IF(VLOOKUP(D31,'REGISTRO DATOS'!E:J,2,0)=0,"",VLOOKUP(D31,'REGISTRO DATOS'!E:J,2,0)),"")</f>
        <v/>
      </c>
      <c r="F31" s="208">
        <f>'Registro General'!AJ35</f>
        <v>35</v>
      </c>
      <c r="G31" s="767">
        <f t="shared" si="0"/>
        <v>14</v>
      </c>
      <c r="H31" s="89" t="e">
        <f>'REGISTRO IIS'!AJ35</f>
        <v>#DIV/0!</v>
      </c>
      <c r="I31" s="417" t="e">
        <f t="shared" si="1"/>
        <v>#DIV/0!</v>
      </c>
      <c r="J31" s="417" t="e">
        <f t="shared" si="2"/>
        <v>#DIV/0!</v>
      </c>
      <c r="K31" s="85" t="e">
        <f t="shared" si="3"/>
        <v>#DIV/0!</v>
      </c>
    </row>
    <row r="32" spans="1:16" ht="14.1" customHeight="1">
      <c r="A32" s="91">
        <v>21</v>
      </c>
      <c r="B32" s="82" t="str">
        <f>IFERROR(IF(VLOOKUP(A32,'REGISTRO DATOS'!B:H,2,0)=0,"",VLOOKUP(A32,'REGISTRO DATOS'!B:H,2,0)),"")</f>
        <v/>
      </c>
      <c r="C32" s="82" t="str">
        <f>IFERROR(IF(VLOOKUP(B32,'REGISTRO DATOS'!C:I,2,0)=0,"",VLOOKUP(B32,'REGISTRO DATOS'!C:I,2,0)),"")</f>
        <v/>
      </c>
      <c r="D32" s="82" t="str">
        <f>IFERROR(IF(VLOOKUP(C32,'REGISTRO DATOS'!D:I,2,0)=0,"",VLOOKUP(C32,'REGISTRO DATOS'!D:I,2,0)),"")</f>
        <v/>
      </c>
      <c r="E32" s="82" t="str">
        <f>IFERROR(IF(VLOOKUP(D32,'REGISTRO DATOS'!E:J,2,0)=0,"",VLOOKUP(D32,'REGISTRO DATOS'!E:J,2,0)),"")</f>
        <v/>
      </c>
      <c r="F32" s="208">
        <f>'Registro General'!AJ36</f>
        <v>10</v>
      </c>
      <c r="G32" s="767">
        <f t="shared" si="0"/>
        <v>4</v>
      </c>
      <c r="H32" s="89" t="e">
        <f>'REGISTRO IIS'!AJ36</f>
        <v>#DIV/0!</v>
      </c>
      <c r="I32" s="417" t="e">
        <f t="shared" si="1"/>
        <v>#DIV/0!</v>
      </c>
      <c r="J32" s="417" t="e">
        <f t="shared" si="2"/>
        <v>#DIV/0!</v>
      </c>
      <c r="K32" s="85" t="e">
        <f t="shared" si="3"/>
        <v>#DIV/0!</v>
      </c>
    </row>
    <row r="33" spans="1:11" ht="14.1" customHeight="1">
      <c r="A33" s="91">
        <v>22</v>
      </c>
      <c r="B33" s="82" t="str">
        <f>IFERROR(IF(VLOOKUP(A33,'REGISTRO DATOS'!B:H,2,0)=0,"",VLOOKUP(A33,'REGISTRO DATOS'!B:H,2,0)),"")</f>
        <v/>
      </c>
      <c r="C33" s="82" t="str">
        <f>IFERROR(IF(VLOOKUP(B33,'REGISTRO DATOS'!C:I,2,0)=0,"",VLOOKUP(B33,'REGISTRO DATOS'!C:I,2,0)),"")</f>
        <v/>
      </c>
      <c r="D33" s="82" t="str">
        <f>IFERROR(IF(VLOOKUP(C33,'REGISTRO DATOS'!D:I,2,0)=0,"",VLOOKUP(C33,'REGISTRO DATOS'!D:I,2,0)),"")</f>
        <v/>
      </c>
      <c r="E33" s="82" t="str">
        <f>IFERROR(IF(VLOOKUP(D33,'REGISTRO DATOS'!E:J,2,0)=0,"",VLOOKUP(D33,'REGISTRO DATOS'!E:J,2,0)),"")</f>
        <v/>
      </c>
      <c r="F33" s="208">
        <f>'Registro General'!AJ37</f>
        <v>10</v>
      </c>
      <c r="G33" s="767">
        <f t="shared" si="0"/>
        <v>4</v>
      </c>
      <c r="H33" s="89" t="e">
        <f>'REGISTRO IIS'!AJ37</f>
        <v>#DIV/0!</v>
      </c>
      <c r="I33" s="417" t="e">
        <f t="shared" si="1"/>
        <v>#DIV/0!</v>
      </c>
      <c r="J33" s="417" t="e">
        <f t="shared" si="2"/>
        <v>#DIV/0!</v>
      </c>
      <c r="K33" s="85" t="e">
        <f t="shared" si="3"/>
        <v>#DIV/0!</v>
      </c>
    </row>
    <row r="34" spans="1:11" ht="14.1" customHeight="1">
      <c r="A34" s="91">
        <v>23</v>
      </c>
      <c r="B34" s="82" t="str">
        <f>IFERROR(IF(VLOOKUP(A34,'REGISTRO DATOS'!B:H,2,0)=0,"",VLOOKUP(A34,'REGISTRO DATOS'!B:H,2,0)),"")</f>
        <v/>
      </c>
      <c r="C34" s="82" t="str">
        <f>IFERROR(IF(VLOOKUP(B34,'REGISTRO DATOS'!C:I,2,0)=0,"",VLOOKUP(B34,'REGISTRO DATOS'!C:I,2,0)),"")</f>
        <v/>
      </c>
      <c r="D34" s="82" t="str">
        <f>IFERROR(IF(VLOOKUP(C34,'REGISTRO DATOS'!D:I,2,0)=0,"",VLOOKUP(C34,'REGISTRO DATOS'!D:I,2,0)),"")</f>
        <v/>
      </c>
      <c r="E34" s="82" t="str">
        <f>IFERROR(IF(VLOOKUP(D34,'REGISTRO DATOS'!E:J,2,0)=0,"",VLOOKUP(D34,'REGISTRO DATOS'!E:J,2,0)),"")</f>
        <v/>
      </c>
      <c r="F34" s="208">
        <f>'Registro General'!AJ38</f>
        <v>10</v>
      </c>
      <c r="G34" s="767">
        <f t="shared" si="0"/>
        <v>4</v>
      </c>
      <c r="H34" s="89" t="e">
        <f>'REGISTRO IIS'!AJ38</f>
        <v>#DIV/0!</v>
      </c>
      <c r="I34" s="417" t="e">
        <f t="shared" si="1"/>
        <v>#DIV/0!</v>
      </c>
      <c r="J34" s="417" t="e">
        <f t="shared" si="2"/>
        <v>#DIV/0!</v>
      </c>
      <c r="K34" s="85" t="e">
        <f t="shared" si="3"/>
        <v>#DIV/0!</v>
      </c>
    </row>
    <row r="35" spans="1:11" ht="14.1" customHeight="1">
      <c r="A35" s="91">
        <v>24</v>
      </c>
      <c r="B35" s="82" t="str">
        <f>IFERROR(IF(VLOOKUP(A35,'REGISTRO DATOS'!B:H,2,0)=0,"",VLOOKUP(A35,'REGISTRO DATOS'!B:H,2,0)),"")</f>
        <v/>
      </c>
      <c r="C35" s="82" t="str">
        <f>IFERROR(IF(VLOOKUP(B35,'REGISTRO DATOS'!C:I,2,0)=0,"",VLOOKUP(B35,'REGISTRO DATOS'!C:I,2,0)),"")</f>
        <v/>
      </c>
      <c r="D35" s="82" t="str">
        <f>IFERROR(IF(VLOOKUP(C35,'REGISTRO DATOS'!D:I,2,0)=0,"",VLOOKUP(C35,'REGISTRO DATOS'!D:I,2,0)),"")</f>
        <v/>
      </c>
      <c r="E35" s="82" t="str">
        <f>IFERROR(IF(VLOOKUP(D35,'REGISTRO DATOS'!E:J,2,0)=0,"",VLOOKUP(D35,'REGISTRO DATOS'!E:J,2,0)),"")</f>
        <v/>
      </c>
      <c r="F35" s="208">
        <f>'Registro General'!AJ39</f>
        <v>10</v>
      </c>
      <c r="G35" s="767">
        <f t="shared" si="0"/>
        <v>4</v>
      </c>
      <c r="H35" s="89" t="e">
        <f>'REGISTRO IIS'!AJ39</f>
        <v>#DIV/0!</v>
      </c>
      <c r="I35" s="417" t="e">
        <f t="shared" si="1"/>
        <v>#DIV/0!</v>
      </c>
      <c r="J35" s="417" t="e">
        <f t="shared" si="2"/>
        <v>#DIV/0!</v>
      </c>
      <c r="K35" s="85" t="e">
        <f t="shared" si="3"/>
        <v>#DIV/0!</v>
      </c>
    </row>
    <row r="36" spans="1:11" ht="14.1" customHeight="1">
      <c r="A36" s="91">
        <v>25</v>
      </c>
      <c r="B36" s="82" t="str">
        <f>IFERROR(IF(VLOOKUP(A36,'REGISTRO DATOS'!B:H,2,0)=0,"",VLOOKUP(A36,'REGISTRO DATOS'!B:H,2,0)),"")</f>
        <v/>
      </c>
      <c r="C36" s="82" t="str">
        <f>IFERROR(IF(VLOOKUP(B36,'REGISTRO DATOS'!C:I,2,0)=0,"",VLOOKUP(B36,'REGISTRO DATOS'!C:I,2,0)),"")</f>
        <v/>
      </c>
      <c r="D36" s="82" t="str">
        <f>IFERROR(IF(VLOOKUP(C36,'REGISTRO DATOS'!D:I,2,0)=0,"",VLOOKUP(C36,'REGISTRO DATOS'!D:I,2,0)),"")</f>
        <v/>
      </c>
      <c r="E36" s="82" t="str">
        <f>IFERROR(IF(VLOOKUP(D36,'REGISTRO DATOS'!E:J,2,0)=0,"",VLOOKUP(D36,'REGISTRO DATOS'!E:J,2,0)),"")</f>
        <v/>
      </c>
      <c r="F36" s="208">
        <f>'Registro General'!AJ40</f>
        <v>10</v>
      </c>
      <c r="G36" s="767">
        <f t="shared" si="0"/>
        <v>4</v>
      </c>
      <c r="H36" s="89" t="e">
        <f>'REGISTRO IIS'!AJ40</f>
        <v>#DIV/0!</v>
      </c>
      <c r="I36" s="417" t="e">
        <f t="shared" si="1"/>
        <v>#DIV/0!</v>
      </c>
      <c r="J36" s="417" t="e">
        <f t="shared" si="2"/>
        <v>#DIV/0!</v>
      </c>
      <c r="K36" s="85" t="e">
        <f t="shared" si="3"/>
        <v>#DIV/0!</v>
      </c>
    </row>
    <row r="37" spans="1:11" ht="14.1" customHeight="1">
      <c r="A37" s="91">
        <v>26</v>
      </c>
      <c r="B37" s="82" t="str">
        <f>IFERROR(IF(VLOOKUP(A37,'REGISTRO DATOS'!B:H,2,0)=0,"",VLOOKUP(A37,'REGISTRO DATOS'!B:H,2,0)),"")</f>
        <v/>
      </c>
      <c r="C37" s="82" t="str">
        <f>IFERROR(IF(VLOOKUP(B37,'REGISTRO DATOS'!C:I,2,0)=0,"",VLOOKUP(B37,'REGISTRO DATOS'!C:I,2,0)),"")</f>
        <v/>
      </c>
      <c r="D37" s="82" t="str">
        <f>IFERROR(IF(VLOOKUP(C37,'REGISTRO DATOS'!D:I,2,0)=0,"",VLOOKUP(C37,'REGISTRO DATOS'!D:I,2,0)),"")</f>
        <v/>
      </c>
      <c r="E37" s="82" t="str">
        <f>IFERROR(IF(VLOOKUP(D37,'REGISTRO DATOS'!E:J,2,0)=0,"",VLOOKUP(D37,'REGISTRO DATOS'!E:J,2,0)),"")</f>
        <v/>
      </c>
      <c r="F37" s="208">
        <f>'Registro General'!AJ41</f>
        <v>10</v>
      </c>
      <c r="G37" s="767">
        <f t="shared" si="0"/>
        <v>4</v>
      </c>
      <c r="H37" s="89" t="e">
        <f>'REGISTRO IIS'!AJ41</f>
        <v>#DIV/0!</v>
      </c>
      <c r="I37" s="417" t="e">
        <f t="shared" si="1"/>
        <v>#DIV/0!</v>
      </c>
      <c r="J37" s="417" t="e">
        <f t="shared" si="2"/>
        <v>#DIV/0!</v>
      </c>
      <c r="K37" s="85" t="e">
        <f t="shared" si="3"/>
        <v>#DIV/0!</v>
      </c>
    </row>
    <row r="38" spans="1:11" ht="14.1" customHeight="1">
      <c r="A38" s="91">
        <v>27</v>
      </c>
      <c r="B38" s="82" t="str">
        <f>IFERROR(IF(VLOOKUP(A38,'REGISTRO DATOS'!B:H,2,0)=0,"",VLOOKUP(A38,'REGISTRO DATOS'!B:H,2,0)),"")</f>
        <v/>
      </c>
      <c r="C38" s="82" t="str">
        <f>IFERROR(IF(VLOOKUP(B38,'REGISTRO DATOS'!C:I,2,0)=0,"",VLOOKUP(B38,'REGISTRO DATOS'!C:I,2,0)),"")</f>
        <v/>
      </c>
      <c r="D38" s="82" t="str">
        <f>IFERROR(IF(VLOOKUP(C38,'REGISTRO DATOS'!D:I,2,0)=0,"",VLOOKUP(C38,'REGISTRO DATOS'!D:I,2,0)),"")</f>
        <v/>
      </c>
      <c r="E38" s="82" t="str">
        <f>IFERROR(IF(VLOOKUP(D38,'REGISTRO DATOS'!E:J,2,0)=0,"",VLOOKUP(D38,'REGISTRO DATOS'!E:J,2,0)),"")</f>
        <v/>
      </c>
      <c r="F38" s="208">
        <f>'Registro General'!AJ42</f>
        <v>10</v>
      </c>
      <c r="G38" s="767">
        <f t="shared" si="0"/>
        <v>4</v>
      </c>
      <c r="H38" s="89" t="e">
        <f>'REGISTRO IIS'!AJ42</f>
        <v>#DIV/0!</v>
      </c>
      <c r="I38" s="417" t="e">
        <f t="shared" si="1"/>
        <v>#DIV/0!</v>
      </c>
      <c r="J38" s="417" t="e">
        <f t="shared" si="2"/>
        <v>#DIV/0!</v>
      </c>
      <c r="K38" s="85" t="e">
        <f>IF(J38&lt;1,"NSP",IF(J38&lt;$M$14,"APLAZADO","APROBADO"))</f>
        <v>#DIV/0!</v>
      </c>
    </row>
    <row r="39" spans="1:11" ht="14.1" customHeight="1">
      <c r="A39" s="91">
        <v>28</v>
      </c>
      <c r="B39" s="82" t="str">
        <f>IFERROR(IF(VLOOKUP(A39,'REGISTRO DATOS'!B:H,2,0)=0,"",VLOOKUP(A39,'REGISTRO DATOS'!B:H,2,0)),"")</f>
        <v/>
      </c>
      <c r="C39" s="82" t="str">
        <f>IFERROR(IF(VLOOKUP(B39,'REGISTRO DATOS'!C:I,2,0)=0,"",VLOOKUP(B39,'REGISTRO DATOS'!C:I,2,0)),"")</f>
        <v/>
      </c>
      <c r="D39" s="82" t="str">
        <f>IFERROR(IF(VLOOKUP(C39,'REGISTRO DATOS'!D:I,2,0)=0,"",VLOOKUP(C39,'REGISTRO DATOS'!D:I,2,0)),"")</f>
        <v/>
      </c>
      <c r="E39" s="82" t="str">
        <f>IFERROR(IF(VLOOKUP(D39,'REGISTRO DATOS'!E:J,2,0)=0,"",VLOOKUP(D39,'REGISTRO DATOS'!E:J,2,0)),"")</f>
        <v/>
      </c>
      <c r="F39" s="208">
        <f>'Registro General'!AJ43</f>
        <v>10</v>
      </c>
      <c r="G39" s="767">
        <f t="shared" si="0"/>
        <v>4</v>
      </c>
      <c r="H39" s="89" t="e">
        <f>'REGISTRO IIS'!AJ43</f>
        <v>#DIV/0!</v>
      </c>
      <c r="I39" s="417" t="e">
        <f t="shared" si="1"/>
        <v>#DIV/0!</v>
      </c>
      <c r="J39" s="417" t="e">
        <f t="shared" si="2"/>
        <v>#DIV/0!</v>
      </c>
      <c r="K39" s="85" t="e">
        <f t="shared" si="3"/>
        <v>#DIV/0!</v>
      </c>
    </row>
    <row r="40" spans="1:11" ht="14.1" customHeight="1">
      <c r="A40" s="91">
        <v>29</v>
      </c>
      <c r="B40" s="82" t="str">
        <f>IFERROR(IF(VLOOKUP(A40,'REGISTRO DATOS'!B:H,2,0)=0,"",VLOOKUP(A40,'REGISTRO DATOS'!B:H,2,0)),"")</f>
        <v/>
      </c>
      <c r="C40" s="82" t="str">
        <f>IFERROR(IF(VLOOKUP(B40,'REGISTRO DATOS'!C:I,2,0)=0,"",VLOOKUP(B40,'REGISTRO DATOS'!C:I,2,0)),"")</f>
        <v/>
      </c>
      <c r="D40" s="82" t="str">
        <f>IFERROR(IF(VLOOKUP(C40,'REGISTRO DATOS'!D:I,2,0)=0,"",VLOOKUP(C40,'REGISTRO DATOS'!D:I,2,0)),"")</f>
        <v/>
      </c>
      <c r="E40" s="82" t="str">
        <f>IFERROR(IF(VLOOKUP(D40,'REGISTRO DATOS'!E:J,2,0)=0,"",VLOOKUP(D40,'REGISTRO DATOS'!E:J,2,0)),"")</f>
        <v/>
      </c>
      <c r="F40" s="208">
        <f>'Registro General'!AJ44</f>
        <v>10</v>
      </c>
      <c r="G40" s="767">
        <f t="shared" si="0"/>
        <v>4</v>
      </c>
      <c r="H40" s="89" t="e">
        <f>'REGISTRO IIS'!AJ44</f>
        <v>#DIV/0!</v>
      </c>
      <c r="I40" s="417" t="e">
        <f t="shared" si="1"/>
        <v>#DIV/0!</v>
      </c>
      <c r="J40" s="417" t="e">
        <f t="shared" si="2"/>
        <v>#DIV/0!</v>
      </c>
      <c r="K40" s="85" t="e">
        <f t="shared" si="3"/>
        <v>#DIV/0!</v>
      </c>
    </row>
    <row r="41" spans="1:11" ht="14.1" customHeight="1">
      <c r="A41" s="91">
        <v>30</v>
      </c>
      <c r="B41" s="82" t="str">
        <f>IFERROR(IF(VLOOKUP(A41,'REGISTRO DATOS'!B:H,2,0)=0,"",VLOOKUP(A41,'REGISTRO DATOS'!B:H,2,0)),"")</f>
        <v/>
      </c>
      <c r="C41" s="82" t="str">
        <f>IFERROR(IF(VLOOKUP(B41,'REGISTRO DATOS'!C:I,2,0)=0,"",VLOOKUP(B41,'REGISTRO DATOS'!C:I,2,0)),"")</f>
        <v/>
      </c>
      <c r="D41" s="82" t="str">
        <f>IFERROR(IF(VLOOKUP(C41,'REGISTRO DATOS'!D:I,2,0)=0,"",VLOOKUP(C41,'REGISTRO DATOS'!D:I,2,0)),"")</f>
        <v/>
      </c>
      <c r="E41" s="82" t="str">
        <f>IFERROR(IF(VLOOKUP(D41,'REGISTRO DATOS'!E:J,2,0)=0,"",VLOOKUP(D41,'REGISTRO DATOS'!E:J,2,0)),"")</f>
        <v/>
      </c>
      <c r="F41" s="208">
        <f>'Registro General'!AJ45</f>
        <v>10</v>
      </c>
      <c r="G41" s="767">
        <f t="shared" si="0"/>
        <v>4</v>
      </c>
      <c r="H41" s="89" t="e">
        <f>'REGISTRO IIS'!AJ45</f>
        <v>#DIV/0!</v>
      </c>
      <c r="I41" s="417" t="e">
        <f t="shared" si="1"/>
        <v>#DIV/0!</v>
      </c>
      <c r="J41" s="417" t="e">
        <f t="shared" si="2"/>
        <v>#DIV/0!</v>
      </c>
      <c r="K41" s="85" t="e">
        <f t="shared" si="3"/>
        <v>#DIV/0!</v>
      </c>
    </row>
    <row r="42" spans="1:11" ht="14.1" customHeight="1">
      <c r="A42" s="91">
        <v>31</v>
      </c>
      <c r="B42" s="82" t="str">
        <f>IFERROR(IF(VLOOKUP(A42,'REGISTRO DATOS'!B:H,2,0)=0,"",VLOOKUP(A42,'REGISTRO DATOS'!B:H,2,0)),"")</f>
        <v/>
      </c>
      <c r="C42" s="82" t="str">
        <f>IFERROR(IF(VLOOKUP(B42,'REGISTRO DATOS'!C:I,2,0)=0,"",VLOOKUP(B42,'REGISTRO DATOS'!C:I,2,0)),"")</f>
        <v/>
      </c>
      <c r="D42" s="82" t="str">
        <f>IFERROR(IF(VLOOKUP(C42,'REGISTRO DATOS'!D:I,2,0)=0,"",VLOOKUP(C42,'REGISTRO DATOS'!D:I,2,0)),"")</f>
        <v/>
      </c>
      <c r="E42" s="82" t="str">
        <f>IFERROR(IF(VLOOKUP(D42,'REGISTRO DATOS'!E:J,2,0)=0,"",VLOOKUP(D42,'REGISTRO DATOS'!E:J,2,0)),"")</f>
        <v/>
      </c>
      <c r="F42" s="208">
        <f>'Registro General'!AJ46</f>
        <v>10</v>
      </c>
      <c r="G42" s="767">
        <f t="shared" si="0"/>
        <v>4</v>
      </c>
      <c r="H42" s="89" t="e">
        <f>'REGISTRO IIS'!AJ46</f>
        <v>#DIV/0!</v>
      </c>
      <c r="I42" s="417" t="e">
        <f t="shared" si="1"/>
        <v>#DIV/0!</v>
      </c>
      <c r="J42" s="417" t="e">
        <f t="shared" si="2"/>
        <v>#DIV/0!</v>
      </c>
      <c r="K42" s="85" t="e">
        <f t="shared" si="3"/>
        <v>#DIV/0!</v>
      </c>
    </row>
    <row r="43" spans="1:11" ht="14.1" customHeight="1">
      <c r="A43" s="91">
        <v>32</v>
      </c>
      <c r="B43" s="82" t="str">
        <f>IFERROR(IF(VLOOKUP(A43,'REGISTRO DATOS'!B:H,2,0)=0,"",VLOOKUP(A43,'REGISTRO DATOS'!B:H,2,0)),"")</f>
        <v/>
      </c>
      <c r="C43" s="82" t="str">
        <f>IFERROR(IF(VLOOKUP(B43,'REGISTRO DATOS'!C:I,2,0)=0,"",VLOOKUP(B43,'REGISTRO DATOS'!C:I,2,0)),"")</f>
        <v/>
      </c>
      <c r="D43" s="82" t="str">
        <f>IFERROR(IF(VLOOKUP(C43,'REGISTRO DATOS'!D:I,2,0)=0,"",VLOOKUP(C43,'REGISTRO DATOS'!D:I,2,0)),"")</f>
        <v/>
      </c>
      <c r="E43" s="82" t="str">
        <f>IFERROR(IF(VLOOKUP(D43,'REGISTRO DATOS'!E:J,2,0)=0,"",VLOOKUP(D43,'REGISTRO DATOS'!E:J,2,0)),"")</f>
        <v/>
      </c>
      <c r="F43" s="208">
        <f>'Registro General'!AJ47</f>
        <v>10</v>
      </c>
      <c r="G43" s="767">
        <f t="shared" si="0"/>
        <v>4</v>
      </c>
      <c r="H43" s="89" t="e">
        <f>'REGISTRO IIS'!AJ47</f>
        <v>#DIV/0!</v>
      </c>
      <c r="I43" s="417" t="e">
        <f t="shared" si="1"/>
        <v>#DIV/0!</v>
      </c>
      <c r="J43" s="417" t="e">
        <f t="shared" si="2"/>
        <v>#DIV/0!</v>
      </c>
      <c r="K43" s="85" t="e">
        <f t="shared" si="3"/>
        <v>#DIV/0!</v>
      </c>
    </row>
    <row r="44" spans="1:11" ht="13.7" customHeight="1">
      <c r="A44" s="91">
        <v>33</v>
      </c>
      <c r="B44" s="82" t="str">
        <f>IFERROR(IF(VLOOKUP(A44,'REGISTRO DATOS'!B:H,2,0)=0,"",VLOOKUP(A44,'REGISTRO DATOS'!B:H,2,0)),"")</f>
        <v/>
      </c>
      <c r="C44" s="82" t="str">
        <f>IFERROR(IF(VLOOKUP(B44,'REGISTRO DATOS'!C:I,2,0)=0,"",VLOOKUP(B44,'REGISTRO DATOS'!C:I,2,0)),"")</f>
        <v/>
      </c>
      <c r="D44" s="82" t="str">
        <f>IFERROR(IF(VLOOKUP(C44,'REGISTRO DATOS'!D:I,2,0)=0,"",VLOOKUP(C44,'REGISTRO DATOS'!D:I,2,0)),"")</f>
        <v/>
      </c>
      <c r="E44" s="82" t="str">
        <f>IFERROR(IF(VLOOKUP(D44,'REGISTRO DATOS'!E:J,2,0)=0,"",VLOOKUP(D44,'REGISTRO DATOS'!E:J,2,0)),"")</f>
        <v/>
      </c>
      <c r="F44" s="208">
        <f>'Registro General'!AJ48</f>
        <v>10</v>
      </c>
      <c r="G44" s="767">
        <f t="shared" si="0"/>
        <v>4</v>
      </c>
      <c r="H44" s="89" t="e">
        <f>'REGISTRO IIS'!AJ48</f>
        <v>#DIV/0!</v>
      </c>
      <c r="I44" s="417" t="e">
        <f t="shared" si="1"/>
        <v>#DIV/0!</v>
      </c>
      <c r="J44" s="417" t="e">
        <f t="shared" si="2"/>
        <v>#DIV/0!</v>
      </c>
      <c r="K44" s="85" t="e">
        <f t="shared" si="3"/>
        <v>#DIV/0!</v>
      </c>
    </row>
    <row r="45" spans="1:11" ht="13.7" customHeight="1">
      <c r="A45" s="91">
        <v>34</v>
      </c>
      <c r="B45" s="82" t="str">
        <f>IFERROR(IF(VLOOKUP(A45,'REGISTRO DATOS'!B:H,2,0)=0,"",VLOOKUP(A45,'REGISTRO DATOS'!B:H,2,0)),"")</f>
        <v/>
      </c>
      <c r="C45" s="82" t="str">
        <f>IFERROR(IF(VLOOKUP(B45,'REGISTRO DATOS'!C:I,2,0)=0,"",VLOOKUP(B45,'REGISTRO DATOS'!C:I,2,0)),"")</f>
        <v/>
      </c>
      <c r="D45" s="82" t="str">
        <f>IFERROR(IF(VLOOKUP(C45,'REGISTRO DATOS'!D:I,2,0)=0,"",VLOOKUP(C45,'REGISTRO DATOS'!D:I,2,0)),"")</f>
        <v/>
      </c>
      <c r="E45" s="82" t="str">
        <f>IFERROR(IF(VLOOKUP(D45,'REGISTRO DATOS'!E:J,2,0)=0,"",VLOOKUP(D45,'REGISTRO DATOS'!E:J,2,0)),"")</f>
        <v/>
      </c>
      <c r="F45" s="208">
        <f>'Registro General'!AJ49</f>
        <v>10</v>
      </c>
      <c r="G45" s="767">
        <f t="shared" si="0"/>
        <v>4</v>
      </c>
      <c r="H45" s="89" t="e">
        <f>'REGISTRO IIS'!AJ49</f>
        <v>#DIV/0!</v>
      </c>
      <c r="I45" s="417" t="e">
        <f t="shared" si="1"/>
        <v>#DIV/0!</v>
      </c>
      <c r="J45" s="417" t="e">
        <f t="shared" si="2"/>
        <v>#DIV/0!</v>
      </c>
      <c r="K45" s="85" t="e">
        <f t="shared" si="3"/>
        <v>#DIV/0!</v>
      </c>
    </row>
    <row r="46" spans="1:11" ht="13.7" customHeight="1">
      <c r="A46" s="91">
        <v>35</v>
      </c>
      <c r="B46" s="82" t="str">
        <f>IFERROR(IF(VLOOKUP(A46,'REGISTRO DATOS'!B:H,2,0)=0,"",VLOOKUP(A46,'REGISTRO DATOS'!B:H,2,0)),"")</f>
        <v/>
      </c>
      <c r="C46" s="82" t="str">
        <f>IFERROR(IF(VLOOKUP(B46,'REGISTRO DATOS'!C:I,2,0)=0,"",VLOOKUP(B46,'REGISTRO DATOS'!C:I,2,0)),"")</f>
        <v/>
      </c>
      <c r="D46" s="82" t="str">
        <f>IFERROR(IF(VLOOKUP(C46,'REGISTRO DATOS'!D:I,2,0)=0,"",VLOOKUP(C46,'REGISTRO DATOS'!D:I,2,0)),"")</f>
        <v/>
      </c>
      <c r="E46" s="82" t="str">
        <f>IFERROR(IF(VLOOKUP(D46,'REGISTRO DATOS'!E:J,2,0)=0,"",VLOOKUP(D46,'REGISTRO DATOS'!E:J,2,0)),"")</f>
        <v/>
      </c>
      <c r="F46" s="208">
        <f>'Registro General'!AJ50</f>
        <v>10</v>
      </c>
      <c r="G46" s="767">
        <f t="shared" si="0"/>
        <v>4</v>
      </c>
      <c r="H46" s="89" t="e">
        <f>'REGISTRO IIS'!AJ50</f>
        <v>#DIV/0!</v>
      </c>
      <c r="I46" s="417" t="e">
        <f t="shared" si="1"/>
        <v>#DIV/0!</v>
      </c>
      <c r="J46" s="417" t="e">
        <f t="shared" si="2"/>
        <v>#DIV/0!</v>
      </c>
      <c r="K46" s="85" t="e">
        <f t="shared" si="3"/>
        <v>#DIV/0!</v>
      </c>
    </row>
    <row r="47" spans="1:11" ht="13.7" customHeight="1">
      <c r="A47" s="91">
        <v>36</v>
      </c>
      <c r="B47" s="82" t="str">
        <f>IFERROR(IF(VLOOKUP(A47,'REGISTRO DATOS'!B:H,2,0)=0,"",VLOOKUP(A47,'REGISTRO DATOS'!B:H,2,0)),"")</f>
        <v/>
      </c>
      <c r="C47" s="82" t="str">
        <f>IFERROR(IF(VLOOKUP(B47,'REGISTRO DATOS'!C:I,2,0)=0,"",VLOOKUP(B47,'REGISTRO DATOS'!C:I,2,0)),"")</f>
        <v/>
      </c>
      <c r="D47" s="82" t="str">
        <f>IFERROR(IF(VLOOKUP(C47,'REGISTRO DATOS'!D:I,2,0)=0,"",VLOOKUP(C47,'REGISTRO DATOS'!D:I,2,0)),"")</f>
        <v/>
      </c>
      <c r="E47" s="82" t="str">
        <f>IFERROR(IF(VLOOKUP(D47,'REGISTRO DATOS'!E:J,2,0)=0,"",VLOOKUP(D47,'REGISTRO DATOS'!E:J,2,0)),"")</f>
        <v/>
      </c>
      <c r="F47" s="208">
        <f>'Registro General'!AJ51</f>
        <v>10</v>
      </c>
      <c r="G47" s="767">
        <f t="shared" si="0"/>
        <v>4</v>
      </c>
      <c r="H47" s="89" t="e">
        <f>'REGISTRO IIS'!AJ51</f>
        <v>#DIV/0!</v>
      </c>
      <c r="I47" s="417" t="e">
        <f t="shared" si="1"/>
        <v>#DIV/0!</v>
      </c>
      <c r="J47" s="417" t="e">
        <f t="shared" si="2"/>
        <v>#DIV/0!</v>
      </c>
      <c r="K47" s="85" t="e">
        <f t="shared" si="3"/>
        <v>#DIV/0!</v>
      </c>
    </row>
    <row r="48" spans="1:11" ht="13.7" customHeight="1">
      <c r="A48" s="91">
        <v>37</v>
      </c>
      <c r="B48" s="82" t="str">
        <f>IFERROR(IF(VLOOKUP(A48,'REGISTRO DATOS'!B:H,2,0)=0,"",VLOOKUP(A48,'REGISTRO DATOS'!B:H,2,0)),"")</f>
        <v/>
      </c>
      <c r="C48" s="82" t="str">
        <f>IFERROR(IF(VLOOKUP(B48,'REGISTRO DATOS'!C:I,2,0)=0,"",VLOOKUP(B48,'REGISTRO DATOS'!C:I,2,0)),"")</f>
        <v/>
      </c>
      <c r="D48" s="82" t="str">
        <f>IFERROR(IF(VLOOKUP(C48,'REGISTRO DATOS'!D:I,2,0)=0,"",VLOOKUP(C48,'REGISTRO DATOS'!D:I,2,0)),"")</f>
        <v/>
      </c>
      <c r="E48" s="82" t="str">
        <f>IFERROR(IF(VLOOKUP(D48,'REGISTRO DATOS'!E:J,2,0)=0,"",VLOOKUP(D48,'REGISTRO DATOS'!E:J,2,0)),"")</f>
        <v/>
      </c>
      <c r="F48" s="208">
        <f>'Registro General'!AJ52</f>
        <v>10</v>
      </c>
      <c r="G48" s="767">
        <f t="shared" si="0"/>
        <v>4</v>
      </c>
      <c r="H48" s="89" t="e">
        <f>'REGISTRO IIS'!AJ52</f>
        <v>#DIV/0!</v>
      </c>
      <c r="I48" s="417" t="e">
        <f t="shared" si="1"/>
        <v>#DIV/0!</v>
      </c>
      <c r="J48" s="417" t="e">
        <f t="shared" si="2"/>
        <v>#DIV/0!</v>
      </c>
      <c r="K48" s="85" t="e">
        <f t="shared" si="3"/>
        <v>#DIV/0!</v>
      </c>
    </row>
    <row r="49" spans="1:11" ht="13.7" customHeight="1">
      <c r="A49" s="91">
        <v>38</v>
      </c>
      <c r="B49" s="82" t="str">
        <f>IFERROR(IF(VLOOKUP(A49,'REGISTRO DATOS'!B:H,2,0)=0,"",VLOOKUP(A49,'REGISTRO DATOS'!B:H,2,0)),"")</f>
        <v/>
      </c>
      <c r="C49" s="82" t="str">
        <f>IFERROR(IF(VLOOKUP(B49,'REGISTRO DATOS'!C:I,2,0)=0,"",VLOOKUP(B49,'REGISTRO DATOS'!C:I,2,0)),"")</f>
        <v/>
      </c>
      <c r="D49" s="82" t="str">
        <f>IFERROR(IF(VLOOKUP(C49,'REGISTRO DATOS'!D:I,2,0)=0,"",VLOOKUP(C49,'REGISTRO DATOS'!D:I,2,0)),"")</f>
        <v/>
      </c>
      <c r="E49" s="82" t="str">
        <f>IFERROR(IF(VLOOKUP(D49,'REGISTRO DATOS'!E:J,2,0)=0,"",VLOOKUP(D49,'REGISTRO DATOS'!E:J,2,0)),"")</f>
        <v/>
      </c>
      <c r="F49" s="208">
        <f>'Registro General'!AJ53</f>
        <v>10</v>
      </c>
      <c r="G49" s="767">
        <f t="shared" si="0"/>
        <v>4</v>
      </c>
      <c r="H49" s="89" t="e">
        <f>'REGISTRO IIS'!AJ53</f>
        <v>#DIV/0!</v>
      </c>
      <c r="I49" s="417" t="e">
        <f t="shared" si="1"/>
        <v>#DIV/0!</v>
      </c>
      <c r="J49" s="417" t="e">
        <f t="shared" si="2"/>
        <v>#DIV/0!</v>
      </c>
      <c r="K49" s="85" t="e">
        <f t="shared" si="3"/>
        <v>#DIV/0!</v>
      </c>
    </row>
    <row r="50" spans="1:11" ht="13.7" customHeight="1">
      <c r="A50" s="91">
        <v>39</v>
      </c>
      <c r="B50" s="82" t="str">
        <f>IFERROR(IF(VLOOKUP(A50,'REGISTRO DATOS'!B:H,2,0)=0,"",VLOOKUP(A50,'REGISTRO DATOS'!B:H,2,0)),"")</f>
        <v/>
      </c>
      <c r="C50" s="82" t="str">
        <f>IFERROR(IF(VLOOKUP(B50,'REGISTRO DATOS'!C:I,2,0)=0,"",VLOOKUP(B50,'REGISTRO DATOS'!C:I,2,0)),"")</f>
        <v/>
      </c>
      <c r="D50" s="82" t="str">
        <f>IFERROR(IF(VLOOKUP(C50,'REGISTRO DATOS'!D:I,2,0)=0,"",VLOOKUP(C50,'REGISTRO DATOS'!D:I,2,0)),"")</f>
        <v/>
      </c>
      <c r="E50" s="82" t="str">
        <f>IFERROR(IF(VLOOKUP(D50,'REGISTRO DATOS'!E:J,2,0)=0,"",VLOOKUP(D50,'REGISTRO DATOS'!E:J,2,0)),"")</f>
        <v/>
      </c>
      <c r="F50" s="208">
        <f>'Registro General'!AJ54</f>
        <v>10</v>
      </c>
      <c r="G50" s="767">
        <f t="shared" si="0"/>
        <v>4</v>
      </c>
      <c r="H50" s="89" t="e">
        <f>'REGISTRO IIS'!AJ54</f>
        <v>#DIV/0!</v>
      </c>
      <c r="I50" s="417" t="e">
        <f t="shared" si="1"/>
        <v>#DIV/0!</v>
      </c>
      <c r="J50" s="417" t="e">
        <f t="shared" si="2"/>
        <v>#DIV/0!</v>
      </c>
      <c r="K50" s="85" t="e">
        <f t="shared" si="3"/>
        <v>#DIV/0!</v>
      </c>
    </row>
    <row r="51" spans="1:11" ht="13.7" customHeight="1">
      <c r="A51" s="91">
        <v>40</v>
      </c>
      <c r="B51" s="82" t="str">
        <f>IFERROR(IF(VLOOKUP(A51,'REGISTRO DATOS'!B:H,2,0)=0,"",VLOOKUP(A51,'REGISTRO DATOS'!B:H,2,0)),"")</f>
        <v/>
      </c>
      <c r="C51" s="82" t="str">
        <f>IFERROR(IF(VLOOKUP(B51,'REGISTRO DATOS'!C:I,2,0)=0,"",VLOOKUP(B51,'REGISTRO DATOS'!C:I,2,0)),"")</f>
        <v/>
      </c>
      <c r="D51" s="82" t="str">
        <f>IFERROR(IF(VLOOKUP(C51,'REGISTRO DATOS'!D:I,2,0)=0,"",VLOOKUP(C51,'REGISTRO DATOS'!D:I,2,0)),"")</f>
        <v/>
      </c>
      <c r="E51" s="82" t="str">
        <f>IFERROR(IF(VLOOKUP(D51,'REGISTRO DATOS'!E:J,2,0)=0,"",VLOOKUP(D51,'REGISTRO DATOS'!E:J,2,0)),"")</f>
        <v/>
      </c>
      <c r="F51" s="208">
        <f>'Registro General'!AJ55</f>
        <v>10</v>
      </c>
      <c r="G51" s="767">
        <f t="shared" si="0"/>
        <v>4</v>
      </c>
      <c r="H51" s="89" t="e">
        <f>'REGISTRO IIS'!AJ55</f>
        <v>#DIV/0!</v>
      </c>
      <c r="I51" s="417" t="e">
        <f t="shared" si="1"/>
        <v>#DIV/0!</v>
      </c>
      <c r="J51" s="417" t="e">
        <f t="shared" si="2"/>
        <v>#DIV/0!</v>
      </c>
      <c r="K51" s="85" t="e">
        <f t="shared" si="3"/>
        <v>#DIV/0!</v>
      </c>
    </row>
    <row r="52" spans="1:11" ht="14.1" customHeight="1">
      <c r="A52" s="83"/>
      <c r="B52" s="83"/>
      <c r="C52" s="83"/>
      <c r="D52" s="83"/>
      <c r="E52" s="83"/>
      <c r="F52" s="83"/>
      <c r="G52" s="83"/>
      <c r="H52" s="83"/>
      <c r="I52" s="83"/>
      <c r="J52" s="83"/>
      <c r="K52" s="84" t="s">
        <v>52</v>
      </c>
    </row>
    <row r="53" spans="1:11" ht="14.1" customHeight="1">
      <c r="A53" s="1182" t="s">
        <v>53</v>
      </c>
      <c r="B53" s="1182"/>
      <c r="C53" s="1182"/>
      <c r="D53" s="1182"/>
      <c r="E53" s="1182"/>
      <c r="F53" s="130"/>
      <c r="G53" s="130"/>
      <c r="H53" s="130"/>
      <c r="I53" s="130"/>
      <c r="J53" s="130"/>
      <c r="K53" s="90">
        <f ca="1">TODAY()</f>
        <v>46178</v>
      </c>
    </row>
    <row r="54" spans="1:11">
      <c r="D54" s="80"/>
    </row>
    <row r="55" spans="1:11">
      <c r="D55" s="80"/>
      <c r="K55" s="81"/>
    </row>
    <row r="56" spans="1:11" ht="0.75" customHeight="1"/>
    <row r="57" spans="1:11" hidden="1"/>
    <row r="58" spans="1:11" ht="2.25" customHeight="1"/>
    <row r="59" spans="1:11" hidden="1"/>
    <row r="60" spans="1:11" ht="8.25" customHeight="1"/>
    <row r="61" spans="1:11" hidden="1"/>
  </sheetData>
  <mergeCells count="11">
    <mergeCell ref="N26:P26"/>
    <mergeCell ref="A53:E53"/>
    <mergeCell ref="M16:O16"/>
    <mergeCell ref="A7:K8"/>
    <mergeCell ref="A9:B9"/>
    <mergeCell ref="C9:E9"/>
    <mergeCell ref="C2:J2"/>
    <mergeCell ref="C3:J3"/>
    <mergeCell ref="C4:J4"/>
    <mergeCell ref="A10:B10"/>
    <mergeCell ref="C10:E10"/>
  </mergeCells>
  <conditionalFormatting sqref="K12:K51">
    <cfRule type="containsText" dxfId="8" priority="3" operator="containsText" text="e">
      <formula>NOT(ISERROR(SEARCH("e",K12)))</formula>
    </cfRule>
    <cfRule type="containsText" dxfId="7" priority="5" operator="containsText" text="APLAZADO">
      <formula>NOT(ISERROR(SEARCH("APLAZADO",K12)))</formula>
    </cfRule>
  </conditionalFormatting>
  <conditionalFormatting sqref="J12:J51">
    <cfRule type="cellIs" dxfId="6" priority="4" operator="lessThan">
      <formula>60</formula>
    </cfRule>
  </conditionalFormatting>
  <conditionalFormatting sqref="J12:J51">
    <cfRule type="cellIs" dxfId="5" priority="2" operator="lessThan">
      <formula>70</formula>
    </cfRule>
  </conditionalFormatting>
  <conditionalFormatting sqref="K12:K51">
    <cfRule type="containsText" dxfId="4" priority="1" operator="containsText" text="aplaza">
      <formula>NOT(ISERROR(SEARCH("aplaza",K12)))</formula>
    </cfRule>
  </conditionalFormatting>
  <dataValidations count="1">
    <dataValidation type="list" allowBlank="1" showInputMessage="1" showErrorMessage="1" sqref="M7" xr:uid="{00000000-0002-0000-1D00-000000000000}">
      <formula1>Condiciones</formula1>
    </dataValidation>
  </dataValidations>
  <pageMargins left="0.25" right="0.25" top="0.75" bottom="0.75" header="0.3" footer="0.3"/>
  <pageSetup scale="65" fitToHeight="0" orientation="portrait" horizontalDpi="4294967294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2" filterMode="1">
    <tabColor rgb="FFFF0000"/>
  </sheetPr>
  <dimension ref="A1:Z55"/>
  <sheetViews>
    <sheetView showGridLines="0" zoomScale="90" zoomScaleNormal="80" zoomScalePageLayoutView="55" workbookViewId="0">
      <selection activeCell="R11" sqref="R11"/>
    </sheetView>
  </sheetViews>
  <sheetFormatPr baseColWidth="10" defaultColWidth="0" defaultRowHeight="15" zeroHeight="1"/>
  <cols>
    <col min="1" max="1" width="11.42578125" customWidth="1"/>
    <col min="2" max="2" width="4.140625" hidden="1" customWidth="1"/>
    <col min="3" max="3" width="11.28515625" customWidth="1"/>
    <col min="4" max="4" width="14.42578125" customWidth="1"/>
    <col min="5" max="5" width="21" bestFit="1" customWidth="1"/>
    <col min="6" max="6" width="13.5703125" customWidth="1"/>
    <col min="7" max="7" width="10.28515625" customWidth="1"/>
    <col min="8" max="8" width="9.85546875" customWidth="1"/>
    <col min="9" max="9" width="10.28515625" customWidth="1"/>
    <col min="10" max="10" width="8.5703125" bestFit="1" customWidth="1"/>
    <col min="11" max="11" width="7.85546875" customWidth="1"/>
    <col min="12" max="12" width="9.28515625" customWidth="1"/>
    <col min="13" max="13" width="6.85546875" customWidth="1"/>
    <col min="14" max="14" width="8.7109375" customWidth="1"/>
    <col min="15" max="15" width="9.28515625" customWidth="1"/>
    <col min="16" max="16" width="11.28515625" customWidth="1"/>
    <col min="17" max="17" width="14.42578125" customWidth="1"/>
    <col min="18" max="18" width="11.5703125" customWidth="1"/>
    <col min="19" max="19" width="16.28515625" customWidth="1"/>
    <col min="20" max="20" width="11.42578125" customWidth="1"/>
    <col min="21" max="16384" width="11.42578125" hidden="1"/>
  </cols>
  <sheetData>
    <row r="1" spans="1:26" ht="15.75" thickBot="1">
      <c r="E1" s="641"/>
      <c r="F1" s="641"/>
      <c r="G1" s="641"/>
      <c r="H1" s="641"/>
      <c r="I1" s="641"/>
      <c r="J1" s="641"/>
      <c r="K1" s="641"/>
      <c r="L1" s="641"/>
      <c r="M1" s="641"/>
      <c r="N1" s="641"/>
      <c r="O1" s="641"/>
      <c r="P1" s="641"/>
      <c r="Q1" s="641"/>
      <c r="R1" s="642"/>
    </row>
    <row r="2" spans="1:26">
      <c r="C2" s="1195" t="s">
        <v>110</v>
      </c>
      <c r="D2" s="1196"/>
      <c r="E2" s="1197">
        <f>'REGISTRO DATOS'!$I$3</f>
        <v>0</v>
      </c>
      <c r="F2" s="1198"/>
    </row>
    <row r="3" spans="1:26">
      <c r="C3" s="1193" t="s">
        <v>161</v>
      </c>
      <c r="D3" s="1194"/>
      <c r="E3" s="1014">
        <f>'REGISTRO DATOS'!$I$6</f>
        <v>0</v>
      </c>
      <c r="F3" s="1192"/>
      <c r="H3" s="1187" t="s">
        <v>107</v>
      </c>
      <c r="I3" s="1187"/>
      <c r="J3" s="1187"/>
      <c r="K3" s="1187"/>
      <c r="L3" s="1187"/>
      <c r="M3" s="1187"/>
      <c r="N3" s="1187"/>
    </row>
    <row r="4" spans="1:26">
      <c r="C4" s="1193" t="s">
        <v>67</v>
      </c>
      <c r="D4" s="1194"/>
      <c r="E4" s="1014">
        <f>SECCIÓN</f>
        <v>0</v>
      </c>
      <c r="F4" s="1192"/>
      <c r="G4" s="643"/>
      <c r="H4" s="1187"/>
      <c r="I4" s="1187"/>
      <c r="J4" s="1187"/>
      <c r="K4" s="1187"/>
      <c r="L4" s="1187"/>
      <c r="M4" s="1187"/>
      <c r="N4" s="1187"/>
      <c r="O4" s="643"/>
      <c r="P4" s="643"/>
      <c r="Q4" s="643"/>
      <c r="R4" s="643"/>
      <c r="S4" s="643"/>
    </row>
    <row r="5" spans="1:26">
      <c r="C5" s="1193" t="s">
        <v>127</v>
      </c>
      <c r="D5" s="1194"/>
      <c r="E5" s="1014"/>
      <c r="F5" s="1192"/>
      <c r="H5" s="1187"/>
      <c r="I5" s="1187"/>
      <c r="J5" s="1187"/>
      <c r="K5" s="1187"/>
      <c r="L5" s="1187"/>
      <c r="M5" s="1187"/>
      <c r="N5" s="1187"/>
      <c r="S5" s="154"/>
    </row>
    <row r="6" spans="1:26">
      <c r="C6" s="1193" t="s">
        <v>111</v>
      </c>
      <c r="D6" s="1194"/>
      <c r="E6" s="1014" t="str">
        <f>'REGISTRO DATOS'!$I$4</f>
        <v>COTO</v>
      </c>
      <c r="F6" s="1192"/>
      <c r="S6" s="154"/>
    </row>
    <row r="7" spans="1:26" ht="15.75" thickBot="1">
      <c r="C7" s="1190" t="s">
        <v>168</v>
      </c>
      <c r="D7" s="1191"/>
      <c r="E7" s="1185">
        <f ca="1">TODAY()</f>
        <v>46178</v>
      </c>
      <c r="F7" s="1186"/>
      <c r="S7" s="154"/>
    </row>
    <row r="8" spans="1:26" ht="21">
      <c r="E8" s="2"/>
      <c r="F8" s="2"/>
      <c r="G8" s="1184" t="s">
        <v>112</v>
      </c>
      <c r="H8" s="1184"/>
      <c r="I8" s="1184"/>
      <c r="J8" s="1184"/>
      <c r="K8" s="1184"/>
      <c r="L8" s="1184"/>
      <c r="M8" s="1184"/>
      <c r="N8" s="1184"/>
      <c r="O8" s="1184"/>
      <c r="P8" s="1184"/>
      <c r="Q8" s="1184"/>
      <c r="R8" s="1184"/>
      <c r="S8" s="2"/>
    </row>
    <row r="9" spans="1:26" s="648" customFormat="1" ht="60">
      <c r="A9" s="644" t="s">
        <v>125</v>
      </c>
      <c r="B9" s="644" t="s">
        <v>35</v>
      </c>
      <c r="C9" s="645" t="s">
        <v>58</v>
      </c>
      <c r="D9" s="645" t="s">
        <v>58</v>
      </c>
      <c r="E9" s="645" t="s">
        <v>36</v>
      </c>
      <c r="F9" s="645" t="s">
        <v>59</v>
      </c>
      <c r="G9" s="646" t="s">
        <v>113</v>
      </c>
      <c r="H9" s="646" t="s">
        <v>114</v>
      </c>
      <c r="I9" s="646" t="s">
        <v>115</v>
      </c>
      <c r="J9" s="646" t="s">
        <v>116</v>
      </c>
      <c r="K9" s="646" t="s">
        <v>117</v>
      </c>
      <c r="L9" s="646" t="s">
        <v>118</v>
      </c>
      <c r="M9" s="646" t="s">
        <v>119</v>
      </c>
      <c r="N9" s="646" t="s">
        <v>120</v>
      </c>
      <c r="O9" s="646" t="s">
        <v>121</v>
      </c>
      <c r="P9" s="646" t="s">
        <v>280</v>
      </c>
      <c r="Q9" s="646" t="s">
        <v>122</v>
      </c>
      <c r="R9" s="647" t="s">
        <v>123</v>
      </c>
      <c r="S9" s="647" t="s">
        <v>124</v>
      </c>
      <c r="X9" s="649"/>
    </row>
    <row r="10" spans="1:26" s="648" customFormat="1" ht="35.1" hidden="1" customHeight="1">
      <c r="A10" s="655" t="s">
        <v>109</v>
      </c>
      <c r="B10" s="656">
        <v>1</v>
      </c>
      <c r="C10" s="654" t="str">
        <f>IFERROR(IF(VLOOKUP(B10,'REGISTRO DATOS'!B:H,2,0)=0,"",VLOOKUP(B10,'REGISTRO DATOS'!B:H,2,0)),"")</f>
        <v/>
      </c>
      <c r="D10" s="654" t="str">
        <f>IFERROR(IF(VLOOKUP(C10,'REGISTRO DATOS'!C:I,2,0)=0,"",VLOOKUP(C10,'REGISTRO DATOS'!C:I,2,0)),"")</f>
        <v/>
      </c>
      <c r="E10" s="654" t="str">
        <f>IFERROR(IF(VLOOKUP(D10,'REGISTRO DATOS'!D:I,2,0)=0,"",VLOOKUP(D10,'REGISTRO DATOS'!D:I,2,0)),"")</f>
        <v/>
      </c>
      <c r="F10" s="654" t="str">
        <f>IFERROR(IF(VLOOKUP(E10,'REGISTRO DATOS'!E:J,2,0)=0,"",VLOOKUP(E10,'REGISTRO DATOS'!E:J,2,0)),"")</f>
        <v/>
      </c>
      <c r="G10" s="646"/>
      <c r="H10" s="646"/>
      <c r="I10" s="646"/>
      <c r="J10" s="646"/>
      <c r="K10" s="646"/>
      <c r="L10" s="657"/>
      <c r="M10" s="646"/>
      <c r="N10" s="657"/>
      <c r="O10" s="657"/>
      <c r="P10" s="657"/>
      <c r="Q10" s="657"/>
      <c r="R10" s="658" t="s">
        <v>162</v>
      </c>
      <c r="S10" s="647" t="s">
        <v>165</v>
      </c>
      <c r="U10" s="648" t="s">
        <v>108</v>
      </c>
      <c r="Z10" s="648" t="s">
        <v>165</v>
      </c>
    </row>
    <row r="11" spans="1:26" s="648" customFormat="1" ht="35.1" customHeight="1">
      <c r="A11" s="655" t="s">
        <v>108</v>
      </c>
      <c r="B11" s="659">
        <v>2</v>
      </c>
      <c r="C11" s="660" t="str">
        <f>IFERROR(IF(VLOOKUP(B11,'REGISTRO DATOS'!B:H,2,0)=0,"",VLOOKUP(B11,'REGISTRO DATOS'!B:H,2,0)),"")</f>
        <v/>
      </c>
      <c r="D11" s="660" t="str">
        <f>IFERROR(IF(VLOOKUP(C11,'REGISTRO DATOS'!C:I,2,0)=0,"",VLOOKUP(C11,'REGISTRO DATOS'!C:I,2,0)),"")</f>
        <v/>
      </c>
      <c r="E11" s="660" t="str">
        <f>IFERROR(IF(VLOOKUP(D11,'REGISTRO DATOS'!D:I,2,0)=0,"",VLOOKUP(D11,'REGISTRO DATOS'!D:I,2,0)),"")</f>
        <v/>
      </c>
      <c r="F11" s="660" t="str">
        <f>IFERROR(IF(VLOOKUP(E11,'REGISTRO DATOS'!E:J,2,0)=0,"",VLOOKUP(E11,'REGISTRO DATOS'!E:J,2,0)),"")</f>
        <v/>
      </c>
      <c r="G11" s="646" t="s">
        <v>290</v>
      </c>
      <c r="H11" s="646" t="s">
        <v>126</v>
      </c>
      <c r="I11" s="646"/>
      <c r="J11" s="646"/>
      <c r="K11" s="646"/>
      <c r="L11" s="657"/>
      <c r="M11" s="646" t="s">
        <v>290</v>
      </c>
      <c r="N11" s="657"/>
      <c r="O11" s="657"/>
      <c r="P11" s="657" t="s">
        <v>290</v>
      </c>
      <c r="Q11" s="657"/>
      <c r="R11" s="658" t="s">
        <v>162</v>
      </c>
      <c r="S11" s="647" t="s">
        <v>165</v>
      </c>
      <c r="U11" s="648" t="s">
        <v>109</v>
      </c>
      <c r="Y11" s="648" t="s">
        <v>162</v>
      </c>
      <c r="Z11" s="648" t="s">
        <v>166</v>
      </c>
    </row>
    <row r="12" spans="1:26" s="648" customFormat="1" ht="35.1" hidden="1" customHeight="1">
      <c r="A12" s="655" t="s">
        <v>109</v>
      </c>
      <c r="B12" s="659">
        <v>3</v>
      </c>
      <c r="C12" s="660" t="str">
        <f>IFERROR(IF(VLOOKUP(B12,'REGISTRO DATOS'!B:H,2,0)=0,"",VLOOKUP(B12,'REGISTRO DATOS'!B:H,2,0)),"")</f>
        <v/>
      </c>
      <c r="D12" s="660" t="str">
        <f>IFERROR(IF(VLOOKUP(C12,'REGISTRO DATOS'!C:I,2,0)=0,"",VLOOKUP(C12,'REGISTRO DATOS'!C:I,2,0)),"")</f>
        <v/>
      </c>
      <c r="E12" s="660" t="str">
        <f>IFERROR(IF(VLOOKUP(D12,'REGISTRO DATOS'!D:I,2,0)=0,"",VLOOKUP(D12,'REGISTRO DATOS'!D:I,2,0)),"")</f>
        <v/>
      </c>
      <c r="F12" s="660" t="str">
        <f>IFERROR(IF(VLOOKUP(E12,'REGISTRO DATOS'!E:J,2,0)=0,"",VLOOKUP(E12,'REGISTRO DATOS'!E:J,2,0)),"")</f>
        <v/>
      </c>
      <c r="G12" s="646"/>
      <c r="H12" s="646"/>
      <c r="I12" s="646"/>
      <c r="J12" s="646"/>
      <c r="K12" s="646"/>
      <c r="L12" s="657"/>
      <c r="M12" s="646"/>
      <c r="N12" s="657"/>
      <c r="O12" s="657"/>
      <c r="P12" s="657"/>
      <c r="Q12" s="657"/>
      <c r="R12" s="658" t="s">
        <v>162</v>
      </c>
      <c r="S12" s="647" t="s">
        <v>166</v>
      </c>
      <c r="Y12" s="648" t="s">
        <v>163</v>
      </c>
      <c r="Z12" s="648" t="s">
        <v>167</v>
      </c>
    </row>
    <row r="13" spans="1:26" s="648" customFormat="1" ht="35.1" hidden="1" customHeight="1">
      <c r="A13" s="655" t="s">
        <v>109</v>
      </c>
      <c r="B13" s="659">
        <v>4</v>
      </c>
      <c r="C13" s="660" t="str">
        <f>IFERROR(IF(VLOOKUP(B13,'REGISTRO DATOS'!B:H,2,0)=0,"",VLOOKUP(B13,'REGISTRO DATOS'!B:H,2,0)),"")</f>
        <v/>
      </c>
      <c r="D13" s="660" t="str">
        <f>IFERROR(IF(VLOOKUP(C13,'REGISTRO DATOS'!C:I,2,0)=0,"",VLOOKUP(C13,'REGISTRO DATOS'!C:I,2,0)),"")</f>
        <v/>
      </c>
      <c r="E13" s="660" t="str">
        <f>IFERROR(IF(VLOOKUP(D13,'REGISTRO DATOS'!D:I,2,0)=0,"",VLOOKUP(D13,'REGISTRO DATOS'!D:I,2,0)),"")</f>
        <v/>
      </c>
      <c r="F13" s="660" t="str">
        <f>IFERROR(IF(VLOOKUP(E13,'REGISTRO DATOS'!E:J,2,0)=0,"",VLOOKUP(E13,'REGISTRO DATOS'!E:J,2,0)),"")</f>
        <v/>
      </c>
      <c r="G13" s="646"/>
      <c r="H13" s="646"/>
      <c r="I13" s="646"/>
      <c r="J13" s="646"/>
      <c r="K13" s="646"/>
      <c r="L13" s="657"/>
      <c r="M13" s="646"/>
      <c r="N13" s="657"/>
      <c r="O13" s="657"/>
      <c r="P13" s="657"/>
      <c r="Q13" s="657"/>
      <c r="R13" s="658" t="s">
        <v>162</v>
      </c>
      <c r="S13" s="647" t="s">
        <v>165</v>
      </c>
      <c r="Y13" s="648" t="s">
        <v>164</v>
      </c>
    </row>
    <row r="14" spans="1:26" s="648" customFormat="1" ht="35.1" hidden="1" customHeight="1">
      <c r="A14" s="655" t="s">
        <v>109</v>
      </c>
      <c r="B14" s="659">
        <v>5</v>
      </c>
      <c r="C14" s="660" t="str">
        <f>IFERROR(IF(VLOOKUP(B14,'REGISTRO DATOS'!B:H,2,0)=0,"",VLOOKUP(B14,'REGISTRO DATOS'!B:H,2,0)),"")</f>
        <v/>
      </c>
      <c r="D14" s="660" t="str">
        <f>IFERROR(IF(VLOOKUP(C14,'REGISTRO DATOS'!C:I,2,0)=0,"",VLOOKUP(C14,'REGISTRO DATOS'!C:I,2,0)),"")</f>
        <v/>
      </c>
      <c r="E14" s="660" t="str">
        <f>IFERROR(IF(VLOOKUP(D14,'REGISTRO DATOS'!D:I,2,0)=0,"",VLOOKUP(D14,'REGISTRO DATOS'!D:I,2,0)),"")</f>
        <v/>
      </c>
      <c r="F14" s="660" t="str">
        <f>IFERROR(IF(VLOOKUP(E14,'REGISTRO DATOS'!E:J,2,0)=0,"",VLOOKUP(E14,'REGISTRO DATOS'!E:J,2,0)),"")</f>
        <v/>
      </c>
      <c r="G14" s="646"/>
      <c r="H14" s="646"/>
      <c r="I14" s="646"/>
      <c r="J14" s="646"/>
      <c r="K14" s="646"/>
      <c r="L14" s="657"/>
      <c r="M14" s="646"/>
      <c r="N14" s="657"/>
      <c r="O14" s="657"/>
      <c r="P14" s="657"/>
      <c r="Q14" s="657"/>
      <c r="R14" s="658" t="s">
        <v>162</v>
      </c>
      <c r="S14" s="647" t="s">
        <v>165</v>
      </c>
    </row>
    <row r="15" spans="1:26" s="648" customFormat="1" ht="35.1" hidden="1" customHeight="1">
      <c r="A15" s="655" t="s">
        <v>109</v>
      </c>
      <c r="B15" s="659">
        <v>6</v>
      </c>
      <c r="C15" s="660" t="str">
        <f>IFERROR(IF(VLOOKUP(B15,'REGISTRO DATOS'!B:H,2,0)=0,"",VLOOKUP(B15,'REGISTRO DATOS'!B:H,2,0)),"")</f>
        <v/>
      </c>
      <c r="D15" s="660" t="str">
        <f>IFERROR(IF(VLOOKUP(C15,'REGISTRO DATOS'!C:I,2,0)=0,"",VLOOKUP(C15,'REGISTRO DATOS'!C:I,2,0)),"")</f>
        <v/>
      </c>
      <c r="E15" s="660" t="str">
        <f>IFERROR(IF(VLOOKUP(D15,'REGISTRO DATOS'!D:I,2,0)=0,"",VLOOKUP(D15,'REGISTRO DATOS'!D:I,2,0)),"")</f>
        <v/>
      </c>
      <c r="F15" s="660" t="str">
        <f>IFERROR(IF(VLOOKUP(E15,'REGISTRO DATOS'!E:J,2,0)=0,"",VLOOKUP(E15,'REGISTRO DATOS'!E:J,2,0)),"")</f>
        <v/>
      </c>
      <c r="G15" s="646"/>
      <c r="H15" s="646"/>
      <c r="I15" s="646"/>
      <c r="J15" s="646"/>
      <c r="K15" s="646"/>
      <c r="L15" s="657"/>
      <c r="M15" s="646"/>
      <c r="N15" s="657"/>
      <c r="O15" s="657"/>
      <c r="P15" s="657"/>
      <c r="Q15" s="657"/>
      <c r="R15" s="658" t="s">
        <v>162</v>
      </c>
      <c r="S15" s="647" t="s">
        <v>165</v>
      </c>
    </row>
    <row r="16" spans="1:26" s="648" customFormat="1" ht="35.1" hidden="1" customHeight="1">
      <c r="A16" s="655" t="s">
        <v>109</v>
      </c>
      <c r="B16" s="659">
        <v>7</v>
      </c>
      <c r="C16" s="660" t="str">
        <f>IFERROR(IF(VLOOKUP(B16,'REGISTRO DATOS'!B:H,2,0)=0,"",VLOOKUP(B16,'REGISTRO DATOS'!B:H,2,0)),"")</f>
        <v xml:space="preserve">GONZALEZ </v>
      </c>
      <c r="D16" s="660" t="str">
        <f>IFERROR(IF(VLOOKUP(C16,'REGISTRO DATOS'!C:I,2,0)=0,"",VLOOKUP(C16,'REGISTRO DATOS'!C:I,2,0)),"")</f>
        <v>CHAVARRIA</v>
      </c>
      <c r="E16" s="660" t="str">
        <f>IFERROR(IF(VLOOKUP(D16,'REGISTRO DATOS'!D:I,2,0)=0,"",VLOOKUP(D16,'REGISTRO DATOS'!D:I,2,0)),"")</f>
        <v>STEPHANIE</v>
      </c>
      <c r="F16" s="660" t="str">
        <f>IFERROR(IF(VLOOKUP(E16,'REGISTRO DATOS'!E:J,2,0)=0,"",VLOOKUP(E16,'REGISTRO DATOS'!E:J,2,0)),"")</f>
        <v/>
      </c>
      <c r="G16" s="646"/>
      <c r="H16" s="646"/>
      <c r="I16" s="646"/>
      <c r="J16" s="646"/>
      <c r="K16" s="646"/>
      <c r="L16" s="657"/>
      <c r="M16" s="646"/>
      <c r="N16" s="657"/>
      <c r="O16" s="657"/>
      <c r="P16" s="657"/>
      <c r="Q16" s="657"/>
      <c r="R16" s="658" t="s">
        <v>162</v>
      </c>
      <c r="S16" s="647" t="s">
        <v>165</v>
      </c>
    </row>
    <row r="17" spans="1:19" s="648" customFormat="1" ht="35.1" hidden="1" customHeight="1">
      <c r="A17" s="655" t="s">
        <v>109</v>
      </c>
      <c r="B17" s="659">
        <v>8</v>
      </c>
      <c r="C17" s="660" t="str">
        <f>IFERROR(IF(VLOOKUP(B17,'REGISTRO DATOS'!B:H,2,0)=0,"",VLOOKUP(B17,'REGISTRO DATOS'!B:H,2,0)),"")</f>
        <v/>
      </c>
      <c r="D17" s="660" t="str">
        <f>IFERROR(IF(VLOOKUP(C17,'REGISTRO DATOS'!C:I,2,0)=0,"",VLOOKUP(C17,'REGISTRO DATOS'!C:I,2,0)),"")</f>
        <v/>
      </c>
      <c r="E17" s="660" t="str">
        <f>IFERROR(IF(VLOOKUP(D17,'REGISTRO DATOS'!D:I,2,0)=0,"",VLOOKUP(D17,'REGISTRO DATOS'!D:I,2,0)),"")</f>
        <v/>
      </c>
      <c r="F17" s="660" t="str">
        <f>IFERROR(IF(VLOOKUP(E17,'REGISTRO DATOS'!E:J,2,0)=0,"",VLOOKUP(E17,'REGISTRO DATOS'!E:J,2,0)),"")</f>
        <v/>
      </c>
      <c r="G17" s="646"/>
      <c r="H17" s="646"/>
      <c r="I17" s="646"/>
      <c r="J17" s="646"/>
      <c r="K17" s="646"/>
      <c r="L17" s="657"/>
      <c r="M17" s="646"/>
      <c r="N17" s="657"/>
      <c r="O17" s="657"/>
      <c r="P17" s="657"/>
      <c r="Q17" s="657"/>
      <c r="R17" s="658" t="s">
        <v>162</v>
      </c>
      <c r="S17" s="647" t="s">
        <v>165</v>
      </c>
    </row>
    <row r="18" spans="1:19" s="648" customFormat="1" ht="35.1" hidden="1" customHeight="1">
      <c r="A18" s="655" t="s">
        <v>109</v>
      </c>
      <c r="B18" s="659">
        <v>9</v>
      </c>
      <c r="C18" s="660" t="str">
        <f>IFERROR(IF(VLOOKUP(B18,'REGISTRO DATOS'!B:H,2,0)=0,"",VLOOKUP(B18,'REGISTRO DATOS'!B:H,2,0)),"")</f>
        <v>CUBILLO</v>
      </c>
      <c r="D18" s="660" t="str">
        <f>IFERROR(IF(VLOOKUP(C18,'REGISTRO DATOS'!C:I,2,0)=0,"",VLOOKUP(C18,'REGISTRO DATOS'!C:I,2,0)),"")</f>
        <v/>
      </c>
      <c r="E18" s="660" t="str">
        <f>IFERROR(IF(VLOOKUP(D18,'REGISTRO DATOS'!D:I,2,0)=0,"",VLOOKUP(D18,'REGISTRO DATOS'!D:I,2,0)),"")</f>
        <v/>
      </c>
      <c r="F18" s="660" t="str">
        <f>IFERROR(IF(VLOOKUP(E18,'REGISTRO DATOS'!E:J,2,0)=0,"",VLOOKUP(E18,'REGISTRO DATOS'!E:J,2,0)),"")</f>
        <v/>
      </c>
      <c r="G18" s="646"/>
      <c r="H18" s="646"/>
      <c r="I18" s="646"/>
      <c r="J18" s="646"/>
      <c r="K18" s="646"/>
      <c r="L18" s="657"/>
      <c r="M18" s="646"/>
      <c r="N18" s="657"/>
      <c r="O18" s="657"/>
      <c r="P18" s="657"/>
      <c r="Q18" s="657"/>
      <c r="R18" s="658" t="s">
        <v>162</v>
      </c>
      <c r="S18" s="647" t="s">
        <v>165</v>
      </c>
    </row>
    <row r="19" spans="1:19" s="648" customFormat="1" ht="35.1" hidden="1" customHeight="1">
      <c r="A19" s="655" t="s">
        <v>109</v>
      </c>
      <c r="B19" s="659">
        <v>10</v>
      </c>
      <c r="C19" s="660" t="str">
        <f>IFERROR(IF(VLOOKUP(B19,'REGISTRO DATOS'!B:H,2,0)=0,"",VLOOKUP(B19,'REGISTRO DATOS'!B:H,2,0)),"")</f>
        <v/>
      </c>
      <c r="D19" s="660" t="str">
        <f>IFERROR(IF(VLOOKUP(C19,'REGISTRO DATOS'!C:I,2,0)=0,"",VLOOKUP(C19,'REGISTRO DATOS'!C:I,2,0)),"")</f>
        <v/>
      </c>
      <c r="E19" s="660" t="str">
        <f>IFERROR(IF(VLOOKUP(D19,'REGISTRO DATOS'!D:I,2,0)=0,"",VLOOKUP(D19,'REGISTRO DATOS'!D:I,2,0)),"")</f>
        <v/>
      </c>
      <c r="F19" s="660" t="str">
        <f>IFERROR(IF(VLOOKUP(E19,'REGISTRO DATOS'!E:J,2,0)=0,"",VLOOKUP(E19,'REGISTRO DATOS'!E:J,2,0)),"")</f>
        <v/>
      </c>
      <c r="G19" s="646"/>
      <c r="H19" s="646"/>
      <c r="I19" s="646"/>
      <c r="J19" s="646"/>
      <c r="K19" s="646"/>
      <c r="L19" s="657"/>
      <c r="M19" s="646"/>
      <c r="N19" s="657"/>
      <c r="O19" s="657"/>
      <c r="P19" s="657"/>
      <c r="Q19" s="657"/>
      <c r="R19" s="658" t="s">
        <v>162</v>
      </c>
      <c r="S19" s="647" t="s">
        <v>165</v>
      </c>
    </row>
    <row r="20" spans="1:19" s="648" customFormat="1" ht="35.1" hidden="1" customHeight="1">
      <c r="A20" s="655" t="s">
        <v>109</v>
      </c>
      <c r="B20" s="659">
        <v>11</v>
      </c>
      <c r="C20" s="660" t="str">
        <f>IFERROR(IF(VLOOKUP(B20,'REGISTRO DATOS'!B:H,2,0)=0,"",VLOOKUP(B20,'REGISTRO DATOS'!B:H,2,0)),"")</f>
        <v>BRIZUELA</v>
      </c>
      <c r="D20" s="660" t="str">
        <f>IFERROR(IF(VLOOKUP(C20,'REGISTRO DATOS'!C:I,2,0)=0,"",VLOOKUP(C20,'REGISTRO DATOS'!C:I,2,0)),"")</f>
        <v/>
      </c>
      <c r="E20" s="660" t="str">
        <f>IFERROR(IF(VLOOKUP(D20,'REGISTRO DATOS'!D:I,2,0)=0,"",VLOOKUP(D20,'REGISTRO DATOS'!D:I,2,0)),"")</f>
        <v/>
      </c>
      <c r="F20" s="660" t="str">
        <f>IFERROR(IF(VLOOKUP(E20,'REGISTRO DATOS'!E:J,2,0)=0,"",VLOOKUP(E20,'REGISTRO DATOS'!E:J,2,0)),"")</f>
        <v/>
      </c>
      <c r="G20" s="646"/>
      <c r="H20" s="646"/>
      <c r="I20" s="646"/>
      <c r="J20" s="646"/>
      <c r="K20" s="646"/>
      <c r="L20" s="657"/>
      <c r="M20" s="646"/>
      <c r="N20" s="657"/>
      <c r="O20" s="657"/>
      <c r="P20" s="657"/>
      <c r="Q20" s="657"/>
      <c r="R20" s="658" t="s">
        <v>162</v>
      </c>
      <c r="S20" s="647" t="s">
        <v>165</v>
      </c>
    </row>
    <row r="21" spans="1:19" s="648" customFormat="1" ht="35.1" hidden="1" customHeight="1">
      <c r="A21" s="655" t="s">
        <v>109</v>
      </c>
      <c r="B21" s="659">
        <v>12</v>
      </c>
      <c r="C21" s="660" t="str">
        <f>IFERROR(IF(VLOOKUP(B21,'REGISTRO DATOS'!B:H,2,0)=0,"",VLOOKUP(B21,'REGISTRO DATOS'!B:H,2,0)),"")</f>
        <v/>
      </c>
      <c r="D21" s="660" t="str">
        <f>IFERROR(IF(VLOOKUP(C21,'REGISTRO DATOS'!C:I,2,0)=0,"",VLOOKUP(C21,'REGISTRO DATOS'!C:I,2,0)),"")</f>
        <v/>
      </c>
      <c r="E21" s="660" t="str">
        <f>IFERROR(IF(VLOOKUP(D21,'REGISTRO DATOS'!D:I,2,0)=0,"",VLOOKUP(D21,'REGISTRO DATOS'!D:I,2,0)),"")</f>
        <v/>
      </c>
      <c r="F21" s="660" t="str">
        <f>IFERROR(IF(VLOOKUP(E21,'REGISTRO DATOS'!E:J,2,0)=0,"",VLOOKUP(E21,'REGISTRO DATOS'!E:J,2,0)),"")</f>
        <v/>
      </c>
      <c r="G21" s="646"/>
      <c r="H21" s="646"/>
      <c r="I21" s="646"/>
      <c r="J21" s="646"/>
      <c r="K21" s="646"/>
      <c r="L21" s="657"/>
      <c r="M21" s="646"/>
      <c r="N21" s="657"/>
      <c r="O21" s="657"/>
      <c r="P21" s="657"/>
      <c r="Q21" s="657"/>
      <c r="R21" s="658" t="s">
        <v>162</v>
      </c>
      <c r="S21" s="647" t="s">
        <v>165</v>
      </c>
    </row>
    <row r="22" spans="1:19" ht="35.1" hidden="1" customHeight="1">
      <c r="A22" s="655" t="s">
        <v>109</v>
      </c>
      <c r="B22" s="659">
        <v>13</v>
      </c>
      <c r="C22" s="660" t="str">
        <f>IFERROR(IF(VLOOKUP(B22,'REGISTRO DATOS'!B:H,2,0)=0,"",VLOOKUP(B22,'REGISTRO DATOS'!B:H,2,0)),"")</f>
        <v/>
      </c>
      <c r="D22" s="660" t="str">
        <f>IFERROR(IF(VLOOKUP(C22,'REGISTRO DATOS'!C:I,2,0)=0,"",VLOOKUP(C22,'REGISTRO DATOS'!C:I,2,0)),"")</f>
        <v/>
      </c>
      <c r="E22" s="660" t="str">
        <f>IFERROR(IF(VLOOKUP(D22,'REGISTRO DATOS'!D:I,2,0)=0,"",VLOOKUP(D22,'REGISTRO DATOS'!D:I,2,0)),"")</f>
        <v/>
      </c>
      <c r="F22" s="660" t="str">
        <f>IFERROR(IF(VLOOKUP(E22,'REGISTRO DATOS'!E:J,2,0)=0,"",VLOOKUP(E22,'REGISTRO DATOS'!E:J,2,0)),"")</f>
        <v/>
      </c>
      <c r="G22" s="661"/>
      <c r="H22" s="661"/>
      <c r="I22" s="661"/>
      <c r="J22" s="661"/>
      <c r="K22" s="661"/>
      <c r="L22" s="661"/>
      <c r="M22" s="661"/>
      <c r="N22" s="661"/>
      <c r="O22" s="661"/>
      <c r="P22" s="661"/>
      <c r="Q22" s="661"/>
      <c r="R22" s="658" t="s">
        <v>162</v>
      </c>
      <c r="S22" s="647" t="s">
        <v>165</v>
      </c>
    </row>
    <row r="23" spans="1:19" ht="35.1" hidden="1" customHeight="1">
      <c r="A23" s="655" t="s">
        <v>109</v>
      </c>
      <c r="B23" s="659">
        <v>14</v>
      </c>
      <c r="C23" s="660" t="str">
        <f>IFERROR(IF(VLOOKUP(B23,'REGISTRO DATOS'!B:H,2,0)=0,"",VLOOKUP(B23,'REGISTRO DATOS'!B:H,2,0)),"")</f>
        <v/>
      </c>
      <c r="D23" s="660" t="str">
        <f>IFERROR(IF(VLOOKUP(C23,'REGISTRO DATOS'!C:I,2,0)=0,"",VLOOKUP(C23,'REGISTRO DATOS'!C:I,2,0)),"")</f>
        <v/>
      </c>
      <c r="E23" s="660" t="str">
        <f>IFERROR(IF(VLOOKUP(D23,'REGISTRO DATOS'!D:I,2,0)=0,"",VLOOKUP(D23,'REGISTRO DATOS'!D:I,2,0)),"")</f>
        <v/>
      </c>
      <c r="F23" s="660" t="str">
        <f>IFERROR(IF(VLOOKUP(E23,'REGISTRO DATOS'!E:J,2,0)=0,"",VLOOKUP(E23,'REGISTRO DATOS'!E:J,2,0)),"")</f>
        <v/>
      </c>
      <c r="G23" s="661"/>
      <c r="H23" s="661"/>
      <c r="I23" s="661"/>
      <c r="J23" s="661"/>
      <c r="K23" s="661"/>
      <c r="L23" s="661"/>
      <c r="M23" s="661"/>
      <c r="N23" s="661"/>
      <c r="O23" s="661"/>
      <c r="P23" s="661"/>
      <c r="Q23" s="661"/>
      <c r="R23" s="658" t="s">
        <v>162</v>
      </c>
      <c r="S23" s="647" t="s">
        <v>165</v>
      </c>
    </row>
    <row r="24" spans="1:19" ht="35.1" hidden="1" customHeight="1">
      <c r="A24" s="655" t="s">
        <v>109</v>
      </c>
      <c r="B24" s="659">
        <v>15</v>
      </c>
      <c r="C24" s="660" t="str">
        <f>IFERROR(IF(VLOOKUP(B24,'REGISTRO DATOS'!B:H,2,0)=0,"",VLOOKUP(B24,'REGISTRO DATOS'!B:H,2,0)),"")</f>
        <v xml:space="preserve">SERRANO </v>
      </c>
      <c r="D24" s="660" t="str">
        <f>IFERROR(IF(VLOOKUP(C24,'REGISTRO DATOS'!C:I,2,0)=0,"",VLOOKUP(C24,'REGISTRO DATOS'!C:I,2,0)),"")</f>
        <v>VILLEGAS</v>
      </c>
      <c r="E24" s="660" t="str">
        <f>IFERROR(IF(VLOOKUP(D24,'REGISTRO DATOS'!D:I,2,0)=0,"",VLOOKUP(D24,'REGISTRO DATOS'!D:I,2,0)),"")</f>
        <v xml:space="preserve">DYLAN </v>
      </c>
      <c r="F24" s="660" t="str">
        <f>IFERROR(IF(VLOOKUP(E24,'REGISTRO DATOS'!E:J,2,0)=0,"",VLOOKUP(E24,'REGISTRO DATOS'!E:J,2,0)),"")</f>
        <v/>
      </c>
      <c r="G24" s="661"/>
      <c r="H24" s="661"/>
      <c r="I24" s="661"/>
      <c r="J24" s="661"/>
      <c r="K24" s="661"/>
      <c r="L24" s="661"/>
      <c r="M24" s="661"/>
      <c r="N24" s="661"/>
      <c r="O24" s="661"/>
      <c r="P24" s="661"/>
      <c r="Q24" s="661"/>
      <c r="R24" s="658" t="s">
        <v>162</v>
      </c>
      <c r="S24" s="647" t="s">
        <v>165</v>
      </c>
    </row>
    <row r="25" spans="1:19" ht="35.1" hidden="1" customHeight="1">
      <c r="A25" s="655" t="s">
        <v>109</v>
      </c>
      <c r="B25" s="659">
        <v>16</v>
      </c>
      <c r="C25" s="660" t="str">
        <f>IFERROR(IF(VLOOKUP(B25,'REGISTRO DATOS'!B:H,2,0)=0,"",VLOOKUP(B25,'REGISTRO DATOS'!B:H,2,0)),"")</f>
        <v/>
      </c>
      <c r="D25" s="660" t="str">
        <f>IFERROR(IF(VLOOKUP(C25,'REGISTRO DATOS'!C:I,2,0)=0,"",VLOOKUP(C25,'REGISTRO DATOS'!C:I,2,0)),"")</f>
        <v/>
      </c>
      <c r="E25" s="660" t="str">
        <f>IFERROR(IF(VLOOKUP(D25,'REGISTRO DATOS'!D:I,2,0)=0,"",VLOOKUP(D25,'REGISTRO DATOS'!D:I,2,0)),"")</f>
        <v/>
      </c>
      <c r="F25" s="660" t="str">
        <f>IFERROR(IF(VLOOKUP(E25,'REGISTRO DATOS'!E:J,2,0)=0,"",VLOOKUP(E25,'REGISTRO DATOS'!E:J,2,0)),"")</f>
        <v/>
      </c>
      <c r="G25" s="661"/>
      <c r="H25" s="661"/>
      <c r="I25" s="661"/>
      <c r="J25" s="661"/>
      <c r="K25" s="661"/>
      <c r="L25" s="661"/>
      <c r="M25" s="661"/>
      <c r="N25" s="661"/>
      <c r="O25" s="661"/>
      <c r="P25" s="661"/>
      <c r="Q25" s="661"/>
      <c r="R25" s="658" t="s">
        <v>162</v>
      </c>
      <c r="S25" s="647" t="s">
        <v>165</v>
      </c>
    </row>
    <row r="26" spans="1:19" ht="35.1" hidden="1" customHeight="1">
      <c r="A26" s="655" t="s">
        <v>109</v>
      </c>
      <c r="B26" s="659">
        <v>17</v>
      </c>
      <c r="C26" s="660" t="str">
        <f>IFERROR(IF(VLOOKUP(B26,'REGISTRO DATOS'!B:H,2,0)=0,"",VLOOKUP(B26,'REGISTRO DATOS'!B:H,2,0)),"")</f>
        <v>QUIROS</v>
      </c>
      <c r="D26" s="660" t="str">
        <f>IFERROR(IF(VLOOKUP(C26,'REGISTRO DATOS'!C:I,2,0)=0,"",VLOOKUP(C26,'REGISTRO DATOS'!C:I,2,0)),"")</f>
        <v/>
      </c>
      <c r="E26" s="660" t="str">
        <f>IFERROR(IF(VLOOKUP(D26,'REGISTRO DATOS'!D:I,2,0)=0,"",VLOOKUP(D26,'REGISTRO DATOS'!D:I,2,0)),"")</f>
        <v/>
      </c>
      <c r="F26" s="660" t="str">
        <f>IFERROR(IF(VLOOKUP(E26,'REGISTRO DATOS'!E:J,2,0)=0,"",VLOOKUP(E26,'REGISTRO DATOS'!E:J,2,0)),"")</f>
        <v/>
      </c>
      <c r="G26" s="661"/>
      <c r="H26" s="661"/>
      <c r="I26" s="661"/>
      <c r="J26" s="661"/>
      <c r="K26" s="661"/>
      <c r="L26" s="661"/>
      <c r="M26" s="661"/>
      <c r="N26" s="661"/>
      <c r="O26" s="661"/>
      <c r="P26" s="661"/>
      <c r="Q26" s="661"/>
      <c r="R26" s="658" t="s">
        <v>162</v>
      </c>
      <c r="S26" s="647" t="s">
        <v>165</v>
      </c>
    </row>
    <row r="27" spans="1:19" ht="35.1" hidden="1" customHeight="1">
      <c r="A27" s="655" t="s">
        <v>109</v>
      </c>
      <c r="B27" s="659">
        <v>18</v>
      </c>
      <c r="C27" s="660" t="str">
        <f>IFERROR(IF(VLOOKUP(B27,'REGISTRO DATOS'!B:H,2,0)=0,"",VLOOKUP(B27,'REGISTRO DATOS'!B:H,2,0)),"")</f>
        <v>RIVER</v>
      </c>
      <c r="D27" s="660" t="str">
        <f>IFERROR(IF(VLOOKUP(C27,'REGISTRO DATOS'!C:I,2,0)=0,"",VLOOKUP(C27,'REGISTRO DATOS'!C:I,2,0)),"")</f>
        <v/>
      </c>
      <c r="E27" s="660" t="str">
        <f>IFERROR(IF(VLOOKUP(D27,'REGISTRO DATOS'!D:I,2,0)=0,"",VLOOKUP(D27,'REGISTRO DATOS'!D:I,2,0)),"")</f>
        <v/>
      </c>
      <c r="F27" s="660" t="str">
        <f>IFERROR(IF(VLOOKUP(E27,'REGISTRO DATOS'!E:J,2,0)=0,"",VLOOKUP(E27,'REGISTRO DATOS'!E:J,2,0)),"")</f>
        <v/>
      </c>
      <c r="G27" s="661"/>
      <c r="H27" s="661"/>
      <c r="I27" s="661"/>
      <c r="J27" s="661"/>
      <c r="K27" s="661"/>
      <c r="L27" s="661"/>
      <c r="M27" s="661"/>
      <c r="N27" s="661"/>
      <c r="O27" s="661"/>
      <c r="P27" s="661"/>
      <c r="Q27" s="661"/>
      <c r="R27" s="658" t="s">
        <v>162</v>
      </c>
      <c r="S27" s="647" t="s">
        <v>165</v>
      </c>
    </row>
    <row r="28" spans="1:19" ht="35.1" hidden="1" customHeight="1">
      <c r="A28" s="655" t="s">
        <v>109</v>
      </c>
      <c r="B28" s="659">
        <v>19</v>
      </c>
      <c r="C28" s="660" t="str">
        <f>IFERROR(IF(VLOOKUP(B28,'REGISTRO DATOS'!B:H,2,0)=0,"",VLOOKUP(B28,'REGISTRO DATOS'!B:H,2,0)),"")</f>
        <v/>
      </c>
      <c r="D28" s="660" t="str">
        <f>IFERROR(IF(VLOOKUP(C28,'REGISTRO DATOS'!C:I,2,0)=0,"",VLOOKUP(C28,'REGISTRO DATOS'!C:I,2,0)),"")</f>
        <v/>
      </c>
      <c r="E28" s="660" t="str">
        <f>IFERROR(IF(VLOOKUP(D28,'REGISTRO DATOS'!D:I,2,0)=0,"",VLOOKUP(D28,'REGISTRO DATOS'!D:I,2,0)),"")</f>
        <v/>
      </c>
      <c r="F28" s="660" t="str">
        <f>IFERROR(IF(VLOOKUP(E28,'REGISTRO DATOS'!E:J,2,0)=0,"",VLOOKUP(E28,'REGISTRO DATOS'!E:J,2,0)),"")</f>
        <v/>
      </c>
      <c r="G28" s="661"/>
      <c r="H28" s="661"/>
      <c r="I28" s="661"/>
      <c r="J28" s="661"/>
      <c r="K28" s="661"/>
      <c r="L28" s="661"/>
      <c r="M28" s="661"/>
      <c r="N28" s="661"/>
      <c r="O28" s="661"/>
      <c r="P28" s="661"/>
      <c r="Q28" s="661"/>
      <c r="R28" s="658" t="s">
        <v>162</v>
      </c>
      <c r="S28" s="647" t="s">
        <v>165</v>
      </c>
    </row>
    <row r="29" spans="1:19" ht="35.1" hidden="1" customHeight="1">
      <c r="A29" s="655" t="s">
        <v>109</v>
      </c>
      <c r="B29" s="659">
        <v>20</v>
      </c>
      <c r="C29" s="660" t="str">
        <f>IFERROR(IF(VLOOKUP(B29,'REGISTRO DATOS'!B:H,2,0)=0,"",VLOOKUP(B29,'REGISTRO DATOS'!B:H,2,0)),"")</f>
        <v/>
      </c>
      <c r="D29" s="660" t="str">
        <f>IFERROR(IF(VLOOKUP(C29,'REGISTRO DATOS'!C:I,2,0)=0,"",VLOOKUP(C29,'REGISTRO DATOS'!C:I,2,0)),"")</f>
        <v/>
      </c>
      <c r="E29" s="660" t="str">
        <f>IFERROR(IF(VLOOKUP(D29,'REGISTRO DATOS'!D:I,2,0)=0,"",VLOOKUP(D29,'REGISTRO DATOS'!D:I,2,0)),"")</f>
        <v/>
      </c>
      <c r="F29" s="660" t="str">
        <f>IFERROR(IF(VLOOKUP(E29,'REGISTRO DATOS'!E:J,2,0)=0,"",VLOOKUP(E29,'REGISTRO DATOS'!E:J,2,0)),"")</f>
        <v/>
      </c>
      <c r="G29" s="661"/>
      <c r="H29" s="661"/>
      <c r="I29" s="661"/>
      <c r="J29" s="661"/>
      <c r="K29" s="661"/>
      <c r="L29" s="661"/>
      <c r="M29" s="661"/>
      <c r="N29" s="661"/>
      <c r="O29" s="661"/>
      <c r="P29" s="661"/>
      <c r="Q29" s="661"/>
      <c r="R29" s="658" t="s">
        <v>162</v>
      </c>
      <c r="S29" s="647" t="s">
        <v>165</v>
      </c>
    </row>
    <row r="30" spans="1:19" ht="35.1" hidden="1" customHeight="1">
      <c r="A30" s="655" t="s">
        <v>109</v>
      </c>
      <c r="B30" s="659">
        <v>21</v>
      </c>
      <c r="C30" s="660" t="str">
        <f>IFERROR(IF(VLOOKUP(B30,'REGISTRO DATOS'!B:H,2,0)=0,"",VLOOKUP(B30,'REGISTRO DATOS'!B:H,2,0)),"")</f>
        <v/>
      </c>
      <c r="D30" s="660" t="str">
        <f>IFERROR(IF(VLOOKUP(C30,'REGISTRO DATOS'!C:I,2,0)=0,"",VLOOKUP(C30,'REGISTRO DATOS'!C:I,2,0)),"")</f>
        <v/>
      </c>
      <c r="E30" s="660" t="str">
        <f>IFERROR(IF(VLOOKUP(D30,'REGISTRO DATOS'!D:I,2,0)=0,"",VLOOKUP(D30,'REGISTRO DATOS'!D:I,2,0)),"")</f>
        <v/>
      </c>
      <c r="F30" s="660" t="str">
        <f>IFERROR(IF(VLOOKUP(E30,'REGISTRO DATOS'!E:J,2,0)=0,"",VLOOKUP(E30,'REGISTRO DATOS'!E:J,2,0)),"")</f>
        <v/>
      </c>
      <c r="G30" s="661"/>
      <c r="H30" s="661"/>
      <c r="I30" s="661"/>
      <c r="J30" s="661"/>
      <c r="K30" s="661"/>
      <c r="L30" s="661"/>
      <c r="M30" s="661"/>
      <c r="N30" s="661"/>
      <c r="O30" s="661"/>
      <c r="P30" s="661"/>
      <c r="Q30" s="661"/>
      <c r="R30" s="658" t="s">
        <v>162</v>
      </c>
      <c r="S30" s="647" t="s">
        <v>165</v>
      </c>
    </row>
    <row r="31" spans="1:19" ht="35.1" hidden="1" customHeight="1">
      <c r="A31" s="655" t="s">
        <v>109</v>
      </c>
      <c r="B31" s="659">
        <v>22</v>
      </c>
      <c r="C31" s="660" t="str">
        <f>IFERROR(IF(VLOOKUP(B31,'REGISTRO DATOS'!B:H,2,0)=0,"",VLOOKUP(B31,'REGISTRO DATOS'!B:H,2,0)),"")</f>
        <v/>
      </c>
      <c r="D31" s="660" t="str">
        <f>IFERROR(IF(VLOOKUP(C31,'REGISTRO DATOS'!C:I,2,0)=0,"",VLOOKUP(C31,'REGISTRO DATOS'!C:I,2,0)),"")</f>
        <v/>
      </c>
      <c r="E31" s="660" t="str">
        <f>IFERROR(IF(VLOOKUP(D31,'REGISTRO DATOS'!D:I,2,0)=0,"",VLOOKUP(D31,'REGISTRO DATOS'!D:I,2,0)),"")</f>
        <v/>
      </c>
      <c r="F31" s="660" t="str">
        <f>IFERROR(IF(VLOOKUP(E31,'REGISTRO DATOS'!E:J,2,0)=0,"",VLOOKUP(E31,'REGISTRO DATOS'!E:J,2,0)),"")</f>
        <v/>
      </c>
      <c r="G31" s="661"/>
      <c r="H31" s="661"/>
      <c r="I31" s="661"/>
      <c r="J31" s="661"/>
      <c r="K31" s="661"/>
      <c r="L31" s="661"/>
      <c r="M31" s="661"/>
      <c r="N31" s="661"/>
      <c r="O31" s="661"/>
      <c r="P31" s="661"/>
      <c r="Q31" s="661"/>
      <c r="R31" s="658" t="s">
        <v>162</v>
      </c>
      <c r="S31" s="647" t="s">
        <v>165</v>
      </c>
    </row>
    <row r="32" spans="1:19" ht="35.1" hidden="1" customHeight="1">
      <c r="A32" s="655" t="s">
        <v>109</v>
      </c>
      <c r="B32" s="659">
        <v>23</v>
      </c>
      <c r="C32" s="660" t="str">
        <f>IFERROR(IF(VLOOKUP(B32,'REGISTRO DATOS'!B:H,2,0)=0,"",VLOOKUP(B32,'REGISTRO DATOS'!B:H,2,0)),"")</f>
        <v/>
      </c>
      <c r="D32" s="660" t="str">
        <f>IFERROR(IF(VLOOKUP(C32,'REGISTRO DATOS'!C:I,2,0)=0,"",VLOOKUP(C32,'REGISTRO DATOS'!C:I,2,0)),"")</f>
        <v/>
      </c>
      <c r="E32" s="660" t="str">
        <f>IFERROR(IF(VLOOKUP(D32,'REGISTRO DATOS'!D:I,2,0)=0,"",VLOOKUP(D32,'REGISTRO DATOS'!D:I,2,0)),"")</f>
        <v/>
      </c>
      <c r="F32" s="660" t="str">
        <f>IFERROR(IF(VLOOKUP(E32,'REGISTRO DATOS'!E:J,2,0)=0,"",VLOOKUP(E32,'REGISTRO DATOS'!E:J,2,0)),"")</f>
        <v/>
      </c>
      <c r="G32" s="661"/>
      <c r="H32" s="661"/>
      <c r="I32" s="661"/>
      <c r="J32" s="661"/>
      <c r="K32" s="661"/>
      <c r="L32" s="661"/>
      <c r="M32" s="661"/>
      <c r="N32" s="661"/>
      <c r="O32" s="661"/>
      <c r="P32" s="661"/>
      <c r="Q32" s="661"/>
      <c r="R32" s="658" t="s">
        <v>162</v>
      </c>
      <c r="S32" s="647" t="s">
        <v>165</v>
      </c>
    </row>
    <row r="33" spans="1:21" ht="35.1" hidden="1" customHeight="1">
      <c r="A33" s="655" t="s">
        <v>109</v>
      </c>
      <c r="B33" s="659">
        <v>24</v>
      </c>
      <c r="C33" s="660" t="str">
        <f>IFERROR(IF(VLOOKUP(B33,'REGISTRO DATOS'!B:H,2,0)=0,"",VLOOKUP(B33,'REGISTRO DATOS'!B:H,2,0)),"")</f>
        <v/>
      </c>
      <c r="D33" s="660" t="str">
        <f>IFERROR(IF(VLOOKUP(C33,'REGISTRO DATOS'!C:I,2,0)=0,"",VLOOKUP(C33,'REGISTRO DATOS'!C:I,2,0)),"")</f>
        <v/>
      </c>
      <c r="E33" s="660" t="str">
        <f>IFERROR(IF(VLOOKUP(D33,'REGISTRO DATOS'!D:I,2,0)=0,"",VLOOKUP(D33,'REGISTRO DATOS'!D:I,2,0)),"")</f>
        <v/>
      </c>
      <c r="F33" s="660" t="str">
        <f>IFERROR(IF(VLOOKUP(E33,'REGISTRO DATOS'!E:J,2,0)=0,"",VLOOKUP(E33,'REGISTRO DATOS'!E:J,2,0)),"")</f>
        <v/>
      </c>
      <c r="G33" s="661"/>
      <c r="H33" s="661"/>
      <c r="I33" s="661"/>
      <c r="J33" s="661"/>
      <c r="K33" s="661"/>
      <c r="L33" s="661"/>
      <c r="M33" s="661"/>
      <c r="N33" s="661"/>
      <c r="O33" s="661"/>
      <c r="P33" s="661"/>
      <c r="Q33" s="661"/>
      <c r="R33" s="658" t="s">
        <v>162</v>
      </c>
      <c r="S33" s="647" t="s">
        <v>165</v>
      </c>
    </row>
    <row r="34" spans="1:21" ht="35.1" hidden="1" customHeight="1">
      <c r="A34" s="655" t="s">
        <v>109</v>
      </c>
      <c r="B34" s="659">
        <v>25</v>
      </c>
      <c r="C34" s="660" t="str">
        <f>IFERROR(IF(VLOOKUP(B34,'REGISTRO DATOS'!B:H,2,0)=0,"",VLOOKUP(B34,'REGISTRO DATOS'!B:H,2,0)),"")</f>
        <v/>
      </c>
      <c r="D34" s="660" t="str">
        <f>IFERROR(IF(VLOOKUP(C34,'REGISTRO DATOS'!C:I,2,0)=0,"",VLOOKUP(C34,'REGISTRO DATOS'!C:I,2,0)),"")</f>
        <v/>
      </c>
      <c r="E34" s="660" t="str">
        <f>IFERROR(IF(VLOOKUP(D34,'REGISTRO DATOS'!D:I,2,0)=0,"",VLOOKUP(D34,'REGISTRO DATOS'!D:I,2,0)),"")</f>
        <v/>
      </c>
      <c r="F34" s="660" t="str">
        <f>IFERROR(IF(VLOOKUP(E34,'REGISTRO DATOS'!E:J,2,0)=0,"",VLOOKUP(E34,'REGISTRO DATOS'!E:J,2,0)),"")</f>
        <v/>
      </c>
      <c r="G34" s="661"/>
      <c r="H34" s="661"/>
      <c r="I34" s="661"/>
      <c r="J34" s="661"/>
      <c r="K34" s="661"/>
      <c r="L34" s="661"/>
      <c r="M34" s="661"/>
      <c r="N34" s="661"/>
      <c r="O34" s="661"/>
      <c r="P34" s="661"/>
      <c r="Q34" s="661"/>
      <c r="R34" s="658" t="s">
        <v>162</v>
      </c>
      <c r="S34" s="647" t="s">
        <v>165</v>
      </c>
    </row>
    <row r="35" spans="1:21" ht="35.1" hidden="1" customHeight="1">
      <c r="A35" s="655" t="s">
        <v>109</v>
      </c>
      <c r="B35" s="659">
        <v>26</v>
      </c>
      <c r="C35" s="660" t="str">
        <f>IFERROR(IF(VLOOKUP(B35,'REGISTRO DATOS'!B:H,2,0)=0,"",VLOOKUP(B35,'REGISTRO DATOS'!B:H,2,0)),"")</f>
        <v/>
      </c>
      <c r="D35" s="660" t="str">
        <f>IFERROR(IF(VLOOKUP(C35,'REGISTRO DATOS'!C:I,2,0)=0,"",VLOOKUP(C35,'REGISTRO DATOS'!C:I,2,0)),"")</f>
        <v/>
      </c>
      <c r="E35" s="660" t="str">
        <f>IFERROR(IF(VLOOKUP(D35,'REGISTRO DATOS'!D:I,2,0)=0,"",VLOOKUP(D35,'REGISTRO DATOS'!D:I,2,0)),"")</f>
        <v/>
      </c>
      <c r="F35" s="660" t="str">
        <f>IFERROR(IF(VLOOKUP(E35,'REGISTRO DATOS'!E:J,2,0)=0,"",VLOOKUP(E35,'REGISTRO DATOS'!E:J,2,0)),"")</f>
        <v/>
      </c>
      <c r="G35" s="661"/>
      <c r="H35" s="661"/>
      <c r="I35" s="661"/>
      <c r="J35" s="661"/>
      <c r="K35" s="661"/>
      <c r="L35" s="661"/>
      <c r="M35" s="661"/>
      <c r="N35" s="661"/>
      <c r="O35" s="661"/>
      <c r="P35" s="661"/>
      <c r="Q35" s="661"/>
      <c r="R35" s="658" t="s">
        <v>162</v>
      </c>
      <c r="S35" s="647" t="s">
        <v>165</v>
      </c>
    </row>
    <row r="36" spans="1:21" ht="35.1" hidden="1" customHeight="1">
      <c r="A36" s="655" t="s">
        <v>109</v>
      </c>
      <c r="B36" s="659">
        <v>27</v>
      </c>
      <c r="C36" s="660" t="str">
        <f>IFERROR(IF(VLOOKUP(B36,'REGISTRO DATOS'!B:H,2,0)=0,"",VLOOKUP(B36,'REGISTRO DATOS'!B:H,2,0)),"")</f>
        <v/>
      </c>
      <c r="D36" s="660" t="str">
        <f>IFERROR(IF(VLOOKUP(C36,'REGISTRO DATOS'!C:I,2,0)=0,"",VLOOKUP(C36,'REGISTRO DATOS'!C:I,2,0)),"")</f>
        <v/>
      </c>
      <c r="E36" s="660" t="str">
        <f>IFERROR(IF(VLOOKUP(D36,'REGISTRO DATOS'!D:I,2,0)=0,"",VLOOKUP(D36,'REGISTRO DATOS'!D:I,2,0)),"")</f>
        <v/>
      </c>
      <c r="F36" s="660" t="str">
        <f>IFERROR(IF(VLOOKUP(E36,'REGISTRO DATOS'!E:J,2,0)=0,"",VLOOKUP(E36,'REGISTRO DATOS'!E:J,2,0)),"")</f>
        <v/>
      </c>
      <c r="G36" s="661"/>
      <c r="H36" s="661"/>
      <c r="I36" s="661"/>
      <c r="J36" s="661"/>
      <c r="K36" s="661"/>
      <c r="L36" s="661"/>
      <c r="M36" s="661"/>
      <c r="N36" s="661"/>
      <c r="O36" s="661"/>
      <c r="P36" s="661"/>
      <c r="Q36" s="661"/>
      <c r="R36" s="658" t="s">
        <v>162</v>
      </c>
      <c r="S36" s="647" t="s">
        <v>165</v>
      </c>
    </row>
    <row r="37" spans="1:21" ht="35.1" hidden="1" customHeight="1">
      <c r="A37" s="655" t="s">
        <v>109</v>
      </c>
      <c r="B37" s="659">
        <v>28</v>
      </c>
      <c r="C37" s="660" t="str">
        <f>IFERROR(IF(VLOOKUP(B37,'REGISTRO DATOS'!B:H,2,0)=0,"",VLOOKUP(B37,'REGISTRO DATOS'!B:H,2,0)),"")</f>
        <v/>
      </c>
      <c r="D37" s="660" t="str">
        <f>IFERROR(IF(VLOOKUP(C37,'REGISTRO DATOS'!C:I,2,0)=0,"",VLOOKUP(C37,'REGISTRO DATOS'!C:I,2,0)),"")</f>
        <v/>
      </c>
      <c r="E37" s="660" t="str">
        <f>IFERROR(IF(VLOOKUP(D37,'REGISTRO DATOS'!D:I,2,0)=0,"",VLOOKUP(D37,'REGISTRO DATOS'!D:I,2,0)),"")</f>
        <v/>
      </c>
      <c r="F37" s="660" t="str">
        <f>IFERROR(IF(VLOOKUP(E37,'REGISTRO DATOS'!E:J,2,0)=0,"",VLOOKUP(E37,'REGISTRO DATOS'!E:J,2,0)),"")</f>
        <v/>
      </c>
      <c r="G37" s="661"/>
      <c r="H37" s="661"/>
      <c r="I37" s="661"/>
      <c r="J37" s="661"/>
      <c r="K37" s="661"/>
      <c r="L37" s="661"/>
      <c r="M37" s="661"/>
      <c r="N37" s="661"/>
      <c r="O37" s="661"/>
      <c r="P37" s="661"/>
      <c r="Q37" s="661"/>
      <c r="R37" s="658" t="s">
        <v>162</v>
      </c>
      <c r="S37" s="647" t="s">
        <v>165</v>
      </c>
    </row>
    <row r="38" spans="1:21" ht="35.1" hidden="1" customHeight="1">
      <c r="A38" s="655" t="s">
        <v>109</v>
      </c>
      <c r="B38" s="659">
        <v>29</v>
      </c>
      <c r="C38" s="660" t="str">
        <f>IFERROR(IF(VLOOKUP(B38,'REGISTRO DATOS'!B:H,2,0)=0,"",VLOOKUP(B38,'REGISTRO DATOS'!B:H,2,0)),"")</f>
        <v/>
      </c>
      <c r="D38" s="660" t="str">
        <f>IFERROR(IF(VLOOKUP(C38,'REGISTRO DATOS'!C:I,2,0)=0,"",VLOOKUP(C38,'REGISTRO DATOS'!C:I,2,0)),"")</f>
        <v/>
      </c>
      <c r="E38" s="660" t="str">
        <f>IFERROR(IF(VLOOKUP(D38,'REGISTRO DATOS'!D:I,2,0)=0,"",VLOOKUP(D38,'REGISTRO DATOS'!D:I,2,0)),"")</f>
        <v/>
      </c>
      <c r="F38" s="660" t="str">
        <f>IFERROR(IF(VLOOKUP(E38,'REGISTRO DATOS'!E:J,2,0)=0,"",VLOOKUP(E38,'REGISTRO DATOS'!E:J,2,0)),"")</f>
        <v/>
      </c>
      <c r="G38" s="661"/>
      <c r="H38" s="661"/>
      <c r="I38" s="661"/>
      <c r="J38" s="661"/>
      <c r="K38" s="661"/>
      <c r="L38" s="661"/>
      <c r="M38" s="661"/>
      <c r="N38" s="661"/>
      <c r="O38" s="661"/>
      <c r="P38" s="661"/>
      <c r="Q38" s="661"/>
      <c r="R38" s="658" t="s">
        <v>162</v>
      </c>
      <c r="S38" s="647" t="s">
        <v>165</v>
      </c>
    </row>
    <row r="39" spans="1:21" ht="35.1" hidden="1" customHeight="1">
      <c r="A39" s="655" t="s">
        <v>109</v>
      </c>
      <c r="B39" s="659">
        <v>30</v>
      </c>
      <c r="C39" s="660" t="str">
        <f>IFERROR(IF(VLOOKUP(B39,'REGISTRO DATOS'!B:H,2,0)=0,"",VLOOKUP(B39,'REGISTRO DATOS'!B:H,2,0)),"")</f>
        <v/>
      </c>
      <c r="D39" s="660" t="str">
        <f>IFERROR(IF(VLOOKUP(C39,'REGISTRO DATOS'!C:I,2,0)=0,"",VLOOKUP(C39,'REGISTRO DATOS'!C:I,2,0)),"")</f>
        <v/>
      </c>
      <c r="E39" s="660" t="str">
        <f>IFERROR(IF(VLOOKUP(D39,'REGISTRO DATOS'!D:I,2,0)=0,"",VLOOKUP(D39,'REGISTRO DATOS'!D:I,2,0)),"")</f>
        <v/>
      </c>
      <c r="F39" s="660" t="str">
        <f>IFERROR(IF(VLOOKUP(E39,'REGISTRO DATOS'!E:J,2,0)=0,"",VLOOKUP(E39,'REGISTRO DATOS'!E:J,2,0)),"")</f>
        <v/>
      </c>
      <c r="G39" s="661"/>
      <c r="H39" s="661"/>
      <c r="I39" s="661"/>
      <c r="J39" s="661"/>
      <c r="K39" s="661"/>
      <c r="L39" s="661"/>
      <c r="M39" s="661"/>
      <c r="N39" s="661"/>
      <c r="O39" s="661"/>
      <c r="P39" s="661"/>
      <c r="Q39" s="661"/>
      <c r="R39" s="658" t="s">
        <v>162</v>
      </c>
      <c r="S39" s="647" t="s">
        <v>165</v>
      </c>
    </row>
    <row r="40" spans="1:21" ht="35.1" hidden="1" customHeight="1">
      <c r="A40" s="655" t="s">
        <v>109</v>
      </c>
      <c r="B40" s="659">
        <v>31</v>
      </c>
      <c r="C40" s="660" t="str">
        <f>IFERROR(IF(VLOOKUP(B40,'REGISTRO DATOS'!B:H,2,0)=0,"",VLOOKUP(B40,'REGISTRO DATOS'!B:H,2,0)),"")</f>
        <v/>
      </c>
      <c r="D40" s="660" t="str">
        <f>IFERROR(IF(VLOOKUP(C40,'REGISTRO DATOS'!C:I,2,0)=0,"",VLOOKUP(C40,'REGISTRO DATOS'!C:I,2,0)),"")</f>
        <v/>
      </c>
      <c r="E40" s="660" t="str">
        <f>IFERROR(IF(VLOOKUP(D40,'REGISTRO DATOS'!D:I,2,0)=0,"",VLOOKUP(D40,'REGISTRO DATOS'!D:I,2,0)),"")</f>
        <v/>
      </c>
      <c r="F40" s="660" t="str">
        <f>IFERROR(IF(VLOOKUP(E40,'REGISTRO DATOS'!E:J,2,0)=0,"",VLOOKUP(E40,'REGISTRO DATOS'!E:J,2,0)),"")</f>
        <v/>
      </c>
      <c r="G40" s="661"/>
      <c r="H40" s="661"/>
      <c r="I40" s="661"/>
      <c r="J40" s="661"/>
      <c r="K40" s="661"/>
      <c r="L40" s="661"/>
      <c r="M40" s="661"/>
      <c r="N40" s="661"/>
      <c r="O40" s="661"/>
      <c r="P40" s="661"/>
      <c r="Q40" s="661"/>
      <c r="R40" s="658" t="s">
        <v>162</v>
      </c>
      <c r="S40" s="647" t="s">
        <v>165</v>
      </c>
    </row>
    <row r="41" spans="1:21" ht="35.1" hidden="1" customHeight="1">
      <c r="A41" s="655" t="s">
        <v>109</v>
      </c>
      <c r="B41" s="659">
        <v>32</v>
      </c>
      <c r="C41" s="660" t="str">
        <f>IFERROR(IF(VLOOKUP(B41,'REGISTRO DATOS'!B:H,2,0)=0,"",VLOOKUP(B41,'REGISTRO DATOS'!B:H,2,0)),"")</f>
        <v/>
      </c>
      <c r="D41" s="660" t="str">
        <f>IFERROR(IF(VLOOKUP(C41,'REGISTRO DATOS'!C:I,2,0)=0,"",VLOOKUP(C41,'REGISTRO DATOS'!C:I,2,0)),"")</f>
        <v/>
      </c>
      <c r="E41" s="660" t="str">
        <f>IFERROR(IF(VLOOKUP(D41,'REGISTRO DATOS'!D:I,2,0)=0,"",VLOOKUP(D41,'REGISTRO DATOS'!D:I,2,0)),"")</f>
        <v/>
      </c>
      <c r="F41" s="660" t="str">
        <f>IFERROR(IF(VLOOKUP(E41,'REGISTRO DATOS'!E:J,2,0)=0,"",VLOOKUP(E41,'REGISTRO DATOS'!E:J,2,0)),"")</f>
        <v/>
      </c>
      <c r="G41" s="661"/>
      <c r="H41" s="661"/>
      <c r="I41" s="661"/>
      <c r="J41" s="661"/>
      <c r="K41" s="661"/>
      <c r="L41" s="661"/>
      <c r="M41" s="661"/>
      <c r="N41" s="661"/>
      <c r="O41" s="661"/>
      <c r="P41" s="661"/>
      <c r="Q41" s="661"/>
      <c r="R41" s="658" t="s">
        <v>162</v>
      </c>
      <c r="S41" s="647" t="s">
        <v>165</v>
      </c>
    </row>
    <row r="42" spans="1:21" ht="35.1" hidden="1" customHeight="1">
      <c r="A42" s="655" t="s">
        <v>109</v>
      </c>
      <c r="B42" s="659">
        <v>33</v>
      </c>
      <c r="C42" s="660" t="str">
        <f>IFERROR(IF(VLOOKUP(B42,'REGISTRO DATOS'!B:H,2,0)=0,"",VLOOKUP(B42,'REGISTRO DATOS'!B:H,2,0)),"")</f>
        <v/>
      </c>
      <c r="D42" s="660" t="str">
        <f>IFERROR(IF(VLOOKUP(C42,'REGISTRO DATOS'!C:I,2,0)=0,"",VLOOKUP(C42,'REGISTRO DATOS'!C:I,2,0)),"")</f>
        <v/>
      </c>
      <c r="E42" s="660" t="str">
        <f>IFERROR(IF(VLOOKUP(D42,'REGISTRO DATOS'!D:I,2,0)=0,"",VLOOKUP(D42,'REGISTRO DATOS'!D:I,2,0)),"")</f>
        <v/>
      </c>
      <c r="F42" s="660" t="str">
        <f>IFERROR(IF(VLOOKUP(E42,'REGISTRO DATOS'!E:J,2,0)=0,"",VLOOKUP(E42,'REGISTRO DATOS'!E:J,2,0)),"")</f>
        <v/>
      </c>
      <c r="G42" s="661"/>
      <c r="H42" s="661"/>
      <c r="I42" s="661"/>
      <c r="J42" s="661"/>
      <c r="K42" s="661"/>
      <c r="L42" s="661"/>
      <c r="M42" s="661"/>
      <c r="N42" s="661"/>
      <c r="O42" s="661"/>
      <c r="P42" s="661"/>
      <c r="Q42" s="661"/>
      <c r="R42" s="658" t="s">
        <v>162</v>
      </c>
      <c r="S42" s="647" t="s">
        <v>165</v>
      </c>
    </row>
    <row r="43" spans="1:21" ht="35.1" hidden="1" customHeight="1">
      <c r="A43" s="655" t="s">
        <v>109</v>
      </c>
      <c r="B43" s="659">
        <v>34</v>
      </c>
      <c r="C43" s="660" t="str">
        <f>IFERROR(IF(VLOOKUP(B43,'REGISTRO DATOS'!B:H,2,0)=0,"",VLOOKUP(B43,'REGISTRO DATOS'!B:H,2,0)),"")</f>
        <v/>
      </c>
      <c r="D43" s="660" t="str">
        <f>IFERROR(IF(VLOOKUP(C43,'REGISTRO DATOS'!C:I,2,0)=0,"",VLOOKUP(C43,'REGISTRO DATOS'!C:I,2,0)),"")</f>
        <v/>
      </c>
      <c r="E43" s="660" t="str">
        <f>IFERROR(IF(VLOOKUP(D43,'REGISTRO DATOS'!D:I,2,0)=0,"",VLOOKUP(D43,'REGISTRO DATOS'!D:I,2,0)),"")</f>
        <v/>
      </c>
      <c r="F43" s="660" t="str">
        <f>IFERROR(IF(VLOOKUP(E43,'REGISTRO DATOS'!E:J,2,0)=0,"",VLOOKUP(E43,'REGISTRO DATOS'!E:J,2,0)),"")</f>
        <v/>
      </c>
      <c r="G43" s="661"/>
      <c r="H43" s="661"/>
      <c r="I43" s="661"/>
      <c r="J43" s="661"/>
      <c r="K43" s="661"/>
      <c r="L43" s="661"/>
      <c r="M43" s="661"/>
      <c r="N43" s="661"/>
      <c r="O43" s="661"/>
      <c r="P43" s="661"/>
      <c r="Q43" s="661"/>
      <c r="R43" s="658" t="s">
        <v>162</v>
      </c>
      <c r="S43" s="647" t="s">
        <v>165</v>
      </c>
    </row>
    <row r="44" spans="1:21" ht="35.1" hidden="1" customHeight="1">
      <c r="A44" s="655" t="s">
        <v>109</v>
      </c>
      <c r="B44" s="659">
        <v>35</v>
      </c>
      <c r="C44" s="660" t="str">
        <f>IFERROR(IF(VLOOKUP(B44,'REGISTRO DATOS'!B:H,2,0)=0,"",VLOOKUP(B44,'REGISTRO DATOS'!B:H,2,0)),"")</f>
        <v/>
      </c>
      <c r="D44" s="660" t="str">
        <f>IFERROR(IF(VLOOKUP(C44,'REGISTRO DATOS'!C:I,2,0)=0,"",VLOOKUP(C44,'REGISTRO DATOS'!C:I,2,0)),"")</f>
        <v/>
      </c>
      <c r="E44" s="660" t="str">
        <f>IFERROR(IF(VLOOKUP(D44,'REGISTRO DATOS'!D:I,2,0)=0,"",VLOOKUP(D44,'REGISTRO DATOS'!D:I,2,0)),"")</f>
        <v/>
      </c>
      <c r="F44" s="660" t="str">
        <f>IFERROR(IF(VLOOKUP(E44,'REGISTRO DATOS'!E:J,2,0)=0,"",VLOOKUP(E44,'REGISTRO DATOS'!E:J,2,0)),"")</f>
        <v/>
      </c>
      <c r="G44" s="661"/>
      <c r="H44" s="661"/>
      <c r="I44" s="661"/>
      <c r="J44" s="661"/>
      <c r="K44" s="661"/>
      <c r="L44" s="661"/>
      <c r="M44" s="661"/>
      <c r="N44" s="661"/>
      <c r="O44" s="661"/>
      <c r="P44" s="661"/>
      <c r="Q44" s="661"/>
      <c r="R44" s="658" t="s">
        <v>162</v>
      </c>
      <c r="S44" s="647" t="s">
        <v>165</v>
      </c>
    </row>
    <row r="45" spans="1:21" ht="35.1" hidden="1" customHeight="1">
      <c r="A45" s="655" t="s">
        <v>109</v>
      </c>
      <c r="B45" s="659">
        <v>36</v>
      </c>
      <c r="C45" s="660" t="str">
        <f>IFERROR(IF(VLOOKUP(B45,'REGISTRO DATOS'!B:H,2,0)=0,"",VLOOKUP(B45,'REGISTRO DATOS'!B:H,2,0)),"")</f>
        <v/>
      </c>
      <c r="D45" s="660" t="str">
        <f>IFERROR(IF(VLOOKUP(C45,'REGISTRO DATOS'!C:I,2,0)=0,"",VLOOKUP(C45,'REGISTRO DATOS'!C:I,2,0)),"")</f>
        <v/>
      </c>
      <c r="E45" s="660" t="str">
        <f>IFERROR(IF(VLOOKUP(D45,'REGISTRO DATOS'!D:I,2,0)=0,"",VLOOKUP(D45,'REGISTRO DATOS'!D:I,2,0)),"")</f>
        <v/>
      </c>
      <c r="F45" s="660" t="str">
        <f>IFERROR(IF(VLOOKUP(E45,'REGISTRO DATOS'!E:J,2,0)=0,"",VLOOKUP(E45,'REGISTRO DATOS'!E:J,2,0)),"")</f>
        <v/>
      </c>
      <c r="G45" s="661"/>
      <c r="H45" s="661"/>
      <c r="I45" s="661"/>
      <c r="J45" s="661"/>
      <c r="K45" s="661"/>
      <c r="L45" s="661"/>
      <c r="M45" s="661"/>
      <c r="N45" s="661"/>
      <c r="O45" s="661"/>
      <c r="P45" s="661"/>
      <c r="Q45" s="661"/>
      <c r="R45" s="658" t="s">
        <v>162</v>
      </c>
      <c r="S45" s="647" t="s">
        <v>165</v>
      </c>
    </row>
    <row r="46" spans="1:21" ht="35.1" hidden="1" customHeight="1">
      <c r="A46" s="655" t="s">
        <v>109</v>
      </c>
      <c r="B46" s="659">
        <v>37</v>
      </c>
      <c r="C46" s="660" t="str">
        <f>IFERROR(IF(VLOOKUP(B46,'REGISTRO DATOS'!B:H,2,0)=0,"",VLOOKUP(B46,'REGISTRO DATOS'!B:H,2,0)),"")</f>
        <v/>
      </c>
      <c r="D46" s="660" t="str">
        <f>IFERROR(IF(VLOOKUP(C46,'REGISTRO DATOS'!C:I,2,0)=0,"",VLOOKUP(C46,'REGISTRO DATOS'!C:I,2,0)),"")</f>
        <v/>
      </c>
      <c r="E46" s="660" t="str">
        <f>IFERROR(IF(VLOOKUP(D46,'REGISTRO DATOS'!D:I,2,0)=0,"",VLOOKUP(D46,'REGISTRO DATOS'!D:I,2,0)),"")</f>
        <v/>
      </c>
      <c r="F46" s="660" t="str">
        <f>IFERROR(IF(VLOOKUP(E46,'REGISTRO DATOS'!E:J,2,0)=0,"",VLOOKUP(E46,'REGISTRO DATOS'!E:J,2,0)),"")</f>
        <v/>
      </c>
      <c r="G46" s="661"/>
      <c r="H46" s="661"/>
      <c r="I46" s="661"/>
      <c r="J46" s="661"/>
      <c r="K46" s="661"/>
      <c r="L46" s="661"/>
      <c r="M46" s="661"/>
      <c r="N46" s="661"/>
      <c r="O46" s="661"/>
      <c r="P46" s="661"/>
      <c r="Q46" s="661"/>
      <c r="R46" s="658" t="s">
        <v>162</v>
      </c>
      <c r="S46" s="647" t="s">
        <v>165</v>
      </c>
      <c r="U46" s="662"/>
    </row>
    <row r="47" spans="1:21" ht="35.1" hidden="1" customHeight="1">
      <c r="A47" s="655" t="s">
        <v>109</v>
      </c>
      <c r="B47" s="659">
        <v>38</v>
      </c>
      <c r="C47" s="660" t="str">
        <f>IFERROR(IF(VLOOKUP(B47,'REGISTRO DATOS'!B:H,2,0)=0,"",VLOOKUP(B47,'REGISTRO DATOS'!B:H,2,0)),"")</f>
        <v/>
      </c>
      <c r="D47" s="660" t="str">
        <f>IFERROR(IF(VLOOKUP(C47,'REGISTRO DATOS'!C:I,2,0)=0,"",VLOOKUP(C47,'REGISTRO DATOS'!C:I,2,0)),"")</f>
        <v/>
      </c>
      <c r="E47" s="660" t="str">
        <f>IFERROR(IF(VLOOKUP(D47,'REGISTRO DATOS'!D:I,2,0)=0,"",VLOOKUP(D47,'REGISTRO DATOS'!D:I,2,0)),"")</f>
        <v/>
      </c>
      <c r="F47" s="660" t="str">
        <f>IFERROR(IF(VLOOKUP(E47,'REGISTRO DATOS'!E:J,2,0)=0,"",VLOOKUP(E47,'REGISTRO DATOS'!E:J,2,0)),"")</f>
        <v/>
      </c>
      <c r="G47" s="661"/>
      <c r="H47" s="661"/>
      <c r="I47" s="661"/>
      <c r="J47" s="661"/>
      <c r="K47" s="661"/>
      <c r="L47" s="661"/>
      <c r="M47" s="661"/>
      <c r="N47" s="661"/>
      <c r="O47" s="661"/>
      <c r="P47" s="661"/>
      <c r="Q47" s="661"/>
      <c r="R47" s="658" t="s">
        <v>162</v>
      </c>
      <c r="S47" s="647" t="s">
        <v>165</v>
      </c>
    </row>
    <row r="48" spans="1:21" ht="35.1" hidden="1" customHeight="1">
      <c r="A48" s="655" t="s">
        <v>109</v>
      </c>
      <c r="B48" s="663">
        <v>39</v>
      </c>
      <c r="C48" s="664" t="str">
        <f>IFERROR(IF(VLOOKUP(B48,'REGISTRO DATOS'!B:H,2,0)=0,"",VLOOKUP(B48,'REGISTRO DATOS'!B:H,2,0)),"")</f>
        <v/>
      </c>
      <c r="D48" s="664" t="str">
        <f>IFERROR(IF(VLOOKUP(C48,'REGISTRO DATOS'!C:I,2,0)=0,"",VLOOKUP(C48,'REGISTRO DATOS'!C:I,2,0)),"")</f>
        <v/>
      </c>
      <c r="E48" s="664" t="str">
        <f>IFERROR(IF(VLOOKUP(D48,'REGISTRO DATOS'!D:I,2,0)=0,"",VLOOKUP(D48,'REGISTRO DATOS'!D:I,2,0)),"")</f>
        <v/>
      </c>
      <c r="F48" s="664" t="str">
        <f>IFERROR(IF(VLOOKUP(E48,'REGISTRO DATOS'!E:J,2,0)=0,"",VLOOKUP(E48,'REGISTRO DATOS'!E:J,2,0)),"")</f>
        <v/>
      </c>
      <c r="G48" s="665"/>
      <c r="H48" s="665"/>
      <c r="I48" s="665"/>
      <c r="J48" s="665"/>
      <c r="K48" s="665"/>
      <c r="L48" s="665"/>
      <c r="M48" s="665"/>
      <c r="N48" s="665"/>
      <c r="O48" s="665"/>
      <c r="P48" s="665"/>
      <c r="Q48" s="665"/>
      <c r="R48" s="658" t="s">
        <v>162</v>
      </c>
      <c r="S48" s="647" t="s">
        <v>165</v>
      </c>
    </row>
    <row r="49" spans="1:19" ht="35.1" hidden="1" customHeight="1">
      <c r="A49" s="666" t="s">
        <v>109</v>
      </c>
      <c r="B49" s="659">
        <v>40</v>
      </c>
      <c r="C49" s="660" t="str">
        <f>IFERROR(IF(VLOOKUP(B49,'REGISTRO DATOS'!B:H,2,0)=0,"",VLOOKUP(B49,'REGISTRO DATOS'!B:H,2,0)),"")</f>
        <v/>
      </c>
      <c r="D49" s="660" t="str">
        <f>IFERROR(IF(VLOOKUP(C49,'REGISTRO DATOS'!C:I,2,0)=0,"",VLOOKUP(C49,'REGISTRO DATOS'!C:I,2,0)),"")</f>
        <v/>
      </c>
      <c r="E49" s="660" t="str">
        <f>IFERROR(IF(VLOOKUP(D49,'REGISTRO DATOS'!D:I,2,0)=0,"",VLOOKUP(D49,'REGISTRO DATOS'!D:I,2,0)),"")</f>
        <v/>
      </c>
      <c r="F49" s="660" t="str">
        <f>IFERROR(IF(VLOOKUP(E49,'REGISTRO DATOS'!E:J,2,0)=0,"",VLOOKUP(E49,'REGISTRO DATOS'!E:J,2,0)),"")</f>
        <v/>
      </c>
      <c r="G49" s="661"/>
      <c r="H49" s="661"/>
      <c r="I49" s="661"/>
      <c r="J49" s="661"/>
      <c r="K49" s="661"/>
      <c r="L49" s="661"/>
      <c r="M49" s="661"/>
      <c r="N49" s="661"/>
      <c r="O49" s="661"/>
      <c r="P49" s="661"/>
      <c r="Q49" s="661"/>
      <c r="R49" s="658" t="s">
        <v>162</v>
      </c>
      <c r="S49" s="647" t="s">
        <v>165</v>
      </c>
    </row>
    <row r="50" spans="1:19" ht="15" customHeight="1">
      <c r="A50" s="655"/>
      <c r="B50" s="648"/>
      <c r="C50" s="540"/>
      <c r="D50" s="540"/>
      <c r="E50" s="540"/>
      <c r="F50" s="540"/>
      <c r="G50" s="667"/>
      <c r="H50" s="667"/>
      <c r="I50" s="667"/>
      <c r="J50" s="667"/>
      <c r="K50" s="667"/>
      <c r="L50" s="667"/>
      <c r="M50" s="667"/>
      <c r="N50" s="667"/>
      <c r="O50" s="667"/>
      <c r="P50" s="667"/>
      <c r="Q50" s="667"/>
      <c r="R50" s="667"/>
      <c r="S50" s="667"/>
    </row>
    <row r="51" spans="1:19" ht="15" hidden="1" customHeight="1">
      <c r="A51" s="668"/>
      <c r="B51" s="669"/>
      <c r="C51" s="1188"/>
      <c r="D51" s="1188"/>
      <c r="E51" s="1188"/>
      <c r="F51" s="1188"/>
      <c r="G51" s="1188"/>
      <c r="H51" s="1188"/>
      <c r="I51" s="1188"/>
      <c r="J51" s="1188"/>
      <c r="K51" s="1188"/>
      <c r="L51" s="1188"/>
      <c r="M51" s="1188"/>
      <c r="N51" s="1188"/>
      <c r="O51" s="1188"/>
      <c r="P51" s="1188"/>
      <c r="Q51" s="1188"/>
      <c r="R51" s="1188"/>
      <c r="S51" s="1189"/>
    </row>
    <row r="52" spans="1:19" hidden="1">
      <c r="A52" s="668"/>
      <c r="B52" s="669"/>
      <c r="C52" s="668"/>
      <c r="D52" s="668"/>
      <c r="E52" s="668"/>
      <c r="F52" s="668"/>
      <c r="G52" s="668"/>
      <c r="H52" s="668"/>
      <c r="I52" s="668"/>
      <c r="J52" s="668"/>
      <c r="K52" s="668"/>
      <c r="L52" s="668"/>
      <c r="M52" s="668"/>
      <c r="N52" s="668"/>
      <c r="O52" s="668"/>
      <c r="P52" s="668"/>
      <c r="Q52" s="668"/>
      <c r="R52" s="668"/>
      <c r="S52" s="670"/>
    </row>
    <row r="53" spans="1:19" hidden="1">
      <c r="E53" s="1032"/>
      <c r="F53" s="1032"/>
      <c r="G53" s="1032"/>
      <c r="H53" s="1032"/>
      <c r="I53" s="1032"/>
      <c r="J53" s="1032"/>
      <c r="K53" s="1032"/>
      <c r="L53" s="1032"/>
      <c r="M53" s="1032"/>
      <c r="N53" s="1032"/>
      <c r="O53" s="1032"/>
      <c r="P53" s="1032"/>
      <c r="Q53" s="1032"/>
      <c r="R53" s="1032"/>
      <c r="S53" s="1032"/>
    </row>
    <row r="54" spans="1:19" hidden="1">
      <c r="E54" s="1032"/>
      <c r="F54" s="1032"/>
      <c r="G54" s="1032"/>
      <c r="H54" s="1032"/>
      <c r="I54" s="1032"/>
      <c r="J54" s="1032"/>
      <c r="K54" s="1032"/>
      <c r="L54" s="1032"/>
      <c r="M54" s="1032"/>
      <c r="N54" s="1032"/>
      <c r="O54" s="1032"/>
      <c r="P54" s="1032"/>
      <c r="Q54" s="1032"/>
      <c r="R54" s="1032"/>
      <c r="S54" s="1032"/>
    </row>
    <row r="55" spans="1:19" hidden="1">
      <c r="E55" s="1032"/>
      <c r="F55" s="1032"/>
      <c r="G55" s="1032"/>
      <c r="H55" s="1032"/>
      <c r="I55" s="1032"/>
      <c r="J55" s="1032"/>
      <c r="K55" s="1032"/>
      <c r="L55" s="1032"/>
      <c r="M55" s="1032"/>
      <c r="N55" s="1032"/>
      <c r="O55" s="1032"/>
      <c r="P55" s="1032"/>
      <c r="Q55" s="1032"/>
      <c r="R55" s="1032"/>
    </row>
  </sheetData>
  <autoFilter ref="A9:F49" xr:uid="{00000000-0009-0000-0000-00001E000000}">
    <filterColumn colId="0">
      <filters>
        <filter val="UPRE"/>
      </filters>
    </filterColumn>
  </autoFilter>
  <mergeCells count="18">
    <mergeCell ref="C2:D2"/>
    <mergeCell ref="C3:D3"/>
    <mergeCell ref="C4:D4"/>
    <mergeCell ref="E2:F2"/>
    <mergeCell ref="E3:F3"/>
    <mergeCell ref="E4:F4"/>
    <mergeCell ref="E54:S54"/>
    <mergeCell ref="E55:R55"/>
    <mergeCell ref="G8:R8"/>
    <mergeCell ref="E7:F7"/>
    <mergeCell ref="H3:N5"/>
    <mergeCell ref="C51:S51"/>
    <mergeCell ref="C7:D7"/>
    <mergeCell ref="E5:F5"/>
    <mergeCell ref="E6:F6"/>
    <mergeCell ref="C5:D5"/>
    <mergeCell ref="C6:D6"/>
    <mergeCell ref="E53:S53"/>
  </mergeCells>
  <conditionalFormatting sqref="A10:A50">
    <cfRule type="containsText" dxfId="3" priority="4" operator="containsText" text="UPRE">
      <formula>NOT(ISERROR(SEARCH("UPRE",A10)))</formula>
    </cfRule>
  </conditionalFormatting>
  <conditionalFormatting sqref="G10:P49">
    <cfRule type="containsText" dxfId="2" priority="3" operator="containsText" text="X">
      <formula>NOT(ISERROR(SEARCH("X",G10)))</formula>
    </cfRule>
  </conditionalFormatting>
  <conditionalFormatting sqref="R10:R49">
    <cfRule type="containsText" dxfId="1" priority="1" operator="containsText" text="EN TRAMITE">
      <formula>NOT(ISERROR(SEARCH("EN TRAMITE",R10)))</formula>
    </cfRule>
    <cfRule type="containsText" dxfId="0" priority="2" operator="containsText" text="FINALIZADA">
      <formula>NOT(ISERROR(SEARCH("FINALIZADA",R10)))</formula>
    </cfRule>
  </conditionalFormatting>
  <dataValidations count="3">
    <dataValidation type="list" allowBlank="1" showInputMessage="1" showErrorMessage="1" sqref="U10:U11 A10:A50" xr:uid="{00000000-0002-0000-1E00-000000000000}">
      <formula1>$U$10:$U$11</formula1>
    </dataValidation>
    <dataValidation type="list" allowBlank="1" showInputMessage="1" showErrorMessage="1" sqref="Y11:Y13 R10:R49" xr:uid="{00000000-0002-0000-1E00-000001000000}">
      <formula1>ESTADOS</formula1>
    </dataValidation>
    <dataValidation type="list" allowBlank="1" showInputMessage="1" showErrorMessage="1" sqref="Z10:Z12 S10:S49" xr:uid="{00000000-0002-0000-1E00-000002000000}">
      <formula1>ACCIONES</formula1>
    </dataValidation>
  </dataValidations>
  <pageMargins left="0.25" right="0.25" top="0.75" bottom="0.75" header="0.3" footer="0.3"/>
  <pageSetup scale="65" orientation="landscape" horizontalDpi="4294967295" verticalDpi="4294967295" r:id="rId1"/>
  <colBreaks count="1" manualBreakCount="1">
    <brk id="19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1:P48"/>
  <sheetViews>
    <sheetView showGridLines="0" showRowColHeaders="0" topLeftCell="A4" zoomScale="98" zoomScaleNormal="96" workbookViewId="0"/>
  </sheetViews>
  <sheetFormatPr baseColWidth="10" defaultRowHeight="15"/>
  <cols>
    <col min="1" max="1" width="43.85546875" bestFit="1" customWidth="1"/>
    <col min="4" max="4" width="11.5703125" customWidth="1"/>
    <col min="5" max="5" width="12" bestFit="1" customWidth="1"/>
    <col min="6" max="6" width="8.85546875" customWidth="1"/>
    <col min="7" max="7" width="4.7109375" customWidth="1"/>
    <col min="8" max="8" width="3.28515625" customWidth="1"/>
    <col min="9" max="9" width="3" bestFit="1" customWidth="1"/>
    <col min="10" max="10" width="3.7109375" customWidth="1"/>
    <col min="11" max="11" width="3.28515625" bestFit="1" customWidth="1"/>
    <col min="12" max="12" width="3.140625" bestFit="1" customWidth="1"/>
    <col min="13" max="14" width="3.28515625" bestFit="1" customWidth="1"/>
    <col min="15" max="15" width="3.5703125" customWidth="1"/>
    <col min="16" max="16" width="5" customWidth="1"/>
  </cols>
  <sheetData>
    <row r="1" spans="1:16">
      <c r="A1" s="533"/>
    </row>
    <row r="2" spans="1:16" ht="31.5">
      <c r="A2" s="1220" t="s">
        <v>256</v>
      </c>
      <c r="B2" s="1220"/>
      <c r="C2" s="1220"/>
      <c r="D2" s="1220"/>
      <c r="E2" s="1220"/>
      <c r="F2" s="1220"/>
      <c r="G2" s="1220"/>
      <c r="H2" s="1220"/>
      <c r="I2" s="1220"/>
      <c r="J2" s="1220"/>
      <c r="K2" s="1220"/>
      <c r="L2" s="1220"/>
      <c r="M2" s="1220"/>
      <c r="N2" s="1220"/>
    </row>
    <row r="3" spans="1:16">
      <c r="A3" s="542"/>
    </row>
    <row r="4" spans="1:16" ht="16.5">
      <c r="A4" s="534" t="s">
        <v>242</v>
      </c>
      <c r="B4" s="1238">
        <f>'REGISTRO DATOS'!I3</f>
        <v>0</v>
      </c>
      <c r="C4" s="1238"/>
      <c r="D4" s="535"/>
      <c r="E4" s="535"/>
      <c r="F4" s="535"/>
      <c r="G4" s="535"/>
      <c r="H4" s="535"/>
      <c r="I4" s="535"/>
      <c r="J4" s="2"/>
      <c r="K4" s="2"/>
      <c r="L4" s="2"/>
      <c r="M4" s="2"/>
      <c r="N4" s="2"/>
    </row>
    <row r="5" spans="1:16" ht="16.5">
      <c r="A5" s="536" t="s">
        <v>241</v>
      </c>
      <c r="B5" s="1238" t="str">
        <f>'REGISTRO DATOS'!I4</f>
        <v>COTO</v>
      </c>
      <c r="C5" s="1238"/>
      <c r="D5" s="535"/>
      <c r="E5" s="535"/>
      <c r="F5" s="535"/>
      <c r="G5" s="535"/>
      <c r="H5" s="535"/>
      <c r="I5" s="535"/>
      <c r="J5" s="2"/>
      <c r="K5" s="2"/>
      <c r="L5" s="2"/>
      <c r="M5" s="2"/>
      <c r="N5" s="2"/>
    </row>
    <row r="6" spans="1:16" ht="16.5">
      <c r="A6" s="536" t="s">
        <v>8</v>
      </c>
      <c r="B6" s="1238" t="str">
        <f>'REGISTRO DATOS'!I5</f>
        <v>06</v>
      </c>
      <c r="C6" s="1238"/>
      <c r="D6" s="535"/>
      <c r="E6" s="535"/>
      <c r="F6" s="535"/>
      <c r="G6" s="537" t="s">
        <v>52</v>
      </c>
      <c r="H6" s="538"/>
      <c r="I6" s="1236">
        <f ca="1">TODAY()</f>
        <v>46178</v>
      </c>
      <c r="J6" s="1236"/>
      <c r="K6" s="1236"/>
      <c r="L6" s="1236"/>
      <c r="M6" s="2"/>
      <c r="N6" s="2"/>
    </row>
    <row r="7" spans="1:16" ht="16.5">
      <c r="A7" s="536" t="s">
        <v>9</v>
      </c>
      <c r="B7" s="1238">
        <f>'REGISTRO DATOS'!I6</f>
        <v>0</v>
      </c>
      <c r="C7" s="1238"/>
      <c r="D7" s="535"/>
      <c r="E7" s="535"/>
      <c r="F7" s="1205" t="s">
        <v>249</v>
      </c>
      <c r="G7" s="1205"/>
      <c r="H7" s="1205"/>
      <c r="I7" s="1205"/>
      <c r="J7" s="1205"/>
      <c r="K7" s="1237">
        <v>0.2</v>
      </c>
      <c r="L7" s="1214"/>
      <c r="M7" s="2"/>
      <c r="N7" s="2"/>
    </row>
    <row r="8" spans="1:16" ht="16.5">
      <c r="A8" s="536" t="s">
        <v>11</v>
      </c>
      <c r="B8" s="1238">
        <f>'REGISTRO DATOS'!I7</f>
        <v>0</v>
      </c>
      <c r="C8" s="1238"/>
      <c r="D8" s="535"/>
      <c r="E8" s="535"/>
      <c r="F8" s="1205" t="s">
        <v>250</v>
      </c>
      <c r="G8" s="1205"/>
      <c r="H8" s="1205"/>
      <c r="I8" s="1205"/>
      <c r="J8" s="1205"/>
      <c r="K8" s="1214">
        <v>40</v>
      </c>
      <c r="L8" s="1214"/>
      <c r="M8" s="2"/>
      <c r="N8" s="2"/>
    </row>
    <row r="9" spans="1:16" ht="16.5">
      <c r="A9" s="536" t="s">
        <v>243</v>
      </c>
      <c r="B9" s="1238">
        <f>'REGISTRO DATOS'!I8</f>
        <v>0</v>
      </c>
      <c r="C9" s="1238"/>
      <c r="D9" s="535"/>
      <c r="E9" s="535"/>
      <c r="F9" s="1206" t="s">
        <v>170</v>
      </c>
      <c r="G9" s="1206"/>
      <c r="H9" s="1206"/>
      <c r="I9" s="1206"/>
      <c r="J9" s="1206"/>
      <c r="K9" s="1215">
        <f>E27</f>
        <v>4</v>
      </c>
      <c r="L9" s="1215"/>
      <c r="M9" s="2"/>
      <c r="N9" s="2"/>
    </row>
    <row r="10" spans="1:16" ht="16.5">
      <c r="A10" s="536" t="s">
        <v>244</v>
      </c>
      <c r="B10" s="539">
        <f>'REGISTRO DATOS'!I9</f>
        <v>0</v>
      </c>
      <c r="C10" s="539"/>
      <c r="D10" s="535"/>
      <c r="E10" s="535"/>
      <c r="F10" s="1207" t="s">
        <v>171</v>
      </c>
      <c r="G10" s="1207"/>
      <c r="H10" s="1207"/>
      <c r="I10" s="1207"/>
      <c r="J10" s="1207"/>
      <c r="K10" s="1215">
        <f>K8/K9</f>
        <v>10</v>
      </c>
      <c r="L10" s="1215"/>
      <c r="M10" s="2"/>
      <c r="N10" s="2"/>
    </row>
    <row r="11" spans="1:16" ht="17.25" thickBot="1">
      <c r="A11" s="536" t="s">
        <v>247</v>
      </c>
      <c r="B11" s="1219" t="s">
        <v>310</v>
      </c>
      <c r="C11" s="1219"/>
      <c r="D11" s="535"/>
      <c r="E11" s="535"/>
      <c r="F11" s="535"/>
      <c r="G11" s="540"/>
      <c r="H11" s="535"/>
      <c r="I11" s="535"/>
      <c r="J11" s="2"/>
      <c r="K11" s="541"/>
      <c r="L11" s="541"/>
      <c r="M11" s="2"/>
      <c r="N11" s="2"/>
    </row>
    <row r="12" spans="1:16" ht="15.75" thickBot="1">
      <c r="A12" s="1216" t="s">
        <v>172</v>
      </c>
      <c r="B12" s="1217"/>
      <c r="C12" s="1217"/>
      <c r="D12" s="1217"/>
      <c r="E12" s="1217"/>
      <c r="F12" s="1218"/>
      <c r="G12" s="1211" t="s">
        <v>173</v>
      </c>
      <c r="H12" s="1212"/>
      <c r="I12" s="1212"/>
      <c r="J12" s="1212"/>
      <c r="K12" s="1212"/>
      <c r="L12" s="1212"/>
      <c r="M12" s="1212"/>
      <c r="N12" s="1212"/>
      <c r="O12" s="1213"/>
      <c r="P12" s="1199" t="s">
        <v>257</v>
      </c>
    </row>
    <row r="13" spans="1:16" ht="25.5" customHeight="1" thickBot="1">
      <c r="A13" s="1226" t="s">
        <v>174</v>
      </c>
      <c r="B13" s="1227"/>
      <c r="C13" s="1227"/>
      <c r="D13" s="1228"/>
      <c r="E13" s="1232" t="s">
        <v>175</v>
      </c>
      <c r="F13" s="1234" t="s">
        <v>184</v>
      </c>
      <c r="G13" s="1208" t="s">
        <v>188</v>
      </c>
      <c r="H13" s="1209"/>
      <c r="I13" s="1210"/>
      <c r="J13" s="1221" t="s">
        <v>179</v>
      </c>
      <c r="K13" s="1222"/>
      <c r="L13" s="1222"/>
      <c r="M13" s="1222"/>
      <c r="N13" s="1222"/>
      <c r="O13" s="1223"/>
      <c r="P13" s="1200"/>
    </row>
    <row r="14" spans="1:16" ht="69" customHeight="1" thickBot="1">
      <c r="A14" s="1229"/>
      <c r="B14" s="1230"/>
      <c r="C14" s="1230"/>
      <c r="D14" s="1231"/>
      <c r="E14" s="1233"/>
      <c r="F14" s="1235"/>
      <c r="G14" s="543" t="s">
        <v>176</v>
      </c>
      <c r="H14" s="544" t="s">
        <v>177</v>
      </c>
      <c r="I14" s="545" t="s">
        <v>178</v>
      </c>
      <c r="J14" s="546" t="s">
        <v>180</v>
      </c>
      <c r="K14" s="547" t="s">
        <v>181</v>
      </c>
      <c r="L14" s="547" t="s">
        <v>189</v>
      </c>
      <c r="M14" s="547" t="s">
        <v>182</v>
      </c>
      <c r="N14" s="547" t="s">
        <v>180</v>
      </c>
      <c r="O14" s="548" t="s">
        <v>192</v>
      </c>
      <c r="P14" s="1201"/>
    </row>
    <row r="15" spans="1:16" ht="35.1" customHeight="1">
      <c r="A15" s="1242" t="s">
        <v>292</v>
      </c>
      <c r="B15" s="1243"/>
      <c r="C15" s="1243"/>
      <c r="D15" s="1244"/>
      <c r="E15" s="550">
        <v>2</v>
      </c>
      <c r="F15" s="549">
        <f>SUM(E15*$K$10)</f>
        <v>20</v>
      </c>
      <c r="G15" s="550"/>
      <c r="H15" s="550"/>
      <c r="I15" s="550"/>
      <c r="J15" s="550"/>
      <c r="K15" s="550"/>
      <c r="L15" s="550"/>
      <c r="M15" s="550"/>
      <c r="N15" s="550"/>
      <c r="O15" s="550"/>
      <c r="P15" s="551">
        <f>SUM(G15:O15)</f>
        <v>0</v>
      </c>
    </row>
    <row r="16" spans="1:16" ht="35.1" customHeight="1">
      <c r="A16" s="1202" t="s">
        <v>292</v>
      </c>
      <c r="B16" s="1203"/>
      <c r="C16" s="1203"/>
      <c r="D16" s="1204"/>
      <c r="E16" s="552">
        <v>2</v>
      </c>
      <c r="F16" s="532">
        <f>IF(E16&lt;1,"",SUM(E16*$K$10))</f>
        <v>20</v>
      </c>
      <c r="G16" s="552"/>
      <c r="H16" s="552"/>
      <c r="I16" s="552"/>
      <c r="J16" s="552"/>
      <c r="K16" s="552"/>
      <c r="L16" s="552"/>
      <c r="M16" s="552"/>
      <c r="N16" s="552"/>
      <c r="O16" s="552"/>
      <c r="P16" s="553">
        <f t="shared" ref="P16:P26" si="0">SUM(G16:O16)</f>
        <v>0</v>
      </c>
    </row>
    <row r="17" spans="1:16" ht="35.1" customHeight="1">
      <c r="A17" s="1202"/>
      <c r="B17" s="1203"/>
      <c r="C17" s="1203"/>
      <c r="D17" s="1204"/>
      <c r="E17" s="552"/>
      <c r="F17" s="532" t="str">
        <f t="shared" ref="F17:F26" si="1">IF(E17&lt;1,"",SUM(E17*$K$10))</f>
        <v/>
      </c>
      <c r="G17" s="552"/>
      <c r="H17" s="552"/>
      <c r="I17" s="552"/>
      <c r="J17" s="552"/>
      <c r="K17" s="552"/>
      <c r="L17" s="552"/>
      <c r="M17" s="552"/>
      <c r="N17" s="552"/>
      <c r="O17" s="552"/>
      <c r="P17" s="553">
        <f t="shared" si="0"/>
        <v>0</v>
      </c>
    </row>
    <row r="18" spans="1:16" ht="35.1" customHeight="1">
      <c r="A18" s="1202"/>
      <c r="B18" s="1203"/>
      <c r="C18" s="1203"/>
      <c r="D18" s="1204"/>
      <c r="E18" s="552"/>
      <c r="F18" s="532" t="str">
        <f t="shared" si="1"/>
        <v/>
      </c>
      <c r="G18" s="552"/>
      <c r="H18" s="552"/>
      <c r="I18" s="552"/>
      <c r="J18" s="552"/>
      <c r="K18" s="552"/>
      <c r="L18" s="552"/>
      <c r="M18" s="552"/>
      <c r="N18" s="552"/>
      <c r="O18" s="552"/>
      <c r="P18" s="553">
        <f t="shared" si="0"/>
        <v>0</v>
      </c>
    </row>
    <row r="19" spans="1:16" ht="35.1" customHeight="1">
      <c r="A19" s="1202"/>
      <c r="B19" s="1203"/>
      <c r="C19" s="1203"/>
      <c r="D19" s="1204"/>
      <c r="E19" s="552"/>
      <c r="F19" s="532" t="str">
        <f t="shared" si="1"/>
        <v/>
      </c>
      <c r="G19" s="552"/>
      <c r="H19" s="552"/>
      <c r="I19" s="552"/>
      <c r="J19" s="552"/>
      <c r="K19" s="552"/>
      <c r="L19" s="552"/>
      <c r="M19" s="552"/>
      <c r="N19" s="552"/>
      <c r="O19" s="552"/>
      <c r="P19" s="554">
        <f t="shared" si="0"/>
        <v>0</v>
      </c>
    </row>
    <row r="20" spans="1:16" ht="35.1" customHeight="1">
      <c r="A20" s="1202"/>
      <c r="B20" s="1203"/>
      <c r="C20" s="1203"/>
      <c r="D20" s="1204"/>
      <c r="E20" s="552"/>
      <c r="F20" s="532" t="str">
        <f t="shared" si="1"/>
        <v/>
      </c>
      <c r="G20" s="552"/>
      <c r="H20" s="552"/>
      <c r="I20" s="552"/>
      <c r="J20" s="552"/>
      <c r="K20" s="552"/>
      <c r="L20" s="552"/>
      <c r="M20" s="552"/>
      <c r="N20" s="552"/>
      <c r="O20" s="552"/>
      <c r="P20" s="553">
        <f t="shared" si="0"/>
        <v>0</v>
      </c>
    </row>
    <row r="21" spans="1:16" ht="35.1" customHeight="1">
      <c r="A21" s="1202"/>
      <c r="B21" s="1203"/>
      <c r="C21" s="1203"/>
      <c r="D21" s="1204"/>
      <c r="E21" s="552"/>
      <c r="F21" s="532" t="str">
        <f t="shared" si="1"/>
        <v/>
      </c>
      <c r="G21" s="552"/>
      <c r="H21" s="552"/>
      <c r="I21" s="552"/>
      <c r="J21" s="552"/>
      <c r="K21" s="552"/>
      <c r="L21" s="552"/>
      <c r="M21" s="552"/>
      <c r="N21" s="552"/>
      <c r="O21" s="552"/>
      <c r="P21" s="553">
        <f t="shared" si="0"/>
        <v>0</v>
      </c>
    </row>
    <row r="22" spans="1:16" ht="35.1" customHeight="1">
      <c r="A22" s="1202"/>
      <c r="B22" s="1203"/>
      <c r="C22" s="1203"/>
      <c r="D22" s="1204"/>
      <c r="E22" s="552"/>
      <c r="F22" s="532" t="str">
        <f t="shared" si="1"/>
        <v/>
      </c>
      <c r="G22" s="552"/>
      <c r="H22" s="552"/>
      <c r="I22" s="552"/>
      <c r="J22" s="552"/>
      <c r="K22" s="552"/>
      <c r="L22" s="552"/>
      <c r="M22" s="552"/>
      <c r="N22" s="552"/>
      <c r="O22" s="552"/>
      <c r="P22" s="553">
        <f t="shared" si="0"/>
        <v>0</v>
      </c>
    </row>
    <row r="23" spans="1:16" ht="35.1" customHeight="1">
      <c r="A23" s="1202"/>
      <c r="B23" s="1203"/>
      <c r="C23" s="1203"/>
      <c r="D23" s="1204"/>
      <c r="E23" s="552"/>
      <c r="F23" s="532" t="str">
        <f t="shared" si="1"/>
        <v/>
      </c>
      <c r="G23" s="552"/>
      <c r="H23" s="552"/>
      <c r="I23" s="552"/>
      <c r="J23" s="552"/>
      <c r="K23" s="552"/>
      <c r="L23" s="552"/>
      <c r="M23" s="552"/>
      <c r="N23" s="552"/>
      <c r="O23" s="552"/>
      <c r="P23" s="553">
        <f t="shared" si="0"/>
        <v>0</v>
      </c>
    </row>
    <row r="24" spans="1:16" ht="35.1" customHeight="1">
      <c r="A24" s="1202"/>
      <c r="B24" s="1203"/>
      <c r="C24" s="1203"/>
      <c r="D24" s="1204"/>
      <c r="E24" s="552"/>
      <c r="F24" s="532" t="str">
        <f t="shared" si="1"/>
        <v/>
      </c>
      <c r="G24" s="552"/>
      <c r="H24" s="552"/>
      <c r="I24" s="552"/>
      <c r="J24" s="552"/>
      <c r="K24" s="552"/>
      <c r="L24" s="552"/>
      <c r="M24" s="552"/>
      <c r="N24" s="552"/>
      <c r="O24" s="552"/>
      <c r="P24" s="553">
        <f t="shared" si="0"/>
        <v>0</v>
      </c>
    </row>
    <row r="25" spans="1:16" ht="35.1" customHeight="1">
      <c r="A25" s="1202"/>
      <c r="B25" s="1203"/>
      <c r="C25" s="1203"/>
      <c r="D25" s="1204"/>
      <c r="E25" s="552"/>
      <c r="F25" s="532" t="str">
        <f t="shared" si="1"/>
        <v/>
      </c>
      <c r="G25" s="552"/>
      <c r="H25" s="552"/>
      <c r="I25" s="552"/>
      <c r="J25" s="552"/>
      <c r="K25" s="552"/>
      <c r="L25" s="552"/>
      <c r="M25" s="552"/>
      <c r="N25" s="552"/>
      <c r="O25" s="552"/>
      <c r="P25" s="553">
        <f t="shared" si="0"/>
        <v>0</v>
      </c>
    </row>
    <row r="26" spans="1:16" ht="35.1" customHeight="1">
      <c r="A26" s="1202"/>
      <c r="B26" s="1203"/>
      <c r="C26" s="1203"/>
      <c r="D26" s="1204"/>
      <c r="E26" s="552"/>
      <c r="F26" s="532" t="str">
        <f t="shared" si="1"/>
        <v/>
      </c>
      <c r="G26" s="552"/>
      <c r="H26" s="552"/>
      <c r="I26" s="552"/>
      <c r="J26" s="552"/>
      <c r="K26" s="552"/>
      <c r="L26" s="552"/>
      <c r="M26" s="552"/>
      <c r="N26" s="552"/>
      <c r="O26" s="552"/>
      <c r="P26" s="553">
        <f t="shared" si="0"/>
        <v>0</v>
      </c>
    </row>
    <row r="27" spans="1:16" ht="15.75">
      <c r="A27" s="1239" t="s">
        <v>183</v>
      </c>
      <c r="B27" s="1240"/>
      <c r="C27" s="1240"/>
      <c r="D27" s="1241"/>
      <c r="E27" s="556">
        <f t="shared" ref="E27:P27" si="2">SUM(E15:E26)</f>
        <v>4</v>
      </c>
      <c r="F27" s="557">
        <f t="shared" si="2"/>
        <v>40</v>
      </c>
      <c r="G27" s="556">
        <f t="shared" si="2"/>
        <v>0</v>
      </c>
      <c r="H27" s="556">
        <f t="shared" si="2"/>
        <v>0</v>
      </c>
      <c r="I27" s="556">
        <f t="shared" si="2"/>
        <v>0</v>
      </c>
      <c r="J27" s="556">
        <f t="shared" si="2"/>
        <v>0</v>
      </c>
      <c r="K27" s="556">
        <f t="shared" si="2"/>
        <v>0</v>
      </c>
      <c r="L27" s="556">
        <f t="shared" si="2"/>
        <v>0</v>
      </c>
      <c r="M27" s="556">
        <f t="shared" si="2"/>
        <v>0</v>
      </c>
      <c r="N27" s="556">
        <f t="shared" si="2"/>
        <v>0</v>
      </c>
      <c r="O27" s="556">
        <f t="shared" si="2"/>
        <v>0</v>
      </c>
      <c r="P27" s="556">
        <f t="shared" si="2"/>
        <v>0</v>
      </c>
    </row>
    <row r="28" spans="1:16">
      <c r="A28" s="535" t="s">
        <v>185</v>
      </c>
      <c r="B28" s="535"/>
      <c r="C28" s="535"/>
      <c r="D28" s="535" t="s">
        <v>186</v>
      </c>
      <c r="E28" s="535"/>
      <c r="F28" s="535"/>
      <c r="G28" s="535" t="s">
        <v>190</v>
      </c>
      <c r="H28" s="535" t="s">
        <v>191</v>
      </c>
      <c r="I28" s="535"/>
      <c r="J28" s="535"/>
      <c r="K28" s="2"/>
      <c r="L28" s="2"/>
      <c r="M28" s="2"/>
      <c r="N28" s="2"/>
    </row>
    <row r="29" spans="1:16">
      <c r="A29" s="537" t="s">
        <v>195</v>
      </c>
      <c r="B29" s="535"/>
      <c r="C29" s="535"/>
      <c r="D29" s="535" t="s">
        <v>187</v>
      </c>
      <c r="E29" s="535"/>
      <c r="F29" s="535"/>
      <c r="G29" s="537" t="s">
        <v>193</v>
      </c>
      <c r="H29" s="535" t="s">
        <v>194</v>
      </c>
      <c r="I29" s="535"/>
      <c r="J29" s="535"/>
      <c r="K29" s="2"/>
      <c r="L29" s="2"/>
      <c r="M29" s="2"/>
      <c r="N29" s="2"/>
    </row>
    <row r="38" spans="3:11" ht="15.75">
      <c r="C38" s="286"/>
      <c r="D38" s="1224"/>
      <c r="E38" s="1224"/>
      <c r="F38" s="1224"/>
      <c r="G38" s="1224"/>
      <c r="H38" s="286"/>
      <c r="I38" s="286"/>
      <c r="J38" s="286"/>
      <c r="K38" s="286"/>
    </row>
    <row r="39" spans="3:11" ht="15.75">
      <c r="C39" s="286"/>
      <c r="D39" s="1224"/>
      <c r="E39" s="1224"/>
      <c r="F39" s="1224"/>
      <c r="G39" s="1224"/>
      <c r="H39" s="286"/>
      <c r="I39" s="286"/>
      <c r="J39" s="286"/>
      <c r="K39" s="286"/>
    </row>
    <row r="40" spans="3:11" ht="15.75">
      <c r="C40" s="286"/>
      <c r="D40" s="1224"/>
      <c r="E40" s="1224"/>
      <c r="F40" s="1224"/>
      <c r="G40" s="1224"/>
      <c r="H40" s="286"/>
      <c r="I40" s="286"/>
      <c r="J40" s="286"/>
      <c r="K40" s="286"/>
    </row>
    <row r="41" spans="3:11" ht="15.75">
      <c r="C41" s="286"/>
      <c r="D41" s="1224"/>
      <c r="E41" s="1224"/>
      <c r="F41" s="1224"/>
      <c r="G41" s="1224"/>
      <c r="H41" s="286"/>
      <c r="I41" s="286"/>
      <c r="J41" s="286"/>
      <c r="K41" s="286"/>
    </row>
    <row r="42" spans="3:11" ht="15.75">
      <c r="C42" s="286"/>
      <c r="D42" s="1224"/>
      <c r="E42" s="1224"/>
      <c r="F42" s="1224"/>
      <c r="G42" s="1224"/>
      <c r="H42" s="286"/>
      <c r="I42" s="286"/>
      <c r="J42" s="286"/>
      <c r="K42" s="286"/>
    </row>
    <row r="43" spans="3:11" ht="15.75">
      <c r="C43" s="286"/>
      <c r="D43" s="1224"/>
      <c r="E43" s="1225"/>
      <c r="F43" s="1225"/>
      <c r="G43" s="1225"/>
      <c r="H43" s="286"/>
      <c r="I43" s="286"/>
      <c r="J43" s="286"/>
      <c r="K43" s="286"/>
    </row>
    <row r="44" spans="3:11" ht="15.75">
      <c r="C44" s="286"/>
      <c r="D44" s="1224"/>
      <c r="E44" s="1225"/>
      <c r="F44" s="1225"/>
      <c r="G44" s="1225"/>
      <c r="H44" s="286"/>
      <c r="I44" s="286"/>
      <c r="J44" s="286"/>
      <c r="K44" s="286"/>
    </row>
    <row r="45" spans="3:11" ht="15.75">
      <c r="C45" s="286"/>
      <c r="D45" s="1224"/>
      <c r="E45" s="1225"/>
      <c r="F45" s="1225"/>
      <c r="G45" s="1225"/>
      <c r="H45" s="286"/>
      <c r="I45" s="286"/>
      <c r="J45" s="286"/>
      <c r="K45" s="286"/>
    </row>
    <row r="46" spans="3:11">
      <c r="C46" s="286"/>
      <c r="D46" s="286"/>
      <c r="E46" s="286"/>
      <c r="F46" s="286"/>
      <c r="G46" s="286"/>
      <c r="H46" s="286"/>
      <c r="I46" s="286"/>
      <c r="J46" s="286"/>
      <c r="K46" s="286"/>
    </row>
    <row r="47" spans="3:11">
      <c r="C47" s="286"/>
      <c r="D47" s="286"/>
      <c r="E47" s="286"/>
      <c r="F47" s="286"/>
      <c r="G47" s="286"/>
      <c r="H47" s="286"/>
      <c r="I47" s="286"/>
      <c r="J47" s="286"/>
      <c r="K47" s="286"/>
    </row>
    <row r="48" spans="3:11">
      <c r="C48" s="286"/>
      <c r="D48" s="286"/>
      <c r="E48" s="286"/>
      <c r="F48" s="286"/>
      <c r="G48" s="286"/>
      <c r="H48" s="286"/>
      <c r="I48" s="286"/>
      <c r="J48" s="286"/>
      <c r="K48" s="286"/>
    </row>
  </sheetData>
  <mergeCells count="46">
    <mergeCell ref="D45:G45"/>
    <mergeCell ref="B4:C4"/>
    <mergeCell ref="B5:C5"/>
    <mergeCell ref="B6:C6"/>
    <mergeCell ref="B7:C7"/>
    <mergeCell ref="B8:C8"/>
    <mergeCell ref="B9:C9"/>
    <mergeCell ref="A27:D27"/>
    <mergeCell ref="D38:G38"/>
    <mergeCell ref="D39:G39"/>
    <mergeCell ref="D40:G40"/>
    <mergeCell ref="D41:G41"/>
    <mergeCell ref="D42:G42"/>
    <mergeCell ref="A15:D15"/>
    <mergeCell ref="A21:D21"/>
    <mergeCell ref="A2:N2"/>
    <mergeCell ref="A18:D18"/>
    <mergeCell ref="J13:O13"/>
    <mergeCell ref="D43:G43"/>
    <mergeCell ref="D44:G44"/>
    <mergeCell ref="A22:D22"/>
    <mergeCell ref="A23:D23"/>
    <mergeCell ref="A24:D24"/>
    <mergeCell ref="A25:D25"/>
    <mergeCell ref="A19:D19"/>
    <mergeCell ref="A20:D20"/>
    <mergeCell ref="A13:D14"/>
    <mergeCell ref="E13:E14"/>
    <mergeCell ref="F13:F14"/>
    <mergeCell ref="I6:L6"/>
    <mergeCell ref="K7:L7"/>
    <mergeCell ref="P12:P14"/>
    <mergeCell ref="A26:D26"/>
    <mergeCell ref="A17:D17"/>
    <mergeCell ref="A16:D16"/>
    <mergeCell ref="F7:J7"/>
    <mergeCell ref="F8:J8"/>
    <mergeCell ref="F9:J9"/>
    <mergeCell ref="F10:J10"/>
    <mergeCell ref="G13:I13"/>
    <mergeCell ref="G12:O12"/>
    <mergeCell ref="K8:L8"/>
    <mergeCell ref="K9:L9"/>
    <mergeCell ref="K10:L10"/>
    <mergeCell ref="A12:F12"/>
    <mergeCell ref="B11:C11"/>
  </mergeCells>
  <dataValidations count="1">
    <dataValidation type="list" allowBlank="1" showInputMessage="1" showErrorMessage="1" sqref="A15:A26" xr:uid="{00000000-0002-0000-1F00-000000000000}">
      <formula1>INDICADORES</formula1>
    </dataValidation>
  </dataValidations>
  <pageMargins left="0.7" right="0.7" top="0.75" bottom="0.75" header="0.3" footer="0.3"/>
  <pageSetup scale="66" orientation="portrait" r:id="rId1"/>
  <colBreaks count="1" manualBreakCount="1">
    <brk id="16" max="1048575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6"/>
  <dimension ref="A1:S45"/>
  <sheetViews>
    <sheetView showGridLines="0" zoomScale="97" zoomScaleNormal="100" zoomScaleSheetLayoutView="85" workbookViewId="0">
      <selection activeCell="O9" sqref="O9"/>
    </sheetView>
  </sheetViews>
  <sheetFormatPr baseColWidth="10" defaultColWidth="0" defaultRowHeight="15" zeroHeight="1"/>
  <cols>
    <col min="1" max="1" width="43.85546875" bestFit="1" customWidth="1"/>
    <col min="2" max="3" width="11.42578125" customWidth="1"/>
    <col min="4" max="4" width="11.5703125" customWidth="1"/>
    <col min="5" max="5" width="12" bestFit="1" customWidth="1"/>
    <col min="6" max="6" width="8.85546875" customWidth="1"/>
    <col min="7" max="7" width="4.7109375" customWidth="1"/>
    <col min="8" max="9" width="3" bestFit="1" customWidth="1"/>
    <col min="10" max="10" width="4" customWidth="1"/>
    <col min="11" max="11" width="3.28515625" bestFit="1" customWidth="1"/>
    <col min="12" max="12" width="3.140625" bestFit="1" customWidth="1"/>
    <col min="13" max="14" width="3.28515625" bestFit="1" customWidth="1"/>
    <col min="15" max="15" width="3.5703125" customWidth="1"/>
    <col min="16" max="16" width="5" customWidth="1"/>
    <col min="17" max="17" width="7.85546875" customWidth="1"/>
    <col min="18" max="19" width="11.42578125" customWidth="1"/>
    <col min="20" max="16384" width="11.42578125" hidden="1"/>
  </cols>
  <sheetData>
    <row r="1" spans="1:16">
      <c r="A1" s="533"/>
    </row>
    <row r="2" spans="1:16" ht="31.5">
      <c r="A2" s="1253" t="s">
        <v>245</v>
      </c>
      <c r="B2" s="1253"/>
      <c r="C2" s="1253"/>
      <c r="D2" s="1253"/>
      <c r="E2" s="1253"/>
      <c r="F2" s="1253"/>
      <c r="G2" s="1253"/>
      <c r="H2" s="1253"/>
      <c r="I2" s="1253"/>
      <c r="J2" s="1253"/>
      <c r="K2" s="1253"/>
      <c r="L2" s="1253"/>
      <c r="M2" s="1253"/>
      <c r="N2" s="1253"/>
    </row>
    <row r="3" spans="1:16"/>
    <row r="4" spans="1:16" ht="16.5">
      <c r="A4" s="534" t="s">
        <v>242</v>
      </c>
      <c r="B4" s="1238">
        <f>'REGISTRO DATOS'!I3</f>
        <v>0</v>
      </c>
      <c r="C4" s="1238"/>
      <c r="D4" s="535"/>
      <c r="E4" s="535"/>
      <c r="F4" s="535"/>
      <c r="G4" s="535"/>
      <c r="H4" s="535"/>
      <c r="I4" s="535"/>
      <c r="J4" s="2"/>
      <c r="K4" s="2"/>
      <c r="L4" s="2"/>
      <c r="M4" s="2"/>
      <c r="N4" s="2"/>
    </row>
    <row r="5" spans="1:16" ht="16.5">
      <c r="A5" s="536" t="s">
        <v>241</v>
      </c>
      <c r="B5" s="1238" t="str">
        <f>'REGISTRO DATOS'!I4</f>
        <v>COTO</v>
      </c>
      <c r="C5" s="1238"/>
      <c r="D5" s="535"/>
      <c r="E5" s="535"/>
      <c r="F5" s="535"/>
      <c r="G5" s="535"/>
      <c r="H5" s="535"/>
      <c r="I5" s="535"/>
      <c r="J5" s="2"/>
      <c r="K5" s="2"/>
      <c r="L5" s="2"/>
      <c r="M5" s="2"/>
      <c r="N5" s="2"/>
    </row>
    <row r="6" spans="1:16" ht="16.5">
      <c r="A6" s="536" t="s">
        <v>8</v>
      </c>
      <c r="B6" s="1238" t="str">
        <f>'REGISTRO DATOS'!I5</f>
        <v>06</v>
      </c>
      <c r="C6" s="1238"/>
      <c r="D6" s="535"/>
      <c r="E6" s="535"/>
      <c r="F6" s="535"/>
      <c r="G6" s="537" t="s">
        <v>254</v>
      </c>
      <c r="H6" s="538"/>
      <c r="I6" s="1236">
        <f ca="1">TODAY()</f>
        <v>46178</v>
      </c>
      <c r="J6" s="1236"/>
      <c r="K6" s="1236"/>
      <c r="L6" s="1236"/>
      <c r="M6" s="2"/>
      <c r="N6" s="2"/>
    </row>
    <row r="7" spans="1:16" ht="16.5">
      <c r="A7" s="536" t="s">
        <v>9</v>
      </c>
      <c r="B7" s="1238">
        <f>'REGISTRO DATOS'!I6</f>
        <v>0</v>
      </c>
      <c r="C7" s="1238"/>
      <c r="D7" s="535"/>
      <c r="E7" s="535"/>
      <c r="F7" s="1205" t="s">
        <v>249</v>
      </c>
      <c r="G7" s="1205"/>
      <c r="H7" s="1205"/>
      <c r="I7" s="1205"/>
      <c r="J7" s="1205"/>
      <c r="K7" s="1237"/>
      <c r="L7" s="1214"/>
      <c r="M7" s="2"/>
      <c r="N7" s="2"/>
    </row>
    <row r="8" spans="1:16" ht="16.5">
      <c r="A8" s="536" t="s">
        <v>11</v>
      </c>
      <c r="B8" s="1238">
        <f>'REGISTRO DATOS'!I7</f>
        <v>0</v>
      </c>
      <c r="C8" s="1238"/>
      <c r="D8" s="535"/>
      <c r="E8" s="535"/>
      <c r="F8" s="1205" t="s">
        <v>250</v>
      </c>
      <c r="G8" s="1205"/>
      <c r="H8" s="1205"/>
      <c r="I8" s="1205"/>
      <c r="J8" s="1205"/>
      <c r="K8" s="1214"/>
      <c r="L8" s="1214"/>
      <c r="M8" s="2"/>
      <c r="N8" s="2"/>
    </row>
    <row r="9" spans="1:16" ht="16.5">
      <c r="A9" s="536" t="s">
        <v>243</v>
      </c>
      <c r="B9" s="1238">
        <f>'REGISTRO DATOS'!I8</f>
        <v>0</v>
      </c>
      <c r="C9" s="1238"/>
      <c r="D9" s="535"/>
      <c r="E9" s="535"/>
      <c r="F9" s="1206" t="s">
        <v>170</v>
      </c>
      <c r="G9" s="1206"/>
      <c r="H9" s="1206"/>
      <c r="I9" s="1206"/>
      <c r="J9" s="1206"/>
      <c r="K9" s="1215">
        <f>E27</f>
        <v>1</v>
      </c>
      <c r="L9" s="1215"/>
      <c r="M9" s="2"/>
      <c r="N9" s="2"/>
    </row>
    <row r="10" spans="1:16" ht="16.5">
      <c r="A10" s="536" t="s">
        <v>244</v>
      </c>
      <c r="B10" s="539">
        <f>'REGISTRO DATOS'!I9</f>
        <v>0</v>
      </c>
      <c r="C10" s="539"/>
      <c r="D10" s="535"/>
      <c r="E10" s="535"/>
      <c r="F10" s="1207" t="s">
        <v>171</v>
      </c>
      <c r="G10" s="1207"/>
      <c r="H10" s="1207"/>
      <c r="I10" s="1207"/>
      <c r="J10" s="1207"/>
      <c r="K10" s="1215">
        <f>K8/K9</f>
        <v>0</v>
      </c>
      <c r="L10" s="1215"/>
      <c r="M10" s="2"/>
      <c r="N10" s="2"/>
    </row>
    <row r="11" spans="1:16" ht="17.25" thickBot="1">
      <c r="A11" s="536" t="s">
        <v>247</v>
      </c>
      <c r="B11" s="1219" t="s">
        <v>248</v>
      </c>
      <c r="C11" s="1219"/>
      <c r="D11" s="535"/>
      <c r="E11" s="535"/>
      <c r="F11" s="535"/>
      <c r="G11" s="540"/>
      <c r="H11" s="535"/>
      <c r="I11" s="535"/>
      <c r="J11" s="2"/>
      <c r="K11" s="541"/>
      <c r="L11" s="541"/>
      <c r="M11" s="2"/>
      <c r="N11" s="2"/>
    </row>
    <row r="12" spans="1:16" ht="15.75" customHeight="1" thickBot="1">
      <c r="A12" s="1216" t="s">
        <v>172</v>
      </c>
      <c r="B12" s="1217"/>
      <c r="C12" s="1217"/>
      <c r="D12" s="1217"/>
      <c r="E12" s="1217"/>
      <c r="F12" s="1218"/>
      <c r="G12" s="1211" t="s">
        <v>173</v>
      </c>
      <c r="H12" s="1212"/>
      <c r="I12" s="1212"/>
      <c r="J12" s="1212"/>
      <c r="K12" s="1212"/>
      <c r="L12" s="1212"/>
      <c r="M12" s="1212"/>
      <c r="N12" s="1212"/>
      <c r="O12" s="1213"/>
      <c r="P12" s="1250" t="s">
        <v>288</v>
      </c>
    </row>
    <row r="13" spans="1:16" ht="25.5" customHeight="1" thickBot="1">
      <c r="A13" s="1226" t="s">
        <v>246</v>
      </c>
      <c r="B13" s="1227"/>
      <c r="C13" s="1227"/>
      <c r="D13" s="1228"/>
      <c r="E13" s="1232" t="s">
        <v>175</v>
      </c>
      <c r="F13" s="1234" t="s">
        <v>184</v>
      </c>
      <c r="G13" s="1208" t="s">
        <v>188</v>
      </c>
      <c r="H13" s="1209"/>
      <c r="I13" s="1210"/>
      <c r="J13" s="1221" t="s">
        <v>179</v>
      </c>
      <c r="K13" s="1222"/>
      <c r="L13" s="1222"/>
      <c r="M13" s="1222"/>
      <c r="N13" s="1222"/>
      <c r="O13" s="1223"/>
      <c r="P13" s="1251"/>
    </row>
    <row r="14" spans="1:16" ht="66" customHeight="1" thickBot="1">
      <c r="A14" s="1229"/>
      <c r="B14" s="1230"/>
      <c r="C14" s="1230"/>
      <c r="D14" s="1231"/>
      <c r="E14" s="1233"/>
      <c r="F14" s="1235"/>
      <c r="G14" s="543" t="s">
        <v>176</v>
      </c>
      <c r="H14" s="544" t="s">
        <v>177</v>
      </c>
      <c r="I14" s="545" t="s">
        <v>255</v>
      </c>
      <c r="J14" s="546" t="s">
        <v>180</v>
      </c>
      <c r="K14" s="547" t="s">
        <v>181</v>
      </c>
      <c r="L14" s="547" t="s">
        <v>189</v>
      </c>
      <c r="M14" s="547" t="s">
        <v>182</v>
      </c>
      <c r="N14" s="547" t="s">
        <v>180</v>
      </c>
      <c r="O14" s="548" t="s">
        <v>192</v>
      </c>
      <c r="P14" s="1252"/>
    </row>
    <row r="15" spans="1:16" ht="39.950000000000003" customHeight="1">
      <c r="A15" s="1247"/>
      <c r="B15" s="1248"/>
      <c r="C15" s="1248"/>
      <c r="D15" s="1249"/>
      <c r="E15" s="550">
        <v>1</v>
      </c>
      <c r="F15" s="532">
        <f>IF(E15&lt;1,"",SUM(E15*$K$10))</f>
        <v>0</v>
      </c>
      <c r="G15" s="550"/>
      <c r="H15" s="550"/>
      <c r="I15" s="550"/>
      <c r="J15" s="552"/>
      <c r="K15" s="552"/>
      <c r="L15" s="552"/>
      <c r="M15" s="552"/>
      <c r="N15" s="552"/>
      <c r="O15" s="552"/>
      <c r="P15" s="553">
        <f>SUM(G15:O15)</f>
        <v>0</v>
      </c>
    </row>
    <row r="16" spans="1:16" ht="39.950000000000003" customHeight="1">
      <c r="A16" s="1247"/>
      <c r="B16" s="1248"/>
      <c r="C16" s="1248"/>
      <c r="D16" s="1249"/>
      <c r="E16" s="552"/>
      <c r="F16" s="532" t="str">
        <f>IF(E16&lt;1,"",SUM(E16*$K$10))</f>
        <v/>
      </c>
      <c r="G16" s="552"/>
      <c r="H16" s="552"/>
      <c r="I16" s="552"/>
      <c r="J16" s="552"/>
      <c r="K16" s="552"/>
      <c r="L16" s="552"/>
      <c r="M16" s="552"/>
      <c r="N16" s="552"/>
      <c r="O16" s="552"/>
      <c r="P16" s="553">
        <f t="shared" ref="P16:P26" si="0">SUM(G16:O16)</f>
        <v>0</v>
      </c>
    </row>
    <row r="17" spans="1:16" ht="39.950000000000003" customHeight="1">
      <c r="A17" s="1247"/>
      <c r="B17" s="1248"/>
      <c r="C17" s="1248"/>
      <c r="D17" s="1249"/>
      <c r="E17" s="552"/>
      <c r="F17" s="532" t="str">
        <f t="shared" ref="F17:F26" si="1">IF(E17&lt;1,"",SUM(E17*$K$10))</f>
        <v/>
      </c>
      <c r="G17" s="552"/>
      <c r="H17" s="552"/>
      <c r="I17" s="552"/>
      <c r="J17" s="552"/>
      <c r="K17" s="552"/>
      <c r="L17" s="552"/>
      <c r="M17" s="552"/>
      <c r="N17" s="552"/>
      <c r="O17" s="552"/>
      <c r="P17" s="553">
        <f t="shared" si="0"/>
        <v>0</v>
      </c>
    </row>
    <row r="18" spans="1:16" ht="30.75" customHeight="1">
      <c r="A18" s="1247"/>
      <c r="B18" s="1248"/>
      <c r="C18" s="1248"/>
      <c r="D18" s="1249"/>
      <c r="E18" s="552"/>
      <c r="F18" s="532" t="str">
        <f t="shared" si="1"/>
        <v/>
      </c>
      <c r="G18" s="552"/>
      <c r="H18" s="552"/>
      <c r="I18" s="552"/>
      <c r="J18" s="552"/>
      <c r="K18" s="552"/>
      <c r="L18" s="552"/>
      <c r="M18" s="552"/>
      <c r="N18" s="552"/>
      <c r="O18" s="552"/>
      <c r="P18" s="553">
        <f t="shared" si="0"/>
        <v>0</v>
      </c>
    </row>
    <row r="19" spans="1:16" ht="57.75" customHeight="1">
      <c r="A19" s="1247"/>
      <c r="B19" s="1248"/>
      <c r="C19" s="1248"/>
      <c r="D19" s="1249"/>
      <c r="E19" s="552"/>
      <c r="F19" s="532" t="str">
        <f t="shared" si="1"/>
        <v/>
      </c>
      <c r="G19" s="552"/>
      <c r="H19" s="552"/>
      <c r="I19" s="552"/>
      <c r="J19" s="552"/>
      <c r="K19" s="552"/>
      <c r="L19" s="552"/>
      <c r="M19" s="552"/>
      <c r="N19" s="552"/>
      <c r="O19" s="552"/>
      <c r="P19" s="554">
        <f t="shared" si="0"/>
        <v>0</v>
      </c>
    </row>
    <row r="20" spans="1:16" ht="39.950000000000003" customHeight="1">
      <c r="A20" s="1247"/>
      <c r="B20" s="1248"/>
      <c r="C20" s="1248"/>
      <c r="D20" s="1249"/>
      <c r="E20" s="552"/>
      <c r="F20" s="532" t="str">
        <f t="shared" si="1"/>
        <v/>
      </c>
      <c r="G20" s="552"/>
      <c r="H20" s="552"/>
      <c r="I20" s="552"/>
      <c r="J20" s="552"/>
      <c r="K20" s="552"/>
      <c r="L20" s="552"/>
      <c r="M20" s="552"/>
      <c r="N20" s="552"/>
      <c r="O20" s="552"/>
      <c r="P20" s="553">
        <f t="shared" si="0"/>
        <v>0</v>
      </c>
    </row>
    <row r="21" spans="1:16" ht="39.950000000000003" customHeight="1">
      <c r="A21" s="1247"/>
      <c r="B21" s="1248"/>
      <c r="C21" s="1248"/>
      <c r="D21" s="1249"/>
      <c r="E21" s="552"/>
      <c r="F21" s="532" t="str">
        <f t="shared" si="1"/>
        <v/>
      </c>
      <c r="G21" s="552"/>
      <c r="H21" s="552"/>
      <c r="I21" s="552"/>
      <c r="J21" s="552"/>
      <c r="K21" s="552"/>
      <c r="L21" s="552"/>
      <c r="M21" s="552"/>
      <c r="N21" s="552"/>
      <c r="O21" s="552"/>
      <c r="P21" s="553">
        <f t="shared" si="0"/>
        <v>0</v>
      </c>
    </row>
    <row r="22" spans="1:16" ht="39.950000000000003" customHeight="1">
      <c r="A22" s="1247"/>
      <c r="B22" s="1248"/>
      <c r="C22" s="1248"/>
      <c r="D22" s="1249"/>
      <c r="E22" s="552"/>
      <c r="F22" s="532" t="str">
        <f t="shared" si="1"/>
        <v/>
      </c>
      <c r="G22" s="552"/>
      <c r="H22" s="552"/>
      <c r="I22" s="552"/>
      <c r="J22" s="552"/>
      <c r="K22" s="552"/>
      <c r="L22" s="552"/>
      <c r="M22" s="552"/>
      <c r="N22" s="552"/>
      <c r="O22" s="552"/>
      <c r="P22" s="553">
        <f t="shared" si="0"/>
        <v>0</v>
      </c>
    </row>
    <row r="23" spans="1:16" ht="39.950000000000003" customHeight="1">
      <c r="A23" s="1247"/>
      <c r="B23" s="1248"/>
      <c r="C23" s="1248"/>
      <c r="D23" s="1249"/>
      <c r="E23" s="552"/>
      <c r="F23" s="532" t="str">
        <f t="shared" si="1"/>
        <v/>
      </c>
      <c r="G23" s="552"/>
      <c r="H23" s="552"/>
      <c r="I23" s="552"/>
      <c r="J23" s="552"/>
      <c r="K23" s="552"/>
      <c r="L23" s="552"/>
      <c r="M23" s="552"/>
      <c r="N23" s="552"/>
      <c r="O23" s="552"/>
      <c r="P23" s="553">
        <f t="shared" si="0"/>
        <v>0</v>
      </c>
    </row>
    <row r="24" spans="1:16" ht="39.950000000000003" customHeight="1">
      <c r="A24" s="1247"/>
      <c r="B24" s="1248"/>
      <c r="C24" s="1248"/>
      <c r="D24" s="1249"/>
      <c r="E24" s="552"/>
      <c r="F24" s="532" t="str">
        <f t="shared" si="1"/>
        <v/>
      </c>
      <c r="G24" s="552"/>
      <c r="H24" s="552"/>
      <c r="I24" s="552"/>
      <c r="J24" s="552"/>
      <c r="K24" s="552"/>
      <c r="L24" s="552"/>
      <c r="M24" s="552"/>
      <c r="N24" s="552"/>
      <c r="O24" s="552"/>
      <c r="P24" s="553">
        <f t="shared" si="0"/>
        <v>0</v>
      </c>
    </row>
    <row r="25" spans="1:16" ht="39.950000000000003" customHeight="1">
      <c r="A25" s="1247"/>
      <c r="B25" s="1248"/>
      <c r="C25" s="1248"/>
      <c r="D25" s="1249"/>
      <c r="E25" s="552"/>
      <c r="F25" s="532" t="str">
        <f t="shared" si="1"/>
        <v/>
      </c>
      <c r="G25" s="552"/>
      <c r="H25" s="552"/>
      <c r="I25" s="552"/>
      <c r="J25" s="552"/>
      <c r="K25" s="552"/>
      <c r="L25" s="552"/>
      <c r="M25" s="552"/>
      <c r="N25" s="552"/>
      <c r="O25" s="552"/>
      <c r="P25" s="553">
        <f t="shared" si="0"/>
        <v>0</v>
      </c>
    </row>
    <row r="26" spans="1:16" ht="39.950000000000003" customHeight="1">
      <c r="A26" s="1247"/>
      <c r="B26" s="1248"/>
      <c r="C26" s="1248"/>
      <c r="D26" s="1249"/>
      <c r="E26" s="552"/>
      <c r="F26" s="532" t="str">
        <f t="shared" si="1"/>
        <v/>
      </c>
      <c r="G26" s="552"/>
      <c r="H26" s="552"/>
      <c r="I26" s="552"/>
      <c r="J26" s="552"/>
      <c r="K26" s="552"/>
      <c r="L26" s="552"/>
      <c r="M26" s="552"/>
      <c r="N26" s="552"/>
      <c r="O26" s="552"/>
      <c r="P26" s="553">
        <f t="shared" si="0"/>
        <v>0</v>
      </c>
    </row>
    <row r="27" spans="1:16" ht="15.75">
      <c r="A27" s="1239" t="s">
        <v>183</v>
      </c>
      <c r="B27" s="1240"/>
      <c r="C27" s="1240"/>
      <c r="D27" s="1241"/>
      <c r="E27" s="553">
        <f t="shared" ref="E27:P27" si="2">SUM(E15:E26)</f>
        <v>1</v>
      </c>
      <c r="F27" s="554">
        <f t="shared" si="2"/>
        <v>0</v>
      </c>
      <c r="G27" s="553">
        <f t="shared" si="2"/>
        <v>0</v>
      </c>
      <c r="H27" s="553">
        <f t="shared" si="2"/>
        <v>0</v>
      </c>
      <c r="I27" s="553">
        <f t="shared" si="2"/>
        <v>0</v>
      </c>
      <c r="J27" s="553">
        <f t="shared" si="2"/>
        <v>0</v>
      </c>
      <c r="K27" s="553">
        <f t="shared" si="2"/>
        <v>0</v>
      </c>
      <c r="L27" s="553">
        <f t="shared" si="2"/>
        <v>0</v>
      </c>
      <c r="M27" s="553">
        <f t="shared" si="2"/>
        <v>0</v>
      </c>
      <c r="N27" s="553">
        <f t="shared" si="2"/>
        <v>0</v>
      </c>
      <c r="O27" s="553">
        <f t="shared" si="2"/>
        <v>0</v>
      </c>
      <c r="P27" s="553">
        <f t="shared" si="2"/>
        <v>0</v>
      </c>
    </row>
    <row r="28" spans="1:16">
      <c r="A28" s="535" t="s">
        <v>185</v>
      </c>
      <c r="B28" s="535"/>
      <c r="C28" s="535"/>
      <c r="D28" s="535" t="s">
        <v>186</v>
      </c>
      <c r="E28" s="535"/>
      <c r="F28" s="535"/>
      <c r="G28" s="535" t="s">
        <v>190</v>
      </c>
      <c r="H28" s="535" t="s">
        <v>191</v>
      </c>
      <c r="I28" s="535"/>
      <c r="J28" s="535"/>
      <c r="K28" s="2"/>
      <c r="L28" s="2"/>
      <c r="M28" s="2"/>
      <c r="N28" s="2"/>
    </row>
    <row r="29" spans="1:16">
      <c r="A29" s="537" t="s">
        <v>195</v>
      </c>
      <c r="B29" s="535"/>
      <c r="C29" s="535"/>
      <c r="D29" s="535" t="s">
        <v>187</v>
      </c>
      <c r="E29" s="535"/>
      <c r="F29" s="535"/>
      <c r="G29" s="537" t="s">
        <v>193</v>
      </c>
      <c r="H29" s="535" t="s">
        <v>194</v>
      </c>
      <c r="I29" s="535"/>
      <c r="J29" s="535"/>
      <c r="K29" s="2"/>
      <c r="L29" s="2"/>
      <c r="M29" s="2"/>
      <c r="N29" s="2"/>
    </row>
    <row r="30" spans="1:16"/>
    <row r="38" spans="4:7" ht="15.75" hidden="1">
      <c r="D38" s="1245"/>
      <c r="E38" s="1245"/>
      <c r="F38" s="1245"/>
      <c r="G38" s="1245"/>
    </row>
    <row r="39" spans="4:7" ht="15.75" hidden="1">
      <c r="D39" s="1245"/>
      <c r="E39" s="1245"/>
      <c r="F39" s="1245"/>
      <c r="G39" s="1245"/>
    </row>
    <row r="40" spans="4:7" ht="15.75" hidden="1">
      <c r="D40" s="1245"/>
      <c r="E40" s="1245"/>
      <c r="F40" s="1245"/>
      <c r="G40" s="1245"/>
    </row>
    <row r="41" spans="4:7" ht="15.75" hidden="1">
      <c r="D41" s="1224"/>
      <c r="E41" s="1224"/>
      <c r="F41" s="1224"/>
      <c r="G41" s="1224"/>
    </row>
    <row r="42" spans="4:7" ht="15.75" hidden="1">
      <c r="D42" s="1224"/>
      <c r="E42" s="1224"/>
      <c r="F42" s="1224"/>
      <c r="G42" s="1224"/>
    </row>
    <row r="43" spans="4:7" ht="15.75" hidden="1">
      <c r="D43" s="1245"/>
      <c r="E43" s="1246"/>
      <c r="F43" s="1246"/>
      <c r="G43" s="1246"/>
    </row>
    <row r="44" spans="4:7" ht="15.75" hidden="1">
      <c r="D44" s="1245"/>
      <c r="E44" s="1246"/>
      <c r="F44" s="1246"/>
      <c r="G44" s="1246"/>
    </row>
    <row r="45" spans="4:7" ht="15.75" hidden="1">
      <c r="D45" s="1245"/>
      <c r="E45" s="1246"/>
      <c r="F45" s="1246"/>
      <c r="G45" s="1246"/>
    </row>
  </sheetData>
  <mergeCells count="46">
    <mergeCell ref="B7:C7"/>
    <mergeCell ref="F7:J7"/>
    <mergeCell ref="K7:L7"/>
    <mergeCell ref="A2:N2"/>
    <mergeCell ref="B4:C4"/>
    <mergeCell ref="B5:C5"/>
    <mergeCell ref="B6:C6"/>
    <mergeCell ref="I6:L6"/>
    <mergeCell ref="B8:C8"/>
    <mergeCell ref="F8:J8"/>
    <mergeCell ref="K8:L8"/>
    <mergeCell ref="B9:C9"/>
    <mergeCell ref="F9:J9"/>
    <mergeCell ref="K9:L9"/>
    <mergeCell ref="F10:J10"/>
    <mergeCell ref="K10:L10"/>
    <mergeCell ref="B11:C11"/>
    <mergeCell ref="A12:F12"/>
    <mergeCell ref="G12:O12"/>
    <mergeCell ref="P12:P14"/>
    <mergeCell ref="A13:D14"/>
    <mergeCell ref="E13:E14"/>
    <mergeCell ref="F13:F14"/>
    <mergeCell ref="G13:I13"/>
    <mergeCell ref="J13:O13"/>
    <mergeCell ref="A26:D26"/>
    <mergeCell ref="A15:D15"/>
    <mergeCell ref="A16:D16"/>
    <mergeCell ref="A17:D17"/>
    <mergeCell ref="A18:D18"/>
    <mergeCell ref="A19:D19"/>
    <mergeCell ref="A20:D20"/>
    <mergeCell ref="A21:D21"/>
    <mergeCell ref="A22:D22"/>
    <mergeCell ref="A23:D23"/>
    <mergeCell ref="A24:D24"/>
    <mergeCell ref="A25:D25"/>
    <mergeCell ref="D43:G43"/>
    <mergeCell ref="D44:G44"/>
    <mergeCell ref="D45:G45"/>
    <mergeCell ref="A27:D27"/>
    <mergeCell ref="D38:G38"/>
    <mergeCell ref="D39:G39"/>
    <mergeCell ref="D40:G40"/>
    <mergeCell ref="D41:G41"/>
    <mergeCell ref="D42:G42"/>
  </mergeCells>
  <dataValidations count="1">
    <dataValidation type="list" allowBlank="1" showInputMessage="1" showErrorMessage="1" sqref="A15:A26" xr:uid="{00000000-0002-0000-2000-000000000000}">
      <formula1>INDICADORESIIIÇ</formula1>
    </dataValidation>
  </dataValidations>
  <pageMargins left="0.7" right="0.7" top="0.75" bottom="0.75" header="0.3" footer="0.3"/>
  <pageSetup scale="67" orientation="portrait" r:id="rId1"/>
  <colBreaks count="1" manualBreakCount="1">
    <brk id="16" max="1048575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DA74BBA-DC14-4A1C-B20F-6D98E2D8BF1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32</vt:i4>
      </vt:variant>
      <vt:variant>
        <vt:lpstr>Rangos con nombre</vt:lpstr>
      </vt:variant>
      <vt:variant>
        <vt:i4>41</vt:i4>
      </vt:variant>
    </vt:vector>
  </HeadingPairs>
  <TitlesOfParts>
    <vt:vector size="73" baseType="lpstr">
      <vt:lpstr>Registro General</vt:lpstr>
      <vt:lpstr>REGISTRO IIS</vt:lpstr>
      <vt:lpstr>FACE</vt:lpstr>
      <vt:lpstr>SEMESTREI</vt:lpstr>
      <vt:lpstr>SEMESTRE II</vt:lpstr>
      <vt:lpstr>REGISTRO DATOS</vt:lpstr>
      <vt:lpstr>DESGLOSE - IS</vt:lpstr>
      <vt:lpstr>DESGLOSE - IIS</vt:lpstr>
      <vt:lpstr>TAREAS - IS</vt:lpstr>
      <vt:lpstr>TAREAS - IIS</vt:lpstr>
      <vt:lpstr>EXAMENES - IS</vt:lpstr>
      <vt:lpstr>PROYECTO IIS</vt:lpstr>
      <vt:lpstr>PROYECTO</vt:lpstr>
      <vt:lpstr>EXAMENES - IIS</vt:lpstr>
      <vt:lpstr>COTIDIANO - IIS</vt:lpstr>
      <vt:lpstr>COTIDIANO - IS</vt:lpstr>
      <vt:lpstr>Indicadores + Descripción</vt:lpstr>
      <vt:lpstr>Indicadores + Descripción IIS</vt:lpstr>
      <vt:lpstr>ESTADISTICA IIS</vt:lpstr>
      <vt:lpstr>ESTADISTICA</vt:lpstr>
      <vt:lpstr>REPORTE DE ASISTENCIA</vt:lpstr>
      <vt:lpstr>AVANCE DE PERIODO</vt:lpstr>
      <vt:lpstr>AVANCE DE PERIODO IIS</vt:lpstr>
      <vt:lpstr>ASISTENCIA</vt:lpstr>
      <vt:lpstr>ASISTENCIAIIS</vt:lpstr>
      <vt:lpstr>R.ASIST-IIS</vt:lpstr>
      <vt:lpstr>ACTA SEMESTRE I</vt:lpstr>
      <vt:lpstr>ACTA SEMESTRE II</vt:lpstr>
      <vt:lpstr>ACTA ANUAL</vt:lpstr>
      <vt:lpstr>ALERTA TEMPRANA</vt:lpstr>
      <vt:lpstr>TABLA.EP.IS</vt:lpstr>
      <vt:lpstr>TABLA.EP.IIS</vt:lpstr>
      <vt:lpstr>ACCIONES</vt:lpstr>
      <vt:lpstr>'ACTA ANUAL'!Área_de_impresión</vt:lpstr>
      <vt:lpstr>'ACTA SEMESTRE I'!Área_de_impresión</vt:lpstr>
      <vt:lpstr>'ACTA SEMESTRE II'!Área_de_impresión</vt:lpstr>
      <vt:lpstr>'ALERTA TEMPRANA'!Área_de_impresión</vt:lpstr>
      <vt:lpstr>'AVANCE DE PERIODO'!Área_de_impresión</vt:lpstr>
      <vt:lpstr>'AVANCE DE PERIODO IIS'!Área_de_impresión</vt:lpstr>
      <vt:lpstr>ESTADISTICA!Área_de_impresión</vt:lpstr>
      <vt:lpstr>'ESTADISTICA IIS'!Área_de_impresión</vt:lpstr>
      <vt:lpstr>TABLA.EP.IIS!Área_de_impresión</vt:lpstr>
      <vt:lpstr>TABLA.EP.IS!Área_de_impresión</vt:lpstr>
      <vt:lpstr>'ACTA ANUAL'!CONDICIÓN</vt:lpstr>
      <vt:lpstr>'ACTA SEMESTRE II'!CONDICIÓN</vt:lpstr>
      <vt:lpstr>CONDICIÓN</vt:lpstr>
      <vt:lpstr>'ACTA ANUAL'!Condiciones</vt:lpstr>
      <vt:lpstr>'ACTA SEMESTRE II'!Condiciones</vt:lpstr>
      <vt:lpstr>Condiciones</vt:lpstr>
      <vt:lpstr>'COTIDIANO - IIS'!ESCENARIOS</vt:lpstr>
      <vt:lpstr>'COTIDIANO - IS'!ESCENARIOS</vt:lpstr>
      <vt:lpstr>'EXAMENES - IIS'!ESCENARIOS</vt:lpstr>
      <vt:lpstr>'EXAMENES - IS'!ESCENARIOS</vt:lpstr>
      <vt:lpstr>'Registro General respaldo'!ESCENARIOS</vt:lpstr>
      <vt:lpstr>'REGISTRO IIS'!ESCENARIOS</vt:lpstr>
      <vt:lpstr>'TAREAS - IIS'!ESCENARIOS</vt:lpstr>
      <vt:lpstr>'TAREAS - IS'!ESCENARIOS</vt:lpstr>
      <vt:lpstr>ESCENARIOS</vt:lpstr>
      <vt:lpstr>ESTADOS</vt:lpstr>
      <vt:lpstr>'Indicadores + Descripción IIS'!INDICADORES</vt:lpstr>
      <vt:lpstr>INDICADORES</vt:lpstr>
      <vt:lpstr>INDICADORESII</vt:lpstr>
      <vt:lpstr>INDICADORESIIIÇ</vt:lpstr>
      <vt:lpstr>LISTA</vt:lpstr>
      <vt:lpstr>'COTIDIANO - IIS'!SECCIÓN</vt:lpstr>
      <vt:lpstr>'COTIDIANO - IS'!SECCIÓN</vt:lpstr>
      <vt:lpstr>'EXAMENES - IIS'!SECCIÓN</vt:lpstr>
      <vt:lpstr>'EXAMENES - IS'!SECCIÓN</vt:lpstr>
      <vt:lpstr>'Registro General respaldo'!SECCIÓN</vt:lpstr>
      <vt:lpstr>'REGISTRO IIS'!SECCIÓN</vt:lpstr>
      <vt:lpstr>'TAREAS - IIS'!SECCIÓN</vt:lpstr>
      <vt:lpstr>'TAREAS - IS'!SECCIÓN</vt:lpstr>
      <vt:lpstr>SECCIÓN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Judith Cubero Ocampo</dc:creator>
  <cp:lastModifiedBy>Asus</cp:lastModifiedBy>
  <cp:lastPrinted>2023-02-03T22:14:41Z</cp:lastPrinted>
  <dcterms:created xsi:type="dcterms:W3CDTF">2019-10-24T15:21:59Z</dcterms:created>
  <dcterms:modified xsi:type="dcterms:W3CDTF">2026-06-06T00:12:46Z</dcterms:modified>
</cp:coreProperties>
</file>