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ATIF\DocsDev\Dr.Atif's Rock Physics Playground\Gassmann worksheet\"/>
    </mc:Choice>
  </mc:AlternateContent>
  <xr:revisionPtr revIDLastSave="0" documentId="13_ncr:1_{D82810D5-9B49-4D91-948F-89D128557428}" xr6:coauthVersionLast="44" xr6:coauthVersionMax="44" xr10:uidLastSave="{00000000-0000-0000-0000-000000000000}"/>
  <workbookProtection workbookAlgorithmName="SHA-512" workbookHashValue="mog57Z+sgwHQeqWeAc0fzGVxMHwl7bEfDBgQtmaDtVOTJVnkrhwOYjv+jO7fXDrKp8LM7ZXTck3s2jMkXbZWPA==" workbookSaltValue="HJZgQ3bl0SG4voEN/Vcz6A==" workbookSpinCount="100000" lockStructure="1"/>
  <bookViews>
    <workbookView xWindow="28680" yWindow="-120" windowWidth="29040" windowHeight="15990" xr2:uid="{AB315EA2-E7AE-415A-B64F-E8500DE40BF7}"/>
  </bookViews>
  <sheets>
    <sheet name="Gassmann" sheetId="1" r:id="rId1"/>
  </sheets>
  <definedNames>
    <definedName name="alpha">Gassmann!$C$36</definedName>
    <definedName name="K_1">Gassmann!$I$33</definedName>
    <definedName name="K_2">Gassmann!$J$33</definedName>
    <definedName name="Kcal">Gassmann!$D$13</definedName>
    <definedName name="Kcl">Gassmann!$D$15</definedName>
    <definedName name="Kdol">Gassmann!$D$14</definedName>
    <definedName name="Kdry">Gassmann!$C$34</definedName>
    <definedName name="Kdry_Kmat">Gassmann!$C$35</definedName>
    <definedName name="Kf_1">Gassmann!$I$20</definedName>
    <definedName name="Kf_2">Gassmann!$J$20</definedName>
    <definedName name="Kg">Gassmann!$K$13</definedName>
    <definedName name="Kg_1">Gassmann!$K$13</definedName>
    <definedName name="Kg_2">Gassmann!#REF!</definedName>
    <definedName name="Klb">Gassmann!$D$20</definedName>
    <definedName name="Kmat">Gassmann!$D$22</definedName>
    <definedName name="Ko">Gassmann!$K$14</definedName>
    <definedName name="Ko_1">Gassmann!$K$14</definedName>
    <definedName name="Ko_2">Gassmann!#REF!</definedName>
    <definedName name="Kqz">Gassmann!$D$12</definedName>
    <definedName name="Kub">Gassmann!$D$19</definedName>
    <definedName name="Kvoigt">Gassmann!$D$19</definedName>
    <definedName name="Kw">Gassmann!$K$15</definedName>
    <definedName name="Kw_1">Gassmann!$K$15</definedName>
    <definedName name="Kw_2">Gassmann!#REF!</definedName>
    <definedName name="MU_1">Gassmann!$I$34</definedName>
    <definedName name="MU_2">Gassmann!$J$34</definedName>
    <definedName name="MUcal">Gassmann!$E$13</definedName>
    <definedName name="MUcl">Gassmann!$E$15</definedName>
    <definedName name="MUdol">Gassmann!$E$14</definedName>
    <definedName name="MUlb">Gassmann!$E$20</definedName>
    <definedName name="MUmat">Gassmann!$E$22</definedName>
    <definedName name="MUqz">Gassmann!$E$12</definedName>
    <definedName name="MUub">Gassmann!$E$19</definedName>
    <definedName name="Phi">Gassmann!$I$32</definedName>
    <definedName name="PR_1">Gassmann!$I$36</definedName>
    <definedName name="PR_2">Gassmann!$J$36</definedName>
    <definedName name="RHOavg">Gassmann!$F$19</definedName>
    <definedName name="Rhob_1">Gassmann!$I$31</definedName>
    <definedName name="Rhob_2">Gassmann!$J$31</definedName>
    <definedName name="RHOcal">Gassmann!$F$13</definedName>
    <definedName name="RHOcl">Gassmann!$F$15</definedName>
    <definedName name="RHOdol">Gassmann!$F$14</definedName>
    <definedName name="RHOf_1">Gassmann!$I$21</definedName>
    <definedName name="RHOf_2">Gassmann!$J$21</definedName>
    <definedName name="RHOg">Gassmann!$L$13</definedName>
    <definedName name="RHOg_1">Gassmann!$L$13</definedName>
    <definedName name="RHOg_2">Gassmann!#REF!</definedName>
    <definedName name="RHOmat">Gassmann!$F$22</definedName>
    <definedName name="RHOo">Gassmann!$L$14</definedName>
    <definedName name="RHOo_1">Gassmann!$L$14</definedName>
    <definedName name="RHOo_2">Gassmann!#REF!</definedName>
    <definedName name="RHOqz">Gassmann!$F$12</definedName>
    <definedName name="RHOw">Gassmann!$L$15</definedName>
    <definedName name="RHOw_1">Gassmann!$L$15</definedName>
    <definedName name="RHOw_2">Gassmann!#REF!</definedName>
    <definedName name="Sf_1">Gassmann!$I$17</definedName>
    <definedName name="Sf_2">Gassmann!$J$17</definedName>
    <definedName name="Sg_1">Gassmann!$I$13</definedName>
    <definedName name="Sg_2">Gassmann!$J$13</definedName>
    <definedName name="So_1">Gassmann!$I$14</definedName>
    <definedName name="So_2">Gassmann!$J$14</definedName>
    <definedName name="Sw_1">Gassmann!$I$15</definedName>
    <definedName name="Sw_2">Gassmann!$J$15</definedName>
    <definedName name="Vcal">Gassmann!$C$13</definedName>
    <definedName name="Vcl">Gassmann!$C$15</definedName>
    <definedName name="Vdol">Gassmann!$C$14</definedName>
    <definedName name="Vmat">Gassmann!$C$17</definedName>
    <definedName name="Vp_1">Gassmann!$I$29</definedName>
    <definedName name="Vp_2">Gassmann!$J$29</definedName>
    <definedName name="VpVs_1">Gassmann!$I$35</definedName>
    <definedName name="VpVs_2">Gassmann!$J$35</definedName>
    <definedName name="Vqz">Gassmann!$C$12</definedName>
    <definedName name="Vs_1">Gassmann!$I$30</definedName>
    <definedName name="Vs_2">Gassmann!$J$30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3" i="1" l="1"/>
  <c r="J15" i="1" l="1"/>
  <c r="J17" i="1" s="1"/>
  <c r="J20" i="1" l="1"/>
  <c r="J21" i="1"/>
  <c r="I34" i="1"/>
  <c r="J34" i="1" s="1"/>
  <c r="L34" i="1" s="1"/>
  <c r="I35" i="1"/>
  <c r="I36" i="1" s="1"/>
  <c r="I15" i="1"/>
  <c r="I17" i="1" s="1"/>
  <c r="C15" i="1"/>
  <c r="C17" i="1" s="1"/>
  <c r="I20" i="1" l="1"/>
  <c r="I21" i="1"/>
  <c r="F19" i="1"/>
  <c r="F22" i="1" s="1"/>
  <c r="E19" i="1"/>
  <c r="D19" i="1"/>
  <c r="E20" i="1"/>
  <c r="D20" i="1"/>
  <c r="I32" i="1" l="1"/>
  <c r="D22" i="1"/>
  <c r="E22" i="1"/>
  <c r="J32" i="1" l="1"/>
  <c r="L32" i="1" s="1"/>
  <c r="J31" i="1"/>
  <c r="L31" i="1" s="1"/>
  <c r="C29" i="1"/>
  <c r="C30" i="1"/>
  <c r="J30" i="1" l="1"/>
  <c r="L30" i="1" s="1"/>
  <c r="C31" i="1"/>
  <c r="C34" i="1" s="1"/>
  <c r="C35" i="1" l="1"/>
  <c r="C36" i="1" l="1"/>
  <c r="J33" i="1" s="1"/>
  <c r="L33" i="1" s="1"/>
  <c r="J29" i="1" l="1"/>
  <c r="J35" i="1" l="1"/>
  <c r="L29" i="1"/>
  <c r="J36" i="1" l="1"/>
  <c r="L36" i="1" s="1"/>
  <c r="L3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Atif Nawaz</author>
  </authors>
  <commentList>
    <comment ref="K11" authorId="0" shapeId="0" xr:uid="{31C0096E-86C4-4B3C-86F6-729EE060E0EF}">
      <text>
        <r>
          <rPr>
            <sz val="9"/>
            <color indexed="81"/>
            <rFont val="Tahoma"/>
            <family val="2"/>
          </rPr>
          <t>Use Batzle and Wang (1992) equations to fill the reservoir fluid properties if the reservoir conditions are known. Otherwise, leave them as they are.
To "Reset" any of these values to default, pick the values from the drop-down icon that appears when you select the cell.</t>
        </r>
      </text>
    </comment>
    <comment ref="B12" authorId="0" shapeId="0" xr:uid="{839D0002-FD38-4998-9A51-5EEC6D410F94}">
      <text>
        <r>
          <rPr>
            <sz val="9"/>
            <color indexed="81"/>
            <rFont val="Tahoma"/>
            <family val="2"/>
          </rPr>
          <t>Greenberg &amp; Castagna (1992)</t>
        </r>
      </text>
    </comment>
    <comment ref="B13" authorId="0" shapeId="0" xr:uid="{8D03E354-CCAC-4E3F-A42E-8B7BAD994430}">
      <text>
        <r>
          <rPr>
            <sz val="9"/>
            <color indexed="81"/>
            <rFont val="Tahoma"/>
            <family val="2"/>
          </rPr>
          <t>Greenberg &amp; Castagna (1992)</t>
        </r>
      </text>
    </comment>
    <comment ref="B14" authorId="0" shapeId="0" xr:uid="{91B9C130-DF50-4057-ACA5-A7B9EADDC9BD}">
      <text>
        <r>
          <rPr>
            <sz val="9"/>
            <color indexed="81"/>
            <rFont val="Tahoma"/>
            <family val="2"/>
          </rPr>
          <t>Mavko et al. (1998)</t>
        </r>
      </text>
    </comment>
    <comment ref="B15" authorId="0" shapeId="0" xr:uid="{5A2B7602-7623-4016-AB9C-0ED6D0E5ADE2}">
      <text>
        <r>
          <rPr>
            <sz val="9"/>
            <color indexed="81"/>
            <rFont val="Tahoma"/>
            <family val="2"/>
          </rPr>
          <t xml:space="preserve">Clay properties are taken from: Mavko et al. (1998).
</t>
        </r>
        <r>
          <rPr>
            <b/>
            <sz val="9"/>
            <color indexed="81"/>
            <rFont val="Tahoma"/>
            <family val="2"/>
          </rPr>
          <t>Note:</t>
        </r>
        <r>
          <rPr>
            <sz val="9"/>
            <color indexed="81"/>
            <rFont val="Tahoma"/>
            <family val="2"/>
          </rPr>
          <t xml:space="preserve">
Clay fraction is automatically computed under the condition that mineral fractions must sum to 1.</t>
        </r>
      </text>
    </comment>
    <comment ref="H15" authorId="0" shapeId="0" xr:uid="{B1BC7F7F-D10D-467C-9E63-69491B6CDE5C}">
      <text>
        <r>
          <rPr>
            <b/>
            <sz val="9"/>
            <color indexed="81"/>
            <rFont val="Tahoma"/>
            <family val="2"/>
          </rPr>
          <t xml:space="preserve">Note:
</t>
        </r>
        <r>
          <rPr>
            <sz val="9"/>
            <color indexed="81"/>
            <rFont val="Tahoma"/>
            <family val="2"/>
          </rPr>
          <t>Water (brine) saturation is automatically computed under the condition that fluid saturations must sum to 1.</t>
        </r>
      </text>
    </comment>
    <comment ref="B17" authorId="0" shapeId="0" xr:uid="{2FE5836D-847F-46E4-8D54-04709C84A659}">
      <text>
        <r>
          <rPr>
            <b/>
            <sz val="9"/>
            <color indexed="81"/>
            <rFont val="Tahoma"/>
            <family val="2"/>
          </rPr>
          <t xml:space="preserve">Note:
</t>
        </r>
        <r>
          <rPr>
            <sz val="9"/>
            <color indexed="81"/>
            <rFont val="Tahoma"/>
            <family val="2"/>
          </rPr>
          <t>Saturations must sum to 1.
If they don't, this cell and the cells with computed matrix average properties will turn red</t>
        </r>
      </text>
    </comment>
    <comment ref="H17" authorId="0" shapeId="0" xr:uid="{6696F0FA-4AED-4FD9-B31B-2B213653E2FB}">
      <text>
        <r>
          <rPr>
            <b/>
            <sz val="9"/>
            <color indexed="81"/>
            <rFont val="Tahoma"/>
            <family val="2"/>
          </rPr>
          <t xml:space="preserve">Note:
</t>
        </r>
        <r>
          <rPr>
            <sz val="9"/>
            <color indexed="81"/>
            <rFont val="Tahoma"/>
            <family val="2"/>
          </rPr>
          <t>Saturations must sum to 1.
If they don't, these cell and the cells with computed fluid average properties will turn red.</t>
        </r>
      </text>
    </comment>
    <comment ref="I27" authorId="0" shapeId="0" xr:uid="{8F4FEB49-B05F-4685-817C-F2AC610018BB}">
      <text>
        <r>
          <rPr>
            <sz val="9"/>
            <color indexed="81"/>
            <rFont val="Tahoma"/>
            <family val="2"/>
          </rPr>
          <t>In-situ bulk rock properties obtained from seismic, well log, core or any other source of data.</t>
        </r>
      </text>
    </comment>
    <comment ref="J27" authorId="0" shapeId="0" xr:uid="{52DC0B2E-E1B5-4C23-B6F4-39FD3D2D6B3D}">
      <text>
        <r>
          <rPr>
            <b/>
            <sz val="9"/>
            <color indexed="81"/>
            <rFont val="Tahoma"/>
            <family val="2"/>
          </rPr>
          <t>Fluid Substitution Modelling Results:</t>
        </r>
        <r>
          <rPr>
            <sz val="9"/>
            <color indexed="81"/>
            <rFont val="Tahoma"/>
            <family val="2"/>
          </rPr>
          <t xml:space="preserve">
Simulated bulk rock properties after reservoir fluid replacement.</t>
        </r>
      </text>
    </comment>
  </commentList>
</comments>
</file>

<file path=xl/sharedStrings.xml><?xml version="1.0" encoding="utf-8"?>
<sst xmlns="http://schemas.openxmlformats.org/spreadsheetml/2006/main" count="75" uniqueCount="62">
  <si>
    <t>Mineral</t>
  </si>
  <si>
    <t>Quartz</t>
  </si>
  <si>
    <t>Calcite</t>
  </si>
  <si>
    <t>Dolomite</t>
  </si>
  <si>
    <t>K (GPa)</t>
  </si>
  <si>
    <t>Mu (GPa)</t>
  </si>
  <si>
    <t>Matrix Properties</t>
  </si>
  <si>
    <t>Clay</t>
  </si>
  <si>
    <t>Voigt upper bound</t>
  </si>
  <si>
    <t>Reuss lower bound</t>
  </si>
  <si>
    <t>Matrix (average)</t>
  </si>
  <si>
    <t>Gas</t>
  </si>
  <si>
    <t>Oil</t>
  </si>
  <si>
    <t>Volume Sum (QC)</t>
  </si>
  <si>
    <t>Saturation Sum (QC)</t>
  </si>
  <si>
    <t>Volume (%)</t>
  </si>
  <si>
    <t>Water</t>
  </si>
  <si>
    <t>Fluid-1 (average)</t>
  </si>
  <si>
    <t>MPa</t>
  </si>
  <si>
    <t>(unitless)</t>
  </si>
  <si>
    <t>Value</t>
  </si>
  <si>
    <t>Property</t>
  </si>
  <si>
    <t>g/cm³</t>
  </si>
  <si>
    <t>K (MPa)</t>
  </si>
  <si>
    <t>GPa</t>
  </si>
  <si>
    <t>m/s</t>
  </si>
  <si>
    <t>P-wave velocity (Vp)</t>
  </si>
  <si>
    <t>S-wave velocity (Vs)</t>
  </si>
  <si>
    <t>Bulk density (Rhob)</t>
  </si>
  <si>
    <t>Vp/Vs Ratio (VpVs)</t>
  </si>
  <si>
    <t>Poisson's ratio (PR)</t>
  </si>
  <si>
    <t>Bulk modulus (K)</t>
  </si>
  <si>
    <t>Shear modulus (Mu)</t>
  </si>
  <si>
    <t>Bulk modulus (Kdry)</t>
  </si>
  <si>
    <t>Intermediate Calculations</t>
  </si>
  <si>
    <t>Phi/Kf</t>
  </si>
  <si>
    <t>Porosity (Phi)</t>
  </si>
  <si>
    <t>(1-Phi)/Kmat</t>
  </si>
  <si>
    <r>
      <t>GPa</t>
    </r>
    <r>
      <rPr>
        <vertAlign val="superscript"/>
        <sz val="11"/>
        <color theme="1"/>
        <rFont val="Calibri"/>
        <family val="2"/>
        <scheme val="minor"/>
      </rPr>
      <t>-1</t>
    </r>
  </si>
  <si>
    <t>Phi/Kf + (1-Phi)/Kmat</t>
  </si>
  <si>
    <t>Biot's coefficient (alpha)</t>
  </si>
  <si>
    <t>Frame to matrix K ratio</t>
  </si>
  <si>
    <t>Initial</t>
  </si>
  <si>
    <t>Final</t>
  </si>
  <si>
    <t>Rock Frame Properties</t>
  </si>
  <si>
    <t>Fluid Average Bulk Modulus (Kf)</t>
  </si>
  <si>
    <t>Fluid Average Density (Rhof)</t>
  </si>
  <si>
    <t>Saturations</t>
  </si>
  <si>
    <t>Fluid properties under reservoir conditions</t>
  </si>
  <si>
    <t>Reservoir Fluid Type</t>
  </si>
  <si>
    <t>Rho (g/cm³)</t>
  </si>
  <si>
    <t>Unit</t>
  </si>
  <si>
    <t>Initial Value</t>
  </si>
  <si>
    <t>Final Value</t>
  </si>
  <si>
    <t>Fluid Properties</t>
  </si>
  <si>
    <t>Saturated Rock Properties (Gassmann Fluid Substitution)</t>
  </si>
  <si>
    <t>Instructions:</t>
  </si>
  <si>
    <r>
      <t xml:space="preserve">Move the cursor to any cell to see the note if a </t>
    </r>
    <r>
      <rPr>
        <b/>
        <sz val="11"/>
        <color rgb="FFFF0000"/>
        <rFont val="Calibri"/>
        <family val="2"/>
        <scheme val="minor"/>
      </rPr>
      <t>RED TRIANGLE</t>
    </r>
    <r>
      <rPr>
        <sz val="11"/>
        <color theme="1"/>
        <rFont val="Calibri"/>
        <family val="2"/>
        <scheme val="minor"/>
      </rPr>
      <t xml:space="preserve"> appears on that cell, and select any cell to see the formula entered in that cell.</t>
    </r>
  </si>
  <si>
    <t>Gassmann Fluid Substitution Modelling (v 1.0)</t>
  </si>
  <si>
    <t>Percent change (%)</t>
  </si>
  <si>
    <r>
      <t>This worksheet is a part of the "</t>
    </r>
    <r>
      <rPr>
        <b/>
        <sz val="11"/>
        <color theme="1"/>
        <rFont val="Calibri"/>
        <family val="2"/>
        <scheme val="minor"/>
      </rPr>
      <t>Rock Physics Playground</t>
    </r>
    <r>
      <rPr>
        <sz val="11"/>
        <color theme="1"/>
        <rFont val="Calibri"/>
        <family val="2"/>
        <scheme val="minor"/>
      </rPr>
      <t xml:space="preserve">" by  </t>
    </r>
    <r>
      <rPr>
        <b/>
        <sz val="11"/>
        <color theme="1"/>
        <rFont val="Calibri"/>
        <family val="2"/>
        <scheme val="minor"/>
      </rPr>
      <t>Dr. Atif</t>
    </r>
    <r>
      <rPr>
        <sz val="11"/>
        <color theme="1"/>
        <rFont val="Calibri"/>
        <family val="2"/>
        <scheme val="minor"/>
      </rPr>
      <t>. For any queries, please contact</t>
    </r>
    <r>
      <rPr>
        <b/>
        <sz val="11"/>
        <color theme="1"/>
        <rFont val="Calibri"/>
        <family val="2"/>
        <scheme val="minor"/>
      </rPr>
      <t xml:space="preserve"> (geoatif@msn.com)</t>
    </r>
    <r>
      <rPr>
        <sz val="11"/>
        <color theme="1"/>
        <rFont val="Calibri"/>
        <family val="2"/>
        <scheme val="minor"/>
      </rPr>
      <t>.</t>
    </r>
  </si>
  <si>
    <r>
      <t xml:space="preserve">Enter the required inputs in the cells </t>
    </r>
    <r>
      <rPr>
        <sz val="11"/>
        <rFont val="Calibri"/>
        <family val="2"/>
        <scheme val="minor"/>
      </rPr>
      <t>with</t>
    </r>
    <r>
      <rPr>
        <b/>
        <sz val="11"/>
        <color rgb="FF00B050"/>
        <rFont val="Calibri"/>
        <family val="2"/>
        <scheme val="minor"/>
      </rPr>
      <t xml:space="preserve"> GREEN</t>
    </r>
    <r>
      <rPr>
        <sz val="11"/>
        <rFont val="Calibri"/>
        <family val="2"/>
        <scheme val="minor"/>
      </rPr>
      <t xml:space="preserve"> font</t>
    </r>
    <r>
      <rPr>
        <sz val="11"/>
        <color theme="1"/>
        <rFont val="Calibri"/>
        <family val="2"/>
        <scheme val="minor"/>
      </rPr>
      <t xml:space="preserve">. The fluid substitution results are shown in the cells with </t>
    </r>
    <r>
      <rPr>
        <b/>
        <sz val="11"/>
        <color rgb="FF0070C0"/>
        <rFont val="Calibri"/>
        <family val="2"/>
        <scheme val="minor"/>
      </rPr>
      <t>BLUE</t>
    </r>
    <r>
      <rPr>
        <sz val="11"/>
        <color theme="1"/>
        <rFont val="Calibri"/>
        <family val="2"/>
        <scheme val="minor"/>
      </rPr>
      <t xml:space="preserve"> font.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</si>
</sst>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16" x14ac:knownFonts="1">
    <font>
      <sz val="11"/>
      <color theme="1"/>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b/>
      <sz val="12"/>
      <color theme="0"/>
      <name val="Calibri"/>
      <family val="2"/>
      <scheme val="minor"/>
    </font>
    <font>
      <b/>
      <sz val="9"/>
      <color indexed="81"/>
      <name val="Tahoma"/>
      <family val="2"/>
    </font>
    <font>
      <sz val="9"/>
      <color indexed="81"/>
      <name val="Tahoma"/>
      <family val="2"/>
    </font>
    <font>
      <u/>
      <sz val="11"/>
      <color theme="10"/>
      <name val="Calibri"/>
      <family val="2"/>
      <scheme val="minor"/>
    </font>
    <font>
      <vertAlign val="superscript"/>
      <sz val="11"/>
      <color theme="1"/>
      <name val="Calibri"/>
      <family val="2"/>
      <scheme val="minor"/>
    </font>
    <font>
      <b/>
      <sz val="11"/>
      <color rgb="FF0070C0"/>
      <name val="Calibri"/>
      <family val="2"/>
      <scheme val="minor"/>
    </font>
    <font>
      <b/>
      <sz val="11"/>
      <color rgb="FF00B050"/>
      <name val="Calibri"/>
      <family val="2"/>
      <scheme val="minor"/>
    </font>
    <font>
      <sz val="8"/>
      <name val="Calibri"/>
      <family val="2"/>
      <scheme val="minor"/>
    </font>
    <font>
      <sz val="11"/>
      <name val="Calibri"/>
      <family val="2"/>
      <scheme val="minor"/>
    </font>
    <font>
      <b/>
      <sz val="14"/>
      <color theme="0"/>
      <name val="Calibri"/>
      <family val="2"/>
      <scheme val="minor"/>
    </font>
    <font>
      <sz val="14"/>
      <color theme="1"/>
      <name val="Calibri"/>
      <family val="2"/>
      <scheme val="minor"/>
    </font>
    <font>
      <b/>
      <sz val="20"/>
      <color theme="0"/>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165" fontId="0" fillId="4" borderId="0" xfId="0" applyNumberFormat="1" applyFill="1"/>
    <xf numFmtId="2" fontId="0" fillId="4" borderId="0" xfId="0" applyNumberFormat="1" applyFill="1"/>
    <xf numFmtId="0" fontId="0" fillId="4" borderId="4" xfId="0" applyFill="1" applyBorder="1"/>
    <xf numFmtId="2" fontId="0" fillId="4" borderId="5" xfId="0" applyNumberFormat="1" applyFill="1" applyBorder="1"/>
    <xf numFmtId="0" fontId="0" fillId="4" borderId="6" xfId="0" applyFill="1" applyBorder="1"/>
    <xf numFmtId="0" fontId="0" fillId="4" borderId="7" xfId="0" applyFill="1" applyBorder="1"/>
    <xf numFmtId="164" fontId="0" fillId="4" borderId="7" xfId="0" applyNumberFormat="1" applyFill="1" applyBorder="1"/>
    <xf numFmtId="0" fontId="0" fillId="4" borderId="8" xfId="0" applyFill="1" applyBorder="1"/>
    <xf numFmtId="0" fontId="2" fillId="4" borderId="4" xfId="0" applyFont="1" applyFill="1" applyBorder="1"/>
    <xf numFmtId="0" fontId="0" fillId="4" borderId="10" xfId="0" applyFill="1" applyBorder="1"/>
    <xf numFmtId="2" fontId="0" fillId="4" borderId="11" xfId="0" applyNumberFormat="1" applyFill="1" applyBorder="1"/>
    <xf numFmtId="2" fontId="0" fillId="4" borderId="12" xfId="0" applyNumberFormat="1" applyFill="1" applyBorder="1"/>
    <xf numFmtId="2" fontId="0" fillId="4" borderId="0" xfId="0" applyNumberFormat="1" applyFill="1" applyBorder="1"/>
    <xf numFmtId="164" fontId="0" fillId="4" borderId="8" xfId="0" applyNumberFormat="1" applyFill="1" applyBorder="1"/>
    <xf numFmtId="0" fontId="2" fillId="4" borderId="4" xfId="0" applyFont="1" applyFill="1" applyBorder="1" applyAlignment="1">
      <alignment horizontal="left"/>
    </xf>
    <xf numFmtId="0" fontId="0" fillId="4" borderId="4" xfId="0" applyFont="1" applyFill="1" applyBorder="1" applyAlignment="1">
      <alignment horizontal="left"/>
    </xf>
    <xf numFmtId="0" fontId="2" fillId="4" borderId="0" xfId="0" applyFont="1" applyFill="1" applyBorder="1" applyAlignment="1">
      <alignment horizontal="left"/>
    </xf>
    <xf numFmtId="0" fontId="1" fillId="3" borderId="9" xfId="0" applyFont="1" applyFill="1" applyBorder="1" applyAlignment="1">
      <alignment horizontal="center" vertical="center"/>
    </xf>
    <xf numFmtId="2" fontId="9" fillId="4" borderId="0" xfId="0" applyNumberFormat="1" applyFont="1" applyFill="1"/>
    <xf numFmtId="2" fontId="10" fillId="0" borderId="9" xfId="0" applyNumberFormat="1" applyFont="1" applyFill="1" applyBorder="1"/>
    <xf numFmtId="0" fontId="0" fillId="4" borderId="0" xfId="0" applyFill="1" applyBorder="1"/>
    <xf numFmtId="164" fontId="0" fillId="4" borderId="0" xfId="0" applyNumberFormat="1" applyFill="1" applyBorder="1"/>
    <xf numFmtId="0" fontId="0" fillId="4" borderId="0" xfId="0" applyFill="1"/>
    <xf numFmtId="2" fontId="4" fillId="3" borderId="9" xfId="0" applyNumberFormat="1" applyFont="1" applyFill="1" applyBorder="1"/>
    <xf numFmtId="0" fontId="14" fillId="0" borderId="0" xfId="0" applyFont="1"/>
    <xf numFmtId="0" fontId="0" fillId="4" borderId="13" xfId="0" applyFill="1" applyBorder="1"/>
    <xf numFmtId="166" fontId="2" fillId="4" borderId="5" xfId="0" applyNumberFormat="1" applyFont="1" applyFill="1" applyBorder="1"/>
    <xf numFmtId="0" fontId="0" fillId="4" borderId="0" xfId="0" applyFill="1" applyBorder="1" applyAlignment="1">
      <alignment horizontal="center"/>
    </xf>
    <xf numFmtId="0" fontId="7" fillId="4" borderId="7" xfId="1" applyFill="1" applyBorder="1" applyAlignment="1">
      <alignment horizontal="center"/>
    </xf>
    <xf numFmtId="0" fontId="0" fillId="4" borderId="7" xfId="0" applyFill="1" applyBorder="1" applyAlignment="1">
      <alignment horizontal="center"/>
    </xf>
    <xf numFmtId="0" fontId="0" fillId="4" borderId="10" xfId="0" applyFill="1" applyBorder="1" applyAlignment="1">
      <alignment horizontal="left"/>
    </xf>
    <xf numFmtId="0" fontId="0" fillId="4" borderId="11" xfId="0" applyFill="1" applyBorder="1" applyAlignment="1">
      <alignment horizontal="left"/>
    </xf>
    <xf numFmtId="0" fontId="0" fillId="4" borderId="12" xfId="0" applyFill="1" applyBorder="1" applyAlignment="1">
      <alignment horizontal="left"/>
    </xf>
    <xf numFmtId="0" fontId="0" fillId="4" borderId="4"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3" fillId="2" borderId="1" xfId="0" applyFont="1" applyFill="1" applyBorder="1" applyAlignment="1">
      <alignment horizontal="left"/>
    </xf>
    <xf numFmtId="0" fontId="13" fillId="2" borderId="2" xfId="0" applyFont="1" applyFill="1" applyBorder="1" applyAlignment="1">
      <alignment horizontal="left"/>
    </xf>
    <xf numFmtId="0" fontId="13" fillId="2" borderId="3" xfId="0" applyFont="1" applyFill="1" applyBorder="1" applyAlignment="1">
      <alignment horizontal="left"/>
    </xf>
    <xf numFmtId="0" fontId="15" fillId="2" borderId="1"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4" borderId="4" xfId="0" applyFont="1" applyFill="1" applyBorder="1" applyAlignment="1">
      <alignment horizontal="center"/>
    </xf>
    <xf numFmtId="0" fontId="2" fillId="4" borderId="5" xfId="0" applyFont="1" applyFill="1" applyBorder="1" applyAlignment="1">
      <alignment horizontal="center"/>
    </xf>
    <xf numFmtId="0" fontId="1" fillId="3" borderId="9" xfId="0" applyFont="1" applyFill="1" applyBorder="1" applyAlignment="1">
      <alignment horizontal="center" vertical="center"/>
    </xf>
  </cellXfs>
  <cellStyles count="2">
    <cellStyle name="Hyperlink" xfId="1" builtinId="8"/>
    <cellStyle name="Normal" xfId="0" builtinId="0"/>
  </cellStyles>
  <dxfs count="7">
    <dxf>
      <font>
        <b/>
        <i val="0"/>
        <color rgb="FF0070C0"/>
      </font>
    </dxf>
    <dxf>
      <font>
        <b/>
        <i val="0"/>
        <color rgb="FFC00000"/>
      </font>
      <border>
        <vertical/>
        <horizontal/>
      </border>
    </dxf>
    <dxf>
      <font>
        <b/>
        <i val="0"/>
        <color rgb="FFFFFF00"/>
      </font>
      <fill>
        <patternFill>
          <bgColor rgb="FFFF0000"/>
        </patternFill>
      </fill>
      <border>
        <vertical/>
        <horizontal/>
      </border>
    </dxf>
    <dxf>
      <font>
        <b/>
        <i val="0"/>
        <color rgb="FFFFFF00"/>
      </font>
      <fill>
        <patternFill>
          <bgColor rgb="FFFF0000"/>
        </patternFill>
      </fill>
      <border>
        <vertical/>
        <horizontal/>
      </border>
    </dxf>
    <dxf>
      <font>
        <b/>
        <i val="0"/>
        <color rgb="FFFFFF00"/>
      </font>
      <numFmt numFmtId="2" formatCode="0.00"/>
      <fill>
        <patternFill>
          <bgColor rgb="FFFF0000"/>
        </patternFill>
      </fill>
      <border>
        <left style="thin">
          <color rgb="FFFFFF00"/>
        </left>
        <right style="thin">
          <color rgb="FFFFFF00"/>
        </right>
        <top style="thin">
          <color rgb="FFFFFF00"/>
        </top>
        <bottom style="thin">
          <color rgb="FFFFFF00"/>
        </bottom>
        <vertical/>
        <horizontal/>
      </border>
    </dxf>
    <dxf>
      <font>
        <b/>
        <i val="0"/>
        <color rgb="FFFFFF00"/>
      </font>
      <fill>
        <patternFill>
          <bgColor rgb="FFFF0000"/>
        </patternFill>
      </fill>
    </dxf>
    <dxf>
      <font>
        <b/>
        <i val="0"/>
        <color rgb="FFFFFF00"/>
      </font>
      <numFmt numFmtId="2" formatCode="0.00"/>
      <fill>
        <patternFill>
          <bgColor rgb="FFFF0000"/>
        </patternFill>
      </fill>
      <border>
        <left style="thin">
          <color rgb="FFFFFF00"/>
        </left>
        <right style="thin">
          <color rgb="FFFFFF00"/>
        </right>
        <top style="thin">
          <color rgb="FFFFFF00"/>
        </top>
        <bottom style="thin">
          <color rgb="FFFFFF00"/>
        </bottom>
        <vertical/>
        <horizontal/>
      </border>
    </dxf>
  </dxfs>
  <tableStyles count="0" defaultTableStyle="TableStyleMedium2" defaultPivotStyle="PivotStyleLight16"/>
  <colors>
    <mruColors>
      <color rgb="FF007434"/>
      <color rgb="FFFF00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A427-EF88-4F04-8348-2131B98A8064}">
  <sheetPr codeName="Sheet4"/>
  <dimension ref="A1:Q50"/>
  <sheetViews>
    <sheetView tabSelected="1" zoomScale="85" zoomScaleNormal="85" workbookViewId="0">
      <selection activeCell="B2" sqref="B2:L2"/>
    </sheetView>
  </sheetViews>
  <sheetFormatPr defaultColWidth="0" defaultRowHeight="0" customHeight="1" zeroHeight="1" x14ac:dyDescent="0.25"/>
  <cols>
    <col min="1" max="1" width="5.7109375" style="31" customWidth="1"/>
    <col min="2" max="2" width="22.7109375" customWidth="1"/>
    <col min="3" max="6" width="12.7109375" customWidth="1"/>
    <col min="7" max="7" width="9.140625" customWidth="1"/>
    <col min="8" max="8" width="31.140625" customWidth="1"/>
    <col min="9" max="10" width="18.7109375" customWidth="1"/>
    <col min="11" max="12" width="20.7109375" customWidth="1"/>
    <col min="13" max="13" width="5.7109375" style="31" customWidth="1"/>
    <col min="14" max="14" width="22.7109375" hidden="1" customWidth="1"/>
    <col min="15" max="17" width="12.7109375" hidden="1" customWidth="1"/>
    <col min="18" max="16384" width="9.140625" hidden="1"/>
  </cols>
  <sheetData>
    <row r="1" spans="1:13" s="26" customFormat="1" ht="15" customHeight="1" x14ac:dyDescent="0.25">
      <c r="A1" s="31"/>
      <c r="B1" s="32"/>
      <c r="C1" s="33"/>
      <c r="D1" s="33"/>
      <c r="E1" s="33"/>
      <c r="F1" s="33"/>
      <c r="G1" s="33"/>
      <c r="H1" s="33"/>
      <c r="I1" s="33"/>
      <c r="J1" s="33"/>
      <c r="K1" s="33"/>
      <c r="L1" s="33"/>
      <c r="M1" s="31"/>
    </row>
    <row r="2" spans="1:13" ht="24.95" customHeight="1" x14ac:dyDescent="0.25">
      <c r="B2" s="49" t="s">
        <v>58</v>
      </c>
      <c r="C2" s="50"/>
      <c r="D2" s="50"/>
      <c r="E2" s="50"/>
      <c r="F2" s="50"/>
      <c r="G2" s="50"/>
      <c r="H2" s="50"/>
      <c r="I2" s="50"/>
      <c r="J2" s="50"/>
      <c r="K2" s="50"/>
      <c r="L2" s="51"/>
    </row>
    <row r="3" spans="1:13" s="26" customFormat="1" ht="15" customHeight="1" x14ac:dyDescent="0.25">
      <c r="A3" s="31"/>
      <c r="M3" s="31"/>
    </row>
    <row r="4" spans="1:13" s="28" customFormat="1" ht="18" customHeight="1" x14ac:dyDescent="0.3">
      <c r="A4" s="31"/>
      <c r="B4" s="46" t="s">
        <v>56</v>
      </c>
      <c r="C4" s="47"/>
      <c r="D4" s="47"/>
      <c r="E4" s="47"/>
      <c r="F4" s="47"/>
      <c r="G4" s="47"/>
      <c r="H4" s="47"/>
      <c r="I4" s="47"/>
      <c r="J4" s="47"/>
      <c r="K4" s="47"/>
      <c r="L4" s="48"/>
      <c r="M4" s="31"/>
    </row>
    <row r="5" spans="1:13" ht="15" customHeight="1" x14ac:dyDescent="0.25">
      <c r="B5" s="34" t="s">
        <v>61</v>
      </c>
      <c r="C5" s="35"/>
      <c r="D5" s="35"/>
      <c r="E5" s="35"/>
      <c r="F5" s="35"/>
      <c r="G5" s="35"/>
      <c r="H5" s="35"/>
      <c r="I5" s="35"/>
      <c r="J5" s="35"/>
      <c r="K5" s="35"/>
      <c r="L5" s="36"/>
    </row>
    <row r="6" spans="1:13" ht="15" customHeight="1" x14ac:dyDescent="0.25">
      <c r="B6" s="37" t="s">
        <v>57</v>
      </c>
      <c r="C6" s="38"/>
      <c r="D6" s="38"/>
      <c r="E6" s="38"/>
      <c r="F6" s="38"/>
      <c r="G6" s="38"/>
      <c r="H6" s="38"/>
      <c r="I6" s="38"/>
      <c r="J6" s="38"/>
      <c r="K6" s="38"/>
      <c r="L6" s="39"/>
    </row>
    <row r="7" spans="1:13" ht="15" customHeight="1" x14ac:dyDescent="0.25">
      <c r="B7" s="40" t="s">
        <v>60</v>
      </c>
      <c r="C7" s="41"/>
      <c r="D7" s="41"/>
      <c r="E7" s="41"/>
      <c r="F7" s="41"/>
      <c r="G7" s="41"/>
      <c r="H7" s="41"/>
      <c r="I7" s="41"/>
      <c r="J7" s="41"/>
      <c r="K7" s="41"/>
      <c r="L7" s="42"/>
    </row>
    <row r="8" spans="1:13" s="26" customFormat="1" ht="15" customHeight="1" x14ac:dyDescent="0.25">
      <c r="A8" s="31"/>
      <c r="B8" s="31"/>
      <c r="C8" s="31"/>
      <c r="D8" s="31"/>
      <c r="E8" s="31"/>
      <c r="F8" s="31"/>
      <c r="G8" s="31"/>
      <c r="H8" s="31"/>
      <c r="I8" s="31"/>
      <c r="J8" s="31"/>
      <c r="K8" s="31"/>
      <c r="L8" s="31"/>
      <c r="M8" s="31"/>
    </row>
    <row r="9" spans="1:13" ht="15" customHeight="1" x14ac:dyDescent="0.25">
      <c r="B9" s="52" t="s">
        <v>6</v>
      </c>
      <c r="C9" s="53"/>
      <c r="D9" s="53"/>
      <c r="E9" s="53"/>
      <c r="F9" s="54"/>
      <c r="G9" s="26"/>
      <c r="H9" s="52" t="s">
        <v>54</v>
      </c>
      <c r="I9" s="53"/>
      <c r="J9" s="53"/>
      <c r="K9" s="53"/>
      <c r="L9" s="54"/>
    </row>
    <row r="10" spans="1:13" s="26" customFormat="1" ht="15" customHeight="1" x14ac:dyDescent="0.25">
      <c r="A10" s="31"/>
      <c r="M10" s="31"/>
    </row>
    <row r="11" spans="1:13" ht="15" customHeight="1" x14ac:dyDescent="0.25">
      <c r="B11" s="1" t="s">
        <v>0</v>
      </c>
      <c r="C11" s="2" t="s">
        <v>15</v>
      </c>
      <c r="D11" s="2" t="s">
        <v>4</v>
      </c>
      <c r="E11" s="2" t="s">
        <v>5</v>
      </c>
      <c r="F11" s="3" t="s">
        <v>50</v>
      </c>
      <c r="G11" s="26"/>
      <c r="H11" s="57" t="s">
        <v>49</v>
      </c>
      <c r="I11" s="57" t="s">
        <v>47</v>
      </c>
      <c r="J11" s="57"/>
      <c r="K11" s="57" t="s">
        <v>48</v>
      </c>
      <c r="L11" s="57"/>
    </row>
    <row r="12" spans="1:13" ht="15" customHeight="1" x14ac:dyDescent="0.25">
      <c r="B12" s="6" t="s">
        <v>1</v>
      </c>
      <c r="C12" s="23">
        <v>0.8</v>
      </c>
      <c r="D12" s="4">
        <v>37.9</v>
      </c>
      <c r="E12" s="4">
        <v>44.3</v>
      </c>
      <c r="F12" s="7">
        <v>2.65</v>
      </c>
      <c r="G12" s="26"/>
      <c r="H12" s="57"/>
      <c r="I12" s="21" t="s">
        <v>42</v>
      </c>
      <c r="J12" s="21" t="s">
        <v>43</v>
      </c>
      <c r="K12" s="21" t="s">
        <v>23</v>
      </c>
      <c r="L12" s="21" t="s">
        <v>50</v>
      </c>
    </row>
    <row r="13" spans="1:13" ht="15" customHeight="1" x14ac:dyDescent="0.25">
      <c r="B13" s="6" t="s">
        <v>2</v>
      </c>
      <c r="C13" s="23">
        <v>0</v>
      </c>
      <c r="D13" s="4">
        <v>74.8</v>
      </c>
      <c r="E13" s="4">
        <v>30.6</v>
      </c>
      <c r="F13" s="7">
        <v>2.71</v>
      </c>
      <c r="G13" s="26"/>
      <c r="H13" s="6" t="s">
        <v>11</v>
      </c>
      <c r="I13" s="23">
        <v>0</v>
      </c>
      <c r="J13" s="23">
        <v>1</v>
      </c>
      <c r="K13" s="23">
        <v>20</v>
      </c>
      <c r="L13" s="23">
        <v>0.1</v>
      </c>
    </row>
    <row r="14" spans="1:13" ht="15" customHeight="1" x14ac:dyDescent="0.25">
      <c r="B14" s="6" t="s">
        <v>3</v>
      </c>
      <c r="C14" s="23">
        <v>0</v>
      </c>
      <c r="D14" s="4">
        <v>94.9</v>
      </c>
      <c r="E14" s="4">
        <v>45</v>
      </c>
      <c r="F14" s="7">
        <v>2.87</v>
      </c>
      <c r="G14" s="26"/>
      <c r="H14" s="6" t="s">
        <v>12</v>
      </c>
      <c r="I14" s="23">
        <v>0</v>
      </c>
      <c r="J14" s="23">
        <v>0</v>
      </c>
      <c r="K14" s="23">
        <v>1000</v>
      </c>
      <c r="L14" s="23">
        <v>0.75</v>
      </c>
    </row>
    <row r="15" spans="1:13" ht="15" customHeight="1" x14ac:dyDescent="0.25">
      <c r="B15" s="6" t="s">
        <v>7</v>
      </c>
      <c r="C15" s="5">
        <f>MAX(0, MIN(1, 1-(Vqz+Vcal+Vdol) ))</f>
        <v>0.19999999999999996</v>
      </c>
      <c r="D15" s="4">
        <v>21</v>
      </c>
      <c r="E15" s="4">
        <v>7</v>
      </c>
      <c r="F15" s="7">
        <v>2.58</v>
      </c>
      <c r="G15" s="26"/>
      <c r="H15" s="6" t="s">
        <v>16</v>
      </c>
      <c r="I15" s="5">
        <f>MAX(0, MIN(1, 1-(Sg_1+So_1) ))</f>
        <v>1</v>
      </c>
      <c r="J15" s="5">
        <f>MAX(0, MIN(1, 1-(Sg_2+So_2)))</f>
        <v>0</v>
      </c>
      <c r="K15" s="23">
        <v>2200</v>
      </c>
      <c r="L15" s="23">
        <v>1.1000000000000001</v>
      </c>
    </row>
    <row r="16" spans="1:13" ht="15" customHeight="1" x14ac:dyDescent="0.25">
      <c r="B16" s="6"/>
      <c r="C16" s="5"/>
      <c r="D16" s="5"/>
      <c r="E16" s="5"/>
      <c r="F16" s="7"/>
      <c r="G16" s="26"/>
      <c r="H16" s="6"/>
      <c r="I16" s="5"/>
      <c r="J16" s="5"/>
      <c r="K16" s="5"/>
      <c r="L16" s="7"/>
    </row>
    <row r="17" spans="1:13" ht="15" customHeight="1" x14ac:dyDescent="0.25">
      <c r="B17" s="6" t="s">
        <v>13</v>
      </c>
      <c r="C17" s="5">
        <f>SUM(C12:C15)</f>
        <v>1</v>
      </c>
      <c r="D17" s="5"/>
      <c r="E17" s="5"/>
      <c r="F17" s="7"/>
      <c r="G17" s="26"/>
      <c r="H17" s="6" t="s">
        <v>14</v>
      </c>
      <c r="I17" s="5">
        <f>SUM(I13:I15)</f>
        <v>1</v>
      </c>
      <c r="J17" s="5">
        <f>SUM(J13:J15)</f>
        <v>1</v>
      </c>
      <c r="K17" s="5"/>
      <c r="L17" s="7"/>
    </row>
    <row r="18" spans="1:13" ht="15" customHeight="1" x14ac:dyDescent="0.25">
      <c r="B18" s="6"/>
      <c r="C18" s="5"/>
      <c r="D18" s="5"/>
      <c r="E18" s="5"/>
      <c r="F18" s="7"/>
      <c r="G18" s="26"/>
      <c r="H18" s="6"/>
      <c r="I18" s="5"/>
      <c r="J18" s="5"/>
      <c r="K18" s="5"/>
      <c r="L18" s="7"/>
    </row>
    <row r="19" spans="1:13" ht="15" customHeight="1" x14ac:dyDescent="0.25">
      <c r="B19" s="6" t="s">
        <v>8</v>
      </c>
      <c r="C19" s="5"/>
      <c r="D19" s="4">
        <f>Vcl*Kcl + Vqz*Kqz + Vcal*Kcal + Vdol*Kdol</f>
        <v>34.519999999999996</v>
      </c>
      <c r="E19" s="4">
        <f>Vcl*MUcl + Vqz*MUqz + Vcal*MUcal + Vdol*MUdol</f>
        <v>36.839999999999996</v>
      </c>
      <c r="F19" s="7">
        <f>Vcl*RHOcl + Vqz*RHOqz + Vcal*RHOcal + Vdol*RHOdol</f>
        <v>2.6360000000000001</v>
      </c>
      <c r="G19" s="26"/>
      <c r="H19" s="18" t="s">
        <v>17</v>
      </c>
      <c r="I19" s="20"/>
      <c r="J19" s="5"/>
      <c r="K19" s="5"/>
      <c r="L19" s="7"/>
    </row>
    <row r="20" spans="1:13" ht="15" customHeight="1" x14ac:dyDescent="0.25">
      <c r="B20" s="6" t="s">
        <v>9</v>
      </c>
      <c r="C20" s="5"/>
      <c r="D20" s="4">
        <f>1 / (Vcl/Kcl + Vqz/Kqz + Vcal/Kcal + Vdol/Kdol)</f>
        <v>32.64561115668581</v>
      </c>
      <c r="E20" s="4">
        <f>1 / (Vcl/MUcl + Vqz/MUqz + Vcal/MUcal + Vdol/MUdol)</f>
        <v>21.445366528354086</v>
      </c>
      <c r="F20" s="7"/>
      <c r="G20" s="26"/>
      <c r="H20" s="19" t="s">
        <v>45</v>
      </c>
      <c r="I20" s="27">
        <f>1 / (Sw_1/Kw + Sg_1/Kg + So_1/Ko)</f>
        <v>2200</v>
      </c>
      <c r="J20" s="27">
        <f>1 / (Sw_2/Kw + Sg_2/Kg + So_2/Ko)</f>
        <v>20</v>
      </c>
      <c r="K20" s="4" t="s">
        <v>18</v>
      </c>
      <c r="L20" s="7"/>
    </row>
    <row r="21" spans="1:13" ht="15" customHeight="1" x14ac:dyDescent="0.25">
      <c r="B21" s="6"/>
      <c r="C21" s="5"/>
      <c r="D21" s="5"/>
      <c r="E21" s="5"/>
      <c r="F21" s="7"/>
      <c r="G21" s="26"/>
      <c r="H21" s="19" t="s">
        <v>46</v>
      </c>
      <c r="I21" s="27">
        <f>Sw_1*RHOw + Sg_1*RHOg + So_1*RHOo</f>
        <v>1.1000000000000001</v>
      </c>
      <c r="J21" s="27">
        <f>Sw_2*RHOw + Sg_2*RHOg + So_2*RHOo</f>
        <v>0.1</v>
      </c>
      <c r="K21" s="4" t="s">
        <v>22</v>
      </c>
      <c r="L21" s="7"/>
    </row>
    <row r="22" spans="1:13" ht="15" customHeight="1" x14ac:dyDescent="0.25">
      <c r="B22" s="55" t="s">
        <v>10</v>
      </c>
      <c r="C22" s="56"/>
      <c r="D22" s="27">
        <f>0.5 * (Kub+Klb)</f>
        <v>33.582805578342899</v>
      </c>
      <c r="E22" s="27">
        <f>0.5 * (MUub+MUlb)</f>
        <v>29.142683264177041</v>
      </c>
      <c r="F22" s="27">
        <f>F19</f>
        <v>2.6360000000000001</v>
      </c>
      <c r="G22" s="26"/>
      <c r="H22" s="19"/>
      <c r="I22" s="4"/>
      <c r="J22" s="4"/>
      <c r="K22" s="4"/>
      <c r="L22" s="7"/>
    </row>
    <row r="23" spans="1:13" ht="15" customHeight="1" x14ac:dyDescent="0.25">
      <c r="B23" s="8"/>
      <c r="C23" s="9"/>
      <c r="D23" s="10"/>
      <c r="E23" s="10"/>
      <c r="F23" s="11"/>
      <c r="G23" s="26"/>
      <c r="H23" s="8"/>
      <c r="I23" s="9"/>
      <c r="J23" s="9"/>
      <c r="K23" s="10"/>
      <c r="L23" s="11"/>
    </row>
    <row r="24" spans="1:13" s="26" customFormat="1" ht="15" customHeight="1" x14ac:dyDescent="0.25">
      <c r="A24" s="31"/>
      <c r="B24" s="33"/>
      <c r="C24" s="33"/>
      <c r="D24" s="33"/>
      <c r="E24" s="33"/>
      <c r="F24" s="33"/>
      <c r="G24" s="31"/>
      <c r="H24" s="33"/>
      <c r="I24" s="33"/>
      <c r="J24" s="33"/>
      <c r="K24" s="33"/>
      <c r="L24" s="33"/>
      <c r="M24" s="31"/>
    </row>
    <row r="25" spans="1:13" ht="15" customHeight="1" x14ac:dyDescent="0.25">
      <c r="B25" s="43" t="s">
        <v>34</v>
      </c>
      <c r="C25" s="44"/>
      <c r="D25" s="44"/>
      <c r="E25" s="44"/>
      <c r="F25" s="45"/>
      <c r="G25" s="24"/>
      <c r="H25" s="43" t="s">
        <v>55</v>
      </c>
      <c r="I25" s="44"/>
      <c r="J25" s="44"/>
      <c r="K25" s="44"/>
      <c r="L25" s="45"/>
    </row>
    <row r="26" spans="1:13" s="26" customFormat="1" ht="15" customHeight="1" x14ac:dyDescent="0.25">
      <c r="A26" s="31"/>
      <c r="B26" s="33"/>
      <c r="C26" s="33"/>
      <c r="D26" s="33"/>
      <c r="E26" s="33"/>
      <c r="F26" s="33"/>
      <c r="G26" s="31"/>
      <c r="H26" s="33"/>
      <c r="I26" s="33"/>
      <c r="J26" s="33"/>
      <c r="K26" s="33"/>
      <c r="L26" s="33"/>
      <c r="M26" s="31"/>
    </row>
    <row r="27" spans="1:13" ht="15" customHeight="1" x14ac:dyDescent="0.25">
      <c r="B27" s="1" t="s">
        <v>21</v>
      </c>
      <c r="C27" s="2" t="s">
        <v>20</v>
      </c>
      <c r="D27" s="2" t="s">
        <v>51</v>
      </c>
      <c r="E27" s="2"/>
      <c r="F27" s="3"/>
      <c r="G27" s="29"/>
      <c r="H27" s="1" t="s">
        <v>21</v>
      </c>
      <c r="I27" s="2" t="s">
        <v>52</v>
      </c>
      <c r="J27" s="2" t="s">
        <v>53</v>
      </c>
      <c r="K27" s="2" t="s">
        <v>51</v>
      </c>
      <c r="L27" s="3" t="s">
        <v>59</v>
      </c>
    </row>
    <row r="28" spans="1:13" ht="15" customHeight="1" x14ac:dyDescent="0.25">
      <c r="B28" s="13"/>
      <c r="C28" s="14"/>
      <c r="D28" s="14"/>
      <c r="E28" s="14"/>
      <c r="F28" s="15"/>
      <c r="G28" s="26"/>
      <c r="H28" s="6"/>
      <c r="I28" s="5"/>
      <c r="J28" s="5"/>
      <c r="K28" s="16"/>
      <c r="L28" s="7"/>
    </row>
    <row r="29" spans="1:13" ht="15" customHeight="1" x14ac:dyDescent="0.25">
      <c r="B29" s="6" t="s">
        <v>35</v>
      </c>
      <c r="C29" s="16">
        <f>Phi/(Kf_1*0.001)</f>
        <v>9.943181818181826E-2</v>
      </c>
      <c r="D29" s="16" t="s">
        <v>38</v>
      </c>
      <c r="E29" s="16"/>
      <c r="F29" s="7"/>
      <c r="G29" s="26"/>
      <c r="H29" s="6" t="s">
        <v>26</v>
      </c>
      <c r="I29" s="23">
        <v>3000</v>
      </c>
      <c r="J29" s="22">
        <f>1000*SQRT((K_2+(4/3)*MU_2)/Rhob_2)</f>
        <v>2631.928936363192</v>
      </c>
      <c r="K29" s="16" t="s">
        <v>25</v>
      </c>
      <c r="L29" s="30">
        <f>(Vp_2-Vp_1)/Vp_1</f>
        <v>-0.12269035454560269</v>
      </c>
    </row>
    <row r="30" spans="1:13" ht="15" customHeight="1" x14ac:dyDescent="0.25">
      <c r="B30" s="6" t="s">
        <v>37</v>
      </c>
      <c r="C30" s="16">
        <f>(1-Phi)/Kmat</f>
        <v>2.3263392874591081E-2</v>
      </c>
      <c r="D30" s="16" t="s">
        <v>38</v>
      </c>
      <c r="E30" s="16"/>
      <c r="F30" s="7"/>
      <c r="G30" s="26"/>
      <c r="H30" s="6" t="s">
        <v>27</v>
      </c>
      <c r="I30" s="23">
        <v>1800</v>
      </c>
      <c r="J30" s="22">
        <f>1000*SQRT(MU_2/Rhob_2)</f>
        <v>1892.2316297273285</v>
      </c>
      <c r="K30" s="16" t="s">
        <v>25</v>
      </c>
      <c r="L30" s="30">
        <f>(Vs_2-Vs_1)/Vs_1</f>
        <v>5.1239794292960265E-2</v>
      </c>
    </row>
    <row r="31" spans="1:13" ht="15" customHeight="1" x14ac:dyDescent="0.25">
      <c r="B31" s="6" t="s">
        <v>39</v>
      </c>
      <c r="C31" s="16">
        <f>C29+C30</f>
        <v>0.12269521105640935</v>
      </c>
      <c r="D31" s="16" t="s">
        <v>38</v>
      </c>
      <c r="E31" s="16"/>
      <c r="F31" s="7"/>
      <c r="G31" s="26"/>
      <c r="H31" s="6" t="s">
        <v>28</v>
      </c>
      <c r="I31" s="23">
        <v>2.2999999999999998</v>
      </c>
      <c r="J31" s="22">
        <f xml:space="preserve"> Phi*RHOf_2 + (1-Phi)*RHOmat</f>
        <v>2.0812499999999994</v>
      </c>
      <c r="K31" s="16" t="s">
        <v>22</v>
      </c>
      <c r="L31" s="30">
        <f>(Rhob_2-Rhob_1)/Rhob_1</f>
        <v>-9.5108695652174113E-2</v>
      </c>
    </row>
    <row r="32" spans="1:13" ht="15" customHeight="1" x14ac:dyDescent="0.25">
      <c r="B32" s="6"/>
      <c r="C32" s="24"/>
      <c r="D32" s="25"/>
      <c r="E32" s="25"/>
      <c r="F32" s="7"/>
      <c r="G32" s="26"/>
      <c r="H32" s="6" t="s">
        <v>36</v>
      </c>
      <c r="I32" s="5">
        <f>(RHOmat-Rhob_1) / (RHOmat - RHOf_1)</f>
        <v>0.21875000000000019</v>
      </c>
      <c r="J32" s="22">
        <f>Phi</f>
        <v>0.21875000000000019</v>
      </c>
      <c r="K32" s="16" t="s">
        <v>19</v>
      </c>
      <c r="L32" s="30">
        <f>(J32-Phi)/Phi</f>
        <v>0</v>
      </c>
    </row>
    <row r="33" spans="1:13" ht="15" customHeight="1" x14ac:dyDescent="0.25">
      <c r="B33" s="12" t="s">
        <v>44</v>
      </c>
      <c r="C33" s="24"/>
      <c r="D33" s="25"/>
      <c r="E33" s="25"/>
      <c r="F33" s="7"/>
      <c r="G33" s="26"/>
      <c r="H33" s="6" t="s">
        <v>31</v>
      </c>
      <c r="I33" s="5">
        <f>(Vp_1*Vp_1-(4/3)*Vs_1*Vs_1)*Rhob_1*0.000001</f>
        <v>10.763999999999999</v>
      </c>
      <c r="J33" s="22">
        <f>Kdry + ( (alpha^2) / ((Phi/(Kf_2*0.001)) + ((1-Phi)/Kmat) - (Kdry_Kmat/Kmat)) )</f>
        <v>4.4809226586246176</v>
      </c>
      <c r="K33" s="16" t="s">
        <v>24</v>
      </c>
      <c r="L33" s="30">
        <f>(K_2-K_1)/K_1</f>
        <v>-0.58371212758968616</v>
      </c>
    </row>
    <row r="34" spans="1:13" ht="15" customHeight="1" x14ac:dyDescent="0.25">
      <c r="B34" s="6" t="s">
        <v>33</v>
      </c>
      <c r="C34" s="16">
        <f xml:space="preserve"> (C31 * K_1 - 1) / (C31 - (2/Kmat) + (K_1/Kmat^2))</f>
        <v>4.4120613454807085</v>
      </c>
      <c r="D34" s="16" t="s">
        <v>24</v>
      </c>
      <c r="E34" s="16"/>
      <c r="F34" s="7"/>
      <c r="G34" s="26"/>
      <c r="H34" s="6" t="s">
        <v>32</v>
      </c>
      <c r="I34" s="5">
        <f>Vs_1*Vs_1*Rhob_1*0.000001</f>
        <v>7.4519999999999991</v>
      </c>
      <c r="J34" s="22">
        <f>MU_1</f>
        <v>7.4519999999999991</v>
      </c>
      <c r="K34" s="16" t="s">
        <v>24</v>
      </c>
      <c r="L34" s="30">
        <f>(MU_2-MU_1)/MU_1</f>
        <v>0</v>
      </c>
    </row>
    <row r="35" spans="1:13" ht="15" customHeight="1" x14ac:dyDescent="0.25">
      <c r="B35" s="6" t="s">
        <v>41</v>
      </c>
      <c r="C35" s="16">
        <f>Kdry/Kmat</f>
        <v>0.13137858107739478</v>
      </c>
      <c r="D35" s="16" t="s">
        <v>19</v>
      </c>
      <c r="E35" s="16"/>
      <c r="F35" s="7"/>
      <c r="G35" s="26"/>
      <c r="H35" s="6" t="s">
        <v>29</v>
      </c>
      <c r="I35" s="5">
        <f>Vp_1/Vs_1</f>
        <v>1.6666666666666667</v>
      </c>
      <c r="J35" s="22">
        <f>Vp_2/Vs_2</f>
        <v>1.3909126636586526</v>
      </c>
      <c r="K35" s="16" t="s">
        <v>19</v>
      </c>
      <c r="L35" s="30">
        <f>(VpVs_2-VpVs_1)/VpVs_1</f>
        <v>-0.16545240180480847</v>
      </c>
    </row>
    <row r="36" spans="1:13" ht="15" customHeight="1" x14ac:dyDescent="0.25">
      <c r="B36" s="6" t="s">
        <v>40</v>
      </c>
      <c r="C36" s="16">
        <f>1-Kdry_Kmat</f>
        <v>0.86862141892260525</v>
      </c>
      <c r="D36" s="16" t="s">
        <v>19</v>
      </c>
      <c r="E36" s="16"/>
      <c r="F36" s="7"/>
      <c r="G36" s="26"/>
      <c r="H36" s="6" t="s">
        <v>30</v>
      </c>
      <c r="I36" s="5">
        <f>0.5 * ((VpVs_1^2-2) / (VpVs_1^2-1))</f>
        <v>0.21875000000000006</v>
      </c>
      <c r="J36" s="22">
        <f>0.5 * ((VpVs_2^2-2) / (VpVs_2^2-1))</f>
        <v>-3.4966457292403857E-2</v>
      </c>
      <c r="K36" s="16" t="s">
        <v>19</v>
      </c>
      <c r="L36" s="30">
        <f>(PR_2-PR_1)/PR_1</f>
        <v>-1.1598466619081318</v>
      </c>
    </row>
    <row r="37" spans="1:13" ht="15" customHeight="1" x14ac:dyDescent="0.25">
      <c r="B37" s="8"/>
      <c r="C37" s="9"/>
      <c r="D37" s="10"/>
      <c r="E37" s="10"/>
      <c r="F37" s="17"/>
      <c r="G37" s="26"/>
      <c r="H37" s="8"/>
      <c r="I37" s="9"/>
      <c r="J37" s="10"/>
      <c r="K37" s="10"/>
      <c r="L37" s="17"/>
    </row>
    <row r="38" spans="1:13" s="26" customFormat="1" ht="15" customHeight="1" x14ac:dyDescent="0.25">
      <c r="A38" s="31"/>
      <c r="B38" s="31"/>
      <c r="C38" s="31"/>
      <c r="D38" s="31"/>
      <c r="E38" s="31"/>
      <c r="F38" s="31"/>
      <c r="G38" s="31"/>
      <c r="H38" s="31"/>
      <c r="I38" s="31"/>
      <c r="J38" s="31"/>
      <c r="K38" s="31"/>
      <c r="L38" s="31"/>
      <c r="M38" s="31"/>
    </row>
    <row r="39" spans="1:13" ht="15" hidden="1" customHeight="1" x14ac:dyDescent="0.25"/>
    <row r="40" spans="1:13" ht="15" hidden="1" customHeight="1" x14ac:dyDescent="0.25"/>
    <row r="41" spans="1:13" ht="15" hidden="1" customHeight="1" x14ac:dyDescent="0.25"/>
    <row r="42" spans="1:13" ht="15" hidden="1" customHeight="1" x14ac:dyDescent="0.25"/>
    <row r="43" spans="1:13" ht="15" hidden="1" customHeight="1" x14ac:dyDescent="0.25"/>
    <row r="44" spans="1:13" ht="15" hidden="1" customHeight="1" x14ac:dyDescent="0.25"/>
    <row r="45" spans="1:13" ht="15" hidden="1" customHeight="1" x14ac:dyDescent="0.25"/>
    <row r="46" spans="1:13" ht="15" hidden="1" customHeight="1" x14ac:dyDescent="0.25"/>
    <row r="47" spans="1:13" ht="15" hidden="1" customHeight="1" x14ac:dyDescent="0.25"/>
    <row r="48" spans="1:13" ht="15" hidden="1" customHeight="1" x14ac:dyDescent="0.25"/>
    <row r="49" ht="15" hidden="1" customHeight="1" x14ac:dyDescent="0.25"/>
    <row r="50" ht="15" hidden="1" customHeight="1" x14ac:dyDescent="0.25"/>
  </sheetData>
  <sheetProtection algorithmName="SHA-512" hashValue="Mf3O+QFfil8G7EYfmbe0lHSV2agQ9yllZsh/jWJU6TQCuKVB+fLnGH+RevVnh2zPHBB59RuV39dnTsJsZQ38MA==" saltValue="J0uKpcdR8VDVgOSWIxoORA==" spinCount="100000" sheet="1" objects="1" scenarios="1"/>
  <protectedRanges>
    <protectedRange sqref="C12:C14" name="Matrix Properties"/>
    <protectedRange sqref="I13:L14 K15:L15" name="Fluid Properties"/>
    <protectedRange sqref="I29:I31" name="Inputs"/>
  </protectedRanges>
  <mergeCells count="20">
    <mergeCell ref="B22:C22"/>
    <mergeCell ref="I11:J11"/>
    <mergeCell ref="K11:L11"/>
    <mergeCell ref="H11:H12"/>
    <mergeCell ref="A1:A1048576"/>
    <mergeCell ref="M1:M1048576"/>
    <mergeCell ref="B1:L1"/>
    <mergeCell ref="B8:L8"/>
    <mergeCell ref="B24:L24"/>
    <mergeCell ref="B26:L26"/>
    <mergeCell ref="B38:L38"/>
    <mergeCell ref="B5:L5"/>
    <mergeCell ref="B6:L6"/>
    <mergeCell ref="B7:L7"/>
    <mergeCell ref="H25:L25"/>
    <mergeCell ref="B25:F25"/>
    <mergeCell ref="B4:L4"/>
    <mergeCell ref="B2:L2"/>
    <mergeCell ref="B9:F9"/>
    <mergeCell ref="H9:L9"/>
  </mergeCells>
  <phoneticPr fontId="11" type="noConversion"/>
  <conditionalFormatting sqref="C17">
    <cfRule type="cellIs" dxfId="6" priority="18" operator="notEqual">
      <formula>1</formula>
    </cfRule>
  </conditionalFormatting>
  <conditionalFormatting sqref="D22:F22">
    <cfRule type="expression" dxfId="5" priority="17">
      <formula>$C$17&lt;&gt;1</formula>
    </cfRule>
  </conditionalFormatting>
  <conditionalFormatting sqref="I17:J17">
    <cfRule type="cellIs" dxfId="4" priority="14" operator="notEqual">
      <formula>1</formula>
    </cfRule>
  </conditionalFormatting>
  <conditionalFormatting sqref="I20:I21">
    <cfRule type="expression" dxfId="3" priority="5">
      <formula>$I$17&lt;&gt;1</formula>
    </cfRule>
  </conditionalFormatting>
  <conditionalFormatting sqref="J20:J21">
    <cfRule type="expression" dxfId="2" priority="4">
      <formula>$J$17&lt;&gt;1</formula>
    </cfRule>
  </conditionalFormatting>
  <conditionalFormatting sqref="L29:L36">
    <cfRule type="cellIs" dxfId="1" priority="2" operator="lessThan">
      <formula>-0.005</formula>
    </cfRule>
    <cfRule type="cellIs" dxfId="0" priority="1" operator="greaterThan">
      <formula>0.005</formula>
    </cfRule>
  </conditionalFormatting>
  <dataValidations count="6">
    <dataValidation type="list" allowBlank="1" sqref="K13" xr:uid="{31C15640-E964-4D1A-9B18-F3D7E813BF83}">
      <formula1>"20"</formula1>
    </dataValidation>
    <dataValidation type="list" allowBlank="1" sqref="K14" xr:uid="{D2520CC8-D9A1-47D5-BB44-5F893E9CA426}">
      <formula1>"1000"</formula1>
    </dataValidation>
    <dataValidation type="list" allowBlank="1" sqref="K15" xr:uid="{2F220CE8-06BE-4D94-A1B5-AD08EE088865}">
      <formula1>"2200"</formula1>
    </dataValidation>
    <dataValidation type="list" allowBlank="1" sqref="L13" xr:uid="{5C93A539-F842-4764-8753-E8A13D12F004}">
      <formula1>"0.1"</formula1>
    </dataValidation>
    <dataValidation type="list" allowBlank="1" sqref="L14" xr:uid="{4B50820C-1BA1-43F9-A1FD-0C358B3C3899}">
      <formula1>"0.75"</formula1>
    </dataValidation>
    <dataValidation type="list" allowBlank="1" sqref="L15" xr:uid="{E2986500-F5CD-4E34-9ADC-47AD53D2F337}">
      <formula1>"1.1"</formula1>
    </dataValidation>
  </dataValidations>
  <pageMargins left="0.7" right="0.7" top="0.75" bottom="0.75" header="0.3" footer="0.3"/>
  <pageSetup scale="42"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68</vt:i4>
      </vt:variant>
    </vt:vector>
  </HeadingPairs>
  <TitlesOfParts>
    <vt:vector size="69" baseType="lpstr">
      <vt:lpstr>Gassmann</vt:lpstr>
      <vt:lpstr>alpha</vt:lpstr>
      <vt:lpstr>K_1</vt:lpstr>
      <vt:lpstr>K_2</vt:lpstr>
      <vt:lpstr>Kcal</vt:lpstr>
      <vt:lpstr>Kcl</vt:lpstr>
      <vt:lpstr>Kdol</vt:lpstr>
      <vt:lpstr>Kdry</vt:lpstr>
      <vt:lpstr>Kdry_Kmat</vt:lpstr>
      <vt:lpstr>Kf_1</vt:lpstr>
      <vt:lpstr>Kf_2</vt:lpstr>
      <vt:lpstr>Kg</vt:lpstr>
      <vt:lpstr>Kg_1</vt:lpstr>
      <vt:lpstr>Klb</vt:lpstr>
      <vt:lpstr>Kmat</vt:lpstr>
      <vt:lpstr>Ko</vt:lpstr>
      <vt:lpstr>Ko_1</vt:lpstr>
      <vt:lpstr>Kqz</vt:lpstr>
      <vt:lpstr>Kub</vt:lpstr>
      <vt:lpstr>Kvoigt</vt:lpstr>
      <vt:lpstr>Kw</vt:lpstr>
      <vt:lpstr>Kw_1</vt:lpstr>
      <vt:lpstr>MU_1</vt:lpstr>
      <vt:lpstr>MU_2</vt:lpstr>
      <vt:lpstr>MUcal</vt:lpstr>
      <vt:lpstr>MUcl</vt:lpstr>
      <vt:lpstr>MUdol</vt:lpstr>
      <vt:lpstr>MUlb</vt:lpstr>
      <vt:lpstr>MUmat</vt:lpstr>
      <vt:lpstr>MUqz</vt:lpstr>
      <vt:lpstr>MUub</vt:lpstr>
      <vt:lpstr>Phi</vt:lpstr>
      <vt:lpstr>PR_1</vt:lpstr>
      <vt:lpstr>PR_2</vt:lpstr>
      <vt:lpstr>RHOavg</vt:lpstr>
      <vt:lpstr>Rhob_1</vt:lpstr>
      <vt:lpstr>Rhob_2</vt:lpstr>
      <vt:lpstr>RHOcal</vt:lpstr>
      <vt:lpstr>RHOcl</vt:lpstr>
      <vt:lpstr>RHOdol</vt:lpstr>
      <vt:lpstr>RHOf_1</vt:lpstr>
      <vt:lpstr>RHOf_2</vt:lpstr>
      <vt:lpstr>RHOg</vt:lpstr>
      <vt:lpstr>RHOg_1</vt:lpstr>
      <vt:lpstr>RHOmat</vt:lpstr>
      <vt:lpstr>RHOo</vt:lpstr>
      <vt:lpstr>RHOo_1</vt:lpstr>
      <vt:lpstr>RHOqz</vt:lpstr>
      <vt:lpstr>RHOw</vt:lpstr>
      <vt:lpstr>RHOw_1</vt:lpstr>
      <vt:lpstr>Sf_1</vt:lpstr>
      <vt:lpstr>Sf_2</vt:lpstr>
      <vt:lpstr>Sg_1</vt:lpstr>
      <vt:lpstr>Sg_2</vt:lpstr>
      <vt:lpstr>So_1</vt:lpstr>
      <vt:lpstr>So_2</vt:lpstr>
      <vt:lpstr>Sw_1</vt:lpstr>
      <vt:lpstr>Sw_2</vt:lpstr>
      <vt:lpstr>Vcal</vt:lpstr>
      <vt:lpstr>Vcl</vt:lpstr>
      <vt:lpstr>Vdol</vt:lpstr>
      <vt:lpstr>Vmat</vt:lpstr>
      <vt:lpstr>Vp_1</vt:lpstr>
      <vt:lpstr>Vp_2</vt:lpstr>
      <vt:lpstr>VpVs_1</vt:lpstr>
      <vt:lpstr>VpVs_2</vt:lpstr>
      <vt:lpstr>Vqz</vt:lpstr>
      <vt:lpstr>Vs_1</vt:lpstr>
      <vt:lpstr>Vs_2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Atif</dc:creator>
  <dcterms:created xsi:type="dcterms:W3CDTF">2020-12-03T03:41:07Z</dcterms:created>
  <dcterms:modified xsi:type="dcterms:W3CDTF">2020-12-04T15:49:10Z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5f1f62-8d2b-4457-869c-0a13c6549635_Enabled">
    <vt:lpwstr>False</vt:lpwstr>
  </property>
  <property fmtid="{D5CDD505-2E9C-101B-9397-08002B2CF9AE}" pid="3" name="MSIP_Label_585f1f62-8d2b-4457-869c-0a13c6549635_SiteId">
    <vt:lpwstr>41ff26dc-250f-4b13-8981-739be8610c21</vt:lpwstr>
  </property>
  <property fmtid="{D5CDD505-2E9C-101B-9397-08002B2CF9AE}" pid="4" name="MSIP_Label_585f1f62-8d2b-4457-869c-0a13c6549635_Owner">
    <vt:lpwstr>anawaz3@slb.com</vt:lpwstr>
  </property>
  <property fmtid="{D5CDD505-2E9C-101B-9397-08002B2CF9AE}" pid="5" name="MSIP_Label_585f1f62-8d2b-4457-869c-0a13c6549635_SetDate">
    <vt:lpwstr>2020-12-04T10:58:52.7365938Z</vt:lpwstr>
  </property>
  <property fmtid="{D5CDD505-2E9C-101B-9397-08002B2CF9AE}" pid="6" name="MSIP_Label_585f1f62-8d2b-4457-869c-0a13c6549635_Name">
    <vt:lpwstr>Private</vt:lpwstr>
  </property>
  <property fmtid="{D5CDD505-2E9C-101B-9397-08002B2CF9AE}" pid="7" name="MSIP_Label_585f1f62-8d2b-4457-869c-0a13c6549635_Application">
    <vt:lpwstr>Microsoft Azure Information Protection</vt:lpwstr>
  </property>
  <property fmtid="{D5CDD505-2E9C-101B-9397-08002B2CF9AE}" pid="8" name="MSIP_Label_585f1f62-8d2b-4457-869c-0a13c6549635_ActionId">
    <vt:lpwstr>3d6596bc-0bbd-442a-a9b8-298a22bc7844</vt:lpwstr>
  </property>
  <property fmtid="{D5CDD505-2E9C-101B-9397-08002B2CF9AE}" pid="9" name="MSIP_Label_585f1f62-8d2b-4457-869c-0a13c6549635_Extended_MSFT_Method">
    <vt:lpwstr>Automatic</vt:lpwstr>
  </property>
  <property fmtid="{D5CDD505-2E9C-101B-9397-08002B2CF9AE}" pid="10" name="MSIP_Label_8bb759f6-5337-4dc5-b19b-e74b6da11f8f_Enabled">
    <vt:lpwstr>False</vt:lpwstr>
  </property>
  <property fmtid="{D5CDD505-2E9C-101B-9397-08002B2CF9AE}" pid="11" name="MSIP_Label_8bb759f6-5337-4dc5-b19b-e74b6da11f8f_SiteId">
    <vt:lpwstr>41ff26dc-250f-4b13-8981-739be8610c21</vt:lpwstr>
  </property>
  <property fmtid="{D5CDD505-2E9C-101B-9397-08002B2CF9AE}" pid="12" name="MSIP_Label_8bb759f6-5337-4dc5-b19b-e74b6da11f8f_Owner">
    <vt:lpwstr>anawaz3@slb.com</vt:lpwstr>
  </property>
  <property fmtid="{D5CDD505-2E9C-101B-9397-08002B2CF9AE}" pid="13" name="MSIP_Label_8bb759f6-5337-4dc5-b19b-e74b6da11f8f_SetDate">
    <vt:lpwstr>2020-12-04T10:58:52.7365938Z</vt:lpwstr>
  </property>
  <property fmtid="{D5CDD505-2E9C-101B-9397-08002B2CF9AE}" pid="14" name="MSIP_Label_8bb759f6-5337-4dc5-b19b-e74b6da11f8f_Name">
    <vt:lpwstr>Internal</vt:lpwstr>
  </property>
  <property fmtid="{D5CDD505-2E9C-101B-9397-08002B2CF9AE}" pid="15" name="MSIP_Label_8bb759f6-5337-4dc5-b19b-e74b6da11f8f_Application">
    <vt:lpwstr>Microsoft Azure Information Protection</vt:lpwstr>
  </property>
  <property fmtid="{D5CDD505-2E9C-101B-9397-08002B2CF9AE}" pid="16" name="MSIP_Label_8bb759f6-5337-4dc5-b19b-e74b6da11f8f_ActionId">
    <vt:lpwstr>3d6596bc-0bbd-442a-a9b8-298a22bc7844</vt:lpwstr>
  </property>
  <property fmtid="{D5CDD505-2E9C-101B-9397-08002B2CF9AE}" pid="17" name="MSIP_Label_8bb759f6-5337-4dc5-b19b-e74b6da11f8f_Parent">
    <vt:lpwstr>585f1f62-8d2b-4457-869c-0a13c6549635</vt:lpwstr>
  </property>
  <property fmtid="{D5CDD505-2E9C-101B-9397-08002B2CF9AE}" pid="18" name="MSIP_Label_8bb759f6-5337-4dc5-b19b-e74b6da11f8f_Extended_MSFT_Method">
    <vt:lpwstr>Automatic</vt:lpwstr>
  </property>
</Properties>
</file>