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15" yWindow="4050" windowWidth="20520" windowHeight="4110" activeTab="4"/>
  </bookViews>
  <sheets>
    <sheet name="Sheet1" sheetId="1" r:id="rId1"/>
    <sheet name="versi1_kerusakan" sheetId="2" r:id="rId2"/>
    <sheet name="versi2_kerusakan" sheetId="3" r:id="rId3"/>
    <sheet name="asumsi_kerusakan" sheetId="4" r:id="rId4"/>
    <sheet name="asumsi_kerugian" sheetId="5" r:id="rId5"/>
  </sheets>
  <calcPr calcId="144525"/>
</workbook>
</file>

<file path=xl/calcChain.xml><?xml version="1.0" encoding="utf-8"?>
<calcChain xmlns="http://schemas.openxmlformats.org/spreadsheetml/2006/main">
  <c r="H6" i="5" l="1"/>
  <c r="H5" i="5"/>
  <c r="H4" i="5"/>
  <c r="H3" i="5"/>
  <c r="G6" i="5"/>
  <c r="G5" i="5"/>
  <c r="G4" i="5"/>
  <c r="G3" i="5"/>
  <c r="P14" i="5"/>
  <c r="P11" i="5"/>
  <c r="F3" i="5"/>
  <c r="F6" i="5"/>
  <c r="F4" i="5" l="1"/>
  <c r="F5" i="5"/>
  <c r="H51" i="5" l="1"/>
  <c r="H52" i="5"/>
  <c r="H53" i="5"/>
  <c r="H50" i="5"/>
  <c r="G51" i="5"/>
  <c r="G52" i="5"/>
  <c r="G53" i="5"/>
  <c r="G50" i="5"/>
  <c r="F51" i="5"/>
  <c r="F52" i="5"/>
  <c r="F53" i="5"/>
  <c r="F50" i="5"/>
  <c r="E53" i="5"/>
  <c r="E52" i="5"/>
  <c r="E51" i="5"/>
  <c r="E50" i="5"/>
  <c r="K50" i="5"/>
  <c r="P12" i="5"/>
  <c r="Q12" i="5"/>
  <c r="R12" i="5"/>
  <c r="S12" i="5"/>
  <c r="P13" i="5"/>
  <c r="Q13" i="5"/>
  <c r="R13" i="5"/>
  <c r="S13" i="5"/>
  <c r="Q14" i="5"/>
  <c r="R14" i="5"/>
  <c r="S14" i="5"/>
  <c r="Q11" i="5"/>
  <c r="R11" i="5"/>
  <c r="S11" i="5"/>
  <c r="F23" i="5"/>
  <c r="E6" i="5" l="1"/>
  <c r="O44" i="1"/>
  <c r="N44" i="1"/>
  <c r="M44" i="1"/>
  <c r="L44" i="1"/>
  <c r="K44" i="1"/>
  <c r="K19" i="5"/>
  <c r="L50" i="5"/>
  <c r="F39" i="5"/>
  <c r="F35" i="5"/>
  <c r="F37" i="5" s="1"/>
  <c r="E3" i="5" l="1"/>
  <c r="E5" i="5"/>
  <c r="E4" i="5"/>
  <c r="E23" i="5"/>
  <c r="B6" i="4"/>
  <c r="N93" i="1" l="1"/>
  <c r="N92" i="1"/>
  <c r="N91" i="1"/>
  <c r="M93" i="1"/>
  <c r="M92" i="1"/>
  <c r="M91" i="1"/>
  <c r="L93" i="1"/>
  <c r="L92" i="1"/>
  <c r="L91" i="1"/>
  <c r="I18" i="3"/>
  <c r="C18" i="3"/>
  <c r="C17" i="3"/>
  <c r="K93" i="1"/>
  <c r="K92" i="1"/>
  <c r="K91" i="1"/>
  <c r="I17" i="3"/>
  <c r="C16" i="3"/>
  <c r="P14" i="3"/>
  <c r="O14" i="3"/>
  <c r="N14" i="3"/>
  <c r="B10" i="3"/>
  <c r="N20" i="1"/>
  <c r="M20" i="1"/>
  <c r="M19" i="1"/>
  <c r="L20" i="1"/>
  <c r="K20" i="1"/>
  <c r="K19" i="1"/>
  <c r="L19" i="1"/>
  <c r="N19" i="1"/>
  <c r="N18" i="1"/>
  <c r="M18" i="1"/>
  <c r="L18" i="1"/>
  <c r="K18" i="1"/>
  <c r="Q91" i="1" s="1"/>
  <c r="K80" i="1"/>
  <c r="L80" i="1"/>
  <c r="M80" i="1"/>
  <c r="N80" i="1"/>
  <c r="N79" i="1"/>
  <c r="M79" i="1"/>
  <c r="L79" i="1"/>
  <c r="K79" i="1"/>
  <c r="N78" i="1"/>
  <c r="M78" i="1"/>
  <c r="L78" i="1"/>
  <c r="K78" i="1"/>
  <c r="Z73" i="1"/>
  <c r="V73" i="1"/>
  <c r="R73" i="1"/>
  <c r="N73" i="1"/>
  <c r="Z44" i="1"/>
  <c r="V44" i="1"/>
  <c r="R44" i="1"/>
  <c r="O14" i="2"/>
  <c r="P14" i="2"/>
  <c r="N14" i="2"/>
  <c r="K22" i="2"/>
  <c r="K21" i="2"/>
  <c r="K20" i="2"/>
  <c r="K18" i="2"/>
  <c r="K17" i="2"/>
  <c r="K16" i="2"/>
  <c r="I22" i="2"/>
  <c r="I21" i="2"/>
  <c r="I20" i="2"/>
  <c r="I18" i="2"/>
  <c r="I17" i="2"/>
  <c r="I16" i="2"/>
  <c r="K73" i="1" l="1"/>
  <c r="G78" i="1"/>
  <c r="Y73" i="1" s="1"/>
  <c r="G77" i="1"/>
  <c r="X73" i="1" s="1"/>
  <c r="G76" i="1"/>
  <c r="W73" i="1" s="1"/>
  <c r="G75" i="1"/>
  <c r="U73" i="1" s="1"/>
  <c r="G74" i="1"/>
  <c r="T73" i="1" s="1"/>
  <c r="G73" i="1"/>
  <c r="S73" i="1" s="1"/>
  <c r="G72" i="1"/>
  <c r="Q73" i="1" s="1"/>
  <c r="G71" i="1"/>
  <c r="P73" i="1" s="1"/>
  <c r="G70" i="1"/>
  <c r="O73" i="1" s="1"/>
  <c r="G69" i="1"/>
  <c r="M73" i="1" s="1"/>
  <c r="G68" i="1"/>
  <c r="L73" i="1" s="1"/>
  <c r="G67" i="1"/>
  <c r="G49" i="1"/>
  <c r="G48" i="1"/>
  <c r="G47" i="1"/>
  <c r="G46" i="1"/>
  <c r="G45" i="1"/>
  <c r="G44" i="1"/>
  <c r="G43" i="1"/>
  <c r="G42" i="1"/>
  <c r="G41" i="1"/>
  <c r="G40" i="1"/>
  <c r="G39" i="1"/>
  <c r="G38" i="1"/>
  <c r="G10" i="1"/>
  <c r="G11" i="1"/>
  <c r="G12" i="1"/>
  <c r="G13" i="1"/>
  <c r="G14" i="1"/>
  <c r="G15" i="1"/>
  <c r="G16" i="1"/>
  <c r="G17" i="1"/>
  <c r="G18" i="1"/>
  <c r="G19" i="1"/>
  <c r="G20" i="1"/>
  <c r="G9" i="1"/>
  <c r="W44" i="1" l="1"/>
  <c r="Y44" i="1"/>
  <c r="P44" i="1"/>
  <c r="S44" i="1"/>
  <c r="X44" i="1"/>
  <c r="T44" i="1"/>
  <c r="Q44" i="1"/>
  <c r="U44" i="1"/>
  <c r="E22" i="2"/>
  <c r="E21" i="2"/>
  <c r="E20" i="2"/>
  <c r="E18" i="2"/>
  <c r="E17" i="2"/>
  <c r="E16" i="2"/>
  <c r="C22" i="2"/>
  <c r="C21" i="2"/>
  <c r="C20" i="2"/>
  <c r="C18" i="2"/>
  <c r="C17" i="2"/>
  <c r="C16" i="2"/>
  <c r="B14" i="2"/>
  <c r="K13" i="1" l="1"/>
  <c r="L13" i="1"/>
  <c r="R13" i="1" l="1"/>
  <c r="V13" i="1"/>
  <c r="Z13" i="1"/>
  <c r="W13" i="1" l="1"/>
  <c r="U13" i="1"/>
  <c r="M13" i="1"/>
  <c r="Q13" i="1"/>
  <c r="T13" i="1"/>
  <c r="P13" i="1"/>
  <c r="Y13" i="1"/>
  <c r="S13" i="1"/>
  <c r="X13" i="1"/>
  <c r="O13" i="1"/>
  <c r="N13" i="1"/>
</calcChain>
</file>

<file path=xl/sharedStrings.xml><?xml version="1.0" encoding="utf-8"?>
<sst xmlns="http://schemas.openxmlformats.org/spreadsheetml/2006/main" count="579" uniqueCount="161">
  <si>
    <t>Perhitungan Kerusakan Akibat Banjir</t>
  </si>
  <si>
    <t xml:space="preserve">Kerusakan = kehilangan barang/properti, perbaikan barang/properti dan perbaikan bangunan </t>
  </si>
  <si>
    <t>Rekapitulasi Kerusakan</t>
  </si>
  <si>
    <t>Rekapitulasi Kerugian</t>
  </si>
  <si>
    <t>&lt;1 hari</t>
  </si>
  <si>
    <t>1-4 hari</t>
  </si>
  <si>
    <t>5-8 hari</t>
  </si>
  <si>
    <t>&gt;8 hari</t>
  </si>
  <si>
    <t>No</t>
  </si>
  <si>
    <t>Pengeluaran</t>
  </si>
  <si>
    <t>Jumlah</t>
  </si>
  <si>
    <t>Satuan</t>
  </si>
  <si>
    <t>Unit Cost</t>
  </si>
  <si>
    <t>Total</t>
  </si>
  <si>
    <t>Keterangan</t>
  </si>
  <si>
    <t>10 - 70 cm</t>
  </si>
  <si>
    <t>71 - 150 cm</t>
  </si>
  <si>
    <t>&gt; 150 cm</t>
  </si>
  <si>
    <t>terdampak</t>
  </si>
  <si>
    <t>Kelas banjir / Aset</t>
  </si>
  <si>
    <t>A1</t>
  </si>
  <si>
    <t>A2</t>
  </si>
  <si>
    <t>A3</t>
  </si>
  <si>
    <t>A4</t>
  </si>
  <si>
    <t>B1</t>
  </si>
  <si>
    <t>B2</t>
  </si>
  <si>
    <t>B3</t>
  </si>
  <si>
    <t>B4</t>
  </si>
  <si>
    <t>C1</t>
  </si>
  <si>
    <t>C2</t>
  </si>
  <si>
    <t>C3</t>
  </si>
  <si>
    <t>C4</t>
  </si>
  <si>
    <t>D1</t>
  </si>
  <si>
    <t>D2</t>
  </si>
  <si>
    <t>D3</t>
  </si>
  <si>
    <t>D4</t>
  </si>
  <si>
    <t>Perhitungan Kerugian Akibat Banjir</t>
  </si>
  <si>
    <t xml:space="preserve">Kerugian = kebersihan, kehilangan pendapatan dan tambahan lainnya </t>
  </si>
  <si>
    <t>kebersihan</t>
  </si>
  <si>
    <t>properti rusak/biaya servis</t>
  </si>
  <si>
    <t>Bh</t>
  </si>
  <si>
    <t>Kisaran biaya servis</t>
  </si>
  <si>
    <t>tune up</t>
  </si>
  <si>
    <t>air radiator</t>
  </si>
  <si>
    <t>ganti oli mesin/transmisi</t>
  </si>
  <si>
    <t>ganti filter oli</t>
  </si>
  <si>
    <t>ganti busi</t>
  </si>
  <si>
    <t>pengecekan sistem rem</t>
  </si>
  <si>
    <t>ganti kampas rem</t>
  </si>
  <si>
    <t>alternator korslet</t>
  </si>
  <si>
    <t xml:space="preserve">kopling menempel </t>
  </si>
  <si>
    <t>ganti filter udara</t>
  </si>
  <si>
    <t>rem berkarat</t>
  </si>
  <si>
    <t>ECU korslet</t>
  </si>
  <si>
    <t>rata2</t>
  </si>
  <si>
    <t>semua</t>
  </si>
  <si>
    <t>1-4 hari dst</t>
  </si>
  <si>
    <t>71-150 dst</t>
  </si>
  <si>
    <t>71-150 &amp; 1-4 hari</t>
  </si>
  <si>
    <t>71-150 &amp; 5-8 hari</t>
  </si>
  <si>
    <t>KENDARAAN</t>
  </si>
  <si>
    <t>mobil-servis kendaraan (tune up, pembersihan dari air, dll)</t>
  </si>
  <si>
    <t>MOBIL</t>
  </si>
  <si>
    <t>BUS/TRUK</t>
  </si>
  <si>
    <t>MOTOR</t>
  </si>
  <si>
    <t>5-8 hari dst</t>
  </si>
  <si>
    <t>71-150 &amp; &gt;8 hari</t>
  </si>
  <si>
    <t>SERVIS</t>
  </si>
  <si>
    <t>RINGAN</t>
  </si>
  <si>
    <t>SEDANG</t>
  </si>
  <si>
    <t>BERAT</t>
  </si>
  <si>
    <t>MATIK</t>
  </si>
  <si>
    <t xml:space="preserve">BEBEK </t>
  </si>
  <si>
    <t>SPORT</t>
  </si>
  <si>
    <t>motor-servis kendaraan (tune up, pembersihan dari air, dll)</t>
  </si>
  <si>
    <t>bus/truk-servis kendaraan (tune up, pembersihan dari air, dll)</t>
  </si>
  <si>
    <t>MOBIL-sedan</t>
  </si>
  <si>
    <t>71-150</t>
  </si>
  <si>
    <t>&gt;150</t>
  </si>
  <si>
    <t>71-150 dan &gt;150</t>
  </si>
  <si>
    <t xml:space="preserve">KENDARAAN </t>
  </si>
  <si>
    <t>Jenis data</t>
  </si>
  <si>
    <t>Keterangan/Sumber</t>
  </si>
  <si>
    <t>Jumlah RW kena banjir</t>
  </si>
  <si>
    <t>Data banjir 2014</t>
  </si>
  <si>
    <t>Total kendaraan kena banjir</t>
  </si>
  <si>
    <t>Asumsi dari data asuransi dan jumlah RW kena banjir (2007 dibagi 2014)</t>
  </si>
  <si>
    <t>asumsi asuransi</t>
  </si>
  <si>
    <t>dari asumsi 80% kendaraan</t>
  </si>
  <si>
    <t>Asuransi (kendaraan 2007)</t>
  </si>
  <si>
    <t>Jumlah kendaraan / jenis</t>
  </si>
  <si>
    <t>motor</t>
  </si>
  <si>
    <t>mobil</t>
  </si>
  <si>
    <t>truk/bus</t>
  </si>
  <si>
    <t>dll (jenis kendaraan yang tidak terlalu besar jumlahnya dan juga kemungkinannya kecil untuk terdampak banjir mis : alat berat) jadi diabaikan</t>
  </si>
  <si>
    <t>dari data pajak (dibuat proporsi)</t>
  </si>
  <si>
    <t>Data banjir 2007 (dari peta bpbd : list jumlah rw yang kena banjir)</t>
  </si>
  <si>
    <t>asumsi versi 1 : kedalaman dan durasi memberikan pengaruh terhadap nilai kerusakan kendaraan (servis)</t>
  </si>
  <si>
    <t>asumsi versi 2 : durasi tidak memberikan pengaruh terhadap nilai kerusakan melainkan hanya kedalaman karena dengan asumsi bahwa kejadian (kendaraan menerobos banjir hanya terjadi sekali pada setiap kendaraan) sehingga tidak ada pengulangan di hari berikutnya dan tidak memungkinkan ada kendaraan yang menerjang banjir apabila kedalaman mencapai 71-150 atau bahkan &gt;150 cm</t>
  </si>
  <si>
    <t>asumsi kerugian</t>
  </si>
  <si>
    <t xml:space="preserve">kerugian dari sisi penurunan pendapatan yang dialami angkutan umum selama banjir </t>
  </si>
  <si>
    <t xml:space="preserve">kerugian dari sisi BBM sebagai dampak dari kemacetan yang ditimbulkan akibat banjir </t>
  </si>
  <si>
    <t>No.</t>
  </si>
  <si>
    <t>Jenis</t>
  </si>
  <si>
    <t>Tarif</t>
  </si>
  <si>
    <t xml:space="preserve">1. Bus Sedang (AC) </t>
  </si>
  <si>
    <t>2. Bus Besar (AC)</t>
  </si>
  <si>
    <r>
      <t>Berikut tarif angkot di Jakarta:</t>
    </r>
    <r>
      <rPr>
        <sz val="11"/>
        <color rgb="FF262626"/>
        <rFont val="Arial"/>
        <family val="2"/>
      </rPr>
      <t> </t>
    </r>
  </si>
  <si>
    <t xml:space="preserve">10 - 70 cm </t>
  </si>
  <si>
    <t xml:space="preserve">&gt; 150 cm </t>
  </si>
  <si>
    <t>(dalam hitungan jam selanjutnya dikalikan berdasarkan hitungan asumsi kelipatan hari)</t>
  </si>
  <si>
    <t>Angkutan Umum                                          (Persentase penurunan volume kendaraan)</t>
  </si>
  <si>
    <t>DUMMY</t>
  </si>
  <si>
    <t>% penurunan vol. kendaraan</t>
  </si>
  <si>
    <t>Kerugian BBM</t>
  </si>
  <si>
    <t>tarif angkutan umum</t>
  </si>
  <si>
    <t>volume kendaraan</t>
  </si>
  <si>
    <t>Kerugian pendapatan</t>
  </si>
  <si>
    <t>Jenis BBM yang digunakan kendaran</t>
  </si>
  <si>
    <t>premium</t>
  </si>
  <si>
    <t>pertamax</t>
  </si>
  <si>
    <t>pertamax plus</t>
  </si>
  <si>
    <t>pertamina dex</t>
  </si>
  <si>
    <t>solar</t>
  </si>
  <si>
    <t>pertalite</t>
  </si>
  <si>
    <t>liter</t>
  </si>
  <si>
    <t>asumsi harga BBM yang digunakan</t>
  </si>
  <si>
    <t>asumsi mobilitas jarak tempuh kendaraan</t>
  </si>
  <si>
    <t>km/hari</t>
  </si>
  <si>
    <t>asumsikan dapat menempuh 10 km</t>
  </si>
  <si>
    <t>liter/hari</t>
  </si>
  <si>
    <t>asumsi penggunaan BBM/hari/kendaraan</t>
  </si>
  <si>
    <t>asumsi penggunaann BBM/km</t>
  </si>
  <si>
    <t>5 km</t>
  </si>
  <si>
    <t>rupiah BBM yang terbuang akibat banjir per hari per kendaraan</t>
  </si>
  <si>
    <t>Rata2</t>
  </si>
  <si>
    <t>asumsi kapasitas berdasarkan jenis jalan</t>
  </si>
  <si>
    <t>lajur</t>
  </si>
  <si>
    <t xml:space="preserve">akan dijadikan sebagai pengali dari jumlah mobil yang ada di suatu ruas jalan tertentu (dari rumus : panjang jalan : 5m-space u/ 1 mobil) dimana hasil tersebut dikalikan nilai kapasitas dari jenis jalan untuk mendapatkan kelipatan dari jumlah mobil </t>
  </si>
  <si>
    <t>Kapasitas Jalan</t>
  </si>
  <si>
    <t>Kerugian BBM/kendaraan</t>
  </si>
  <si>
    <t>Panjang Jalan (m) dibagi 5 m sbg space mobil</t>
  </si>
  <si>
    <t xml:space="preserve">Kerugian BBM                                    </t>
  </si>
  <si>
    <t>asumsi BBM yg terbuang sia2 akibat macet banjir yang harusnya dapat menempuh jarak tertentu dari setiap kendaraan atau jarak tambahan yang harus ditempuh untuk menghindari macet</t>
  </si>
  <si>
    <t>3. Angkot</t>
  </si>
  <si>
    <t>Kapasitas (rata rata sekali jalan)</t>
  </si>
  <si>
    <t>Estimasi Penurunan Kapasitas Angkutan Umum</t>
  </si>
  <si>
    <t>primary</t>
  </si>
  <si>
    <t>primary_link</t>
  </si>
  <si>
    <t>secondary</t>
  </si>
  <si>
    <t>secondary_link</t>
  </si>
  <si>
    <t>tertiary</t>
  </si>
  <si>
    <t>tertiary_link</t>
  </si>
  <si>
    <t>service</t>
  </si>
  <si>
    <t>residential</t>
  </si>
  <si>
    <t>trunk</t>
  </si>
  <si>
    <t>trunk_link</t>
  </si>
  <si>
    <t>asumsi bensin yang di habiskan untuk 1 jam macet</t>
  </si>
  <si>
    <t>http://finance.detik.com/read/2014/04/16/125013/2556799/4/di-malaysia-jarak-100-km-ditempuh-1-jam-di-indonesia-butuh-27-jam
http://finance.detik.com/read/2014/05/31/133757/2596136/1034/macet-jakarta-bikin-konsumsi-bbm-boros-ini-penjelasannya</t>
  </si>
  <si>
    <t>7 Liter Bensin per 2.7 jam (gigi 2)</t>
  </si>
  <si>
    <t>jadi hari jika banjir &lt;1 hari berarti hari banjir itu menyebabkan arus lalu lintas terganggu selama (2, 4, 6, 1 jam berdasarkan kedalaman banjir)/ waktu jam dimana kemacetan tersebut baru bisa terurai, maka asumsinya hari berikutnya apabila masih banjir volume kendaraan yang melewati jalan tertentu tersebut akan berkurang yang diperkirakan besarannya berkali lipat sesuai asumsi hari banjir (1 s/d 2 hari) untuk berikutnya dikalikan pengali 2,3,dan4 (kelas B,C,D)</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</si>
</sst>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_(* \(#,##0.00\);_(* &quot;-&quot;??_);_(@_)"/>
    <numFmt numFmtId="164" formatCode="_(* #,##0_);_(* \(#,##0\);_(* &quot;-&quot;??_);_(@_)"/>
    <numFmt numFmtId="165" formatCode="0.000"/>
    <numFmt numFmtId="166" formatCode="_(* #,##0.0_);_(* \(#,##0.0\);_(* &quot;-&quot;??_);_(@_)"/>
  </numFmts>
  <fonts count="12" x14ac:knownFonts="1">
    <font>
      <sz val="11"/>
      <color theme="1"/>
      <name val="Calibri"/>
      <family val="2"/>
      <scheme val="minor"/>
    </font>
    <font>
      <sz val="11"/>
      <color theme="1"/>
      <name val="Calibri"/>
      <family val="2"/>
      <charset val="1"/>
      <scheme val="minor"/>
    </font>
    <font>
      <b/>
      <sz val="9"/>
      <color theme="1"/>
      <name val="Arial"/>
      <family val="2"/>
    </font>
    <font>
      <sz val="9"/>
      <color theme="1"/>
      <name val="Arial"/>
      <family val="2"/>
    </font>
    <font>
      <sz val="11"/>
      <color theme="1"/>
      <name val="Calibri"/>
      <family val="2"/>
    </font>
    <font>
      <b/>
      <sz val="14"/>
      <color theme="1"/>
      <name val="Arial"/>
      <family val="2"/>
    </font>
    <font>
      <sz val="11"/>
      <color theme="1"/>
      <name val="Calibri"/>
      <family val="2"/>
      <scheme val="minor"/>
    </font>
    <font>
      <b/>
      <sz val="11"/>
      <color theme="1"/>
      <name val="Calibri"/>
      <family val="2"/>
      <scheme val="minor"/>
    </font>
    <font>
      <b/>
      <sz val="11"/>
      <color rgb="FF262626"/>
      <name val="Arial"/>
      <family val="2"/>
    </font>
    <font>
      <sz val="11"/>
      <color rgb="FF262626"/>
      <name val="Arial"/>
      <family val="2"/>
    </font>
    <font>
      <b/>
      <sz val="14"/>
      <color theme="1"/>
      <name val="Calibri"/>
      <family val="2"/>
      <scheme val="minor"/>
    </font>
    <font>
      <u/>
      <sz val="11"/>
      <color theme="10"/>
      <name val="Calibri"/>
      <family val="2"/>
      <scheme val="minor"/>
    </font>
  </fonts>
  <fills count="4">
    <fill>
      <patternFill patternType="none"/>
    </fill>
    <fill>
      <patternFill patternType="gray125"/>
    </fill>
    <fill>
      <patternFill patternType="solid">
        <fgColor theme="9" tint="0.39997558519241921"/>
        <bgColor indexed="64"/>
      </patternFill>
    </fill>
    <fill>
      <patternFill patternType="solid">
        <fgColor rgb="FFFF0000"/>
        <bgColor indexed="64"/>
      </patternFill>
    </fill>
  </fills>
  <borders count="9">
    <border>
      <left/>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style="thin">
        <color indexed="64"/>
      </top>
      <bottom/>
      <diagonal/>
    </border>
    <border>
      <left style="thin">
        <color indexed="64"/>
      </left>
      <right style="thin">
        <color indexed="64"/>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s>
  <cellStyleXfs count="6">
    <xf numFmtId="0" fontId="0" fillId="0" borderId="0"/>
    <xf numFmtId="0" fontId="1" fillId="0" borderId="0"/>
    <xf numFmtId="43" fontId="1" fillId="0" borderId="0" applyFont="0" applyFill="0" applyBorder="0" applyAlignment="0" applyProtection="0"/>
    <xf numFmtId="9" fontId="6" fillId="0" borderId="0" applyFont="0" applyFill="0" applyBorder="0" applyAlignment="0" applyProtection="0"/>
    <xf numFmtId="43" fontId="6" fillId="0" borderId="0" applyFont="0" applyFill="0" applyBorder="0" applyAlignment="0" applyProtection="0"/>
    <xf numFmtId="0" fontId="11" fillId="0" borderId="0" applyNumberFormat="0" applyFill="0" applyBorder="0" applyAlignment="0" applyProtection="0"/>
  </cellStyleXfs>
  <cellXfs count="97">
    <xf numFmtId="0" fontId="0" fillId="0" borderId="0" xfId="0"/>
    <xf numFmtId="0" fontId="1" fillId="0" borderId="0" xfId="1"/>
    <xf numFmtId="0" fontId="2" fillId="0" borderId="0" xfId="1" applyFont="1"/>
    <xf numFmtId="0" fontId="3" fillId="0" borderId="0" xfId="1" applyFont="1"/>
    <xf numFmtId="0" fontId="3" fillId="0" borderId="2" xfId="1" applyFont="1" applyBorder="1" applyAlignment="1">
      <alignment horizontal="center"/>
    </xf>
    <xf numFmtId="0" fontId="2" fillId="0" borderId="2" xfId="1" applyFont="1" applyBorder="1" applyAlignment="1">
      <alignment horizontal="center"/>
    </xf>
    <xf numFmtId="0" fontId="3" fillId="0" borderId="2" xfId="1" applyFont="1" applyBorder="1"/>
    <xf numFmtId="164" fontId="3" fillId="0" borderId="2" xfId="2" applyNumberFormat="1" applyFont="1" applyBorder="1"/>
    <xf numFmtId="164" fontId="3" fillId="0" borderId="2" xfId="1" applyNumberFormat="1" applyFont="1" applyBorder="1"/>
    <xf numFmtId="0" fontId="3" fillId="0" borderId="2" xfId="1" applyFont="1" applyBorder="1" applyAlignment="1">
      <alignment wrapText="1"/>
    </xf>
    <xf numFmtId="164" fontId="3" fillId="0" borderId="2" xfId="2" applyNumberFormat="1" applyFont="1" applyBorder="1" applyAlignment="1">
      <alignment horizontal="center"/>
    </xf>
    <xf numFmtId="0" fontId="4" fillId="0" borderId="2" xfId="0" applyFont="1" applyBorder="1" applyAlignment="1">
      <alignment horizontal="center"/>
    </xf>
    <xf numFmtId="0" fontId="0" fillId="0" borderId="2" xfId="0" applyBorder="1" applyAlignment="1">
      <alignment horizontal="center"/>
    </xf>
    <xf numFmtId="0" fontId="3" fillId="0" borderId="2" xfId="1" applyFont="1" applyFill="1" applyBorder="1"/>
    <xf numFmtId="0" fontId="3" fillId="0" borderId="2" xfId="1" applyFont="1" applyFill="1" applyBorder="1" applyAlignment="1">
      <alignment horizontal="center"/>
    </xf>
    <xf numFmtId="164" fontId="3" fillId="0" borderId="2" xfId="2" applyNumberFormat="1" applyFont="1" applyFill="1" applyBorder="1" applyAlignment="1">
      <alignment horizontal="center"/>
    </xf>
    <xf numFmtId="0" fontId="0" fillId="0" borderId="2" xfId="0" applyBorder="1"/>
    <xf numFmtId="0" fontId="2" fillId="0" borderId="2" xfId="1" applyFont="1" applyFill="1" applyBorder="1"/>
    <xf numFmtId="0" fontId="0" fillId="0" borderId="2" xfId="0" applyBorder="1" applyAlignment="1">
      <alignment vertical="center" wrapText="1"/>
    </xf>
    <xf numFmtId="164" fontId="0" fillId="0" borderId="2" xfId="0" applyNumberFormat="1" applyBorder="1" applyAlignment="1">
      <alignment horizontal="center"/>
    </xf>
    <xf numFmtId="0" fontId="1" fillId="0" borderId="2" xfId="1" applyBorder="1" applyAlignment="1">
      <alignment horizontal="center"/>
    </xf>
    <xf numFmtId="164" fontId="3" fillId="0" borderId="0" xfId="2" applyNumberFormat="1" applyFont="1" applyBorder="1" applyAlignment="1">
      <alignment horizontal="center"/>
    </xf>
    <xf numFmtId="0" fontId="3" fillId="0" borderId="0" xfId="1" applyFont="1" applyBorder="1" applyAlignment="1">
      <alignment horizontal="center"/>
    </xf>
    <xf numFmtId="0" fontId="0" fillId="0" borderId="0" xfId="0" applyBorder="1" applyAlignment="1">
      <alignment horizontal="center"/>
    </xf>
    <xf numFmtId="0" fontId="5" fillId="0" borderId="0" xfId="1" applyFont="1"/>
    <xf numFmtId="0" fontId="0" fillId="0" borderId="0" xfId="0" applyBorder="1"/>
    <xf numFmtId="0" fontId="3" fillId="0" borderId="0" xfId="1" applyFont="1" applyFill="1" applyBorder="1"/>
    <xf numFmtId="0" fontId="0" fillId="0" borderId="0" xfId="0" applyAlignment="1">
      <alignment horizontal="center"/>
    </xf>
    <xf numFmtId="3" fontId="0" fillId="0" borderId="0" xfId="0" applyNumberFormat="1"/>
    <xf numFmtId="0" fontId="3" fillId="0" borderId="0" xfId="1" applyFont="1" applyBorder="1"/>
    <xf numFmtId="0" fontId="0" fillId="0" borderId="2" xfId="0" applyFill="1" applyBorder="1"/>
    <xf numFmtId="0" fontId="0" fillId="0" borderId="0" xfId="0" applyAlignment="1">
      <alignment horizontal="left"/>
    </xf>
    <xf numFmtId="164" fontId="0" fillId="0" borderId="0" xfId="0" applyNumberFormat="1"/>
    <xf numFmtId="0" fontId="3" fillId="0" borderId="0" xfId="1" applyFont="1" applyBorder="1" applyAlignment="1">
      <alignment wrapText="1"/>
    </xf>
    <xf numFmtId="0" fontId="2" fillId="0" borderId="0" xfId="1" applyFont="1" applyFill="1" applyBorder="1"/>
    <xf numFmtId="0" fontId="1" fillId="0" borderId="0" xfId="1" applyBorder="1" applyAlignment="1">
      <alignment horizontal="center"/>
    </xf>
    <xf numFmtId="3" fontId="0" fillId="0" borderId="2" xfId="0" applyNumberFormat="1" applyBorder="1"/>
    <xf numFmtId="3" fontId="3" fillId="0" borderId="2" xfId="2" applyNumberFormat="1" applyFont="1" applyBorder="1" applyAlignment="1">
      <alignment horizontal="center"/>
    </xf>
    <xf numFmtId="164" fontId="3" fillId="0" borderId="0" xfId="1" applyNumberFormat="1" applyFont="1" applyBorder="1"/>
    <xf numFmtId="0" fontId="3" fillId="0" borderId="1" xfId="1" applyFont="1" applyBorder="1"/>
    <xf numFmtId="164" fontId="3" fillId="0" borderId="1" xfId="1" applyNumberFormat="1" applyFont="1" applyBorder="1"/>
    <xf numFmtId="0" fontId="3" fillId="0" borderId="4" xfId="1" applyFont="1" applyBorder="1"/>
    <xf numFmtId="164" fontId="3" fillId="0" borderId="4" xfId="1" applyNumberFormat="1" applyFont="1" applyBorder="1"/>
    <xf numFmtId="0" fontId="0" fillId="0" borderId="0" xfId="0" applyFill="1"/>
    <xf numFmtId="3" fontId="0" fillId="0" borderId="0" xfId="0" applyNumberFormat="1" applyFill="1"/>
    <xf numFmtId="2" fontId="0" fillId="0" borderId="0" xfId="0" applyNumberFormat="1"/>
    <xf numFmtId="1" fontId="0" fillId="0" borderId="0" xfId="0" applyNumberFormat="1"/>
    <xf numFmtId="0" fontId="0" fillId="2" borderId="0" xfId="0" applyFill="1" applyAlignment="1">
      <alignment wrapText="1"/>
    </xf>
    <xf numFmtId="0" fontId="0" fillId="2" borderId="0" xfId="0" applyFill="1"/>
    <xf numFmtId="9" fontId="0" fillId="0" borderId="0" xfId="0" applyNumberFormat="1"/>
    <xf numFmtId="0" fontId="0" fillId="3" borderId="0" xfId="0" applyFill="1"/>
    <xf numFmtId="0" fontId="7" fillId="0" borderId="0" xfId="0" applyFont="1"/>
    <xf numFmtId="0" fontId="8" fillId="0" borderId="0" xfId="0" applyFont="1"/>
    <xf numFmtId="0" fontId="9" fillId="0" borderId="0" xfId="0" applyFont="1"/>
    <xf numFmtId="1" fontId="3" fillId="0" borderId="2" xfId="3" applyNumberFormat="1" applyFont="1" applyBorder="1"/>
    <xf numFmtId="0" fontId="7" fillId="0" borderId="2" xfId="0" applyFont="1" applyBorder="1" applyAlignment="1">
      <alignment horizontal="center"/>
    </xf>
    <xf numFmtId="0" fontId="9" fillId="0" borderId="2" xfId="0" applyFont="1" applyBorder="1"/>
    <xf numFmtId="164" fontId="0" fillId="0" borderId="2" xfId="0" applyNumberFormat="1" applyBorder="1"/>
    <xf numFmtId="164" fontId="3" fillId="0" borderId="2" xfId="2" applyNumberFormat="1" applyFont="1" applyFill="1" applyBorder="1"/>
    <xf numFmtId="164" fontId="0" fillId="0" borderId="2" xfId="4" applyNumberFormat="1" applyFont="1" applyBorder="1" applyAlignment="1">
      <alignment horizontal="center"/>
    </xf>
    <xf numFmtId="164" fontId="0" fillId="0" borderId="2" xfId="4" applyNumberFormat="1" applyFont="1" applyBorder="1"/>
    <xf numFmtId="9" fontId="0" fillId="0" borderId="2" xfId="0" applyNumberFormat="1" applyBorder="1"/>
    <xf numFmtId="0" fontId="10" fillId="3" borderId="0" xfId="0" applyFont="1" applyFill="1" applyAlignment="1">
      <alignment horizontal="center"/>
    </xf>
    <xf numFmtId="165" fontId="0" fillId="0" borderId="0" xfId="0" applyNumberFormat="1"/>
    <xf numFmtId="0" fontId="3" fillId="0" borderId="2" xfId="1" applyFont="1" applyFill="1" applyBorder="1" applyAlignment="1">
      <alignment horizontal="left" vertical="center" wrapText="1"/>
    </xf>
    <xf numFmtId="0" fontId="0" fillId="0" borderId="2" xfId="0" applyBorder="1" applyAlignment="1">
      <alignment horizontal="center" vertical="center"/>
    </xf>
    <xf numFmtId="0" fontId="3" fillId="0" borderId="0" xfId="1" applyFont="1" applyFill="1" applyBorder="1" applyAlignment="1">
      <alignment horizontal="left" vertical="center" wrapText="1"/>
    </xf>
    <xf numFmtId="0" fontId="7" fillId="0" borderId="2" xfId="0" applyFont="1" applyBorder="1"/>
    <xf numFmtId="1" fontId="0" fillId="0" borderId="2" xfId="0" applyNumberFormat="1" applyBorder="1"/>
    <xf numFmtId="2" fontId="0" fillId="0" borderId="0" xfId="0" applyNumberFormat="1" applyBorder="1"/>
    <xf numFmtId="2" fontId="0" fillId="0" borderId="6" xfId="0" applyNumberFormat="1" applyBorder="1"/>
    <xf numFmtId="2" fontId="0" fillId="0" borderId="7" xfId="0" applyNumberFormat="1" applyBorder="1"/>
    <xf numFmtId="2" fontId="0" fillId="0" borderId="8" xfId="0" applyNumberFormat="1" applyBorder="1"/>
    <xf numFmtId="0" fontId="0" fillId="0" borderId="0" xfId="0" applyBorder="1" applyAlignment="1">
      <alignment horizontal="center" vertical="center"/>
    </xf>
    <xf numFmtId="164" fontId="0" fillId="0" borderId="0" xfId="0" applyNumberFormat="1" applyBorder="1" applyAlignment="1">
      <alignment horizontal="center" vertical="center"/>
    </xf>
    <xf numFmtId="0" fontId="0" fillId="0" borderId="0" xfId="0" applyBorder="1" applyAlignment="1">
      <alignment horizontal="center" vertical="center" wrapText="1"/>
    </xf>
    <xf numFmtId="0" fontId="11" fillId="0" borderId="2" xfId="5" applyBorder="1" applyAlignment="1">
      <alignment horizontal="center" vertical="center" wrapText="1"/>
    </xf>
    <xf numFmtId="166" fontId="0" fillId="0" borderId="2" xfId="0" applyNumberFormat="1" applyBorder="1" applyAlignment="1">
      <alignment horizontal="center" vertical="center"/>
    </xf>
    <xf numFmtId="0" fontId="3" fillId="0" borderId="1" xfId="1" applyFont="1" applyBorder="1" applyAlignment="1">
      <alignment horizontal="center" vertical="center"/>
    </xf>
    <xf numFmtId="0" fontId="3" fillId="0" borderId="3" xfId="1" applyFont="1" applyBorder="1" applyAlignment="1">
      <alignment horizontal="center" vertical="center"/>
    </xf>
    <xf numFmtId="0" fontId="3" fillId="0" borderId="2" xfId="1" applyFont="1" applyBorder="1" applyAlignment="1">
      <alignment horizontal="center" vertical="center"/>
    </xf>
    <xf numFmtId="0" fontId="3" fillId="0" borderId="1" xfId="1" applyFont="1" applyBorder="1" applyAlignment="1">
      <alignment horizontal="center" vertical="center" wrapText="1"/>
    </xf>
    <xf numFmtId="0" fontId="3" fillId="0" borderId="3" xfId="1" applyFont="1" applyBorder="1" applyAlignment="1">
      <alignment horizontal="center" vertical="center" wrapText="1"/>
    </xf>
    <xf numFmtId="0" fontId="3" fillId="0" borderId="2" xfId="1" applyFont="1" applyFill="1" applyBorder="1" applyAlignment="1">
      <alignment horizontal="left" vertical="center" wrapText="1"/>
    </xf>
    <xf numFmtId="0" fontId="0" fillId="0" borderId="2" xfId="0" applyBorder="1" applyAlignment="1">
      <alignment horizontal="center" vertical="center"/>
    </xf>
    <xf numFmtId="164" fontId="0" fillId="0" borderId="2" xfId="0" applyNumberFormat="1" applyBorder="1" applyAlignment="1">
      <alignment horizontal="center" vertical="center"/>
    </xf>
    <xf numFmtId="0" fontId="0" fillId="0" borderId="2" xfId="0" applyBorder="1" applyAlignment="1">
      <alignment horizontal="center" vertical="center" wrapText="1"/>
    </xf>
    <xf numFmtId="0" fontId="3" fillId="0" borderId="2" xfId="1" applyFont="1" applyFill="1" applyBorder="1" applyAlignment="1">
      <alignment horizontal="center" vertical="center"/>
    </xf>
    <xf numFmtId="0" fontId="0" fillId="0" borderId="1" xfId="0" applyBorder="1" applyAlignment="1">
      <alignment horizontal="center" vertical="center"/>
    </xf>
    <xf numFmtId="0" fontId="0" fillId="0" borderId="5" xfId="0" applyBorder="1" applyAlignment="1">
      <alignment horizontal="center" vertical="center"/>
    </xf>
    <xf numFmtId="0" fontId="0" fillId="0" borderId="3" xfId="0" applyBorder="1" applyAlignment="1">
      <alignment horizontal="center" vertical="center"/>
    </xf>
    <xf numFmtId="0" fontId="3" fillId="0" borderId="2" xfId="0" applyFont="1" applyBorder="1" applyAlignment="1">
      <alignment horizontal="left" vertical="center" wrapText="1"/>
    </xf>
    <xf numFmtId="0" fontId="3" fillId="0" borderId="0" xfId="1" applyFont="1" applyFill="1" applyBorder="1" applyAlignment="1">
      <alignment horizontal="left" vertical="center" wrapText="1"/>
    </xf>
    <xf numFmtId="2" fontId="3" fillId="0" borderId="2" xfId="3" applyNumberFormat="1" applyFont="1" applyBorder="1"/>
    <xf numFmtId="0" fontId="3" fillId="0" borderId="0" xfId="1" applyFont="1" applyBorder="1" applyAlignment="1">
      <alignment horizontal="center" vertical="center" wrapText="1"/>
    </xf>
    <xf numFmtId="9" fontId="3" fillId="0" borderId="0" xfId="3" applyFont="1" applyBorder="1"/>
    <xf numFmtId="165" fontId="0" fillId="0" borderId="0" xfId="0" applyNumberFormat="1" applyBorder="1"/>
  </cellXfs>
  <cellStyles count="6">
    <cellStyle name="Comma" xfId="4" builtinId="3"/>
    <cellStyle name="Comma 2" xfId="2"/>
    <cellStyle name="Hyperlink" xfId="5" builtinId="8"/>
    <cellStyle name="Normal" xfId="0" builtinId="0"/>
    <cellStyle name="Normal 2" xfId="1"/>
    <cellStyle name="Percent" xfId="3"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finance.detik.com/read/2014/04/16/125013/2556799/4/di-malaysia-jarak-100-km-ditempuh-1-jam-di-indonesia-butuh-27-ja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11"/>
  <sheetViews>
    <sheetView topLeftCell="C36" workbookViewId="0">
      <selection activeCell="H48" sqref="H48"/>
    </sheetView>
  </sheetViews>
  <sheetFormatPr defaultRowHeight="15" x14ac:dyDescent="0.25"/>
  <cols>
    <col min="2" max="2" width="5.85546875" customWidth="1"/>
    <col min="3" max="3" width="31.140625" customWidth="1"/>
    <col min="4" max="4" width="10.140625" bestFit="1" customWidth="1"/>
    <col min="5" max="5" width="11.140625" bestFit="1" customWidth="1"/>
    <col min="6" max="6" width="13.28515625" bestFit="1" customWidth="1"/>
    <col min="7" max="7" width="13.5703125" bestFit="1" customWidth="1"/>
    <col min="8" max="8" width="18.28515625" bestFit="1" customWidth="1"/>
    <col min="10" max="10" width="12.85546875" customWidth="1"/>
    <col min="11" max="11" width="12.5703125" bestFit="1" customWidth="1"/>
    <col min="12" max="12" width="13.5703125" bestFit="1" customWidth="1"/>
    <col min="13" max="13" width="12.5703125" bestFit="1" customWidth="1"/>
    <col min="14" max="14" width="13.5703125" bestFit="1" customWidth="1"/>
    <col min="15" max="17" width="14.28515625" bestFit="1" customWidth="1"/>
    <col min="18" max="18" width="13.5703125" bestFit="1" customWidth="1"/>
    <col min="19" max="21" width="14.28515625" bestFit="1" customWidth="1"/>
    <col min="22" max="22" width="10.5703125" bestFit="1" customWidth="1"/>
    <col min="23" max="25" width="14.28515625" bestFit="1" customWidth="1"/>
    <col min="26" max="26" width="11.5703125" bestFit="1" customWidth="1"/>
  </cols>
  <sheetData>
    <row r="1" spans="1:26" ht="18" x14ac:dyDescent="0.25">
      <c r="A1" s="1"/>
      <c r="B1" s="24" t="s">
        <v>60</v>
      </c>
      <c r="C1" s="1"/>
      <c r="D1" s="1"/>
      <c r="E1" s="1"/>
      <c r="F1" s="1"/>
      <c r="G1" s="1"/>
      <c r="I1" s="1"/>
      <c r="J1" s="1"/>
      <c r="K1" s="1"/>
      <c r="L1" s="1"/>
      <c r="M1" s="1"/>
      <c r="N1" s="1"/>
      <c r="O1" s="1"/>
      <c r="P1" s="1"/>
      <c r="Q1" s="1"/>
      <c r="R1" s="1"/>
      <c r="S1" s="1"/>
    </row>
    <row r="2" spans="1:26" x14ac:dyDescent="0.25">
      <c r="A2" s="1"/>
      <c r="C2" s="1"/>
      <c r="D2" s="1"/>
      <c r="E2" s="1"/>
      <c r="F2" s="1"/>
      <c r="G2" s="1"/>
      <c r="H2" s="1"/>
      <c r="I2" s="1"/>
      <c r="J2" s="1"/>
      <c r="K2" s="1"/>
      <c r="L2" s="1"/>
      <c r="M2" s="1"/>
      <c r="N2" s="1"/>
      <c r="O2" s="1"/>
      <c r="P2" s="1"/>
      <c r="Q2" s="1"/>
      <c r="R2" s="1"/>
      <c r="S2" s="1"/>
    </row>
    <row r="3" spans="1:26" x14ac:dyDescent="0.25">
      <c r="B3" s="2" t="s">
        <v>0</v>
      </c>
    </row>
    <row r="4" spans="1:26" x14ac:dyDescent="0.25">
      <c r="A4" s="2"/>
      <c r="B4" s="3" t="s">
        <v>1</v>
      </c>
      <c r="J4" s="2" t="s">
        <v>2</v>
      </c>
      <c r="K4" s="1"/>
      <c r="L4" s="1"/>
      <c r="M4" s="1"/>
      <c r="N4" s="1"/>
    </row>
    <row r="5" spans="1:26" x14ac:dyDescent="0.25">
      <c r="A5" s="1"/>
      <c r="J5" s="78" t="s">
        <v>76</v>
      </c>
      <c r="K5" s="4" t="s">
        <v>4</v>
      </c>
      <c r="L5" s="4" t="s">
        <v>5</v>
      </c>
      <c r="M5" s="4" t="s">
        <v>6</v>
      </c>
      <c r="N5" s="4" t="s">
        <v>7</v>
      </c>
    </row>
    <row r="6" spans="1:26" x14ac:dyDescent="0.25">
      <c r="A6" s="1"/>
      <c r="B6" s="5" t="s">
        <v>8</v>
      </c>
      <c r="C6" s="5" t="s">
        <v>9</v>
      </c>
      <c r="D6" s="5" t="s">
        <v>10</v>
      </c>
      <c r="E6" s="5" t="s">
        <v>11</v>
      </c>
      <c r="F6" s="5" t="s">
        <v>12</v>
      </c>
      <c r="G6" s="5" t="s">
        <v>13</v>
      </c>
      <c r="H6" s="5" t="s">
        <v>14</v>
      </c>
      <c r="J6" s="79"/>
      <c r="K6" s="4">
        <v>1</v>
      </c>
      <c r="L6" s="4">
        <v>2</v>
      </c>
      <c r="M6" s="4">
        <v>6</v>
      </c>
      <c r="N6" s="4">
        <v>10</v>
      </c>
    </row>
    <row r="7" spans="1:26" x14ac:dyDescent="0.25">
      <c r="A7" s="1"/>
      <c r="B7" s="16"/>
      <c r="C7" s="17" t="s">
        <v>39</v>
      </c>
      <c r="D7" s="16"/>
      <c r="E7" s="16"/>
      <c r="F7" s="16"/>
      <c r="G7" s="16"/>
      <c r="H7" s="16"/>
      <c r="J7" s="6" t="s">
        <v>15</v>
      </c>
      <c r="K7" s="36">
        <v>2390000</v>
      </c>
      <c r="L7" s="36">
        <v>2390000</v>
      </c>
      <c r="M7" s="36">
        <v>2390000</v>
      </c>
      <c r="N7" s="36">
        <v>2390000</v>
      </c>
    </row>
    <row r="8" spans="1:26" ht="24.75" x14ac:dyDescent="0.25">
      <c r="A8" s="1"/>
      <c r="B8" s="20">
        <v>1</v>
      </c>
      <c r="C8" s="9" t="s">
        <v>61</v>
      </c>
      <c r="D8" s="11"/>
      <c r="E8" s="4"/>
      <c r="F8" s="10"/>
      <c r="G8" s="10"/>
      <c r="H8" s="9"/>
      <c r="J8" s="6" t="s">
        <v>16</v>
      </c>
      <c r="K8" s="36">
        <v>12840000</v>
      </c>
      <c r="L8" s="36">
        <v>12840000</v>
      </c>
      <c r="M8" s="36">
        <v>12840000</v>
      </c>
      <c r="N8" s="36">
        <v>12840000</v>
      </c>
    </row>
    <row r="9" spans="1:26" x14ac:dyDescent="0.25">
      <c r="A9" s="1"/>
      <c r="B9" s="20"/>
      <c r="C9" s="9" t="s">
        <v>20</v>
      </c>
      <c r="D9" s="11">
        <v>1</v>
      </c>
      <c r="E9" s="4" t="s">
        <v>40</v>
      </c>
      <c r="F9" s="10">
        <v>2390000</v>
      </c>
      <c r="G9" s="10">
        <f>D9*F9</f>
        <v>2390000</v>
      </c>
      <c r="H9" s="9"/>
      <c r="J9" s="6" t="s">
        <v>17</v>
      </c>
      <c r="K9" s="36">
        <v>12840000</v>
      </c>
      <c r="L9" s="36">
        <v>12840000</v>
      </c>
      <c r="M9" s="36">
        <v>12840000</v>
      </c>
      <c r="N9" s="36">
        <v>12840000</v>
      </c>
    </row>
    <row r="10" spans="1:26" x14ac:dyDescent="0.25">
      <c r="A10" s="1"/>
      <c r="B10" s="20"/>
      <c r="C10" s="6" t="s">
        <v>21</v>
      </c>
      <c r="D10" s="11">
        <v>1</v>
      </c>
      <c r="E10" s="4" t="s">
        <v>40</v>
      </c>
      <c r="F10" s="10">
        <v>2490000</v>
      </c>
      <c r="G10" s="10">
        <f t="shared" ref="G10:G20" si="0">D10*F10</f>
        <v>2490000</v>
      </c>
      <c r="H10" s="16"/>
      <c r="J10" s="6" t="s">
        <v>18</v>
      </c>
      <c r="K10" s="7"/>
      <c r="L10" s="7"/>
      <c r="M10" s="7"/>
      <c r="N10" s="7"/>
    </row>
    <row r="11" spans="1:26" x14ac:dyDescent="0.25">
      <c r="A11" s="1"/>
      <c r="B11" s="4"/>
      <c r="C11" s="6" t="s">
        <v>22</v>
      </c>
      <c r="D11" s="11">
        <v>1</v>
      </c>
      <c r="E11" s="4" t="s">
        <v>40</v>
      </c>
      <c r="F11" s="10">
        <v>2490000</v>
      </c>
      <c r="G11" s="10">
        <f t="shared" si="0"/>
        <v>2490000</v>
      </c>
      <c r="H11" s="16"/>
      <c r="J11" s="1"/>
      <c r="K11" s="1"/>
      <c r="L11" s="1"/>
      <c r="M11" s="1"/>
      <c r="N11" s="1"/>
    </row>
    <row r="12" spans="1:26" ht="30" x14ac:dyDescent="0.25">
      <c r="A12" s="1"/>
      <c r="B12" s="12"/>
      <c r="C12" s="13" t="s">
        <v>24</v>
      </c>
      <c r="D12" s="11">
        <v>1</v>
      </c>
      <c r="E12" s="4" t="s">
        <v>40</v>
      </c>
      <c r="F12" s="15">
        <v>2590000</v>
      </c>
      <c r="G12" s="10">
        <f t="shared" si="0"/>
        <v>2590000</v>
      </c>
      <c r="H12" s="30"/>
      <c r="J12" s="18" t="s">
        <v>19</v>
      </c>
      <c r="K12" s="12" t="s">
        <v>20</v>
      </c>
      <c r="L12" s="12" t="s">
        <v>21</v>
      </c>
      <c r="M12" s="12" t="s">
        <v>22</v>
      </c>
      <c r="N12" s="12" t="s">
        <v>23</v>
      </c>
      <c r="O12" s="12" t="s">
        <v>24</v>
      </c>
      <c r="P12" s="12" t="s">
        <v>25</v>
      </c>
      <c r="Q12" s="12" t="s">
        <v>26</v>
      </c>
      <c r="R12" s="12" t="s">
        <v>27</v>
      </c>
      <c r="S12" s="12" t="s">
        <v>28</v>
      </c>
      <c r="T12" s="12" t="s">
        <v>29</v>
      </c>
      <c r="U12" s="12" t="s">
        <v>30</v>
      </c>
      <c r="V12" s="12" t="s">
        <v>31</v>
      </c>
      <c r="W12" s="12" t="s">
        <v>32</v>
      </c>
      <c r="X12" s="12" t="s">
        <v>33</v>
      </c>
      <c r="Y12" s="12" t="s">
        <v>34</v>
      </c>
      <c r="Z12" s="12" t="s">
        <v>35</v>
      </c>
    </row>
    <row r="13" spans="1:26" x14ac:dyDescent="0.25">
      <c r="A13" s="1"/>
      <c r="B13" s="16"/>
      <c r="C13" s="13" t="s">
        <v>25</v>
      </c>
      <c r="D13" s="11">
        <v>1</v>
      </c>
      <c r="E13" s="4" t="s">
        <v>40</v>
      </c>
      <c r="F13" s="10">
        <v>2840000</v>
      </c>
      <c r="G13" s="10">
        <f t="shared" si="0"/>
        <v>2840000</v>
      </c>
      <c r="H13" s="16"/>
      <c r="J13" s="18" t="s">
        <v>76</v>
      </c>
      <c r="K13" s="19">
        <f>K7+K18</f>
        <v>2450000</v>
      </c>
      <c r="L13" s="19">
        <f>K8+K19</f>
        <v>12900000</v>
      </c>
      <c r="M13" s="19">
        <f>K9+K20</f>
        <v>12900000</v>
      </c>
      <c r="N13" s="19">
        <f>K10+K21</f>
        <v>0</v>
      </c>
      <c r="O13" s="19">
        <f>L7+L18</f>
        <v>2450000</v>
      </c>
      <c r="P13" s="19">
        <f>L8+L19</f>
        <v>12900000</v>
      </c>
      <c r="Q13" s="19">
        <f>L9+L20</f>
        <v>12900000</v>
      </c>
      <c r="R13" s="19">
        <f>L10+L21</f>
        <v>0</v>
      </c>
      <c r="S13" s="19">
        <f>M7+M18</f>
        <v>2450000</v>
      </c>
      <c r="T13" s="19">
        <f>M8+M19</f>
        <v>12900000</v>
      </c>
      <c r="U13" s="19">
        <f>M9+M20</f>
        <v>12900000</v>
      </c>
      <c r="V13" s="19">
        <f>M10+M21</f>
        <v>0</v>
      </c>
      <c r="W13" s="19">
        <f>N7+N18</f>
        <v>2450000</v>
      </c>
      <c r="X13" s="19">
        <f>N8+N19</f>
        <v>12900000</v>
      </c>
      <c r="Y13" s="19">
        <f>N9+N20</f>
        <v>12900000</v>
      </c>
      <c r="Z13" s="19">
        <f>N10+N21</f>
        <v>0</v>
      </c>
    </row>
    <row r="14" spans="1:26" x14ac:dyDescent="0.25">
      <c r="A14" s="1"/>
      <c r="B14" s="4"/>
      <c r="C14" s="6" t="s">
        <v>26</v>
      </c>
      <c r="D14" s="11">
        <v>1</v>
      </c>
      <c r="E14" s="4" t="s">
        <v>40</v>
      </c>
      <c r="F14" s="10">
        <v>2840000</v>
      </c>
      <c r="G14" s="10">
        <f t="shared" si="0"/>
        <v>2840000</v>
      </c>
      <c r="H14" s="6"/>
    </row>
    <row r="15" spans="1:26" x14ac:dyDescent="0.25">
      <c r="A15" s="1"/>
      <c r="B15" s="4"/>
      <c r="C15" s="6" t="s">
        <v>28</v>
      </c>
      <c r="D15" s="11">
        <v>1</v>
      </c>
      <c r="E15" s="4" t="s">
        <v>40</v>
      </c>
      <c r="F15" s="10">
        <v>8265000</v>
      </c>
      <c r="G15" s="10">
        <f t="shared" si="0"/>
        <v>8265000</v>
      </c>
      <c r="H15" s="6"/>
      <c r="J15" s="2" t="s">
        <v>3</v>
      </c>
      <c r="K15" s="1"/>
      <c r="L15" s="1"/>
      <c r="M15" s="1"/>
      <c r="N15" s="1"/>
    </row>
    <row r="16" spans="1:26" x14ac:dyDescent="0.25">
      <c r="A16" s="1"/>
      <c r="B16" s="4"/>
      <c r="C16" s="6" t="s">
        <v>29</v>
      </c>
      <c r="D16" s="11">
        <v>1</v>
      </c>
      <c r="E16" s="4" t="s">
        <v>40</v>
      </c>
      <c r="F16" s="10">
        <v>11265000</v>
      </c>
      <c r="G16" s="10">
        <f t="shared" si="0"/>
        <v>11265000</v>
      </c>
      <c r="H16" s="6"/>
      <c r="J16" s="78" t="s">
        <v>76</v>
      </c>
      <c r="K16" s="4" t="s">
        <v>4</v>
      </c>
      <c r="L16" s="4" t="s">
        <v>5</v>
      </c>
      <c r="M16" s="4" t="s">
        <v>6</v>
      </c>
      <c r="N16" s="4" t="s">
        <v>7</v>
      </c>
    </row>
    <row r="17" spans="1:14" x14ac:dyDescent="0.25">
      <c r="A17" s="1"/>
      <c r="B17" s="4"/>
      <c r="C17" s="6" t="s">
        <v>30</v>
      </c>
      <c r="D17" s="11">
        <v>1</v>
      </c>
      <c r="E17" s="4" t="s">
        <v>40</v>
      </c>
      <c r="F17" s="10">
        <v>11265000</v>
      </c>
      <c r="G17" s="10">
        <f t="shared" si="0"/>
        <v>11265000</v>
      </c>
      <c r="H17" s="6"/>
      <c r="J17" s="79"/>
      <c r="K17" s="4">
        <v>1</v>
      </c>
      <c r="L17" s="4">
        <v>2</v>
      </c>
      <c r="M17" s="4">
        <v>6</v>
      </c>
      <c r="N17" s="4">
        <v>10</v>
      </c>
    </row>
    <row r="18" spans="1:14" x14ac:dyDescent="0.25">
      <c r="A18" s="1"/>
      <c r="B18" s="4"/>
      <c r="C18" s="6" t="s">
        <v>32</v>
      </c>
      <c r="D18" s="11">
        <v>1</v>
      </c>
      <c r="E18" s="4" t="s">
        <v>40</v>
      </c>
      <c r="F18" s="10">
        <v>16265000</v>
      </c>
      <c r="G18" s="10">
        <f t="shared" si="0"/>
        <v>16265000</v>
      </c>
      <c r="H18" s="6"/>
      <c r="J18" s="6" t="s">
        <v>15</v>
      </c>
      <c r="K18" s="8">
        <f>G28</f>
        <v>60000</v>
      </c>
      <c r="L18" s="8">
        <f>G28</f>
        <v>60000</v>
      </c>
      <c r="M18" s="8">
        <f>G28</f>
        <v>60000</v>
      </c>
      <c r="N18" s="8">
        <f>G28</f>
        <v>60000</v>
      </c>
    </row>
    <row r="19" spans="1:14" x14ac:dyDescent="0.25">
      <c r="A19" s="1"/>
      <c r="B19" s="4"/>
      <c r="C19" s="6" t="s">
        <v>33</v>
      </c>
      <c r="D19" s="11">
        <v>1</v>
      </c>
      <c r="E19" s="4" t="s">
        <v>40</v>
      </c>
      <c r="F19" s="10">
        <v>36265000</v>
      </c>
      <c r="G19" s="10">
        <f t="shared" si="0"/>
        <v>36265000</v>
      </c>
      <c r="H19" s="6"/>
      <c r="J19" s="6" t="s">
        <v>16</v>
      </c>
      <c r="K19" s="8">
        <f>G28</f>
        <v>60000</v>
      </c>
      <c r="L19" s="8">
        <f>G28</f>
        <v>60000</v>
      </c>
      <c r="M19" s="8">
        <f>G28</f>
        <v>60000</v>
      </c>
      <c r="N19" s="8">
        <f>G28</f>
        <v>60000</v>
      </c>
    </row>
    <row r="20" spans="1:14" x14ac:dyDescent="0.25">
      <c r="A20" s="1"/>
      <c r="B20" s="4"/>
      <c r="C20" s="6" t="s">
        <v>34</v>
      </c>
      <c r="D20" s="11">
        <v>1</v>
      </c>
      <c r="E20" s="4" t="s">
        <v>40</v>
      </c>
      <c r="F20" s="10">
        <v>36265000</v>
      </c>
      <c r="G20" s="10">
        <f t="shared" si="0"/>
        <v>36265000</v>
      </c>
      <c r="H20" s="6"/>
      <c r="J20" s="6" t="s">
        <v>17</v>
      </c>
      <c r="K20" s="8">
        <f>G28</f>
        <v>60000</v>
      </c>
      <c r="L20" s="8">
        <f>G28</f>
        <v>60000</v>
      </c>
      <c r="M20" s="8">
        <f>G28</f>
        <v>60000</v>
      </c>
      <c r="N20" s="8">
        <f>G28</f>
        <v>60000</v>
      </c>
    </row>
    <row r="21" spans="1:14" x14ac:dyDescent="0.25">
      <c r="A21" s="1"/>
      <c r="B21" s="25"/>
      <c r="C21" s="34"/>
      <c r="D21" s="25"/>
      <c r="E21" s="25"/>
      <c r="F21" s="25"/>
      <c r="G21" s="25"/>
      <c r="H21" s="25"/>
      <c r="J21" s="6" t="s">
        <v>18</v>
      </c>
      <c r="K21" s="8"/>
      <c r="L21" s="8"/>
      <c r="M21" s="8"/>
      <c r="N21" s="8"/>
    </row>
    <row r="22" spans="1:14" x14ac:dyDescent="0.25">
      <c r="A22" s="1"/>
      <c r="B22" s="25"/>
      <c r="C22" s="34"/>
      <c r="D22" s="25"/>
      <c r="E22" s="25"/>
      <c r="F22" s="25"/>
      <c r="G22" s="25"/>
      <c r="H22" s="25"/>
      <c r="J22" s="29"/>
      <c r="K22" s="38"/>
      <c r="L22" s="38"/>
      <c r="M22" s="38"/>
      <c r="N22" s="38"/>
    </row>
    <row r="23" spans="1:14" x14ac:dyDescent="0.25">
      <c r="A23" s="1"/>
      <c r="B23" s="25"/>
      <c r="C23" s="34"/>
      <c r="D23" s="25"/>
      <c r="E23" s="25"/>
      <c r="F23" s="25"/>
      <c r="G23" s="25"/>
      <c r="H23" s="25"/>
      <c r="J23" s="29"/>
      <c r="K23" s="38"/>
      <c r="L23" s="38"/>
      <c r="M23" s="38"/>
      <c r="N23" s="38"/>
    </row>
    <row r="24" spans="1:14" x14ac:dyDescent="0.25">
      <c r="B24" s="2" t="s">
        <v>36</v>
      </c>
      <c r="C24" s="1"/>
      <c r="D24" s="1"/>
      <c r="E24" s="1"/>
      <c r="F24" s="1"/>
      <c r="G24" s="1"/>
      <c r="H24" s="1"/>
    </row>
    <row r="25" spans="1:14" x14ac:dyDescent="0.25">
      <c r="B25" s="3" t="s">
        <v>37</v>
      </c>
      <c r="C25" s="1"/>
      <c r="D25" s="1"/>
      <c r="E25" s="1"/>
      <c r="F25" s="1"/>
      <c r="G25" s="1"/>
      <c r="H25" s="1"/>
    </row>
    <row r="27" spans="1:14" x14ac:dyDescent="0.25">
      <c r="B27" s="5" t="s">
        <v>8</v>
      </c>
      <c r="C27" s="5" t="s">
        <v>9</v>
      </c>
      <c r="D27" s="5" t="s">
        <v>10</v>
      </c>
      <c r="E27" s="5" t="s">
        <v>11</v>
      </c>
      <c r="F27" s="5" t="s">
        <v>12</v>
      </c>
      <c r="G27" s="5" t="s">
        <v>13</v>
      </c>
      <c r="H27" s="5" t="s">
        <v>14</v>
      </c>
    </row>
    <row r="28" spans="1:14" x14ac:dyDescent="0.25">
      <c r="B28" s="14">
        <v>1</v>
      </c>
      <c r="C28" s="6" t="s">
        <v>38</v>
      </c>
      <c r="D28" s="6"/>
      <c r="E28" s="4"/>
      <c r="F28" s="7"/>
      <c r="G28" s="7">
        <v>60000</v>
      </c>
      <c r="H28" s="9"/>
    </row>
    <row r="29" spans="1:14" x14ac:dyDescent="0.25">
      <c r="B29" s="1"/>
    </row>
    <row r="30" spans="1:14" x14ac:dyDescent="0.25">
      <c r="B30" s="35"/>
      <c r="C30" s="26"/>
      <c r="D30" s="25"/>
      <c r="E30" s="25"/>
      <c r="F30" s="25"/>
      <c r="G30" s="21"/>
      <c r="H30" s="25"/>
    </row>
    <row r="31" spans="1:14" x14ac:dyDescent="0.25">
      <c r="B31" s="35"/>
      <c r="C31" s="26"/>
      <c r="D31" s="25"/>
      <c r="E31" s="25"/>
      <c r="F31" s="25"/>
      <c r="G31" s="21"/>
      <c r="H31" s="25"/>
    </row>
    <row r="32" spans="1:14" x14ac:dyDescent="0.25">
      <c r="B32" s="35"/>
      <c r="C32" s="26"/>
      <c r="D32" s="25"/>
      <c r="E32" s="25"/>
      <c r="F32" s="25"/>
      <c r="G32" s="21"/>
      <c r="H32" s="25"/>
    </row>
    <row r="33" spans="1:26" x14ac:dyDescent="0.25">
      <c r="B33" s="35"/>
      <c r="C33" s="26"/>
      <c r="D33" s="25"/>
      <c r="E33" s="25"/>
      <c r="F33" s="25"/>
      <c r="G33" s="21"/>
      <c r="H33" s="25"/>
    </row>
    <row r="34" spans="1:26" x14ac:dyDescent="0.25">
      <c r="B34" s="35"/>
      <c r="C34" s="29"/>
      <c r="D34" s="23"/>
      <c r="E34" s="23"/>
      <c r="F34" s="23"/>
      <c r="G34" s="21"/>
      <c r="H34" s="33"/>
    </row>
    <row r="35" spans="1:26" x14ac:dyDescent="0.25">
      <c r="B35" s="5" t="s">
        <v>8</v>
      </c>
      <c r="C35" s="5" t="s">
        <v>9</v>
      </c>
      <c r="D35" s="5" t="s">
        <v>10</v>
      </c>
      <c r="E35" s="5" t="s">
        <v>11</v>
      </c>
      <c r="F35" s="5" t="s">
        <v>12</v>
      </c>
      <c r="G35" s="5" t="s">
        <v>13</v>
      </c>
      <c r="H35" s="5" t="s">
        <v>14</v>
      </c>
      <c r="J35" s="2" t="s">
        <v>2</v>
      </c>
      <c r="K35" s="1"/>
      <c r="L35" s="1"/>
      <c r="M35" s="1"/>
      <c r="N35" s="1"/>
    </row>
    <row r="36" spans="1:26" x14ac:dyDescent="0.25">
      <c r="B36" s="16"/>
      <c r="C36" s="17" t="s">
        <v>39</v>
      </c>
      <c r="D36" s="16"/>
      <c r="E36" s="16"/>
      <c r="F36" s="16"/>
      <c r="G36" s="16"/>
      <c r="H36" s="16"/>
      <c r="J36" s="78" t="s">
        <v>63</v>
      </c>
      <c r="K36" s="4" t="s">
        <v>4</v>
      </c>
      <c r="L36" s="4" t="s">
        <v>5</v>
      </c>
      <c r="M36" s="4" t="s">
        <v>6</v>
      </c>
      <c r="N36" s="4" t="s">
        <v>7</v>
      </c>
    </row>
    <row r="37" spans="1:26" ht="24.75" x14ac:dyDescent="0.25">
      <c r="B37" s="20">
        <v>1</v>
      </c>
      <c r="C37" s="9" t="s">
        <v>75</v>
      </c>
      <c r="D37" s="11"/>
      <c r="E37" s="4"/>
      <c r="F37" s="10"/>
      <c r="G37" s="10"/>
      <c r="H37" s="9"/>
      <c r="J37" s="79"/>
      <c r="K37" s="4">
        <v>1</v>
      </c>
      <c r="L37" s="4">
        <v>2</v>
      </c>
      <c r="M37" s="4">
        <v>6</v>
      </c>
      <c r="N37" s="4">
        <v>10</v>
      </c>
    </row>
    <row r="38" spans="1:26" x14ac:dyDescent="0.25">
      <c r="B38" s="20"/>
      <c r="C38" s="9" t="s">
        <v>20</v>
      </c>
      <c r="D38" s="11">
        <v>1</v>
      </c>
      <c r="E38" s="4" t="s">
        <v>40</v>
      </c>
      <c r="F38" s="10">
        <v>390000</v>
      </c>
      <c r="G38" s="10">
        <f>D38*F38</f>
        <v>390000</v>
      </c>
      <c r="H38" s="9"/>
      <c r="J38" s="6" t="s">
        <v>15</v>
      </c>
      <c r="K38" s="36">
        <v>2390000</v>
      </c>
      <c r="L38" s="36">
        <v>2390000</v>
      </c>
      <c r="M38" s="36">
        <v>2390000</v>
      </c>
      <c r="N38" s="36">
        <v>2390000</v>
      </c>
    </row>
    <row r="39" spans="1:26" x14ac:dyDescent="0.25">
      <c r="B39" s="20"/>
      <c r="C39" s="6" t="s">
        <v>21</v>
      </c>
      <c r="D39" s="11">
        <v>1</v>
      </c>
      <c r="E39" s="4" t="s">
        <v>40</v>
      </c>
      <c r="F39" s="10">
        <v>490000</v>
      </c>
      <c r="G39" s="10">
        <f t="shared" ref="G39:G49" si="1">D39*F39</f>
        <v>490000</v>
      </c>
      <c r="H39" s="16"/>
      <c r="J39" s="6" t="s">
        <v>16</v>
      </c>
      <c r="K39" s="36">
        <v>2840000</v>
      </c>
      <c r="L39" s="36">
        <v>2840000</v>
      </c>
      <c r="M39" s="36">
        <v>2840000</v>
      </c>
      <c r="N39" s="36">
        <v>2840000</v>
      </c>
    </row>
    <row r="40" spans="1:26" x14ac:dyDescent="0.25">
      <c r="B40" s="4"/>
      <c r="C40" s="6" t="s">
        <v>22</v>
      </c>
      <c r="D40" s="11">
        <v>1</v>
      </c>
      <c r="E40" s="4" t="s">
        <v>40</v>
      </c>
      <c r="F40" s="10">
        <v>490000</v>
      </c>
      <c r="G40" s="10">
        <f t="shared" si="1"/>
        <v>490000</v>
      </c>
      <c r="H40" s="16"/>
      <c r="J40" s="6" t="s">
        <v>17</v>
      </c>
      <c r="K40" s="36">
        <v>12840000</v>
      </c>
      <c r="L40" s="36">
        <v>12840000</v>
      </c>
      <c r="M40" s="36">
        <v>12840000</v>
      </c>
      <c r="N40" s="36">
        <v>12840000</v>
      </c>
    </row>
    <row r="41" spans="1:26" x14ac:dyDescent="0.25">
      <c r="B41" s="12"/>
      <c r="C41" s="13" t="s">
        <v>24</v>
      </c>
      <c r="D41" s="11">
        <v>1</v>
      </c>
      <c r="E41" s="4" t="s">
        <v>40</v>
      </c>
      <c r="F41" s="15">
        <v>2540000</v>
      </c>
      <c r="G41" s="10">
        <f t="shared" si="1"/>
        <v>2540000</v>
      </c>
      <c r="H41" s="30"/>
      <c r="J41" s="6" t="s">
        <v>18</v>
      </c>
      <c r="K41" s="7"/>
      <c r="L41" s="7"/>
      <c r="M41" s="7"/>
      <c r="N41" s="7"/>
    </row>
    <row r="42" spans="1:26" x14ac:dyDescent="0.25">
      <c r="A42" s="1"/>
      <c r="B42" s="16"/>
      <c r="C42" s="13" t="s">
        <v>25</v>
      </c>
      <c r="D42" s="11">
        <v>1</v>
      </c>
      <c r="E42" s="4" t="s">
        <v>40</v>
      </c>
      <c r="F42" s="10">
        <v>2640000</v>
      </c>
      <c r="G42" s="10">
        <f t="shared" si="1"/>
        <v>2640000</v>
      </c>
      <c r="H42" s="16"/>
      <c r="I42" s="1"/>
      <c r="J42" s="1"/>
      <c r="K42" s="1"/>
      <c r="L42" s="1"/>
      <c r="M42" s="1"/>
      <c r="N42" s="1"/>
    </row>
    <row r="43" spans="1:26" ht="30" x14ac:dyDescent="0.25">
      <c r="A43" s="1"/>
      <c r="B43" s="4"/>
      <c r="C43" s="6" t="s">
        <v>26</v>
      </c>
      <c r="D43" s="11">
        <v>1</v>
      </c>
      <c r="E43" s="4" t="s">
        <v>40</v>
      </c>
      <c r="F43" s="10">
        <v>2640000</v>
      </c>
      <c r="G43" s="10">
        <f t="shared" si="1"/>
        <v>2640000</v>
      </c>
      <c r="H43" s="6"/>
      <c r="I43" s="1"/>
      <c r="J43" s="18" t="s">
        <v>19</v>
      </c>
      <c r="K43" s="12" t="s">
        <v>20</v>
      </c>
      <c r="L43" s="12" t="s">
        <v>21</v>
      </c>
      <c r="M43" s="12" t="s">
        <v>22</v>
      </c>
      <c r="N43" s="12" t="s">
        <v>23</v>
      </c>
      <c r="O43" s="12" t="s">
        <v>24</v>
      </c>
      <c r="P43" s="12" t="s">
        <v>25</v>
      </c>
      <c r="Q43" s="12" t="s">
        <v>26</v>
      </c>
      <c r="R43" s="12" t="s">
        <v>27</v>
      </c>
      <c r="S43" s="12" t="s">
        <v>28</v>
      </c>
      <c r="T43" s="12" t="s">
        <v>29</v>
      </c>
      <c r="U43" s="12" t="s">
        <v>30</v>
      </c>
      <c r="V43" s="12" t="s">
        <v>31</v>
      </c>
      <c r="W43" s="12" t="s">
        <v>32</v>
      </c>
      <c r="X43" s="12" t="s">
        <v>33</v>
      </c>
      <c r="Y43" s="12" t="s">
        <v>34</v>
      </c>
      <c r="Z43" s="12" t="s">
        <v>35</v>
      </c>
    </row>
    <row r="44" spans="1:26" x14ac:dyDescent="0.25">
      <c r="A44" s="1"/>
      <c r="B44" s="4"/>
      <c r="C44" s="6" t="s">
        <v>28</v>
      </c>
      <c r="D44" s="11">
        <v>1</v>
      </c>
      <c r="E44" s="4" t="s">
        <v>40</v>
      </c>
      <c r="F44" s="10">
        <v>7600000</v>
      </c>
      <c r="G44" s="10">
        <f t="shared" si="1"/>
        <v>7600000</v>
      </c>
      <c r="H44" s="6"/>
      <c r="J44" s="18" t="s">
        <v>63</v>
      </c>
      <c r="K44" s="19">
        <f>K38+K49</f>
        <v>2470000</v>
      </c>
      <c r="L44" s="19">
        <f>K39+K50</f>
        <v>2920000</v>
      </c>
      <c r="M44" s="19">
        <f>K40+K51</f>
        <v>12920000</v>
      </c>
      <c r="N44" s="19">
        <f>K41+K52</f>
        <v>0</v>
      </c>
      <c r="O44" s="19">
        <f>L38+L49</f>
        <v>2470000</v>
      </c>
      <c r="P44" s="19">
        <f>L39+L50</f>
        <v>2920000</v>
      </c>
      <c r="Q44" s="19">
        <f>L40+L51</f>
        <v>12920000</v>
      </c>
      <c r="R44" s="19">
        <f>L41+L52</f>
        <v>0</v>
      </c>
      <c r="S44" s="19">
        <f>M38+M49</f>
        <v>2470000</v>
      </c>
      <c r="T44" s="19">
        <f>M39+M50</f>
        <v>2920000</v>
      </c>
      <c r="U44" s="19">
        <f>M40+M51</f>
        <v>12920000</v>
      </c>
      <c r="V44" s="19">
        <f>M41+M52</f>
        <v>0</v>
      </c>
      <c r="W44" s="19">
        <f>N38+N49</f>
        <v>2470000</v>
      </c>
      <c r="X44" s="19">
        <f>N39+N50</f>
        <v>2920000</v>
      </c>
      <c r="Y44" s="19">
        <f>N40+N51</f>
        <v>12920000</v>
      </c>
      <c r="Z44" s="19">
        <f>N41+N52</f>
        <v>0</v>
      </c>
    </row>
    <row r="45" spans="1:26" x14ac:dyDescent="0.25">
      <c r="A45" s="1"/>
      <c r="B45" s="4"/>
      <c r="C45" s="6" t="s">
        <v>29</v>
      </c>
      <c r="D45" s="11">
        <v>1</v>
      </c>
      <c r="E45" s="4" t="s">
        <v>40</v>
      </c>
      <c r="F45" s="10">
        <v>11250000</v>
      </c>
      <c r="G45" s="10">
        <f t="shared" si="1"/>
        <v>11250000</v>
      </c>
      <c r="H45" s="6"/>
      <c r="I45" s="1"/>
    </row>
    <row r="46" spans="1:26" x14ac:dyDescent="0.25">
      <c r="A46" s="1"/>
      <c r="B46" s="4"/>
      <c r="C46" s="6" t="s">
        <v>30</v>
      </c>
      <c r="D46" s="11">
        <v>1</v>
      </c>
      <c r="E46" s="4" t="s">
        <v>40</v>
      </c>
      <c r="F46" s="10">
        <v>11250000</v>
      </c>
      <c r="G46" s="10">
        <f t="shared" si="1"/>
        <v>11250000</v>
      </c>
      <c r="H46" s="6"/>
      <c r="I46" s="1"/>
      <c r="J46" s="2" t="s">
        <v>3</v>
      </c>
      <c r="K46" s="1"/>
      <c r="L46" s="1"/>
      <c r="M46" s="1"/>
      <c r="N46" s="1"/>
    </row>
    <row r="47" spans="1:26" x14ac:dyDescent="0.25">
      <c r="A47" s="1"/>
      <c r="B47" s="4"/>
      <c r="C47" s="6" t="s">
        <v>32</v>
      </c>
      <c r="D47" s="11">
        <v>1</v>
      </c>
      <c r="E47" s="4" t="s">
        <v>40</v>
      </c>
      <c r="F47" s="10">
        <v>12590000</v>
      </c>
      <c r="G47" s="10">
        <f t="shared" si="1"/>
        <v>12590000</v>
      </c>
      <c r="H47" s="6"/>
      <c r="I47" s="1"/>
      <c r="J47" s="78" t="s">
        <v>63</v>
      </c>
      <c r="K47" s="4" t="s">
        <v>4</v>
      </c>
      <c r="L47" s="4" t="s">
        <v>5</v>
      </c>
      <c r="M47" s="4" t="s">
        <v>6</v>
      </c>
      <c r="N47" s="4" t="s">
        <v>7</v>
      </c>
    </row>
    <row r="48" spans="1:26" x14ac:dyDescent="0.25">
      <c r="A48" s="1"/>
      <c r="B48" s="4"/>
      <c r="C48" s="6" t="s">
        <v>33</v>
      </c>
      <c r="D48" s="11">
        <v>1</v>
      </c>
      <c r="E48" s="4" t="s">
        <v>40</v>
      </c>
      <c r="F48" s="10">
        <v>36250000</v>
      </c>
      <c r="G48" s="10">
        <f t="shared" si="1"/>
        <v>36250000</v>
      </c>
      <c r="H48" s="6"/>
      <c r="I48" s="1"/>
      <c r="J48" s="79"/>
      <c r="K48" s="4">
        <v>1</v>
      </c>
      <c r="L48" s="4">
        <v>2</v>
      </c>
      <c r="M48" s="4">
        <v>6</v>
      </c>
      <c r="N48" s="4">
        <v>10</v>
      </c>
    </row>
    <row r="49" spans="1:14" x14ac:dyDescent="0.25">
      <c r="A49" s="3"/>
      <c r="B49" s="4"/>
      <c r="C49" s="6" t="s">
        <v>34</v>
      </c>
      <c r="D49" s="11">
        <v>1</v>
      </c>
      <c r="E49" s="4" t="s">
        <v>40</v>
      </c>
      <c r="F49" s="10">
        <v>36250000</v>
      </c>
      <c r="G49" s="10">
        <f t="shared" si="1"/>
        <v>36250000</v>
      </c>
      <c r="H49" s="6"/>
      <c r="I49" s="1"/>
      <c r="J49" s="6" t="s">
        <v>15</v>
      </c>
      <c r="K49" s="8">
        <v>80000</v>
      </c>
      <c r="L49" s="8">
        <v>80000</v>
      </c>
      <c r="M49" s="8">
        <v>80000</v>
      </c>
      <c r="N49" s="8">
        <v>80000</v>
      </c>
    </row>
    <row r="50" spans="1:14" x14ac:dyDescent="0.25">
      <c r="I50" s="1"/>
      <c r="J50" s="6" t="s">
        <v>16</v>
      </c>
      <c r="K50" s="8">
        <v>80000</v>
      </c>
      <c r="L50" s="8">
        <v>80000</v>
      </c>
      <c r="M50" s="8">
        <v>80000</v>
      </c>
      <c r="N50" s="8">
        <v>80000</v>
      </c>
    </row>
    <row r="51" spans="1:14" x14ac:dyDescent="0.25">
      <c r="I51" s="1"/>
      <c r="J51" s="6" t="s">
        <v>17</v>
      </c>
      <c r="K51" s="8">
        <v>80000</v>
      </c>
      <c r="L51" s="8">
        <v>80000</v>
      </c>
      <c r="M51" s="8">
        <v>80000</v>
      </c>
      <c r="N51" s="8">
        <v>80000</v>
      </c>
    </row>
    <row r="52" spans="1:14" x14ac:dyDescent="0.25">
      <c r="I52" s="1"/>
      <c r="J52" s="39" t="s">
        <v>18</v>
      </c>
      <c r="K52" s="40"/>
      <c r="L52" s="40"/>
      <c r="M52" s="40"/>
      <c r="N52" s="40"/>
    </row>
    <row r="53" spans="1:14" x14ac:dyDescent="0.25">
      <c r="B53" s="2" t="s">
        <v>36</v>
      </c>
      <c r="C53" s="1"/>
      <c r="D53" s="1"/>
      <c r="E53" s="1"/>
      <c r="F53" s="1"/>
      <c r="G53" s="1"/>
      <c r="H53" s="1"/>
      <c r="I53" s="1"/>
      <c r="J53" s="41"/>
      <c r="K53" s="42"/>
      <c r="L53" s="42"/>
      <c r="M53" s="42"/>
      <c r="N53" s="42"/>
    </row>
    <row r="54" spans="1:14" x14ac:dyDescent="0.25">
      <c r="B54" s="3" t="s">
        <v>37</v>
      </c>
      <c r="C54" s="1"/>
      <c r="D54" s="1"/>
      <c r="E54" s="1"/>
      <c r="F54" s="1"/>
      <c r="G54" s="1"/>
      <c r="H54" s="1"/>
      <c r="I54" s="1"/>
      <c r="J54" s="29"/>
      <c r="K54" s="38"/>
      <c r="L54" s="38"/>
      <c r="M54" s="38"/>
      <c r="N54" s="38"/>
    </row>
    <row r="55" spans="1:14" x14ac:dyDescent="0.25">
      <c r="I55" s="1"/>
      <c r="J55" s="29"/>
      <c r="K55" s="38"/>
      <c r="L55" s="38"/>
      <c r="M55" s="38"/>
      <c r="N55" s="38"/>
    </row>
    <row r="56" spans="1:14" x14ac:dyDescent="0.25">
      <c r="B56" s="5" t="s">
        <v>8</v>
      </c>
      <c r="C56" s="5" t="s">
        <v>9</v>
      </c>
      <c r="D56" s="5" t="s">
        <v>10</v>
      </c>
      <c r="E56" s="5" t="s">
        <v>11</v>
      </c>
      <c r="F56" s="5" t="s">
        <v>12</v>
      </c>
      <c r="G56" s="5" t="s">
        <v>13</v>
      </c>
      <c r="H56" s="5" t="s">
        <v>14</v>
      </c>
      <c r="I56" s="1"/>
      <c r="J56" s="29"/>
      <c r="K56" s="38"/>
      <c r="L56" s="38"/>
      <c r="M56" s="38"/>
      <c r="N56" s="38"/>
    </row>
    <row r="57" spans="1:14" x14ac:dyDescent="0.25">
      <c r="B57" s="14">
        <v>1</v>
      </c>
      <c r="C57" s="6" t="s">
        <v>38</v>
      </c>
      <c r="D57" s="6"/>
      <c r="E57" s="4"/>
      <c r="F57" s="7"/>
      <c r="G57" s="7">
        <v>80000</v>
      </c>
      <c r="H57" s="9"/>
      <c r="I57" s="1"/>
      <c r="J57" s="29"/>
      <c r="K57" s="38"/>
      <c r="L57" s="38"/>
      <c r="M57" s="38"/>
      <c r="N57" s="38"/>
    </row>
    <row r="58" spans="1:14" x14ac:dyDescent="0.25">
      <c r="I58" s="1"/>
      <c r="J58" s="29"/>
      <c r="K58" s="38"/>
      <c r="L58" s="38"/>
      <c r="M58" s="38"/>
      <c r="N58" s="38"/>
    </row>
    <row r="59" spans="1:14" x14ac:dyDescent="0.25">
      <c r="I59" s="1"/>
      <c r="J59" s="29"/>
      <c r="K59" s="38"/>
      <c r="L59" s="38"/>
      <c r="M59" s="38"/>
      <c r="N59" s="38"/>
    </row>
    <row r="60" spans="1:14" x14ac:dyDescent="0.25">
      <c r="I60" s="1"/>
      <c r="J60" s="29"/>
      <c r="K60" s="38"/>
      <c r="L60" s="38"/>
      <c r="M60" s="38"/>
      <c r="N60" s="38"/>
    </row>
    <row r="61" spans="1:14" x14ac:dyDescent="0.25">
      <c r="I61" s="1"/>
      <c r="J61" s="29"/>
      <c r="K61" s="38"/>
      <c r="L61" s="38"/>
      <c r="M61" s="38"/>
      <c r="N61" s="38"/>
    </row>
    <row r="62" spans="1:14" x14ac:dyDescent="0.25">
      <c r="I62" s="1"/>
      <c r="J62" s="29"/>
      <c r="K62" s="38"/>
      <c r="L62" s="38"/>
      <c r="M62" s="38"/>
      <c r="N62" s="38"/>
    </row>
    <row r="63" spans="1:14" x14ac:dyDescent="0.25">
      <c r="I63" s="1"/>
    </row>
    <row r="64" spans="1:14" x14ac:dyDescent="0.25">
      <c r="B64" s="5" t="s">
        <v>8</v>
      </c>
      <c r="C64" s="5" t="s">
        <v>9</v>
      </c>
      <c r="D64" s="5" t="s">
        <v>10</v>
      </c>
      <c r="E64" s="5" t="s">
        <v>11</v>
      </c>
      <c r="F64" s="5" t="s">
        <v>12</v>
      </c>
      <c r="G64" s="5" t="s">
        <v>13</v>
      </c>
      <c r="H64" s="5" t="s">
        <v>14</v>
      </c>
      <c r="I64" s="1"/>
      <c r="J64" s="2" t="s">
        <v>2</v>
      </c>
      <c r="K64" s="1"/>
      <c r="L64" s="1"/>
      <c r="M64" s="1"/>
      <c r="N64" s="1"/>
    </row>
    <row r="65" spans="2:26" x14ac:dyDescent="0.25">
      <c r="B65" s="16"/>
      <c r="C65" s="17" t="s">
        <v>39</v>
      </c>
      <c r="D65" s="16"/>
      <c r="E65" s="16"/>
      <c r="F65" s="16"/>
      <c r="G65" s="16"/>
      <c r="H65" s="16"/>
      <c r="I65" s="1"/>
      <c r="J65" s="78" t="s">
        <v>64</v>
      </c>
      <c r="K65" s="4" t="s">
        <v>4</v>
      </c>
      <c r="L65" s="4" t="s">
        <v>5</v>
      </c>
      <c r="M65" s="4" t="s">
        <v>6</v>
      </c>
      <c r="N65" s="4" t="s">
        <v>7</v>
      </c>
    </row>
    <row r="66" spans="2:26" ht="24.75" x14ac:dyDescent="0.25">
      <c r="B66" s="20">
        <v>1</v>
      </c>
      <c r="C66" s="9" t="s">
        <v>74</v>
      </c>
      <c r="D66" s="11"/>
      <c r="E66" s="4"/>
      <c r="F66" s="37"/>
      <c r="G66" s="10"/>
      <c r="H66" s="9"/>
      <c r="J66" s="79"/>
      <c r="K66" s="4">
        <v>1</v>
      </c>
      <c r="L66" s="4">
        <v>2</v>
      </c>
      <c r="M66" s="4">
        <v>6</v>
      </c>
      <c r="N66" s="4">
        <v>10</v>
      </c>
    </row>
    <row r="67" spans="2:26" x14ac:dyDescent="0.25">
      <c r="B67" s="20"/>
      <c r="C67" s="9" t="s">
        <v>20</v>
      </c>
      <c r="D67" s="11">
        <v>1</v>
      </c>
      <c r="E67" s="4" t="s">
        <v>40</v>
      </c>
      <c r="F67" s="36">
        <v>95000</v>
      </c>
      <c r="G67" s="10">
        <f>D67*F67</f>
        <v>95000</v>
      </c>
      <c r="H67" s="9"/>
      <c r="J67" s="6" t="s">
        <v>15</v>
      </c>
      <c r="K67" s="36">
        <v>96666.666666666672</v>
      </c>
      <c r="L67" s="36">
        <v>96666.666666666672</v>
      </c>
      <c r="M67" s="36">
        <v>96666.666666666672</v>
      </c>
      <c r="N67" s="36">
        <v>96666.666666666672</v>
      </c>
    </row>
    <row r="68" spans="2:26" x14ac:dyDescent="0.25">
      <c r="B68" s="20"/>
      <c r="C68" s="6" t="s">
        <v>21</v>
      </c>
      <c r="D68" s="11">
        <v>1</v>
      </c>
      <c r="E68" s="4" t="s">
        <v>40</v>
      </c>
      <c r="F68" s="36">
        <v>95000</v>
      </c>
      <c r="G68" s="10">
        <f t="shared" ref="G68:G78" si="2">D68*F68</f>
        <v>95000</v>
      </c>
      <c r="H68" s="16"/>
      <c r="J68" s="6" t="s">
        <v>16</v>
      </c>
      <c r="K68" s="36">
        <v>109000</v>
      </c>
      <c r="L68" s="36">
        <v>109000</v>
      </c>
      <c r="M68" s="36">
        <v>109000</v>
      </c>
      <c r="N68" s="36">
        <v>109000</v>
      </c>
    </row>
    <row r="69" spans="2:26" x14ac:dyDescent="0.25">
      <c r="B69" s="4"/>
      <c r="C69" s="6" t="s">
        <v>22</v>
      </c>
      <c r="D69" s="11">
        <v>1</v>
      </c>
      <c r="E69" s="4" t="s">
        <v>40</v>
      </c>
      <c r="F69" s="36">
        <v>110000</v>
      </c>
      <c r="G69" s="10">
        <f t="shared" si="2"/>
        <v>110000</v>
      </c>
      <c r="H69" s="16"/>
      <c r="J69" s="6" t="s">
        <v>17</v>
      </c>
      <c r="K69" s="36">
        <v>2433333.3333333335</v>
      </c>
      <c r="L69" s="36">
        <v>2433333.3333333335</v>
      </c>
      <c r="M69" s="36">
        <v>2433333.3333333335</v>
      </c>
      <c r="N69" s="36">
        <v>2433333.3333333335</v>
      </c>
    </row>
    <row r="70" spans="2:26" x14ac:dyDescent="0.25">
      <c r="B70" s="12"/>
      <c r="C70" s="13" t="s">
        <v>24</v>
      </c>
      <c r="D70" s="11">
        <v>1</v>
      </c>
      <c r="E70" s="4" t="s">
        <v>40</v>
      </c>
      <c r="F70" s="36">
        <v>95000</v>
      </c>
      <c r="G70" s="10">
        <f t="shared" si="2"/>
        <v>95000</v>
      </c>
      <c r="H70" s="30"/>
      <c r="J70" s="6" t="s">
        <v>18</v>
      </c>
      <c r="K70" s="7"/>
      <c r="L70" s="7"/>
      <c r="M70" s="7"/>
      <c r="N70" s="7"/>
    </row>
    <row r="71" spans="2:26" x14ac:dyDescent="0.25">
      <c r="B71" s="16"/>
      <c r="C71" s="13" t="s">
        <v>25</v>
      </c>
      <c r="D71" s="11">
        <v>1</v>
      </c>
      <c r="E71" s="4" t="s">
        <v>40</v>
      </c>
      <c r="F71" s="36">
        <v>110000</v>
      </c>
      <c r="G71" s="10">
        <f t="shared" si="2"/>
        <v>110000</v>
      </c>
      <c r="H71" s="16"/>
      <c r="J71" s="1"/>
      <c r="K71" s="1"/>
      <c r="L71" s="1"/>
      <c r="M71" s="1"/>
      <c r="N71" s="1"/>
    </row>
    <row r="72" spans="2:26" ht="30" x14ac:dyDescent="0.25">
      <c r="B72" s="4"/>
      <c r="C72" s="6" t="s">
        <v>26</v>
      </c>
      <c r="D72" s="11">
        <v>1</v>
      </c>
      <c r="E72" s="4" t="s">
        <v>40</v>
      </c>
      <c r="F72" s="36">
        <v>110000</v>
      </c>
      <c r="G72" s="10">
        <f t="shared" si="2"/>
        <v>110000</v>
      </c>
      <c r="H72" s="6"/>
      <c r="J72" s="18" t="s">
        <v>19</v>
      </c>
      <c r="K72" s="12" t="s">
        <v>20</v>
      </c>
      <c r="L72" s="12" t="s">
        <v>21</v>
      </c>
      <c r="M72" s="12" t="s">
        <v>22</v>
      </c>
      <c r="N72" s="12" t="s">
        <v>23</v>
      </c>
      <c r="O72" s="12" t="s">
        <v>24</v>
      </c>
      <c r="P72" s="12" t="s">
        <v>25</v>
      </c>
      <c r="Q72" s="12" t="s">
        <v>26</v>
      </c>
      <c r="R72" s="12" t="s">
        <v>27</v>
      </c>
      <c r="S72" s="12" t="s">
        <v>28</v>
      </c>
      <c r="T72" s="12" t="s">
        <v>29</v>
      </c>
      <c r="U72" s="12" t="s">
        <v>30</v>
      </c>
      <c r="V72" s="12" t="s">
        <v>31</v>
      </c>
      <c r="W72" s="12" t="s">
        <v>32</v>
      </c>
      <c r="X72" s="12" t="s">
        <v>33</v>
      </c>
      <c r="Y72" s="12" t="s">
        <v>34</v>
      </c>
      <c r="Z72" s="12" t="s">
        <v>35</v>
      </c>
    </row>
    <row r="73" spans="2:26" x14ac:dyDescent="0.25">
      <c r="B73" s="4"/>
      <c r="C73" s="6" t="s">
        <v>28</v>
      </c>
      <c r="D73" s="11">
        <v>1</v>
      </c>
      <c r="E73" s="4" t="s">
        <v>40</v>
      </c>
      <c r="F73" s="36">
        <v>95000</v>
      </c>
      <c r="G73" s="10">
        <f t="shared" si="2"/>
        <v>95000</v>
      </c>
      <c r="H73" s="6"/>
      <c r="J73" s="18" t="s">
        <v>64</v>
      </c>
      <c r="K73" s="19">
        <f>K67+K78</f>
        <v>111666.66666666667</v>
      </c>
      <c r="L73" s="19">
        <f>K68+K79</f>
        <v>124000</v>
      </c>
      <c r="M73" s="19">
        <f>K69+K80</f>
        <v>2448333.3333333335</v>
      </c>
      <c r="N73" s="19">
        <f>K70+K81</f>
        <v>0</v>
      </c>
      <c r="O73" s="19">
        <f>L67+L78</f>
        <v>111666.66666666667</v>
      </c>
      <c r="P73" s="19">
        <f>L68+L79</f>
        <v>124000</v>
      </c>
      <c r="Q73" s="19">
        <f>L69+L80</f>
        <v>2448333.3333333335</v>
      </c>
      <c r="R73" s="19">
        <f>L70+L81</f>
        <v>0</v>
      </c>
      <c r="S73" s="19">
        <f>M67+M78</f>
        <v>111666.66666666667</v>
      </c>
      <c r="T73" s="19">
        <f>M68+M79</f>
        <v>124000</v>
      </c>
      <c r="U73" s="19">
        <f>M69+M80</f>
        <v>2448333.3333333335</v>
      </c>
      <c r="V73" s="19">
        <f>M70+M81</f>
        <v>0</v>
      </c>
      <c r="W73" s="19">
        <f>N67+N78</f>
        <v>111666.66666666667</v>
      </c>
      <c r="X73" s="19">
        <f>N68+N79</f>
        <v>124000</v>
      </c>
      <c r="Y73" s="19">
        <f>N69+N80</f>
        <v>2448333.3333333335</v>
      </c>
      <c r="Z73" s="19">
        <f>N70+N81</f>
        <v>0</v>
      </c>
    </row>
    <row r="74" spans="2:26" x14ac:dyDescent="0.25">
      <c r="B74" s="4"/>
      <c r="C74" s="6" t="s">
        <v>29</v>
      </c>
      <c r="D74" s="11">
        <v>1</v>
      </c>
      <c r="E74" s="4" t="s">
        <v>40</v>
      </c>
      <c r="F74" s="36">
        <v>110000</v>
      </c>
      <c r="G74" s="10">
        <f t="shared" si="2"/>
        <v>110000</v>
      </c>
      <c r="H74" s="6"/>
    </row>
    <row r="75" spans="2:26" x14ac:dyDescent="0.25">
      <c r="B75" s="4"/>
      <c r="C75" s="6" t="s">
        <v>30</v>
      </c>
      <c r="D75" s="11">
        <v>1</v>
      </c>
      <c r="E75" s="4" t="s">
        <v>40</v>
      </c>
      <c r="F75" s="36">
        <v>110000</v>
      </c>
      <c r="G75" s="10">
        <f t="shared" si="2"/>
        <v>110000</v>
      </c>
      <c r="H75" s="6"/>
      <c r="J75" s="2" t="s">
        <v>3</v>
      </c>
      <c r="K75" s="1"/>
      <c r="L75" s="1"/>
      <c r="M75" s="1"/>
      <c r="N75" s="1"/>
    </row>
    <row r="76" spans="2:26" x14ac:dyDescent="0.25">
      <c r="B76" s="4"/>
      <c r="C76" s="6" t="s">
        <v>32</v>
      </c>
      <c r="D76" s="11">
        <v>1</v>
      </c>
      <c r="E76" s="4" t="s">
        <v>40</v>
      </c>
      <c r="F76" s="36">
        <v>110000</v>
      </c>
      <c r="G76" s="10">
        <f t="shared" si="2"/>
        <v>110000</v>
      </c>
      <c r="H76" s="6"/>
      <c r="J76" s="78" t="s">
        <v>64</v>
      </c>
      <c r="K76" s="4" t="s">
        <v>4</v>
      </c>
      <c r="L76" s="4" t="s">
        <v>5</v>
      </c>
      <c r="M76" s="4" t="s">
        <v>6</v>
      </c>
      <c r="N76" s="4" t="s">
        <v>7</v>
      </c>
    </row>
    <row r="77" spans="2:26" x14ac:dyDescent="0.25">
      <c r="B77" s="4"/>
      <c r="C77" s="6" t="s">
        <v>33</v>
      </c>
      <c r="D77" s="11">
        <v>1</v>
      </c>
      <c r="E77" s="4" t="s">
        <v>40</v>
      </c>
      <c r="F77" s="36">
        <v>2500000</v>
      </c>
      <c r="G77" s="10">
        <f t="shared" si="2"/>
        <v>2500000</v>
      </c>
      <c r="H77" s="6"/>
      <c r="J77" s="79"/>
      <c r="K77" s="4">
        <v>1</v>
      </c>
      <c r="L77" s="4">
        <v>2</v>
      </c>
      <c r="M77" s="4">
        <v>6</v>
      </c>
      <c r="N77" s="4">
        <v>10</v>
      </c>
    </row>
    <row r="78" spans="2:26" x14ac:dyDescent="0.25">
      <c r="B78" s="4"/>
      <c r="C78" s="6" t="s">
        <v>34</v>
      </c>
      <c r="D78" s="11">
        <v>1</v>
      </c>
      <c r="E78" s="4" t="s">
        <v>40</v>
      </c>
      <c r="F78" s="36">
        <v>2500000</v>
      </c>
      <c r="G78" s="10">
        <f t="shared" si="2"/>
        <v>2500000</v>
      </c>
      <c r="H78" s="6"/>
      <c r="J78" s="6" t="s">
        <v>15</v>
      </c>
      <c r="K78" s="8">
        <f>G86</f>
        <v>15000</v>
      </c>
      <c r="L78" s="8">
        <f>G86</f>
        <v>15000</v>
      </c>
      <c r="M78" s="8">
        <f>G86</f>
        <v>15000</v>
      </c>
      <c r="N78" s="8">
        <f>G86</f>
        <v>15000</v>
      </c>
    </row>
    <row r="79" spans="2:26" x14ac:dyDescent="0.25">
      <c r="J79" s="6" t="s">
        <v>16</v>
      </c>
      <c r="K79" s="8">
        <f>G86</f>
        <v>15000</v>
      </c>
      <c r="L79" s="8">
        <f>G86</f>
        <v>15000</v>
      </c>
      <c r="M79" s="8">
        <f>G86</f>
        <v>15000</v>
      </c>
      <c r="N79" s="8">
        <f>G86</f>
        <v>15000</v>
      </c>
    </row>
    <row r="80" spans="2:26" x14ac:dyDescent="0.25">
      <c r="J80" s="6" t="s">
        <v>17</v>
      </c>
      <c r="K80" s="8">
        <f>G86</f>
        <v>15000</v>
      </c>
      <c r="L80" s="8">
        <f>G86</f>
        <v>15000</v>
      </c>
      <c r="M80" s="8">
        <f>G86</f>
        <v>15000</v>
      </c>
      <c r="N80" s="8">
        <f>G86</f>
        <v>15000</v>
      </c>
    </row>
    <row r="81" spans="1:20" x14ac:dyDescent="0.25">
      <c r="J81" s="39" t="s">
        <v>18</v>
      </c>
      <c r="K81" s="40"/>
      <c r="L81" s="40"/>
      <c r="M81" s="40"/>
      <c r="N81" s="40"/>
    </row>
    <row r="82" spans="1:20" x14ac:dyDescent="0.25">
      <c r="B82" s="2" t="s">
        <v>36</v>
      </c>
      <c r="C82" s="1"/>
      <c r="D82" s="1"/>
      <c r="E82" s="1"/>
      <c r="F82" s="1"/>
      <c r="G82" s="1"/>
      <c r="H82" s="1"/>
      <c r="J82" s="41"/>
      <c r="K82" s="42"/>
      <c r="L82" s="42"/>
      <c r="M82" s="42"/>
      <c r="N82" s="42"/>
    </row>
    <row r="83" spans="1:20" x14ac:dyDescent="0.25">
      <c r="B83" s="3" t="s">
        <v>37</v>
      </c>
      <c r="C83" s="1"/>
      <c r="D83" s="1"/>
      <c r="E83" s="1"/>
      <c r="F83" s="1"/>
      <c r="G83" s="1"/>
      <c r="H83" s="1"/>
    </row>
    <row r="84" spans="1:20" x14ac:dyDescent="0.25">
      <c r="J84" s="1"/>
      <c r="K84" s="1"/>
      <c r="L84" s="1"/>
      <c r="M84" s="1"/>
    </row>
    <row r="85" spans="1:20" x14ac:dyDescent="0.25">
      <c r="B85" s="5" t="s">
        <v>8</v>
      </c>
      <c r="C85" s="5" t="s">
        <v>9</v>
      </c>
      <c r="D85" s="5" t="s">
        <v>10</v>
      </c>
      <c r="E85" s="5" t="s">
        <v>11</v>
      </c>
      <c r="F85" s="5" t="s">
        <v>12</v>
      </c>
      <c r="G85" s="5" t="s">
        <v>13</v>
      </c>
      <c r="H85" s="5" t="s">
        <v>14</v>
      </c>
      <c r="J85" s="1"/>
      <c r="K85" s="1"/>
      <c r="L85" s="1"/>
      <c r="M85" s="1"/>
    </row>
    <row r="86" spans="1:20" x14ac:dyDescent="0.25">
      <c r="A86" s="1"/>
      <c r="B86" s="14">
        <v>1</v>
      </c>
      <c r="C86" s="6" t="s">
        <v>38</v>
      </c>
      <c r="D86" s="6"/>
      <c r="E86" s="4"/>
      <c r="F86" s="7"/>
      <c r="G86" s="7">
        <v>15000</v>
      </c>
      <c r="H86" s="9"/>
      <c r="J86" s="1"/>
      <c r="K86" s="1"/>
      <c r="L86" s="1"/>
      <c r="M86" s="1"/>
    </row>
    <row r="87" spans="1:20" x14ac:dyDescent="0.25">
      <c r="A87" s="1"/>
      <c r="J87" s="1"/>
      <c r="K87" s="1"/>
      <c r="L87" s="1"/>
      <c r="M87" s="1"/>
    </row>
    <row r="88" spans="1:20" x14ac:dyDescent="0.25">
      <c r="A88" s="1"/>
      <c r="I88" s="29"/>
      <c r="J88" s="2" t="s">
        <v>2</v>
      </c>
      <c r="K88" s="1"/>
      <c r="L88" s="1"/>
      <c r="M88" s="1"/>
      <c r="N88" s="1"/>
      <c r="P88" s="2" t="s">
        <v>3</v>
      </c>
      <c r="Q88" s="1"/>
      <c r="R88" s="1"/>
      <c r="S88" s="1"/>
      <c r="T88" s="1"/>
    </row>
    <row r="89" spans="1:20" x14ac:dyDescent="0.25">
      <c r="J89" s="78" t="s">
        <v>80</v>
      </c>
      <c r="K89" s="4" t="s">
        <v>4</v>
      </c>
      <c r="L89" s="4" t="s">
        <v>5</v>
      </c>
      <c r="M89" s="4" t="s">
        <v>6</v>
      </c>
      <c r="N89" s="4" t="s">
        <v>7</v>
      </c>
      <c r="P89" s="80" t="s">
        <v>60</v>
      </c>
      <c r="Q89" s="4" t="s">
        <v>4</v>
      </c>
      <c r="R89" s="4" t="s">
        <v>5</v>
      </c>
      <c r="S89" s="4" t="s">
        <v>6</v>
      </c>
      <c r="T89" s="4" t="s">
        <v>7</v>
      </c>
    </row>
    <row r="90" spans="1:20" x14ac:dyDescent="0.25">
      <c r="J90" s="79"/>
      <c r="K90" s="4">
        <v>1</v>
      </c>
      <c r="L90" s="4">
        <v>2</v>
      </c>
      <c r="M90" s="4">
        <v>6</v>
      </c>
      <c r="N90" s="4">
        <v>10</v>
      </c>
      <c r="P90" s="80"/>
      <c r="Q90" s="4">
        <v>1</v>
      </c>
      <c r="R90" s="4">
        <v>2</v>
      </c>
      <c r="S90" s="4">
        <v>6</v>
      </c>
      <c r="T90" s="4">
        <v>10</v>
      </c>
    </row>
    <row r="91" spans="1:20" x14ac:dyDescent="0.25">
      <c r="J91" s="6" t="s">
        <v>15</v>
      </c>
      <c r="K91" s="36">
        <f t="shared" ref="K91:N93" si="3">AVERAGE(K7,K38,K67)</f>
        <v>1625555.5555555557</v>
      </c>
      <c r="L91" s="36">
        <f t="shared" si="3"/>
        <v>1625555.5555555557</v>
      </c>
      <c r="M91" s="36">
        <f t="shared" si="3"/>
        <v>1625555.5555555557</v>
      </c>
      <c r="N91" s="36">
        <f t="shared" si="3"/>
        <v>1625555.5555555557</v>
      </c>
      <c r="P91" s="6" t="s">
        <v>15</v>
      </c>
      <c r="Q91" s="8">
        <f>AVERAGE(K18,K49,K78)</f>
        <v>51666.666666666664</v>
      </c>
      <c r="R91" s="8">
        <v>51666.666666666664</v>
      </c>
      <c r="S91" s="8">
        <v>51666.666666666664</v>
      </c>
      <c r="T91" s="8">
        <v>51666.666666666664</v>
      </c>
    </row>
    <row r="92" spans="1:20" x14ac:dyDescent="0.25">
      <c r="B92" s="1"/>
      <c r="J92" s="6" t="s">
        <v>16</v>
      </c>
      <c r="K92" s="36">
        <f t="shared" si="3"/>
        <v>5263000</v>
      </c>
      <c r="L92" s="36">
        <f t="shared" si="3"/>
        <v>5263000</v>
      </c>
      <c r="M92" s="36">
        <f t="shared" si="3"/>
        <v>5263000</v>
      </c>
      <c r="N92" s="36">
        <f t="shared" si="3"/>
        <v>5263000</v>
      </c>
      <c r="P92" s="6" t="s">
        <v>16</v>
      </c>
      <c r="Q92" s="8">
        <v>51666.666666666664</v>
      </c>
      <c r="R92" s="8">
        <v>51666.666666666664</v>
      </c>
      <c r="S92" s="8">
        <v>51666.666666666664</v>
      </c>
      <c r="T92" s="8">
        <v>51666.666666666664</v>
      </c>
    </row>
    <row r="93" spans="1:20" x14ac:dyDescent="0.25">
      <c r="B93" s="1"/>
      <c r="J93" s="6" t="s">
        <v>17</v>
      </c>
      <c r="K93" s="36">
        <f t="shared" si="3"/>
        <v>9371111.1111111101</v>
      </c>
      <c r="L93" s="36">
        <f t="shared" si="3"/>
        <v>9371111.1111111101</v>
      </c>
      <c r="M93" s="36">
        <f t="shared" si="3"/>
        <v>9371111.1111111101</v>
      </c>
      <c r="N93" s="36">
        <f t="shared" si="3"/>
        <v>9371111.1111111101</v>
      </c>
      <c r="P93" s="6" t="s">
        <v>17</v>
      </c>
      <c r="Q93" s="8">
        <v>51666.666666666664</v>
      </c>
      <c r="R93" s="8">
        <v>51666.666666666664</v>
      </c>
      <c r="S93" s="8">
        <v>51666.666666666664</v>
      </c>
      <c r="T93" s="8">
        <v>51666.666666666664</v>
      </c>
    </row>
    <row r="94" spans="1:20" x14ac:dyDescent="0.25">
      <c r="B94" s="1"/>
      <c r="C94" s="22"/>
      <c r="J94" s="6" t="s">
        <v>18</v>
      </c>
      <c r="K94" s="7"/>
      <c r="L94" s="7"/>
      <c r="M94" s="7"/>
      <c r="N94" s="7"/>
      <c r="P94" s="6" t="s">
        <v>18</v>
      </c>
      <c r="Q94" s="8"/>
      <c r="R94" s="8"/>
      <c r="S94" s="8"/>
      <c r="T94" s="8"/>
    </row>
    <row r="95" spans="1:20" x14ac:dyDescent="0.25">
      <c r="B95" s="1"/>
      <c r="C95" s="25"/>
      <c r="D95" s="25"/>
      <c r="E95" s="25"/>
      <c r="F95" s="25"/>
      <c r="G95" s="25"/>
      <c r="H95" s="25"/>
      <c r="I95" s="25"/>
    </row>
    <row r="104" spans="3:7" x14ac:dyDescent="0.25">
      <c r="D104" s="27"/>
      <c r="F104" s="32"/>
      <c r="G104" s="32"/>
    </row>
    <row r="105" spans="3:7" x14ac:dyDescent="0.25">
      <c r="C105" s="31"/>
      <c r="D105" s="27"/>
      <c r="F105" s="32"/>
      <c r="G105" s="32"/>
    </row>
    <row r="106" spans="3:7" x14ac:dyDescent="0.25">
      <c r="C106" s="28"/>
      <c r="D106" s="28"/>
    </row>
    <row r="107" spans="3:7" x14ac:dyDescent="0.25">
      <c r="C107" s="28"/>
      <c r="D107" s="28"/>
    </row>
    <row r="108" spans="3:7" x14ac:dyDescent="0.25">
      <c r="C108" s="28"/>
      <c r="D108" s="28"/>
    </row>
    <row r="109" spans="3:7" x14ac:dyDescent="0.25">
      <c r="C109" s="28"/>
      <c r="D109" s="28"/>
      <c r="E109" s="28"/>
    </row>
    <row r="110" spans="3:7" x14ac:dyDescent="0.25">
      <c r="C110" s="28"/>
      <c r="D110" s="28"/>
      <c r="E110" s="28"/>
      <c r="G110" s="28"/>
    </row>
    <row r="111" spans="3:7" x14ac:dyDescent="0.25">
      <c r="C111" s="28"/>
      <c r="D111" s="28"/>
      <c r="E111" s="28"/>
    </row>
  </sheetData>
  <mergeCells count="8">
    <mergeCell ref="J89:J90"/>
    <mergeCell ref="P89:P90"/>
    <mergeCell ref="J5:J6"/>
    <mergeCell ref="J16:J17"/>
    <mergeCell ref="J47:J48"/>
    <mergeCell ref="J76:J77"/>
    <mergeCell ref="J65:J66"/>
    <mergeCell ref="J36:J37"/>
  </mergeCells>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8"/>
  <sheetViews>
    <sheetView topLeftCell="A16" workbookViewId="0">
      <selection activeCell="B31" sqref="B31"/>
    </sheetView>
  </sheetViews>
  <sheetFormatPr defaultRowHeight="15" x14ac:dyDescent="0.25"/>
  <cols>
    <col min="1" max="1" width="23.7109375" customWidth="1"/>
    <col min="2" max="2" width="11.140625" bestFit="1" customWidth="1"/>
    <col min="3" max="3" width="15.7109375" customWidth="1"/>
    <col min="4" max="4" width="15.7109375" bestFit="1" customWidth="1"/>
    <col min="5" max="5" width="10.140625" bestFit="1" customWidth="1"/>
    <col min="7" max="7" width="9.42578125" customWidth="1"/>
    <col min="11" max="11" width="10.140625" bestFit="1" customWidth="1"/>
    <col min="14" max="14" width="8.140625" bestFit="1" customWidth="1"/>
    <col min="15" max="15" width="8.28515625" bestFit="1" customWidth="1"/>
  </cols>
  <sheetData>
    <row r="1" spans="1:17" x14ac:dyDescent="0.25">
      <c r="A1" t="s">
        <v>41</v>
      </c>
      <c r="C1" t="s">
        <v>63</v>
      </c>
      <c r="D1" t="s">
        <v>62</v>
      </c>
    </row>
    <row r="2" spans="1:17" x14ac:dyDescent="0.25">
      <c r="A2" t="s">
        <v>42</v>
      </c>
      <c r="B2" s="28">
        <v>190000</v>
      </c>
      <c r="C2" t="s">
        <v>55</v>
      </c>
      <c r="D2" t="s">
        <v>55</v>
      </c>
    </row>
    <row r="3" spans="1:17" x14ac:dyDescent="0.25">
      <c r="A3" t="s">
        <v>51</v>
      </c>
      <c r="B3" s="28">
        <v>150000</v>
      </c>
      <c r="C3" t="s">
        <v>59</v>
      </c>
      <c r="D3" t="s">
        <v>58</v>
      </c>
    </row>
    <row r="4" spans="1:17" x14ac:dyDescent="0.25">
      <c r="A4" t="s">
        <v>43</v>
      </c>
      <c r="B4" s="28">
        <v>100000</v>
      </c>
      <c r="C4" t="s">
        <v>57</v>
      </c>
      <c r="D4" t="s">
        <v>57</v>
      </c>
    </row>
    <row r="5" spans="1:17" x14ac:dyDescent="0.25">
      <c r="A5" t="s">
        <v>44</v>
      </c>
      <c r="B5" s="28">
        <v>2000000</v>
      </c>
      <c r="C5" t="s">
        <v>56</v>
      </c>
      <c r="D5" t="s">
        <v>55</v>
      </c>
    </row>
    <row r="6" spans="1:17" x14ac:dyDescent="0.25">
      <c r="A6" t="s">
        <v>45</v>
      </c>
      <c r="B6" s="28">
        <v>50000</v>
      </c>
      <c r="C6" t="s">
        <v>65</v>
      </c>
      <c r="D6" t="s">
        <v>56</v>
      </c>
    </row>
    <row r="7" spans="1:17" x14ac:dyDescent="0.25">
      <c r="A7" t="s">
        <v>46</v>
      </c>
      <c r="B7" s="28">
        <v>150000</v>
      </c>
      <c r="C7" t="s">
        <v>56</v>
      </c>
      <c r="D7" t="s">
        <v>56</v>
      </c>
    </row>
    <row r="8" spans="1:17" x14ac:dyDescent="0.25">
      <c r="A8" t="s">
        <v>47</v>
      </c>
      <c r="B8" s="28">
        <v>200000</v>
      </c>
      <c r="C8" t="s">
        <v>55</v>
      </c>
      <c r="D8" t="s">
        <v>55</v>
      </c>
    </row>
    <row r="9" spans="1:17" x14ac:dyDescent="0.25">
      <c r="A9" t="s">
        <v>48</v>
      </c>
      <c r="B9" s="28">
        <v>425000</v>
      </c>
      <c r="C9" t="s">
        <v>59</v>
      </c>
      <c r="D9" t="s">
        <v>6</v>
      </c>
    </row>
    <row r="10" spans="1:17" x14ac:dyDescent="0.25">
      <c r="A10" t="s">
        <v>49</v>
      </c>
      <c r="B10" s="28">
        <v>3000000</v>
      </c>
      <c r="C10" t="s">
        <v>59</v>
      </c>
      <c r="D10" t="s">
        <v>59</v>
      </c>
      <c r="M10" t="s">
        <v>67</v>
      </c>
      <c r="N10" t="s">
        <v>68</v>
      </c>
      <c r="O10" t="s">
        <v>69</v>
      </c>
      <c r="P10" t="s">
        <v>70</v>
      </c>
    </row>
    <row r="11" spans="1:17" x14ac:dyDescent="0.25">
      <c r="A11" t="s">
        <v>50</v>
      </c>
      <c r="B11" s="28">
        <v>5000000</v>
      </c>
      <c r="C11" t="s">
        <v>7</v>
      </c>
      <c r="D11" t="s">
        <v>7</v>
      </c>
      <c r="M11" t="s">
        <v>71</v>
      </c>
      <c r="N11" s="28">
        <v>90000</v>
      </c>
      <c r="O11" s="28">
        <v>300000</v>
      </c>
      <c r="P11" s="28">
        <v>2000000</v>
      </c>
    </row>
    <row r="12" spans="1:17" x14ac:dyDescent="0.25">
      <c r="A12" t="s">
        <v>52</v>
      </c>
      <c r="B12" s="28">
        <v>5000000</v>
      </c>
      <c r="C12" t="s">
        <v>6</v>
      </c>
      <c r="D12" t="s">
        <v>6</v>
      </c>
      <c r="M12" t="s">
        <v>72</v>
      </c>
      <c r="N12" s="28">
        <v>90000</v>
      </c>
      <c r="O12" s="28">
        <v>12000</v>
      </c>
      <c r="P12" s="28">
        <v>1800000</v>
      </c>
    </row>
    <row r="13" spans="1:17" x14ac:dyDescent="0.25">
      <c r="A13" t="s">
        <v>53</v>
      </c>
      <c r="B13" s="28">
        <v>20000000</v>
      </c>
      <c r="C13" t="s">
        <v>66</v>
      </c>
      <c r="D13" t="s">
        <v>66</v>
      </c>
      <c r="M13" t="s">
        <v>73</v>
      </c>
      <c r="N13" s="28">
        <v>110000</v>
      </c>
      <c r="O13" s="28">
        <v>15000</v>
      </c>
      <c r="P13" s="28">
        <v>3500000</v>
      </c>
    </row>
    <row r="14" spans="1:17" x14ac:dyDescent="0.25">
      <c r="A14" t="s">
        <v>54</v>
      </c>
      <c r="B14" s="28">
        <f>AVERAGE(B2:B13)</f>
        <v>3022083.3333333335</v>
      </c>
      <c r="M14" t="s">
        <v>54</v>
      </c>
      <c r="N14" s="28">
        <f>AVERAGE(N11:N13)</f>
        <v>96666.666666666672</v>
      </c>
      <c r="O14" s="28">
        <f t="shared" ref="O14:P14" si="0">AVERAGE(O11:O13)</f>
        <v>109000</v>
      </c>
      <c r="P14" s="28">
        <f t="shared" si="0"/>
        <v>2433333.3333333335</v>
      </c>
    </row>
    <row r="15" spans="1:17" x14ac:dyDescent="0.25">
      <c r="B15" s="28"/>
    </row>
    <row r="16" spans="1:17" x14ac:dyDescent="0.25">
      <c r="A16" t="s">
        <v>62</v>
      </c>
      <c r="B16" s="28" t="s">
        <v>20</v>
      </c>
      <c r="C16" s="28">
        <f>B2+B5+B8</f>
        <v>2390000</v>
      </c>
      <c r="D16" t="s">
        <v>28</v>
      </c>
      <c r="E16" s="28">
        <f>B2+B3+B4+B5+B6+B7+B8+B9+B12</f>
        <v>8265000</v>
      </c>
      <c r="G16" t="s">
        <v>63</v>
      </c>
      <c r="H16" s="28" t="s">
        <v>20</v>
      </c>
      <c r="I16" s="28">
        <f>B2+B8</f>
        <v>390000</v>
      </c>
      <c r="J16" t="s">
        <v>28</v>
      </c>
      <c r="K16" s="28">
        <f>B2+B5+B6+B7+B8+B12</f>
        <v>7590000</v>
      </c>
      <c r="M16" t="s">
        <v>64</v>
      </c>
      <c r="N16" s="28" t="s">
        <v>20</v>
      </c>
      <c r="O16" s="28">
        <v>96666.666666666672</v>
      </c>
      <c r="P16" t="s">
        <v>28</v>
      </c>
      <c r="Q16" s="28">
        <v>96666.666666666672</v>
      </c>
    </row>
    <row r="17" spans="1:17" x14ac:dyDescent="0.25">
      <c r="B17" s="28" t="s">
        <v>21</v>
      </c>
      <c r="C17" s="28">
        <f>B2+B4+B5+B8</f>
        <v>2490000</v>
      </c>
      <c r="D17" t="s">
        <v>29</v>
      </c>
      <c r="E17" s="28">
        <f>B2+B3+B4+B5+B6+B7+B8+B9+B10+B12</f>
        <v>11265000</v>
      </c>
      <c r="H17" s="28" t="s">
        <v>21</v>
      </c>
      <c r="I17" s="28">
        <f>B2+B4+B8</f>
        <v>490000</v>
      </c>
      <c r="J17" t="s">
        <v>29</v>
      </c>
      <c r="K17" s="28">
        <f>B2+B3+B4+B5+B6+B7+B8+B9+B10+B12</f>
        <v>11265000</v>
      </c>
      <c r="N17" s="28" t="s">
        <v>21</v>
      </c>
      <c r="O17" s="28">
        <v>96666.666666666672</v>
      </c>
      <c r="P17" t="s">
        <v>29</v>
      </c>
      <c r="Q17" s="28">
        <v>109000</v>
      </c>
    </row>
    <row r="18" spans="1:17" x14ac:dyDescent="0.25">
      <c r="B18" s="28" t="s">
        <v>22</v>
      </c>
      <c r="C18" s="28">
        <f>B2+B4+B5+B8</f>
        <v>2490000</v>
      </c>
      <c r="D18" t="s">
        <v>30</v>
      </c>
      <c r="E18" s="28">
        <f>B2+B3+B4+B5+B6+B7+B8+B9+B10+B12</f>
        <v>11265000</v>
      </c>
      <c r="H18" s="28" t="s">
        <v>22</v>
      </c>
      <c r="I18" s="28">
        <f>B2+B4+B8</f>
        <v>490000</v>
      </c>
      <c r="J18" t="s">
        <v>30</v>
      </c>
      <c r="K18" s="28">
        <f>B2+B3+B4+B5+B6+B7+B8+B9+B10+B12</f>
        <v>11265000</v>
      </c>
      <c r="N18" s="28" t="s">
        <v>22</v>
      </c>
      <c r="O18" s="28">
        <v>109000</v>
      </c>
      <c r="P18" t="s">
        <v>30</v>
      </c>
      <c r="Q18" s="28">
        <v>109000</v>
      </c>
    </row>
    <row r="19" spans="1:17" x14ac:dyDescent="0.25">
      <c r="B19" s="28" t="s">
        <v>23</v>
      </c>
      <c r="D19" t="s">
        <v>31</v>
      </c>
      <c r="H19" s="28" t="s">
        <v>23</v>
      </c>
      <c r="J19" t="s">
        <v>31</v>
      </c>
      <c r="N19" s="28" t="s">
        <v>23</v>
      </c>
      <c r="O19" s="28"/>
      <c r="P19" t="s">
        <v>31</v>
      </c>
      <c r="Q19" s="28"/>
    </row>
    <row r="20" spans="1:17" x14ac:dyDescent="0.25">
      <c r="B20" s="28" t="s">
        <v>24</v>
      </c>
      <c r="C20" s="28">
        <f>B2+B5+B6+B7+B8</f>
        <v>2590000</v>
      </c>
      <c r="D20" t="s">
        <v>32</v>
      </c>
      <c r="E20" s="28">
        <f>B2+B3+B4+B5+B6+B7+B8+B9+B10+B11+B12</f>
        <v>16265000</v>
      </c>
      <c r="H20" s="28" t="s">
        <v>24</v>
      </c>
      <c r="I20" s="28">
        <f>B2+B5+B7+B8</f>
        <v>2540000</v>
      </c>
      <c r="J20" t="s">
        <v>32</v>
      </c>
      <c r="K20" s="28">
        <f>B2+B5+B6+B7+B8+B11+B12</f>
        <v>12590000</v>
      </c>
      <c r="N20" s="28" t="s">
        <v>24</v>
      </c>
      <c r="O20" s="28">
        <v>96666.666666666672</v>
      </c>
      <c r="P20" t="s">
        <v>32</v>
      </c>
      <c r="Q20" s="28">
        <v>109000</v>
      </c>
    </row>
    <row r="21" spans="1:17" x14ac:dyDescent="0.25">
      <c r="B21" s="28" t="s">
        <v>25</v>
      </c>
      <c r="C21" s="28">
        <f>B2+B3+B4+B5+B6+B7+B8</f>
        <v>2840000</v>
      </c>
      <c r="D21" t="s">
        <v>33</v>
      </c>
      <c r="E21" s="28">
        <f>B2+B3+B4+B5+B6+B7+B8+B9+B10+B11+B12+B13</f>
        <v>36265000</v>
      </c>
      <c r="H21" s="28" t="s">
        <v>25</v>
      </c>
      <c r="I21" s="28">
        <f>B2+B4+B5+B7+B8</f>
        <v>2640000</v>
      </c>
      <c r="J21" t="s">
        <v>33</v>
      </c>
      <c r="K21" s="28">
        <f>B2+B3+B4+B5+B6+B7+B8+B9+B10+B11+B12+B13</f>
        <v>36265000</v>
      </c>
      <c r="N21" s="28" t="s">
        <v>25</v>
      </c>
      <c r="O21" s="28">
        <v>109000</v>
      </c>
      <c r="P21" t="s">
        <v>33</v>
      </c>
      <c r="Q21" s="28">
        <v>2433333.3333333335</v>
      </c>
    </row>
    <row r="22" spans="1:17" x14ac:dyDescent="0.25">
      <c r="B22" s="28" t="s">
        <v>26</v>
      </c>
      <c r="C22" s="28">
        <f>B2+B3+B4+B5+B6+B7+B8</f>
        <v>2840000</v>
      </c>
      <c r="D22" t="s">
        <v>34</v>
      </c>
      <c r="E22" s="28">
        <f>B2+B3+B4+B5+B6+B7+B8+B9+B10+B11+B12+B13</f>
        <v>36265000</v>
      </c>
      <c r="H22" s="28" t="s">
        <v>26</v>
      </c>
      <c r="I22" s="28">
        <f>B2+B4+B5+B7+B8</f>
        <v>2640000</v>
      </c>
      <c r="J22" t="s">
        <v>34</v>
      </c>
      <c r="K22" s="28">
        <f>B2+B3+B4+B5+B6+B7+B8+B9+B10+B11+B12+B13</f>
        <v>36265000</v>
      </c>
      <c r="N22" s="28" t="s">
        <v>26</v>
      </c>
      <c r="O22" s="28">
        <v>109000</v>
      </c>
      <c r="P22" t="s">
        <v>34</v>
      </c>
      <c r="Q22" s="28">
        <v>2433333.3333333335</v>
      </c>
    </row>
    <row r="23" spans="1:17" x14ac:dyDescent="0.25">
      <c r="B23" s="28" t="s">
        <v>27</v>
      </c>
      <c r="D23" t="s">
        <v>35</v>
      </c>
      <c r="H23" s="28" t="s">
        <v>27</v>
      </c>
      <c r="J23" t="s">
        <v>35</v>
      </c>
      <c r="N23" s="28" t="s">
        <v>27</v>
      </c>
      <c r="P23" t="s">
        <v>35</v>
      </c>
    </row>
    <row r="28" spans="1:17" x14ac:dyDescent="0.25">
      <c r="A28" s="50" t="s">
        <v>97</v>
      </c>
    </row>
  </sheetData>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7"/>
  <sheetViews>
    <sheetView topLeftCell="A13" workbookViewId="0">
      <selection activeCell="C26" sqref="C26"/>
    </sheetView>
  </sheetViews>
  <sheetFormatPr defaultRowHeight="15" x14ac:dyDescent="0.25"/>
  <cols>
    <col min="1" max="1" width="26.28515625" bestFit="1" customWidth="1"/>
    <col min="2" max="2" width="10.140625" style="27" bestFit="1" customWidth="1"/>
    <col min="3" max="3" width="15.7109375" style="27" bestFit="1" customWidth="1"/>
    <col min="4" max="4" width="15.7109375" bestFit="1" customWidth="1"/>
    <col min="5" max="5" width="10.140625" bestFit="1" customWidth="1"/>
    <col min="9" max="9" width="10.140625" bestFit="1" customWidth="1"/>
    <col min="11" max="11" width="10.140625" bestFit="1" customWidth="1"/>
  </cols>
  <sheetData>
    <row r="1" spans="1:17" x14ac:dyDescent="0.25">
      <c r="A1" t="s">
        <v>41</v>
      </c>
      <c r="B1"/>
      <c r="C1" t="s">
        <v>62</v>
      </c>
      <c r="D1" t="s">
        <v>63</v>
      </c>
    </row>
    <row r="2" spans="1:17" x14ac:dyDescent="0.25">
      <c r="A2" t="s">
        <v>42</v>
      </c>
      <c r="B2" s="28">
        <v>190000</v>
      </c>
      <c r="C2" t="s">
        <v>55</v>
      </c>
      <c r="D2" t="s">
        <v>55</v>
      </c>
    </row>
    <row r="3" spans="1:17" x14ac:dyDescent="0.25">
      <c r="A3" t="s">
        <v>51</v>
      </c>
      <c r="B3" s="28">
        <v>150000</v>
      </c>
      <c r="C3" t="s">
        <v>79</v>
      </c>
      <c r="D3" t="s">
        <v>79</v>
      </c>
    </row>
    <row r="4" spans="1:17" x14ac:dyDescent="0.25">
      <c r="A4" t="s">
        <v>43</v>
      </c>
      <c r="B4" s="28">
        <v>100000</v>
      </c>
      <c r="C4" t="s">
        <v>77</v>
      </c>
      <c r="D4" t="s">
        <v>77</v>
      </c>
    </row>
    <row r="5" spans="1:17" x14ac:dyDescent="0.25">
      <c r="A5" t="s">
        <v>44</v>
      </c>
      <c r="B5" s="28">
        <v>2000000</v>
      </c>
      <c r="C5" t="s">
        <v>55</v>
      </c>
      <c r="D5" t="s">
        <v>55</v>
      </c>
    </row>
    <row r="6" spans="1:17" x14ac:dyDescent="0.25">
      <c r="A6" t="s">
        <v>45</v>
      </c>
      <c r="B6" s="28">
        <v>50000</v>
      </c>
      <c r="C6" t="s">
        <v>77</v>
      </c>
      <c r="D6" t="s">
        <v>77</v>
      </c>
    </row>
    <row r="7" spans="1:17" x14ac:dyDescent="0.25">
      <c r="A7" t="s">
        <v>46</v>
      </c>
      <c r="B7" s="28">
        <v>150000</v>
      </c>
      <c r="C7" t="s">
        <v>77</v>
      </c>
      <c r="D7" t="s">
        <v>77</v>
      </c>
    </row>
    <row r="8" spans="1:17" x14ac:dyDescent="0.25">
      <c r="A8" t="s">
        <v>47</v>
      </c>
      <c r="B8" s="28">
        <v>200000</v>
      </c>
      <c r="C8" t="s">
        <v>55</v>
      </c>
      <c r="D8" t="s">
        <v>55</v>
      </c>
    </row>
    <row r="9" spans="1:17" x14ac:dyDescent="0.25">
      <c r="A9" t="s">
        <v>53</v>
      </c>
      <c r="B9" s="28">
        <v>20000000</v>
      </c>
      <c r="C9" t="s">
        <v>79</v>
      </c>
      <c r="D9" t="s">
        <v>78</v>
      </c>
    </row>
    <row r="10" spans="1:17" x14ac:dyDescent="0.25">
      <c r="A10" t="s">
        <v>54</v>
      </c>
      <c r="B10" s="28">
        <f>AVERAGE(B2:B9)</f>
        <v>2855000</v>
      </c>
      <c r="C10"/>
      <c r="M10" t="s">
        <v>67</v>
      </c>
      <c r="N10" t="s">
        <v>68</v>
      </c>
      <c r="O10" t="s">
        <v>69</v>
      </c>
      <c r="P10" t="s">
        <v>70</v>
      </c>
    </row>
    <row r="11" spans="1:17" x14ac:dyDescent="0.25">
      <c r="A11" s="43"/>
      <c r="B11" s="44"/>
      <c r="C11" s="43"/>
      <c r="D11" s="43"/>
      <c r="M11" t="s">
        <v>71</v>
      </c>
      <c r="N11" s="28">
        <v>90000</v>
      </c>
      <c r="O11" s="28">
        <v>300000</v>
      </c>
      <c r="P11" s="28">
        <v>2000000</v>
      </c>
    </row>
    <row r="12" spans="1:17" x14ac:dyDescent="0.25">
      <c r="A12" s="43"/>
      <c r="B12" s="44"/>
      <c r="C12" s="43"/>
      <c r="D12" s="43"/>
      <c r="M12" t="s">
        <v>72</v>
      </c>
      <c r="N12" s="28">
        <v>90000</v>
      </c>
      <c r="O12" s="28">
        <v>12000</v>
      </c>
      <c r="P12" s="28">
        <v>1800000</v>
      </c>
    </row>
    <row r="13" spans="1:17" x14ac:dyDescent="0.25">
      <c r="M13" t="s">
        <v>73</v>
      </c>
      <c r="N13" s="28">
        <v>110000</v>
      </c>
      <c r="O13" s="28">
        <v>15000</v>
      </c>
      <c r="P13" s="28">
        <v>3500000</v>
      </c>
    </row>
    <row r="14" spans="1:17" x14ac:dyDescent="0.25">
      <c r="M14" t="s">
        <v>54</v>
      </c>
      <c r="N14" s="28">
        <f>AVERAGE(N11:N13)</f>
        <v>96666.666666666672</v>
      </c>
      <c r="O14" s="28">
        <f t="shared" ref="O14:P14" si="0">AVERAGE(O11:O13)</f>
        <v>109000</v>
      </c>
      <c r="P14" s="28">
        <f t="shared" si="0"/>
        <v>2433333.3333333335</v>
      </c>
    </row>
    <row r="15" spans="1:17" x14ac:dyDescent="0.25">
      <c r="B15" s="28"/>
      <c r="C15"/>
    </row>
    <row r="16" spans="1:17" x14ac:dyDescent="0.25">
      <c r="A16" t="s">
        <v>62</v>
      </c>
      <c r="B16" s="28" t="s">
        <v>20</v>
      </c>
      <c r="C16" s="28">
        <f>B2+B5+B8</f>
        <v>2390000</v>
      </c>
      <c r="D16" t="s">
        <v>28</v>
      </c>
      <c r="E16" s="28">
        <v>2390000</v>
      </c>
      <c r="G16" t="s">
        <v>63</v>
      </c>
      <c r="H16" s="28" t="s">
        <v>20</v>
      </c>
      <c r="I16" s="28">
        <v>2390000</v>
      </c>
      <c r="J16" t="s">
        <v>28</v>
      </c>
      <c r="K16" s="28">
        <v>2390000</v>
      </c>
      <c r="M16" t="s">
        <v>64</v>
      </c>
      <c r="N16" s="28" t="s">
        <v>20</v>
      </c>
      <c r="O16" s="28">
        <v>96666.666666666672</v>
      </c>
      <c r="P16" t="s">
        <v>28</v>
      </c>
      <c r="Q16" s="28">
        <v>96666.666666666672</v>
      </c>
    </row>
    <row r="17" spans="1:17" x14ac:dyDescent="0.25">
      <c r="B17" s="28" t="s">
        <v>21</v>
      </c>
      <c r="C17" s="28">
        <f>B2+B3+B4+B5+B6+B7+B8+(B9/2)</f>
        <v>12840000</v>
      </c>
      <c r="D17" t="s">
        <v>29</v>
      </c>
      <c r="E17" s="28">
        <v>12840000</v>
      </c>
      <c r="H17" s="28" t="s">
        <v>21</v>
      </c>
      <c r="I17" s="28">
        <f>B2+B3+B4+B5+B6+B7+B8</f>
        <v>2840000</v>
      </c>
      <c r="J17" t="s">
        <v>29</v>
      </c>
      <c r="K17" s="28">
        <v>2840000</v>
      </c>
      <c r="N17" s="28" t="s">
        <v>21</v>
      </c>
      <c r="O17" s="28">
        <v>109000</v>
      </c>
      <c r="P17" t="s">
        <v>29</v>
      </c>
      <c r="Q17" s="28">
        <v>109000</v>
      </c>
    </row>
    <row r="18" spans="1:17" x14ac:dyDescent="0.25">
      <c r="B18" s="28" t="s">
        <v>22</v>
      </c>
      <c r="C18" s="28">
        <f>B2+B3+B4+B5+B6+B7+B8+B9/2</f>
        <v>12840000</v>
      </c>
      <c r="D18" t="s">
        <v>30</v>
      </c>
      <c r="E18" s="28">
        <v>12840000</v>
      </c>
      <c r="H18" s="28" t="s">
        <v>22</v>
      </c>
      <c r="I18" s="28">
        <f>B2+B3+B4+B5+B6+B7+B8+B9/2</f>
        <v>12840000</v>
      </c>
      <c r="J18" t="s">
        <v>30</v>
      </c>
      <c r="K18" s="28">
        <v>12840000</v>
      </c>
      <c r="N18" s="28" t="s">
        <v>22</v>
      </c>
      <c r="O18" s="28">
        <v>2433333.3333333335</v>
      </c>
      <c r="P18" t="s">
        <v>30</v>
      </c>
      <c r="Q18" s="28">
        <v>2433333.3333333335</v>
      </c>
    </row>
    <row r="19" spans="1:17" x14ac:dyDescent="0.25">
      <c r="B19" s="28" t="s">
        <v>23</v>
      </c>
      <c r="C19"/>
      <c r="D19" t="s">
        <v>31</v>
      </c>
      <c r="H19" s="28" t="s">
        <v>23</v>
      </c>
      <c r="J19" t="s">
        <v>31</v>
      </c>
      <c r="N19" s="28" t="s">
        <v>23</v>
      </c>
      <c r="O19" s="28"/>
      <c r="P19" t="s">
        <v>31</v>
      </c>
      <c r="Q19" s="28"/>
    </row>
    <row r="20" spans="1:17" x14ac:dyDescent="0.25">
      <c r="B20" s="28" t="s">
        <v>24</v>
      </c>
      <c r="C20" s="28">
        <v>2390000</v>
      </c>
      <c r="D20" t="s">
        <v>32</v>
      </c>
      <c r="E20" s="28">
        <v>2390000</v>
      </c>
      <c r="H20" s="28" t="s">
        <v>24</v>
      </c>
      <c r="I20" s="28">
        <v>2390000</v>
      </c>
      <c r="J20" t="s">
        <v>32</v>
      </c>
      <c r="K20" s="28">
        <v>2390000</v>
      </c>
      <c r="N20" s="28" t="s">
        <v>24</v>
      </c>
      <c r="O20" s="28">
        <v>96666.666666666672</v>
      </c>
      <c r="P20" t="s">
        <v>32</v>
      </c>
      <c r="Q20" s="28">
        <v>96666.666666666672</v>
      </c>
    </row>
    <row r="21" spans="1:17" x14ac:dyDescent="0.25">
      <c r="B21" s="28" t="s">
        <v>25</v>
      </c>
      <c r="C21" s="28">
        <v>12840000</v>
      </c>
      <c r="D21" t="s">
        <v>33</v>
      </c>
      <c r="E21" s="28">
        <v>12840000</v>
      </c>
      <c r="H21" s="28" t="s">
        <v>25</v>
      </c>
      <c r="I21" s="28">
        <v>2840000</v>
      </c>
      <c r="J21" t="s">
        <v>33</v>
      </c>
      <c r="K21" s="28">
        <v>2840000</v>
      </c>
      <c r="N21" s="28" t="s">
        <v>25</v>
      </c>
      <c r="O21" s="28">
        <v>109000</v>
      </c>
      <c r="P21" t="s">
        <v>33</v>
      </c>
      <c r="Q21" s="28">
        <v>109000</v>
      </c>
    </row>
    <row r="22" spans="1:17" x14ac:dyDescent="0.25">
      <c r="B22" s="28" t="s">
        <v>26</v>
      </c>
      <c r="C22" s="28">
        <v>12840000</v>
      </c>
      <c r="D22" t="s">
        <v>34</v>
      </c>
      <c r="E22" s="28">
        <v>12840000</v>
      </c>
      <c r="H22" s="28" t="s">
        <v>26</v>
      </c>
      <c r="I22" s="28">
        <v>12840000</v>
      </c>
      <c r="J22" t="s">
        <v>34</v>
      </c>
      <c r="K22" s="28">
        <v>12840000</v>
      </c>
      <c r="N22" s="28" t="s">
        <v>26</v>
      </c>
      <c r="O22" s="28">
        <v>2433333.3333333335</v>
      </c>
      <c r="P22" t="s">
        <v>34</v>
      </c>
      <c r="Q22" s="28">
        <v>2433333.3333333335</v>
      </c>
    </row>
    <row r="23" spans="1:17" x14ac:dyDescent="0.25">
      <c r="B23" s="28" t="s">
        <v>27</v>
      </c>
      <c r="C23"/>
      <c r="D23" t="s">
        <v>35</v>
      </c>
      <c r="H23" s="28" t="s">
        <v>27</v>
      </c>
      <c r="J23" t="s">
        <v>35</v>
      </c>
      <c r="N23" s="28" t="s">
        <v>27</v>
      </c>
      <c r="P23" t="s">
        <v>35</v>
      </c>
    </row>
    <row r="24" spans="1:17" x14ac:dyDescent="0.25">
      <c r="B24"/>
      <c r="C24"/>
    </row>
    <row r="27" spans="1:17" x14ac:dyDescent="0.25">
      <c r="A27" s="50" t="s">
        <v>98</v>
      </c>
    </row>
  </sheetData>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workbookViewId="0">
      <selection activeCell="A11" sqref="A11"/>
    </sheetView>
  </sheetViews>
  <sheetFormatPr defaultRowHeight="15" x14ac:dyDescent="0.25"/>
  <cols>
    <col min="1" max="1" width="26" bestFit="1" customWidth="1"/>
    <col min="2" max="2" width="7.28515625" bestFit="1" customWidth="1"/>
    <col min="3" max="3" width="65.28515625" bestFit="1" customWidth="1"/>
  </cols>
  <sheetData>
    <row r="1" spans="1:3" x14ac:dyDescent="0.25">
      <c r="A1" t="s">
        <v>81</v>
      </c>
      <c r="B1" t="s">
        <v>10</v>
      </c>
      <c r="C1" t="s">
        <v>82</v>
      </c>
    </row>
    <row r="2" spans="1:3" x14ac:dyDescent="0.25">
      <c r="A2" t="s">
        <v>85</v>
      </c>
      <c r="B2">
        <v>534</v>
      </c>
      <c r="C2" t="s">
        <v>89</v>
      </c>
    </row>
    <row r="3" spans="1:3" x14ac:dyDescent="0.25">
      <c r="A3" t="s">
        <v>83</v>
      </c>
      <c r="B3">
        <v>57</v>
      </c>
      <c r="C3" t="s">
        <v>84</v>
      </c>
    </row>
    <row r="4" spans="1:3" x14ac:dyDescent="0.25">
      <c r="A4" t="s">
        <v>83</v>
      </c>
      <c r="B4">
        <v>264</v>
      </c>
      <c r="C4" t="s">
        <v>96</v>
      </c>
    </row>
    <row r="5" spans="1:3" x14ac:dyDescent="0.25">
      <c r="A5" t="s">
        <v>87</v>
      </c>
      <c r="B5" s="45">
        <v>1.25</v>
      </c>
      <c r="C5" t="s">
        <v>88</v>
      </c>
    </row>
    <row r="6" spans="1:3" x14ac:dyDescent="0.25">
      <c r="A6" t="s">
        <v>85</v>
      </c>
      <c r="B6" s="46">
        <f>B3/B4*B2*B5</f>
        <v>144.11931818181819</v>
      </c>
      <c r="C6" t="s">
        <v>86</v>
      </c>
    </row>
    <row r="7" spans="1:3" x14ac:dyDescent="0.25">
      <c r="A7" t="s">
        <v>90</v>
      </c>
    </row>
    <row r="8" spans="1:3" x14ac:dyDescent="0.25">
      <c r="A8" t="s">
        <v>91</v>
      </c>
      <c r="B8" s="49">
        <v>0.05</v>
      </c>
      <c r="C8" t="s">
        <v>95</v>
      </c>
    </row>
    <row r="9" spans="1:3" x14ac:dyDescent="0.25">
      <c r="A9" t="s">
        <v>92</v>
      </c>
      <c r="B9" s="49">
        <v>0.78</v>
      </c>
      <c r="C9" t="s">
        <v>95</v>
      </c>
    </row>
    <row r="10" spans="1:3" x14ac:dyDescent="0.25">
      <c r="A10" t="s">
        <v>93</v>
      </c>
      <c r="B10" s="49">
        <v>0.17</v>
      </c>
      <c r="C10" t="s">
        <v>95</v>
      </c>
    </row>
    <row r="11" spans="1:3" ht="90" x14ac:dyDescent="0.25">
      <c r="A11" s="47" t="s">
        <v>94</v>
      </c>
      <c r="B11" s="48"/>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3"/>
  <sheetViews>
    <sheetView tabSelected="1" topLeftCell="H10" zoomScaleNormal="100" workbookViewId="0">
      <selection activeCell="E3" sqref="E3:E6"/>
    </sheetView>
  </sheetViews>
  <sheetFormatPr defaultRowHeight="15" x14ac:dyDescent="0.25"/>
  <cols>
    <col min="1" max="1" width="4.140625" bestFit="1" customWidth="1"/>
    <col min="2" max="2" width="78.7109375" bestFit="1" customWidth="1"/>
    <col min="4" max="4" width="35.5703125" customWidth="1"/>
    <col min="5" max="5" width="30.140625" bestFit="1" customWidth="1"/>
    <col min="6" max="6" width="29.28515625" bestFit="1" customWidth="1"/>
    <col min="7" max="7" width="31.85546875" customWidth="1"/>
    <col min="8" max="8" width="15" customWidth="1"/>
    <col min="9" max="9" width="14.7109375" customWidth="1"/>
    <col min="11" max="11" width="21.140625" customWidth="1"/>
    <col min="12" max="12" width="19.42578125" customWidth="1"/>
    <col min="13" max="13" width="14.140625" customWidth="1"/>
    <col min="14" max="14" width="15.85546875" customWidth="1"/>
    <col min="16" max="16" width="10.5703125" bestFit="1" customWidth="1"/>
  </cols>
  <sheetData>
    <row r="1" spans="1:19" ht="18.75" customHeight="1" x14ac:dyDescent="0.3">
      <c r="A1" s="51" t="s">
        <v>102</v>
      </c>
      <c r="B1" s="51" t="s">
        <v>99</v>
      </c>
      <c r="C1" s="62">
        <v>1</v>
      </c>
      <c r="D1" s="81" t="s">
        <v>111</v>
      </c>
      <c r="E1" s="4" t="s">
        <v>4</v>
      </c>
      <c r="F1" s="4" t="s">
        <v>5</v>
      </c>
      <c r="G1" s="4" t="s">
        <v>6</v>
      </c>
      <c r="H1" s="4" t="s">
        <v>7</v>
      </c>
      <c r="J1" s="25"/>
      <c r="K1" s="94"/>
      <c r="L1" s="22"/>
      <c r="M1" s="22"/>
      <c r="N1" s="22"/>
      <c r="O1" s="22"/>
      <c r="P1" s="25"/>
    </row>
    <row r="2" spans="1:19" x14ac:dyDescent="0.25">
      <c r="A2" s="27">
        <v>1</v>
      </c>
      <c r="B2" t="s">
        <v>100</v>
      </c>
      <c r="D2" s="82"/>
      <c r="E2" s="4">
        <v>1</v>
      </c>
      <c r="F2" s="4">
        <v>2</v>
      </c>
      <c r="G2" s="4">
        <v>6</v>
      </c>
      <c r="H2" s="4">
        <v>10</v>
      </c>
      <c r="J2" s="25"/>
      <c r="K2" s="94"/>
      <c r="L2" s="22"/>
      <c r="M2" s="22"/>
      <c r="N2" s="22"/>
      <c r="O2" s="22"/>
      <c r="P2" s="25"/>
    </row>
    <row r="3" spans="1:19" x14ac:dyDescent="0.25">
      <c r="A3" s="27">
        <v>2</v>
      </c>
      <c r="B3" t="s">
        <v>101</v>
      </c>
      <c r="D3" s="6" t="s">
        <v>108</v>
      </c>
      <c r="E3" s="93">
        <f>3/24*100%</f>
        <v>0.125</v>
      </c>
      <c r="F3" s="93">
        <f>F2*(2/24*100%)</f>
        <v>0.16666666666666666</v>
      </c>
      <c r="G3" s="93">
        <f>3*(2/24*100%)</f>
        <v>0.25</v>
      </c>
      <c r="H3" s="93">
        <f>4*(2/24*100%)</f>
        <v>0.33333333333333331</v>
      </c>
      <c r="J3" s="25"/>
      <c r="K3" s="29"/>
      <c r="L3" s="95"/>
      <c r="M3" s="95"/>
      <c r="N3" s="95"/>
      <c r="O3" s="95"/>
      <c r="P3" s="96"/>
      <c r="Q3" s="63"/>
    </row>
    <row r="4" spans="1:19" x14ac:dyDescent="0.25">
      <c r="D4" s="6" t="s">
        <v>16</v>
      </c>
      <c r="E4" s="93">
        <f>5/24*100%</f>
        <v>0.20833333333333334</v>
      </c>
      <c r="F4" s="93">
        <f>F2*(4/24*100%)</f>
        <v>0.33333333333333331</v>
      </c>
      <c r="G4" s="93">
        <f>3*(4/24*100%)</f>
        <v>0.5</v>
      </c>
      <c r="H4" s="93">
        <f>4*(4/24*100%)</f>
        <v>0.66666666666666663</v>
      </c>
      <c r="J4" s="25"/>
      <c r="K4" s="29"/>
      <c r="L4" s="95"/>
      <c r="M4" s="95"/>
      <c r="N4" s="95"/>
      <c r="O4" s="95"/>
      <c r="P4" s="96"/>
      <c r="Q4" s="63"/>
    </row>
    <row r="5" spans="1:19" x14ac:dyDescent="0.25">
      <c r="D5" s="6" t="s">
        <v>109</v>
      </c>
      <c r="E5" s="93">
        <f>8/24*100%</f>
        <v>0.33333333333333331</v>
      </c>
      <c r="F5" s="93">
        <f>F2*(6/24*100%)</f>
        <v>0.5</v>
      </c>
      <c r="G5" s="93">
        <f>3*(6/24*100%)</f>
        <v>0.75</v>
      </c>
      <c r="H5" s="93">
        <f>4*(6/24*100%)</f>
        <v>1</v>
      </c>
      <c r="J5" s="25"/>
      <c r="K5" s="29"/>
      <c r="L5" s="95"/>
      <c r="M5" s="95"/>
      <c r="N5" s="95"/>
      <c r="O5" s="95"/>
      <c r="P5" s="96"/>
      <c r="Q5" s="63"/>
    </row>
    <row r="6" spans="1:19" x14ac:dyDescent="0.25">
      <c r="D6" s="6" t="s">
        <v>18</v>
      </c>
      <c r="E6" s="93">
        <f>1/24*100%</f>
        <v>4.1666666666666664E-2</v>
      </c>
      <c r="F6" s="93">
        <f>F2*(1/24*100%)</f>
        <v>8.3333333333333329E-2</v>
      </c>
      <c r="G6" s="93">
        <f>3*(1/24*100%)</f>
        <v>0.125</v>
      </c>
      <c r="H6" s="93">
        <f>4*(1/24*100%)</f>
        <v>0.16666666666666666</v>
      </c>
      <c r="J6" s="25"/>
      <c r="K6" s="29"/>
      <c r="L6" s="95"/>
      <c r="M6" s="95"/>
      <c r="N6" s="95"/>
      <c r="O6" s="95"/>
      <c r="P6" s="96"/>
      <c r="Q6" s="63"/>
    </row>
    <row r="7" spans="1:19" x14ac:dyDescent="0.25">
      <c r="D7" t="s">
        <v>110</v>
      </c>
    </row>
    <row r="8" spans="1:19" x14ac:dyDescent="0.25">
      <c r="D8" s="92" t="s">
        <v>160</v>
      </c>
    </row>
    <row r="9" spans="1:19" x14ac:dyDescent="0.25">
      <c r="D9" s="92"/>
      <c r="K9" s="81" t="s">
        <v>146</v>
      </c>
      <c r="L9" s="4" t="s">
        <v>4</v>
      </c>
      <c r="M9" s="4" t="s">
        <v>5</v>
      </c>
      <c r="N9" s="4" t="s">
        <v>6</v>
      </c>
      <c r="O9" s="4" t="s">
        <v>7</v>
      </c>
      <c r="P9" s="4" t="s">
        <v>4</v>
      </c>
      <c r="Q9" s="4" t="s">
        <v>5</v>
      </c>
      <c r="R9" s="4" t="s">
        <v>6</v>
      </c>
      <c r="S9" s="4" t="s">
        <v>7</v>
      </c>
    </row>
    <row r="10" spans="1:19" x14ac:dyDescent="0.25">
      <c r="D10" s="92"/>
      <c r="K10" s="82"/>
      <c r="L10" s="4">
        <v>1</v>
      </c>
      <c r="M10" s="4">
        <v>2</v>
      </c>
      <c r="N10" s="4">
        <v>6</v>
      </c>
      <c r="O10" s="4">
        <v>10</v>
      </c>
      <c r="P10" s="4">
        <v>1</v>
      </c>
      <c r="Q10" s="4">
        <v>2</v>
      </c>
      <c r="R10" s="4">
        <v>6</v>
      </c>
      <c r="S10" s="4">
        <v>10</v>
      </c>
    </row>
    <row r="11" spans="1:19" x14ac:dyDescent="0.25">
      <c r="D11" s="92"/>
      <c r="K11" s="6" t="s">
        <v>108</v>
      </c>
      <c r="L11" s="54">
        <v>3</v>
      </c>
      <c r="M11" s="54">
        <v>5</v>
      </c>
      <c r="N11" s="54">
        <v>9</v>
      </c>
      <c r="O11" s="54">
        <v>13</v>
      </c>
      <c r="P11" s="69">
        <f>(L11/$F$23)*100%</f>
        <v>0.13235294117647059</v>
      </c>
      <c r="Q11" s="69">
        <f t="shared" ref="Q11:S11" si="0">(M11/$F$23)*100%</f>
        <v>0.22058823529411764</v>
      </c>
      <c r="R11" s="69">
        <f t="shared" si="0"/>
        <v>0.39705882352941174</v>
      </c>
      <c r="S11" s="70">
        <f t="shared" si="0"/>
        <v>0.57352941176470584</v>
      </c>
    </row>
    <row r="12" spans="1:19" x14ac:dyDescent="0.25">
      <c r="D12" s="92"/>
      <c r="K12" s="6" t="s">
        <v>16</v>
      </c>
      <c r="L12" s="54">
        <v>5</v>
      </c>
      <c r="M12" s="54">
        <v>9</v>
      </c>
      <c r="N12" s="54">
        <v>13</v>
      </c>
      <c r="O12" s="54">
        <v>15</v>
      </c>
      <c r="P12" s="69">
        <f t="shared" ref="P12:P14" si="1">(L12/$F$23)*100%</f>
        <v>0.22058823529411764</v>
      </c>
      <c r="Q12" s="69">
        <f t="shared" ref="Q12:Q14" si="2">(M12/$F$23)*100%</f>
        <v>0.39705882352941174</v>
      </c>
      <c r="R12" s="69">
        <f t="shared" ref="R12:R14" si="3">(N12/$F$23)*100%</f>
        <v>0.57352941176470584</v>
      </c>
      <c r="S12" s="70">
        <f t="shared" ref="S12:S14" si="4">(O12/$F$23)*100%</f>
        <v>0.66176470588235292</v>
      </c>
    </row>
    <row r="13" spans="1:19" x14ac:dyDescent="0.25">
      <c r="D13" s="92"/>
      <c r="K13" s="6" t="s">
        <v>109</v>
      </c>
      <c r="L13" s="54">
        <v>7</v>
      </c>
      <c r="M13" s="54">
        <v>13</v>
      </c>
      <c r="N13" s="54">
        <v>15</v>
      </c>
      <c r="O13" s="54">
        <v>20</v>
      </c>
      <c r="P13" s="69">
        <f t="shared" si="1"/>
        <v>0.30882352941176466</v>
      </c>
      <c r="Q13" s="69">
        <f t="shared" si="2"/>
        <v>0.57352941176470584</v>
      </c>
      <c r="R13" s="69">
        <f t="shared" si="3"/>
        <v>0.66176470588235292</v>
      </c>
      <c r="S13" s="70">
        <f t="shared" si="4"/>
        <v>0.88235294117647056</v>
      </c>
    </row>
    <row r="14" spans="1:19" x14ac:dyDescent="0.25">
      <c r="D14" s="92"/>
      <c r="K14" s="6" t="s">
        <v>18</v>
      </c>
      <c r="L14" s="54">
        <v>0</v>
      </c>
      <c r="M14" s="54">
        <v>3</v>
      </c>
      <c r="N14" s="54">
        <v>6</v>
      </c>
      <c r="O14" s="54">
        <v>9</v>
      </c>
      <c r="P14" s="69">
        <f>(L14/$F$23)*100%</f>
        <v>0</v>
      </c>
      <c r="Q14" s="71">
        <f t="shared" si="2"/>
        <v>0.13235294117647059</v>
      </c>
      <c r="R14" s="71">
        <f t="shared" si="3"/>
        <v>0.26470588235294118</v>
      </c>
      <c r="S14" s="72">
        <f t="shared" si="4"/>
        <v>0.39705882352941174</v>
      </c>
    </row>
    <row r="15" spans="1:19" x14ac:dyDescent="0.25">
      <c r="D15" s="92"/>
    </row>
    <row r="16" spans="1:19" x14ac:dyDescent="0.25">
      <c r="D16" s="92"/>
    </row>
    <row r="17" spans="3:14" x14ac:dyDescent="0.25">
      <c r="J17" s="84" t="s">
        <v>112</v>
      </c>
      <c r="K17" s="87" t="s">
        <v>117</v>
      </c>
      <c r="L17" s="86" t="s">
        <v>116</v>
      </c>
      <c r="M17" s="86" t="s">
        <v>113</v>
      </c>
      <c r="N17" s="86" t="s">
        <v>115</v>
      </c>
    </row>
    <row r="18" spans="3:14" x14ac:dyDescent="0.25">
      <c r="D18" s="52" t="s">
        <v>107</v>
      </c>
      <c r="J18" s="84"/>
      <c r="K18" s="87"/>
      <c r="L18" s="86"/>
      <c r="M18" s="86"/>
      <c r="N18" s="86"/>
    </row>
    <row r="19" spans="3:14" x14ac:dyDescent="0.25">
      <c r="D19" s="55" t="s">
        <v>103</v>
      </c>
      <c r="E19" s="55" t="s">
        <v>104</v>
      </c>
      <c r="F19" s="67" t="s">
        <v>145</v>
      </c>
      <c r="G19" s="46"/>
      <c r="J19" s="16"/>
      <c r="K19" s="60">
        <f>L19*M19*N19</f>
        <v>28600000</v>
      </c>
      <c r="L19" s="16">
        <v>5000</v>
      </c>
      <c r="M19" s="61">
        <v>0.88</v>
      </c>
      <c r="N19" s="16">
        <v>6500</v>
      </c>
    </row>
    <row r="20" spans="3:14" x14ac:dyDescent="0.25">
      <c r="D20" s="56" t="s">
        <v>105</v>
      </c>
      <c r="E20" s="16">
        <v>4000</v>
      </c>
      <c r="F20" s="16">
        <v>20</v>
      </c>
      <c r="G20" s="46"/>
    </row>
    <row r="21" spans="3:14" x14ac:dyDescent="0.25">
      <c r="D21" s="56" t="s">
        <v>106</v>
      </c>
      <c r="E21" s="16">
        <v>9000</v>
      </c>
      <c r="F21" s="16">
        <v>40</v>
      </c>
      <c r="G21" s="46"/>
    </row>
    <row r="22" spans="3:14" x14ac:dyDescent="0.25">
      <c r="D22" s="56" t="s">
        <v>144</v>
      </c>
      <c r="E22" s="16">
        <v>3500</v>
      </c>
      <c r="F22" s="16">
        <v>8</v>
      </c>
      <c r="G22" s="46"/>
    </row>
    <row r="23" spans="3:14" x14ac:dyDescent="0.25">
      <c r="D23" s="56" t="s">
        <v>135</v>
      </c>
      <c r="E23" s="68">
        <f>AVERAGE(E20:E22)</f>
        <v>5500</v>
      </c>
      <c r="F23" s="68">
        <f>AVERAGE(F20:F22)</f>
        <v>22.666666666666668</v>
      </c>
      <c r="G23" s="46"/>
    </row>
    <row r="24" spans="3:14" x14ac:dyDescent="0.25">
      <c r="D24" s="53"/>
      <c r="G24" s="46"/>
    </row>
    <row r="25" spans="3:14" x14ac:dyDescent="0.25">
      <c r="D25" s="53"/>
    </row>
    <row r="26" spans="3:14" x14ac:dyDescent="0.25">
      <c r="D26" s="53"/>
    </row>
    <row r="28" spans="3:14" ht="18.75" x14ac:dyDescent="0.3">
      <c r="C28" s="62">
        <v>2</v>
      </c>
      <c r="D28" t="s">
        <v>118</v>
      </c>
      <c r="I28" t="s">
        <v>136</v>
      </c>
    </row>
    <row r="29" spans="3:14" x14ac:dyDescent="0.25">
      <c r="D29" s="6" t="s">
        <v>119</v>
      </c>
      <c r="E29" s="4" t="s">
        <v>125</v>
      </c>
      <c r="F29" s="7">
        <v>7300</v>
      </c>
      <c r="G29" s="16"/>
      <c r="I29" s="16" t="s">
        <v>147</v>
      </c>
      <c r="J29" s="4" t="s">
        <v>137</v>
      </c>
      <c r="K29" s="12">
        <v>6</v>
      </c>
      <c r="L29" s="91" t="s">
        <v>138</v>
      </c>
    </row>
    <row r="30" spans="3:14" x14ac:dyDescent="0.25">
      <c r="D30" s="6" t="s">
        <v>120</v>
      </c>
      <c r="E30" s="4" t="s">
        <v>125</v>
      </c>
      <c r="F30" s="7">
        <v>9300</v>
      </c>
      <c r="G30" s="16"/>
      <c r="I30" s="16" t="s">
        <v>148</v>
      </c>
      <c r="J30" s="4" t="s">
        <v>137</v>
      </c>
      <c r="K30" s="12">
        <v>4</v>
      </c>
      <c r="L30" s="91"/>
    </row>
    <row r="31" spans="3:14" x14ac:dyDescent="0.25">
      <c r="D31" s="6" t="s">
        <v>121</v>
      </c>
      <c r="E31" s="4" t="s">
        <v>125</v>
      </c>
      <c r="F31" s="7">
        <v>10200</v>
      </c>
      <c r="G31" s="16"/>
      <c r="I31" s="16" t="s">
        <v>149</v>
      </c>
      <c r="J31" s="4" t="s">
        <v>137</v>
      </c>
      <c r="K31" s="12">
        <v>4</v>
      </c>
      <c r="L31" s="91"/>
    </row>
    <row r="32" spans="3:14" x14ac:dyDescent="0.25">
      <c r="D32" s="6" t="s">
        <v>122</v>
      </c>
      <c r="E32" s="4" t="s">
        <v>125</v>
      </c>
      <c r="F32" s="7">
        <v>11900</v>
      </c>
      <c r="G32" s="16"/>
      <c r="I32" s="16" t="s">
        <v>150</v>
      </c>
      <c r="J32" s="4" t="s">
        <v>137</v>
      </c>
      <c r="K32" s="12">
        <v>4</v>
      </c>
      <c r="L32" s="91"/>
    </row>
    <row r="33" spans="4:14" x14ac:dyDescent="0.25">
      <c r="D33" s="6" t="s">
        <v>123</v>
      </c>
      <c r="E33" s="4" t="s">
        <v>125</v>
      </c>
      <c r="F33" s="7">
        <v>6900</v>
      </c>
      <c r="G33" s="16"/>
      <c r="I33" s="16" t="s">
        <v>151</v>
      </c>
      <c r="J33" s="4" t="s">
        <v>137</v>
      </c>
      <c r="K33" s="12">
        <v>2</v>
      </c>
      <c r="L33" s="91"/>
    </row>
    <row r="34" spans="4:14" x14ac:dyDescent="0.25">
      <c r="D34" s="6" t="s">
        <v>124</v>
      </c>
      <c r="E34" s="4" t="s">
        <v>125</v>
      </c>
      <c r="F34" s="7">
        <v>8400</v>
      </c>
      <c r="G34" s="16"/>
      <c r="I34" s="16" t="s">
        <v>152</v>
      </c>
      <c r="J34" s="4" t="s">
        <v>137</v>
      </c>
      <c r="K34" s="12">
        <v>2</v>
      </c>
      <c r="L34" s="91"/>
    </row>
    <row r="35" spans="4:14" x14ac:dyDescent="0.25">
      <c r="D35" s="13" t="s">
        <v>126</v>
      </c>
      <c r="E35" s="14" t="s">
        <v>125</v>
      </c>
      <c r="F35" s="57">
        <f>AVERAGE(F29:F34)</f>
        <v>9000</v>
      </c>
      <c r="G35" s="16" t="s">
        <v>129</v>
      </c>
      <c r="I35" s="16" t="s">
        <v>153</v>
      </c>
      <c r="J35" s="4" t="s">
        <v>137</v>
      </c>
      <c r="K35" s="12">
        <v>2</v>
      </c>
      <c r="L35" s="91"/>
    </row>
    <row r="36" spans="4:14" x14ac:dyDescent="0.25">
      <c r="D36" s="13" t="s">
        <v>127</v>
      </c>
      <c r="E36" s="14" t="s">
        <v>128</v>
      </c>
      <c r="F36" s="58">
        <v>20</v>
      </c>
      <c r="G36" s="16"/>
      <c r="I36" s="16" t="s">
        <v>154</v>
      </c>
      <c r="J36" s="4" t="s">
        <v>137</v>
      </c>
      <c r="K36" s="12">
        <v>1</v>
      </c>
      <c r="L36" s="91"/>
    </row>
    <row r="37" spans="4:14" x14ac:dyDescent="0.25">
      <c r="D37" s="13" t="s">
        <v>131</v>
      </c>
      <c r="E37" s="14" t="s">
        <v>130</v>
      </c>
      <c r="F37" s="57">
        <f>2*F35</f>
        <v>18000</v>
      </c>
      <c r="G37" s="16"/>
      <c r="I37" s="16" t="s">
        <v>155</v>
      </c>
      <c r="J37" s="4" t="s">
        <v>137</v>
      </c>
      <c r="K37" s="12">
        <v>2</v>
      </c>
      <c r="L37" s="91"/>
    </row>
    <row r="38" spans="4:14" x14ac:dyDescent="0.25">
      <c r="D38" s="13" t="s">
        <v>132</v>
      </c>
      <c r="E38" s="14"/>
      <c r="F38" s="57">
        <v>900</v>
      </c>
      <c r="G38" s="16"/>
      <c r="I38" s="16" t="s">
        <v>156</v>
      </c>
      <c r="J38" s="4" t="s">
        <v>137</v>
      </c>
      <c r="K38" s="12">
        <v>2</v>
      </c>
      <c r="L38" s="91"/>
    </row>
    <row r="39" spans="4:14" ht="15" customHeight="1" x14ac:dyDescent="0.25">
      <c r="D39" s="83" t="s">
        <v>143</v>
      </c>
      <c r="E39" s="84" t="s">
        <v>133</v>
      </c>
      <c r="F39" s="85">
        <f>5*F38</f>
        <v>4500</v>
      </c>
      <c r="G39" s="86" t="s">
        <v>134</v>
      </c>
    </row>
    <row r="40" spans="4:14" x14ac:dyDescent="0.25">
      <c r="D40" s="83"/>
      <c r="E40" s="84"/>
      <c r="F40" s="85"/>
      <c r="G40" s="86"/>
    </row>
    <row r="41" spans="4:14" x14ac:dyDescent="0.25">
      <c r="D41" s="83"/>
      <c r="E41" s="84"/>
      <c r="F41" s="85"/>
      <c r="G41" s="86"/>
    </row>
    <row r="42" spans="4:14" x14ac:dyDescent="0.25">
      <c r="D42" s="83"/>
      <c r="E42" s="84"/>
      <c r="F42" s="85"/>
      <c r="G42" s="86"/>
    </row>
    <row r="43" spans="4:14" ht="120" x14ac:dyDescent="0.25">
      <c r="D43" s="64" t="s">
        <v>157</v>
      </c>
      <c r="E43" s="65" t="s">
        <v>159</v>
      </c>
      <c r="F43" s="77">
        <v>2.6</v>
      </c>
      <c r="G43" s="76" t="s">
        <v>158</v>
      </c>
    </row>
    <row r="44" spans="4:14" x14ac:dyDescent="0.25">
      <c r="D44" s="66"/>
      <c r="E44" s="73"/>
      <c r="F44" s="74"/>
      <c r="G44" s="75"/>
    </row>
    <row r="45" spans="4:14" x14ac:dyDescent="0.25">
      <c r="D45" s="66"/>
      <c r="E45" s="73"/>
      <c r="F45" s="74"/>
      <c r="G45" s="75"/>
    </row>
    <row r="47" spans="4:14" x14ac:dyDescent="0.25">
      <c r="J47" s="88" t="s">
        <v>112</v>
      </c>
      <c r="K47" s="87" t="s">
        <v>114</v>
      </c>
      <c r="L47" s="86" t="s">
        <v>141</v>
      </c>
      <c r="M47" s="86" t="s">
        <v>139</v>
      </c>
      <c r="N47" s="86" t="s">
        <v>140</v>
      </c>
    </row>
    <row r="48" spans="4:14" ht="15" customHeight="1" x14ac:dyDescent="0.25">
      <c r="D48" s="81" t="s">
        <v>142</v>
      </c>
      <c r="E48" s="4" t="s">
        <v>4</v>
      </c>
      <c r="F48" s="4" t="s">
        <v>5</v>
      </c>
      <c r="G48" s="4" t="s">
        <v>6</v>
      </c>
      <c r="H48" s="4" t="s">
        <v>7</v>
      </c>
      <c r="J48" s="89"/>
      <c r="K48" s="87"/>
      <c r="L48" s="86"/>
      <c r="M48" s="86"/>
      <c r="N48" s="86"/>
    </row>
    <row r="49" spans="4:14" x14ac:dyDescent="0.25">
      <c r="D49" s="82"/>
      <c r="E49" s="4">
        <v>1</v>
      </c>
      <c r="F49" s="4">
        <v>2</v>
      </c>
      <c r="G49" s="4">
        <v>6</v>
      </c>
      <c r="H49" s="4">
        <v>10</v>
      </c>
      <c r="J49" s="90"/>
      <c r="K49" s="87"/>
      <c r="L49" s="86"/>
      <c r="M49" s="86"/>
      <c r="N49" s="86"/>
    </row>
    <row r="50" spans="4:14" x14ac:dyDescent="0.25">
      <c r="D50" s="6" t="s">
        <v>108</v>
      </c>
      <c r="E50" s="54">
        <f>2*($F$43*$F$39)</f>
        <v>23400</v>
      </c>
      <c r="F50" s="54">
        <f>E50*$F$49</f>
        <v>46800</v>
      </c>
      <c r="G50" s="54">
        <f>E50*$G$49</f>
        <v>140400</v>
      </c>
      <c r="H50" s="54">
        <f>E50*$H$49</f>
        <v>234000</v>
      </c>
      <c r="J50" s="16"/>
      <c r="K50" s="59">
        <f>L50*M50*N50</f>
        <v>9000000</v>
      </c>
      <c r="L50" s="12">
        <f>2500/5</f>
        <v>500</v>
      </c>
      <c r="M50" s="12">
        <v>4</v>
      </c>
      <c r="N50" s="12">
        <v>4500</v>
      </c>
    </row>
    <row r="51" spans="4:14" x14ac:dyDescent="0.25">
      <c r="D51" s="6" t="s">
        <v>16</v>
      </c>
      <c r="E51" s="54">
        <f>4*($F$43*$F$39)</f>
        <v>46800</v>
      </c>
      <c r="F51" s="54">
        <f t="shared" ref="F51:F53" si="5">E51*$F$49</f>
        <v>93600</v>
      </c>
      <c r="G51" s="54">
        <f t="shared" ref="G51:G53" si="6">E51*$G$49</f>
        <v>280800</v>
      </c>
      <c r="H51" s="54">
        <f t="shared" ref="H51:H53" si="7">E51*$H$49</f>
        <v>468000</v>
      </c>
    </row>
    <row r="52" spans="4:14" x14ac:dyDescent="0.25">
      <c r="D52" s="6" t="s">
        <v>109</v>
      </c>
      <c r="E52" s="54">
        <f>6*($F$43*$F$39)</f>
        <v>70200</v>
      </c>
      <c r="F52" s="54">
        <f t="shared" si="5"/>
        <v>140400</v>
      </c>
      <c r="G52" s="54">
        <f t="shared" si="6"/>
        <v>421200</v>
      </c>
      <c r="H52" s="54">
        <f t="shared" si="7"/>
        <v>702000</v>
      </c>
    </row>
    <row r="53" spans="4:14" x14ac:dyDescent="0.25">
      <c r="D53" s="6" t="s">
        <v>18</v>
      </c>
      <c r="E53" s="54">
        <f>1*($F$43*$F$39)</f>
        <v>11700</v>
      </c>
      <c r="F53" s="54">
        <f t="shared" si="5"/>
        <v>23400</v>
      </c>
      <c r="G53" s="54">
        <f t="shared" si="6"/>
        <v>70200</v>
      </c>
      <c r="H53" s="54">
        <f t="shared" si="7"/>
        <v>117000</v>
      </c>
    </row>
  </sheetData>
  <mergeCells count="20">
    <mergeCell ref="K1:K2"/>
    <mergeCell ref="D1:D2"/>
    <mergeCell ref="D8:D16"/>
    <mergeCell ref="K9:K10"/>
    <mergeCell ref="L17:L18"/>
    <mergeCell ref="M17:M18"/>
    <mergeCell ref="N17:N18"/>
    <mergeCell ref="K17:K18"/>
    <mergeCell ref="J17:J18"/>
    <mergeCell ref="J47:J49"/>
    <mergeCell ref="L29:L38"/>
    <mergeCell ref="K47:K49"/>
    <mergeCell ref="L47:L49"/>
    <mergeCell ref="M47:M49"/>
    <mergeCell ref="N47:N49"/>
    <mergeCell ref="D48:D49"/>
    <mergeCell ref="D39:D42"/>
    <mergeCell ref="E39:E42"/>
    <mergeCell ref="F39:F42"/>
    <mergeCell ref="G39:G42"/>
  </mergeCells>
  <hyperlinks>
    <hyperlink ref="G43" r:id="rId1" display="http://finance.detik.com/read/2014/04/16/125013/2556799/4/di-malaysia-jarak-100-km-ditempuh-1-jam-di-indonesia-butuh-27-jam"/>
  </hyperlinks>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Sheet1</vt:lpstr>
      <vt:lpstr>versi1_kerusakan</vt:lpstr>
      <vt:lpstr>versi2_kerusakan</vt:lpstr>
      <vt:lpstr>asumsi_kerusakan</vt:lpstr>
      <vt:lpstr>asumsi_kerugian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ALDI</dc:creator>
  <cp:lastModifiedBy>Mia Renauly</cp:lastModifiedBy>
  <dcterms:created xsi:type="dcterms:W3CDTF">2015-08-14T06:15:10Z</dcterms:created>
  <dcterms:modified xsi:type="dcterms:W3CDTF">2015-11-06T08:55:04Z</dcterms:modified>
</cp:coreProperties>
</file>