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055" windowHeight="7935" activeTab="7"/>
  </bookViews>
  <sheets>
    <sheet name="Mall" sheetId="4" r:id="rId1"/>
    <sheet name="asumsi" sheetId="5" r:id="rId2"/>
    <sheet name="Platinum" sheetId="6" r:id="rId3"/>
    <sheet name="Matriks_Platinum" sheetId="9" r:id="rId4"/>
    <sheet name="Gold" sheetId="7" r:id="rId5"/>
    <sheet name="Matriks_Gold" sheetId="10" r:id="rId6"/>
    <sheet name="Classic" sheetId="8" r:id="rId7"/>
    <sheet name="Matriks_Classic" sheetId="11" r:id="rId8"/>
  </sheets>
  <calcPr calcId="125725"/>
</workbook>
</file>

<file path=xl/calcChain.xml><?xml version="1.0" encoding="utf-8"?>
<calcChain xmlns="http://schemas.openxmlformats.org/spreadsheetml/2006/main">
  <c r="F50" i="11"/>
  <c r="F50" i="10"/>
  <c r="D58" i="11"/>
  <c r="D57"/>
  <c r="D58" i="10"/>
  <c r="D57"/>
  <c r="D58" i="9"/>
  <c r="D57"/>
  <c r="G49" i="10"/>
  <c r="S17" s="1"/>
  <c r="G49" i="11"/>
  <c r="G28"/>
  <c r="G34"/>
  <c r="K14" s="1"/>
  <c r="D11"/>
  <c r="G11" s="1"/>
  <c r="G48"/>
  <c r="G33"/>
  <c r="F33"/>
  <c r="F32"/>
  <c r="G32" s="1"/>
  <c r="G31"/>
  <c r="F31"/>
  <c r="G27"/>
  <c r="G26"/>
  <c r="N16" s="1"/>
  <c r="G23"/>
  <c r="K9" s="1"/>
  <c r="Z22"/>
  <c r="V22"/>
  <c r="U22"/>
  <c r="R22"/>
  <c r="Q22"/>
  <c r="P22"/>
  <c r="N22"/>
  <c r="M15"/>
  <c r="N14"/>
  <c r="M14"/>
  <c r="G14"/>
  <c r="G13"/>
  <c r="G12"/>
  <c r="T9"/>
  <c r="S9"/>
  <c r="R9"/>
  <c r="Q9"/>
  <c r="M9"/>
  <c r="L9"/>
  <c r="T8"/>
  <c r="S8"/>
  <c r="R8"/>
  <c r="Q8"/>
  <c r="M8"/>
  <c r="L8"/>
  <c r="T7"/>
  <c r="S7"/>
  <c r="R7"/>
  <c r="Q7"/>
  <c r="N7"/>
  <c r="W22" s="1"/>
  <c r="M7"/>
  <c r="S22" s="1"/>
  <c r="L7"/>
  <c r="N16" i="10"/>
  <c r="N15"/>
  <c r="N14"/>
  <c r="M16"/>
  <c r="M15"/>
  <c r="M14"/>
  <c r="L16"/>
  <c r="L15"/>
  <c r="L14"/>
  <c r="K16"/>
  <c r="K15"/>
  <c r="K14"/>
  <c r="G28"/>
  <c r="D11"/>
  <c r="G48"/>
  <c r="G33"/>
  <c r="F33"/>
  <c r="G32"/>
  <c r="F32"/>
  <c r="G31"/>
  <c r="F31"/>
  <c r="G34"/>
  <c r="G27"/>
  <c r="G26"/>
  <c r="G23"/>
  <c r="Z22"/>
  <c r="V22"/>
  <c r="R22"/>
  <c r="P22"/>
  <c r="N22"/>
  <c r="G14"/>
  <c r="G13"/>
  <c r="G12"/>
  <c r="G11"/>
  <c r="T9"/>
  <c r="S9"/>
  <c r="R9"/>
  <c r="Q9"/>
  <c r="M9"/>
  <c r="U22" s="1"/>
  <c r="L9"/>
  <c r="Q22" s="1"/>
  <c r="T8"/>
  <c r="S8"/>
  <c r="R8"/>
  <c r="Q8"/>
  <c r="M8"/>
  <c r="L8"/>
  <c r="T7"/>
  <c r="S7"/>
  <c r="R7"/>
  <c r="Q7"/>
  <c r="M7"/>
  <c r="S22" s="1"/>
  <c r="L7"/>
  <c r="G28" i="9"/>
  <c r="N14" l="1"/>
  <c r="F50"/>
  <c r="T17" i="11"/>
  <c r="Z23" s="1"/>
  <c r="S14"/>
  <c r="S41" s="1"/>
  <c r="S16"/>
  <c r="R16"/>
  <c r="R14"/>
  <c r="R39" s="1"/>
  <c r="S15"/>
  <c r="S17"/>
  <c r="V23" s="1"/>
  <c r="R15"/>
  <c r="R17"/>
  <c r="R42" s="1"/>
  <c r="T23"/>
  <c r="M41"/>
  <c r="M16"/>
  <c r="M40"/>
  <c r="N9"/>
  <c r="N41" s="1"/>
  <c r="N8"/>
  <c r="X22" s="1"/>
  <c r="M22"/>
  <c r="T42"/>
  <c r="K16"/>
  <c r="K15"/>
  <c r="L16"/>
  <c r="Q23" s="1"/>
  <c r="L15"/>
  <c r="L41"/>
  <c r="Y22"/>
  <c r="N39"/>
  <c r="L14"/>
  <c r="T22"/>
  <c r="M39"/>
  <c r="Q14"/>
  <c r="K23" s="1"/>
  <c r="Q15"/>
  <c r="Q40" s="1"/>
  <c r="Q16"/>
  <c r="Q41" s="1"/>
  <c r="Q17"/>
  <c r="O22"/>
  <c r="K7"/>
  <c r="K8"/>
  <c r="T14"/>
  <c r="W23" s="1"/>
  <c r="N15"/>
  <c r="T15"/>
  <c r="T16"/>
  <c r="Y23" s="1"/>
  <c r="R17" i="10"/>
  <c r="R42" s="1"/>
  <c r="S16"/>
  <c r="R14"/>
  <c r="R41" s="1"/>
  <c r="R16"/>
  <c r="Q23" s="1"/>
  <c r="R15"/>
  <c r="P23" s="1"/>
  <c r="N9"/>
  <c r="Y22" s="1"/>
  <c r="V23"/>
  <c r="S42"/>
  <c r="T22"/>
  <c r="M41"/>
  <c r="Q14"/>
  <c r="Q39" s="1"/>
  <c r="Q15"/>
  <c r="Q40" s="1"/>
  <c r="Q16"/>
  <c r="Q41" s="1"/>
  <c r="Q17"/>
  <c r="O22"/>
  <c r="R23"/>
  <c r="L41"/>
  <c r="K7"/>
  <c r="K8"/>
  <c r="K9"/>
  <c r="T14"/>
  <c r="W23" s="1"/>
  <c r="T15"/>
  <c r="X23" s="1"/>
  <c r="T16"/>
  <c r="T17"/>
  <c r="N7"/>
  <c r="N8"/>
  <c r="S14"/>
  <c r="S41" s="1"/>
  <c r="S15"/>
  <c r="D11" i="9"/>
  <c r="G11" s="1"/>
  <c r="B23" i="8"/>
  <c r="B32"/>
  <c r="A32"/>
  <c r="B25"/>
  <c r="C32" s="1"/>
  <c r="B24"/>
  <c r="B46" i="7"/>
  <c r="A53" s="1"/>
  <c r="B44"/>
  <c r="B45" s="1"/>
  <c r="G49" i="9"/>
  <c r="G48"/>
  <c r="G34"/>
  <c r="G33"/>
  <c r="F33"/>
  <c r="G32"/>
  <c r="F32"/>
  <c r="G31"/>
  <c r="M15" s="1"/>
  <c r="F31"/>
  <c r="G27"/>
  <c r="N15" s="1"/>
  <c r="G26"/>
  <c r="G23"/>
  <c r="K9" s="1"/>
  <c r="Z22"/>
  <c r="V22"/>
  <c r="R22"/>
  <c r="N22"/>
  <c r="G14"/>
  <c r="G13"/>
  <c r="G12"/>
  <c r="T9"/>
  <c r="S9"/>
  <c r="R9"/>
  <c r="Q9"/>
  <c r="T8"/>
  <c r="S8"/>
  <c r="R8"/>
  <c r="Q8"/>
  <c r="M8"/>
  <c r="T22" s="1"/>
  <c r="T7"/>
  <c r="S7"/>
  <c r="R7"/>
  <c r="Q7"/>
  <c r="L7"/>
  <c r="C33" i="6"/>
  <c r="B33"/>
  <c r="A33"/>
  <c r="B26"/>
  <c r="B24"/>
  <c r="B25" s="1"/>
  <c r="C20" i="8"/>
  <c r="D20"/>
  <c r="E20"/>
  <c r="F20"/>
  <c r="G20"/>
  <c r="H20"/>
  <c r="B20"/>
  <c r="C41" i="7"/>
  <c r="D41"/>
  <c r="E41"/>
  <c r="F41"/>
  <c r="G41"/>
  <c r="H41"/>
  <c r="B41"/>
  <c r="C22" i="6"/>
  <c r="D22"/>
  <c r="E22"/>
  <c r="F22"/>
  <c r="G22"/>
  <c r="H22"/>
  <c r="B22"/>
  <c r="F49" i="4"/>
  <c r="N14"/>
  <c r="F31"/>
  <c r="D11"/>
  <c r="D22" i="5"/>
  <c r="E22"/>
  <c r="D21"/>
  <c r="E21"/>
  <c r="C22"/>
  <c r="C21"/>
  <c r="S40" i="11" l="1"/>
  <c r="S23"/>
  <c r="S39"/>
  <c r="M14" i="9"/>
  <c r="L8"/>
  <c r="P22" s="1"/>
  <c r="N7"/>
  <c r="M9"/>
  <c r="U22" s="1"/>
  <c r="M7"/>
  <c r="S22" s="1"/>
  <c r="L9"/>
  <c r="Q22" s="1"/>
  <c r="M16"/>
  <c r="N16"/>
  <c r="L23" i="11"/>
  <c r="U23"/>
  <c r="R41"/>
  <c r="T39" i="10"/>
  <c r="S23"/>
  <c r="L23"/>
  <c r="Q39" i="11"/>
  <c r="R23"/>
  <c r="X23"/>
  <c r="R40"/>
  <c r="S42"/>
  <c r="O23"/>
  <c r="P23"/>
  <c r="Q42"/>
  <c r="N23"/>
  <c r="K39"/>
  <c r="K22"/>
  <c r="K40"/>
  <c r="L22"/>
  <c r="T39"/>
  <c r="T41"/>
  <c r="M23"/>
  <c r="K41"/>
  <c r="N40"/>
  <c r="L40"/>
  <c r="T40"/>
  <c r="L39"/>
  <c r="R39" i="10"/>
  <c r="R40"/>
  <c r="O23"/>
  <c r="U23"/>
  <c r="S39"/>
  <c r="K23"/>
  <c r="T23"/>
  <c r="M23"/>
  <c r="M40"/>
  <c r="L40"/>
  <c r="N41"/>
  <c r="T42"/>
  <c r="Z23"/>
  <c r="K39"/>
  <c r="K22"/>
  <c r="N39"/>
  <c r="W22"/>
  <c r="K40"/>
  <c r="L22"/>
  <c r="N40"/>
  <c r="X22"/>
  <c r="M22"/>
  <c r="K41"/>
  <c r="Q42"/>
  <c r="N23"/>
  <c r="T40"/>
  <c r="S40"/>
  <c r="T41"/>
  <c r="L39"/>
  <c r="Y23"/>
  <c r="M39"/>
  <c r="K16" i="9"/>
  <c r="K41" s="1"/>
  <c r="L14"/>
  <c r="L39" s="1"/>
  <c r="L15"/>
  <c r="K14"/>
  <c r="L16"/>
  <c r="K15"/>
  <c r="S17"/>
  <c r="S42" s="1"/>
  <c r="T17"/>
  <c r="Z23" s="1"/>
  <c r="Q17"/>
  <c r="N23" s="1"/>
  <c r="R17"/>
  <c r="S14"/>
  <c r="S23" s="1"/>
  <c r="S16"/>
  <c r="U23" s="1"/>
  <c r="L41"/>
  <c r="S15"/>
  <c r="T23" s="1"/>
  <c r="R16"/>
  <c r="N39"/>
  <c r="M41"/>
  <c r="M39"/>
  <c r="N9"/>
  <c r="Y22" s="1"/>
  <c r="N8"/>
  <c r="X22" s="1"/>
  <c r="D32" i="8"/>
  <c r="D53" i="7"/>
  <c r="C53"/>
  <c r="B53"/>
  <c r="M22" i="9"/>
  <c r="T42"/>
  <c r="Q14"/>
  <c r="Q39" s="1"/>
  <c r="Q15"/>
  <c r="Q40" s="1"/>
  <c r="Q16"/>
  <c r="Q41" s="1"/>
  <c r="O22"/>
  <c r="W22"/>
  <c r="M40"/>
  <c r="K7"/>
  <c r="K8"/>
  <c r="T14"/>
  <c r="W23" s="1"/>
  <c r="T15"/>
  <c r="T16"/>
  <c r="Y23" s="1"/>
  <c r="R14"/>
  <c r="R40" s="1"/>
  <c r="R15"/>
  <c r="D33" i="6"/>
  <c r="G34" i="4"/>
  <c r="Q42" i="9" l="1"/>
  <c r="Q23"/>
  <c r="S39"/>
  <c r="S41"/>
  <c r="T40"/>
  <c r="S40"/>
  <c r="L23"/>
  <c r="P23"/>
  <c r="T39"/>
  <c r="O23"/>
  <c r="V23"/>
  <c r="R41"/>
  <c r="R42"/>
  <c r="R23"/>
  <c r="T41"/>
  <c r="N41"/>
  <c r="R39"/>
  <c r="K22"/>
  <c r="K39"/>
  <c r="L22"/>
  <c r="K40"/>
  <c r="K23"/>
  <c r="L40"/>
  <c r="X23"/>
  <c r="M23"/>
  <c r="N40"/>
  <c r="K14" i="4"/>
  <c r="L14"/>
  <c r="F33"/>
  <c r="G33" s="1"/>
  <c r="G23"/>
  <c r="F32"/>
  <c r="G32" s="1"/>
  <c r="G31"/>
  <c r="M14" s="1"/>
  <c r="G27"/>
  <c r="G26"/>
  <c r="L15" l="1"/>
  <c r="L16"/>
  <c r="K15"/>
  <c r="K16"/>
  <c r="M16"/>
  <c r="N15"/>
  <c r="N16"/>
  <c r="M15"/>
  <c r="N7"/>
  <c r="L7"/>
  <c r="L39" s="1"/>
  <c r="L8"/>
  <c r="K7"/>
  <c r="K39" s="1"/>
  <c r="L9"/>
  <c r="K8"/>
  <c r="M7"/>
  <c r="K9"/>
  <c r="N39"/>
  <c r="G14"/>
  <c r="M9" s="1"/>
  <c r="L41" l="1"/>
  <c r="L40"/>
  <c r="M39"/>
  <c r="M8"/>
  <c r="M40" s="1"/>
  <c r="M41"/>
  <c r="K40"/>
  <c r="K41"/>
  <c r="G11"/>
  <c r="T8"/>
  <c r="T9"/>
  <c r="S8"/>
  <c r="S9"/>
  <c r="T7"/>
  <c r="S7"/>
  <c r="R8"/>
  <c r="R9"/>
  <c r="R7"/>
  <c r="Q8"/>
  <c r="Q9"/>
  <c r="Q7"/>
  <c r="G48"/>
  <c r="G49"/>
  <c r="B6" i="5"/>
  <c r="G13" i="4"/>
  <c r="G12"/>
  <c r="T17" l="1"/>
  <c r="T42" s="1"/>
  <c r="Q17"/>
  <c r="Q42" s="1"/>
  <c r="R17"/>
  <c r="R42" s="1"/>
  <c r="S17"/>
  <c r="S42" s="1"/>
  <c r="S16"/>
  <c r="S14"/>
  <c r="S15"/>
  <c r="N8"/>
  <c r="N40" s="1"/>
  <c r="N9"/>
  <c r="N41" s="1"/>
  <c r="J7" i="5"/>
  <c r="L7"/>
  <c r="K7"/>
  <c r="T15" i="4"/>
  <c r="S39" l="1"/>
  <c r="S40"/>
  <c r="S41"/>
  <c r="M7" i="5"/>
  <c r="R16" i="4"/>
  <c r="R15"/>
  <c r="T14"/>
  <c r="R14"/>
  <c r="T16"/>
  <c r="T39" l="1"/>
  <c r="T40"/>
  <c r="T41"/>
  <c r="R39"/>
  <c r="R40"/>
  <c r="R41"/>
  <c r="V23"/>
  <c r="R23"/>
  <c r="Z22"/>
  <c r="V22"/>
  <c r="R22"/>
  <c r="N22"/>
  <c r="Q14"/>
  <c r="Q39" s="1"/>
  <c r="Q15"/>
  <c r="Q40" s="1"/>
  <c r="Q16"/>
  <c r="Q41" s="1"/>
  <c r="N23"/>
  <c r="Z23"/>
  <c r="P22" l="1"/>
  <c r="L22"/>
  <c r="K22"/>
  <c r="Q22"/>
  <c r="S22"/>
  <c r="M22"/>
  <c r="O22"/>
  <c r="W23" l="1"/>
  <c r="Q23"/>
  <c r="Y23"/>
  <c r="P23"/>
  <c r="X23"/>
  <c r="S23"/>
  <c r="T23"/>
  <c r="O23"/>
  <c r="U23"/>
  <c r="K23"/>
  <c r="L23"/>
  <c r="M23"/>
  <c r="X22"/>
  <c r="Y22"/>
  <c r="W22"/>
  <c r="T22"/>
  <c r="U22"/>
</calcChain>
</file>

<file path=xl/sharedStrings.xml><?xml version="1.0" encoding="utf-8"?>
<sst xmlns="http://schemas.openxmlformats.org/spreadsheetml/2006/main" count="847" uniqueCount="218">
  <si>
    <t>Perhitungan Kerugian Akibat Banjir</t>
  </si>
  <si>
    <t>No</t>
  </si>
  <si>
    <t>Pengeluaran</t>
  </si>
  <si>
    <t>Total</t>
  </si>
  <si>
    <t>Jumlah</t>
  </si>
  <si>
    <t>terdampak</t>
  </si>
  <si>
    <t>Perhitungan Kerusakan Akibat Banjir</t>
  </si>
  <si>
    <t xml:space="preserve">Kerusakan = kehilangan barang/properti, perbaikan barang/properti dan perbaikan bangunan </t>
  </si>
  <si>
    <t xml:space="preserve">Kerugian = kebersihan, kehilangan pendapatan dan tambahan lainnya </t>
  </si>
  <si>
    <t>Rekapitulasi Kerusakan</t>
  </si>
  <si>
    <t>10 - 70 cm</t>
  </si>
  <si>
    <t>71 - 150 cm</t>
  </si>
  <si>
    <t>&gt; 150 cm</t>
  </si>
  <si>
    <t>pekerja</t>
  </si>
  <si>
    <t>Satuan</t>
  </si>
  <si>
    <t>Oh</t>
  </si>
  <si>
    <t>rol cat</t>
  </si>
  <si>
    <t>Bh</t>
  </si>
  <si>
    <t>barang dagangan</t>
  </si>
  <si>
    <t>Unit Cost</t>
  </si>
  <si>
    <t>Keterangan</t>
  </si>
  <si>
    <t>kebersihan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</si>
  <si>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</si>
  <si>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</si>
  <si>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</si>
  <si>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</si>
  <si>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</si>
  <si>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</si>
  <si>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</si>
  <si>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</si>
  <si>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</si>
  <si>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</si>
  <si>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</si>
  <si>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</si>
  <si>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</si>
  <si>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</si>
  <si>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</si>
  <si>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</si>
  <si>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Kelas banjir / Aset</t>
  </si>
  <si>
    <t>UMKM</t>
  </si>
  <si>
    <t>&lt;1 hari</t>
  </si>
  <si>
    <t>1-4 hari</t>
  </si>
  <si>
    <t>&gt;8 hari</t>
  </si>
  <si>
    <t>UMKM (Pedagang/kios)</t>
  </si>
  <si>
    <t>5-8 hari</t>
  </si>
  <si>
    <t>Rekapitulasi Kerugian</t>
  </si>
  <si>
    <t>kehilangan pendapatan</t>
  </si>
  <si>
    <t>MALL</t>
  </si>
  <si>
    <t>MALL (Pengelola mall)</t>
  </si>
  <si>
    <t>pengecatan</t>
  </si>
  <si>
    <t>Asumsi :</t>
  </si>
  <si>
    <t>Referensi (APPBI)</t>
  </si>
  <si>
    <r>
      <t xml:space="preserve">Sedangkan kategori mall yang digunakan adalah kategori </t>
    </r>
    <r>
      <rPr>
        <b/>
        <i/>
        <sz val="14"/>
        <color theme="1"/>
        <rFont val="Calibri"/>
        <family val="2"/>
        <scheme val="minor"/>
      </rPr>
      <t>Gold</t>
    </r>
  </si>
  <si>
    <r>
      <t xml:space="preserve">Mall yang digunakan dalam perhitungan adalah tingkat </t>
    </r>
    <r>
      <rPr>
        <b/>
        <i/>
        <sz val="14"/>
        <color theme="1"/>
        <rFont val="Calibri"/>
        <family val="2"/>
        <scheme val="minor"/>
      </rPr>
      <t xml:space="preserve">Leased Mall </t>
    </r>
    <r>
      <rPr>
        <sz val="14"/>
        <color theme="1"/>
        <rFont val="Calibri"/>
        <family val="2"/>
        <scheme val="minor"/>
      </rPr>
      <t xml:space="preserve">karena beberapa contoh mall yang sering tergenang banjir berada dalam tingkatan tersebut misalnya Mall Kelapa Gading, Central Park, Mall Taman Anggrek, Pluit Village dll </t>
    </r>
  </si>
  <si>
    <t>Nama Mall</t>
  </si>
  <si>
    <t>Jumlah toko/kios</t>
  </si>
  <si>
    <t>Mall Taman Anggrek</t>
  </si>
  <si>
    <t>Luas</t>
  </si>
  <si>
    <t>Mall Kelapa Gading</t>
  </si>
  <si>
    <t>Pluit Village</t>
  </si>
  <si>
    <t>Rata2</t>
  </si>
  <si>
    <t>lantai dasar/yang tergenang</t>
  </si>
  <si>
    <t>kios/hari</t>
  </si>
  <si>
    <t>kios</t>
  </si>
  <si>
    <t>Proporsi pemanfaatan</t>
  </si>
  <si>
    <t>parkir</t>
  </si>
  <si>
    <t>pertokoan</t>
  </si>
  <si>
    <r>
      <t xml:space="preserve">cat dasar/penutup </t>
    </r>
    <r>
      <rPr>
        <i/>
        <sz val="8"/>
        <color theme="1"/>
        <rFont val="Arial"/>
        <family val="2"/>
      </rPr>
      <t>(tidak semua total luas area parkir di cat krn terdapat parkir terbuka-tanpa dinding umum tertutup seperti di basement)</t>
    </r>
  </si>
  <si>
    <t>mulai setiap 71-150 cm dgn durasi 5-8 hari dst</t>
  </si>
  <si>
    <t>pos parkir (2 mobil 2 motor)</t>
  </si>
  <si>
    <t>set pos</t>
  </si>
  <si>
    <t>kerusakan bangunan</t>
  </si>
  <si>
    <t>properti hilang/tak terpakai</t>
  </si>
  <si>
    <t>etalase</t>
  </si>
  <si>
    <t>mulai 71-150 cm dgn durasi mulai 5-8  s/d &gt; 8 hari</t>
  </si>
  <si>
    <t>mulai saat 71-150 cm dgn durasi 5-8 hari</t>
  </si>
  <si>
    <t>ATK/perlengkapan dagang dll</t>
  </si>
  <si>
    <t>properti rusak/biaya servis</t>
  </si>
  <si>
    <t>mulai durasi 5-8 hari</t>
  </si>
  <si>
    <t>mulai 71-150 cm dgn durasi mulai &lt; 1 s/d &gt; 1-4 hari</t>
  </si>
  <si>
    <t>lift (2) - eskalator (4)</t>
  </si>
  <si>
    <t>semua kelas banjir dgn persentase berbeda</t>
  </si>
  <si>
    <t>meja pelayanan</t>
  </si>
  <si>
    <t>mesin kasir/bayar</t>
  </si>
  <si>
    <t>set</t>
  </si>
  <si>
    <t>mulai 71-150 cm dgn durasi &gt; 8 hari</t>
  </si>
  <si>
    <t>mulai 71-150 cm dgn durasi &lt;1 s/d 5-8 hari</t>
  </si>
  <si>
    <t>mulai 10-70 cm dgn durasi &lt;1 &amp; 1-4 hari (yang diperhitungkan adalah 50% nilai pada point 4)</t>
  </si>
  <si>
    <t>mulai 10-70 cm dgn durasi 5-8 &amp; &gt;8 hari (yang diperhitungkan adalah 10% (asumsi tingkat keberadaan/ kerentanannya paling minim), dari setengah kekayaan maksimal dari usaha menengah berdasarkan peraturan</t>
  </si>
  <si>
    <t>pelataran/taman</t>
  </si>
  <si>
    <t>semua kelas banjir</t>
  </si>
  <si>
    <t>kg                          (1 kg u/ 5 m2)</t>
  </si>
  <si>
    <t>mulai setiap 71-150 cm dgn durasi &gt;8 hari</t>
  </si>
  <si>
    <t>Kerusakan</t>
  </si>
  <si>
    <t>Kerugian</t>
  </si>
  <si>
    <t>Nama Pusat Belanja</t>
  </si>
  <si>
    <t>Jumlah Tenant / Kios</t>
  </si>
  <si>
    <t>Jumlah Omzet per-hari</t>
  </si>
  <si>
    <t>Nilai historis kerusakan (kerusakan fisik)</t>
  </si>
  <si>
    <t>Nilai historis kerugian</t>
  </si>
  <si>
    <t>Blok M Square                                PT. Karya Utama Perdana</t>
  </si>
  <si>
    <t xml:space="preserve"> -</t>
  </si>
  <si>
    <t>Glodok Plaza                                 PT. TCP Internusa</t>
  </si>
  <si>
    <t>Grand ITC Permata Hijau PT. Matra Olahcipta</t>
  </si>
  <si>
    <t>The Darmawangsa Square PT. Megah Agung Lestari</t>
  </si>
  <si>
    <t>Central Park Mall                                                        PT. Central Prima Kelola</t>
  </si>
  <si>
    <t>Pengunjung drop 70% saat banjir</t>
  </si>
  <si>
    <t>Jumlah Kunjungan (hari/org)</t>
  </si>
  <si>
    <t>Luas Area (m2)</t>
  </si>
  <si>
    <t>area parkir (40,000 m2)</t>
  </si>
  <si>
    <t>area toko (112,000 m2)</t>
  </si>
  <si>
    <t>tabel diatas adalah asumsi untuk 1 toko maka nanti akan dikalikan jumlah toko yaitu 200 toko namun nilai yang diambil adalah 10% dari nilai total setelah dikalikan 200 karena dengan asumsi bahwa setiap toko akan mengalami kerusakan yang berbeda sehingga 10% itu dianggap sebagai rata2 dari nilai kerusakan yang dialami semua toko-asumsi kerusakan yang dialami toko itu kecil</t>
  </si>
  <si>
    <t xml:space="preserve">mengalami penurunan 30% dari total 20 juta </t>
  </si>
  <si>
    <t>11. Grand Indonesia Shopping Town</t>
  </si>
  <si>
    <t>12. Pacific Place</t>
  </si>
  <si>
    <t>13. Mall of Indonesia</t>
  </si>
  <si>
    <t>14. Central Park</t>
  </si>
  <si>
    <t>15. Gandaria City</t>
  </si>
  <si>
    <t>16. Kuningan City</t>
  </si>
  <si>
    <t>17. Lippo Mall Kemang</t>
  </si>
  <si>
    <t xml:space="preserve">18. Kota Kasablanka </t>
  </si>
  <si>
    <t xml:space="preserve">19. Ciputra World Jakarta </t>
  </si>
  <si>
    <t>20. Baywalk Mall</t>
  </si>
  <si>
    <t>Nilai Historis Kerusakan</t>
  </si>
  <si>
    <t>31. Cibubur Junction</t>
  </si>
  <si>
    <t>32. Plaza Kalibata</t>
  </si>
  <si>
    <t>33. La Piazza</t>
  </si>
  <si>
    <t>34. Pejaten Village</t>
  </si>
  <si>
    <t>35. Tamini Square</t>
  </si>
  <si>
    <t>36. Puri X’tertaiment Pavilion</t>
  </si>
  <si>
    <t>37. Pluit Junction</t>
  </si>
  <si>
    <t>38. Kalibata City Square</t>
  </si>
  <si>
    <t>39. Epiwalk Rasuna Epicentrum</t>
  </si>
  <si>
    <t>40. Tebet Green</t>
  </si>
  <si>
    <t>Jumlah Omzet/hari</t>
  </si>
  <si>
    <t>68. Glodok Plaza</t>
  </si>
  <si>
    <t>69. Mal Mangga Dua</t>
  </si>
  <si>
    <t>70. Mal Ambasador</t>
  </si>
  <si>
    <t>71. ITC Kuningan</t>
  </si>
  <si>
    <t>72. Blok M Square</t>
  </si>
  <si>
    <t>73. Mal Taman Palem</t>
  </si>
  <si>
    <t>74. ITC Fatmawati</t>
  </si>
  <si>
    <t>75. Mangga Dua Square</t>
  </si>
  <si>
    <t>76. Cikini Gold Center</t>
  </si>
  <si>
    <t>50. Plaza Kenari Mas</t>
  </si>
  <si>
    <t>51. Golden Truly</t>
  </si>
  <si>
    <t>52. Harco Pasar Baru</t>
  </si>
  <si>
    <t>53. Lippo Plaza Kramatjati</t>
  </si>
  <si>
    <t>54. Plaza Buaran</t>
  </si>
  <si>
    <t>55. Grand Cakung</t>
  </si>
  <si>
    <t>56. Mal Cijantung</t>
  </si>
  <si>
    <t>57. Teras Benhil</t>
  </si>
  <si>
    <r>
      <t>2.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Pondok Indah Mall</t>
    </r>
  </si>
  <si>
    <r>
      <t>3.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Mal Kelapa Gading</t>
    </r>
  </si>
  <si>
    <r>
      <t>4.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Mal Taman Anggrek</t>
    </r>
  </si>
  <si>
    <r>
      <t>5.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Plaza Senayan</t>
    </r>
  </si>
  <si>
    <r>
      <t>6.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Pluit Village</t>
    </r>
  </si>
  <si>
    <r>
      <t>7.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fX Sudirman</t>
    </r>
  </si>
  <si>
    <r>
      <t>8.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Mal Artha Gading</t>
    </r>
  </si>
  <si>
    <r>
      <t>9.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Senayan City</t>
    </r>
  </si>
  <si>
    <r>
      <t>10.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Emporium Pluit Mall</t>
    </r>
  </si>
  <si>
    <t>1.    Plaza Indonesia</t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</si>
  <si>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Jakarta Design Center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</si>
  <si>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 Ciputra Jakarta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</si>
  <si>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Plaza Atrium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</si>
  <si>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Gajah Mada Plaza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</si>
  <si>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Cilandak Town Square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</si>
  <si>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Puri Indah Mall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</si>
  <si>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The Plaza Semanggi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</si>
  <si>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Darmawangsa Square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</si>
  <si>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Poins Square</t>
    </r>
  </si>
  <si>
    <r>
      <t>58.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ITC Cempaka Mas</t>
    </r>
  </si>
  <si>
    <r>
      <t>59.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ITC Mangga Dua</t>
    </r>
  </si>
  <si>
    <r>
      <t>60.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 xml:space="preserve"> ITC Roxy Mas</t>
    </r>
  </si>
  <si>
    <r>
      <t>61.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Grand ITC Permata Hijau</t>
    </r>
  </si>
  <si>
    <r>
      <t>62.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WTC Mangga Dua</t>
    </r>
  </si>
  <si>
    <r>
      <t>63.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Lindeteves Trade Center</t>
    </r>
  </si>
  <si>
    <r>
      <t>64.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Pusat Grosir Cililitan</t>
    </r>
  </si>
  <si>
    <r>
      <t>65.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Thamrin City</t>
    </r>
  </si>
  <si>
    <r>
      <t>66.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Seasons City</t>
    </r>
  </si>
  <si>
    <r>
      <t>67.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Gedung Blok B Pusat Grosir Tanah Abang</t>
    </r>
  </si>
  <si>
    <t>49. Plaza Festival</t>
  </si>
  <si>
    <t xml:space="preserve">41.   Mal Blok M </t>
  </si>
  <si>
    <r>
      <t>77.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Pulo Gadung Trade Center</t>
    </r>
  </si>
  <si>
    <r>
      <t>42.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Sunter Mall</t>
    </r>
  </si>
  <si>
    <r>
      <t>43.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Plaza Mebel</t>
    </r>
  </si>
  <si>
    <r>
      <t>44.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Istana Pasar Baru</t>
    </r>
  </si>
  <si>
    <r>
      <t>45.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Arion Mall</t>
    </r>
  </si>
  <si>
    <r>
      <t>46.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Mahaka Square </t>
    </r>
  </si>
  <si>
    <r>
      <t>47.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Cilandak Mall</t>
    </r>
  </si>
  <si>
    <r>
      <t>48.</t>
    </r>
    <r>
      <rPr>
        <sz val="11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 Matahari Puri Daan Mogot</t>
    </r>
  </si>
  <si>
    <r>
      <t>21.</t>
    </r>
    <r>
      <rPr>
        <sz val="11"/>
        <color theme="1"/>
        <rFont val="Calibri"/>
        <family val="2"/>
        <scheme val="minor"/>
      </rPr>
      <t>   Blok M Plaza</t>
    </r>
  </si>
  <si>
    <t>Jumlah tingkat (Tenant)</t>
  </si>
  <si>
    <t>Rata2 tenant/kios</t>
  </si>
  <si>
    <t>tenant/kios yang tergenang</t>
  </si>
  <si>
    <t xml:space="preserve">Rata2 luas </t>
  </si>
  <si>
    <t>area parkir (42,000 m2)</t>
  </si>
  <si>
    <t>area toko (117,000 m2)</t>
  </si>
  <si>
    <t xml:space="preserve">asumsi </t>
  </si>
  <si>
    <t>sbg</t>
  </si>
  <si>
    <t>usaha menengah</t>
  </si>
  <si>
    <t>aset</t>
  </si>
  <si>
    <t>omzet</t>
  </si>
  <si>
    <t>10 M</t>
  </si>
  <si>
    <t>50 M</t>
  </si>
  <si>
    <t>kerusakan</t>
  </si>
  <si>
    <t>kerugian</t>
  </si>
  <si>
    <t xml:space="preserve">kelas terdampak 40%   </t>
  </si>
  <si>
    <r>
      <t xml:space="preserve">tabel diatas adalah asumsi untuk 1 toko maka nanti akan dikalikan jumlah toko yaitu </t>
    </r>
    <r>
      <rPr>
        <b/>
        <sz val="9"/>
        <color theme="1"/>
        <rFont val="Arial"/>
        <family val="2"/>
      </rPr>
      <t>60</t>
    </r>
    <r>
      <rPr>
        <sz val="9"/>
        <color theme="1"/>
        <rFont val="Arial"/>
        <family val="2"/>
      </rPr>
      <t xml:space="preserve"> toko namun nilai yang diambil adalah 20% dari nilai total asumsi yaitu 10 M setelah dikalikan </t>
    </r>
    <r>
      <rPr>
        <b/>
        <sz val="9"/>
        <color theme="1"/>
        <rFont val="Arial"/>
        <family val="2"/>
      </rPr>
      <t>60</t>
    </r>
    <r>
      <rPr>
        <sz val="9"/>
        <color theme="1"/>
        <rFont val="Arial"/>
        <family val="2"/>
      </rPr>
      <t xml:space="preserve"> karena dengan asumsi bahwa setiap toko akan mengalami kerusakan yang berbeda sehingga 10% itu dianggap sebagai rata2 dari nilai kerusakan yang dialami semua toko-asumsi kerusakan yang dialami toko itu kecil</t>
    </r>
  </si>
  <si>
    <t>area parkir (30,000 m2)</t>
  </si>
  <si>
    <t>area toko (85,000 m2)</t>
  </si>
  <si>
    <r>
      <t xml:space="preserve">tabel diatas adalah asumsi untuk 1 toko maka nanti akan dikalikan jumlah toko yaitu </t>
    </r>
    <r>
      <rPr>
        <b/>
        <sz val="9"/>
        <color theme="1"/>
        <rFont val="Arial"/>
        <family val="2"/>
      </rPr>
      <t>300</t>
    </r>
    <r>
      <rPr>
        <sz val="9"/>
        <color theme="1"/>
        <rFont val="Arial"/>
        <family val="2"/>
      </rPr>
      <t xml:space="preserve"> toko namun nilai yang diambil adalah 10% dari nilai total asumsi yaitu 10 M setelah dikalikan </t>
    </r>
    <r>
      <rPr>
        <b/>
        <sz val="9"/>
        <color theme="1"/>
        <rFont val="Arial"/>
        <family val="2"/>
      </rPr>
      <t>300</t>
    </r>
    <r>
      <rPr>
        <sz val="9"/>
        <color theme="1"/>
        <rFont val="Arial"/>
        <family val="2"/>
      </rPr>
      <t xml:space="preserve"> karena dengan asumsi bahwa setiap toko akan mengalami kerusakan yang berbeda sehingga 10% itu dianggap sebagai rata2 dari nilai kerusakan yang dialami semua toko-asumsi kerusakan yang dialami toko itu kecil</t>
    </r>
  </si>
  <si>
    <t>diasumsikan sama dengan Gold</t>
  </si>
  <si>
    <t>area parkir (6500 m2)</t>
  </si>
  <si>
    <t>area toko (17,500 m2)</t>
  </si>
  <si>
    <t>sebulan</t>
  </si>
  <si>
    <t>sehari</t>
  </si>
  <si>
    <t>pembulatan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</si>
</sst>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&quot;Rp&quot;* #,##0_);_(&quot;Rp&quot;* \(#,##0\);_(&quot;Rp&quot;* &quot;-&quot;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8"/>
      <color theme="1"/>
      <name val="Arial"/>
      <family val="2"/>
    </font>
    <font>
      <sz val="7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43" fontId="18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1" fillId="0" borderId="10" xfId="41" applyFont="1" applyBorder="1" applyAlignment="1">
      <alignment horizontal="center"/>
    </xf>
    <xf numFmtId="164" fontId="20" fillId="0" borderId="10" xfId="45" applyNumberFormat="1" applyFont="1" applyFill="1" applyBorder="1" applyAlignment="1">
      <alignment horizontal="center"/>
    </xf>
    <xf numFmtId="0" fontId="20" fillId="0" borderId="10" xfId="41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164" fontId="20" fillId="0" borderId="10" xfId="45" applyNumberFormat="1" applyFont="1" applyBorder="1" applyAlignment="1">
      <alignment horizontal="center"/>
    </xf>
    <xf numFmtId="0" fontId="21" fillId="0" borderId="10" xfId="41" applyFont="1" applyFill="1" applyBorder="1"/>
    <xf numFmtId="0" fontId="0" fillId="0" borderId="10" xfId="0" applyBorder="1" applyAlignment="1">
      <alignment horizontal="center"/>
    </xf>
    <xf numFmtId="0" fontId="22" fillId="0" borderId="10" xfId="41" applyFont="1" applyBorder="1" applyAlignment="1">
      <alignment horizontal="center"/>
    </xf>
    <xf numFmtId="0" fontId="21" fillId="0" borderId="10" xfId="41" applyFont="1" applyBorder="1"/>
    <xf numFmtId="0" fontId="20" fillId="0" borderId="10" xfId="41" applyFont="1" applyFill="1" applyBorder="1"/>
    <xf numFmtId="0" fontId="0" fillId="0" borderId="10" xfId="0" applyBorder="1"/>
    <xf numFmtId="0" fontId="18" fillId="0" borderId="0" xfId="41"/>
    <xf numFmtId="0" fontId="20" fillId="0" borderId="0" xfId="41" applyFont="1"/>
    <xf numFmtId="0" fontId="21" fillId="0" borderId="0" xfId="41" applyFont="1"/>
    <xf numFmtId="0" fontId="20" fillId="0" borderId="10" xfId="41" applyFont="1" applyBorder="1" applyAlignment="1">
      <alignment horizontal="center"/>
    </xf>
    <xf numFmtId="0" fontId="20" fillId="0" borderId="10" xfId="41" applyFont="1" applyBorder="1"/>
    <xf numFmtId="164" fontId="20" fillId="0" borderId="10" xfId="45" applyNumberFormat="1" applyFont="1" applyBorder="1"/>
    <xf numFmtId="164" fontId="20" fillId="0" borderId="10" xfId="41" applyNumberFormat="1" applyFont="1" applyBorder="1"/>
    <xf numFmtId="0" fontId="20" fillId="0" borderId="10" xfId="41" applyFont="1" applyBorder="1" applyAlignment="1">
      <alignment wrapText="1"/>
    </xf>
    <xf numFmtId="0" fontId="20" fillId="0" borderId="0" xfId="41" applyFont="1" applyBorder="1"/>
    <xf numFmtId="164" fontId="21" fillId="0" borderId="0" xfId="45" applyNumberFormat="1" applyFont="1" applyBorder="1"/>
    <xf numFmtId="0" fontId="0" fillId="0" borderId="10" xfId="0" applyBorder="1" applyAlignment="1">
      <alignment vertical="center" wrapText="1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0" fontId="1" fillId="0" borderId="0" xfId="41" applyFont="1" applyBorder="1"/>
    <xf numFmtId="0" fontId="25" fillId="0" borderId="0" xfId="41" applyFont="1"/>
    <xf numFmtId="0" fontId="20" fillId="0" borderId="10" xfId="41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41" applyFont="1" applyBorder="1" applyAlignment="1">
      <alignment horizontal="center" wrapText="1"/>
    </xf>
    <xf numFmtId="0" fontId="26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10" xfId="41" applyFont="1" applyBorder="1"/>
    <xf numFmtId="0" fontId="0" fillId="0" borderId="0" xfId="0" applyBorder="1" applyAlignment="1">
      <alignment horizontal="center"/>
    </xf>
    <xf numFmtId="0" fontId="21" fillId="0" borderId="0" xfId="41" applyFont="1" applyFill="1" applyBorder="1"/>
    <xf numFmtId="164" fontId="20" fillId="0" borderId="0" xfId="45" applyNumberFormat="1" applyFont="1" applyBorder="1" applyAlignment="1">
      <alignment horizontal="center"/>
    </xf>
    <xf numFmtId="0" fontId="0" fillId="0" borderId="0" xfId="0" applyBorder="1"/>
    <xf numFmtId="0" fontId="20" fillId="0" borderId="0" xfId="41" applyFont="1" applyFill="1" applyBorder="1"/>
    <xf numFmtId="0" fontId="23" fillId="0" borderId="0" xfId="0" applyFont="1" applyBorder="1" applyAlignment="1">
      <alignment horizontal="center"/>
    </xf>
    <xf numFmtId="164" fontId="20" fillId="0" borderId="0" xfId="45" applyNumberFormat="1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0" fontId="20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165" fontId="0" fillId="0" borderId="10" xfId="47" applyNumberFormat="1" applyFont="1" applyBorder="1" applyAlignment="1">
      <alignment vertical="top"/>
    </xf>
    <xf numFmtId="0" fontId="0" fillId="0" borderId="10" xfId="0" applyFill="1" applyBorder="1" applyAlignment="1">
      <alignment horizontal="center" vertical="top"/>
    </xf>
    <xf numFmtId="3" fontId="0" fillId="0" borderId="10" xfId="0" applyNumberFormat="1" applyBorder="1" applyAlignment="1">
      <alignment horizontal="center"/>
    </xf>
    <xf numFmtId="0" fontId="16" fillId="33" borderId="15" xfId="0" applyFont="1" applyFill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top"/>
    </xf>
    <xf numFmtId="3" fontId="0" fillId="0" borderId="10" xfId="46" applyNumberFormat="1" applyFont="1" applyBorder="1" applyAlignment="1">
      <alignment horizontal="center" vertical="top"/>
    </xf>
    <xf numFmtId="3" fontId="0" fillId="0" borderId="10" xfId="0" applyNumberFormat="1" applyBorder="1" applyAlignment="1">
      <alignment horizontal="center" vertical="top"/>
    </xf>
    <xf numFmtId="0" fontId="20" fillId="0" borderId="0" xfId="41" applyFont="1" applyBorder="1" applyAlignment="1">
      <alignment wrapTex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justify"/>
    </xf>
    <xf numFmtId="0" fontId="0" fillId="0" borderId="10" xfId="0" applyFont="1" applyBorder="1"/>
    <xf numFmtId="0" fontId="0" fillId="0" borderId="10" xfId="0" applyFont="1" applyBorder="1" applyAlignment="1"/>
    <xf numFmtId="164" fontId="0" fillId="0" borderId="10" xfId="48" applyNumberFormat="1" applyFont="1" applyBorder="1"/>
    <xf numFmtId="164" fontId="0" fillId="0" borderId="10" xfId="48" applyNumberFormat="1" applyFont="1" applyBorder="1" applyAlignment="1">
      <alignment horizontal="center"/>
    </xf>
    <xf numFmtId="164" fontId="0" fillId="0" borderId="10" xfId="48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48" applyNumberFormat="1" applyFont="1" applyAlignment="1">
      <alignment horizontal="center"/>
    </xf>
    <xf numFmtId="164" fontId="0" fillId="0" borderId="15" xfId="48" applyNumberFormat="1" applyFont="1" applyBorder="1" applyAlignment="1">
      <alignment horizontal="center" vertical="top"/>
    </xf>
    <xf numFmtId="164" fontId="0" fillId="0" borderId="15" xfId="48" applyNumberFormat="1" applyFont="1" applyBorder="1" applyAlignment="1">
      <alignment horizontal="center"/>
    </xf>
    <xf numFmtId="164" fontId="16" fillId="33" borderId="10" xfId="48" applyNumberFormat="1" applyFont="1" applyFill="1" applyBorder="1" applyAlignment="1">
      <alignment horizontal="center" vertical="center"/>
    </xf>
    <xf numFmtId="164" fontId="0" fillId="0" borderId="0" xfId="48" applyNumberFormat="1" applyFont="1"/>
    <xf numFmtId="0" fontId="0" fillId="0" borderId="10" xfId="0" applyBorder="1" applyAlignment="1">
      <alignment horizontal="justify"/>
    </xf>
    <xf numFmtId="0" fontId="0" fillId="0" borderId="0" xfId="0" applyFont="1" applyFill="1" applyBorder="1" applyAlignment="1">
      <alignment horizontal="justify"/>
    </xf>
    <xf numFmtId="0" fontId="20" fillId="0" borderId="11" xfId="41" applyFont="1" applyBorder="1" applyAlignment="1">
      <alignment horizontal="center" vertical="center"/>
    </xf>
    <xf numFmtId="0" fontId="20" fillId="0" borderId="12" xfId="41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20" fillId="0" borderId="11" xfId="45" applyNumberFormat="1" applyFont="1" applyBorder="1" applyAlignment="1">
      <alignment horizontal="center"/>
    </xf>
    <xf numFmtId="164" fontId="20" fillId="0" borderId="14" xfId="45" applyNumberFormat="1" applyFont="1" applyBorder="1" applyAlignment="1">
      <alignment horizont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8" builtinId="3"/>
    <cellStyle name="Comma [0]" xfId="46" builtinId="6"/>
    <cellStyle name="Comma 2" xfId="45"/>
    <cellStyle name="Currency [0]" xfId="47" builtinId="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3" xfId="44"/>
    <cellStyle name="Note 2" xfId="43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2"/>
  <sheetViews>
    <sheetView topLeftCell="A48" workbookViewId="0">
      <selection activeCell="A59" sqref="A59"/>
    </sheetView>
  </sheetViews>
  <sheetFormatPr defaultRowHeight="15"/>
  <cols>
    <col min="2" max="2" width="5.85546875" customWidth="1"/>
    <col min="3" max="3" width="24.42578125" bestFit="1" customWidth="1"/>
    <col min="5" max="5" width="12.42578125" customWidth="1"/>
    <col min="6" max="6" width="13.28515625" bestFit="1" customWidth="1"/>
    <col min="7" max="7" width="13.5703125" bestFit="1" customWidth="1"/>
    <col min="8" max="8" width="20" customWidth="1"/>
    <col min="10" max="10" width="12.85546875" customWidth="1"/>
    <col min="11" max="14" width="14.5703125" bestFit="1" customWidth="1"/>
    <col min="15" max="26" width="14.28515625" bestFit="1" customWidth="1"/>
  </cols>
  <sheetData>
    <row r="1" spans="1:20" ht="18">
      <c r="A1" s="12"/>
      <c r="B1" s="26" t="s">
        <v>47</v>
      </c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0">
      <c r="A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20">
      <c r="B3" s="13" t="s">
        <v>7</v>
      </c>
    </row>
    <row r="4" spans="1:20">
      <c r="A4" s="14"/>
      <c r="B4" s="14" t="s">
        <v>6</v>
      </c>
      <c r="J4" s="14" t="s">
        <v>9</v>
      </c>
      <c r="K4" s="12"/>
      <c r="L4" s="12"/>
      <c r="M4" s="12"/>
      <c r="N4" s="12"/>
      <c r="P4" s="14" t="s">
        <v>45</v>
      </c>
      <c r="Q4" s="12"/>
      <c r="R4" s="12"/>
      <c r="S4" s="12"/>
      <c r="T4" s="12"/>
    </row>
    <row r="5" spans="1:20">
      <c r="A5" s="12"/>
      <c r="J5" s="80" t="s">
        <v>47</v>
      </c>
      <c r="K5" s="15" t="s">
        <v>40</v>
      </c>
      <c r="L5" s="15" t="s">
        <v>41</v>
      </c>
      <c r="M5" s="15" t="s">
        <v>44</v>
      </c>
      <c r="N5" s="15" t="s">
        <v>42</v>
      </c>
      <c r="P5" s="80" t="s">
        <v>47</v>
      </c>
      <c r="Q5" s="15" t="s">
        <v>40</v>
      </c>
      <c r="R5" s="15" t="s">
        <v>41</v>
      </c>
      <c r="S5" s="15" t="s">
        <v>44</v>
      </c>
      <c r="T5" s="15" t="s">
        <v>42</v>
      </c>
    </row>
    <row r="6" spans="1:20">
      <c r="A6" s="12"/>
      <c r="B6" s="1" t="s">
        <v>1</v>
      </c>
      <c r="C6" s="1" t="s">
        <v>2</v>
      </c>
      <c r="D6" s="1" t="s">
        <v>4</v>
      </c>
      <c r="E6" s="1" t="s">
        <v>14</v>
      </c>
      <c r="F6" s="1" t="s">
        <v>19</v>
      </c>
      <c r="G6" s="1" t="s">
        <v>3</v>
      </c>
      <c r="H6" s="1" t="s">
        <v>20</v>
      </c>
      <c r="J6" s="81"/>
      <c r="K6" s="15">
        <v>1</v>
      </c>
      <c r="L6" s="15">
        <v>2</v>
      </c>
      <c r="M6" s="15">
        <v>4</v>
      </c>
      <c r="N6" s="15">
        <v>10</v>
      </c>
      <c r="P6" s="81"/>
      <c r="Q6" s="15">
        <v>1</v>
      </c>
      <c r="R6" s="15">
        <v>2</v>
      </c>
      <c r="S6" s="15">
        <v>6</v>
      </c>
      <c r="T6" s="15">
        <v>10</v>
      </c>
    </row>
    <row r="7" spans="1:20">
      <c r="A7" s="12"/>
      <c r="B7" s="16"/>
      <c r="C7" s="35" t="s">
        <v>109</v>
      </c>
      <c r="D7" s="16"/>
      <c r="E7" s="16"/>
      <c r="F7" s="17"/>
      <c r="G7" s="17"/>
      <c r="H7" s="16"/>
      <c r="J7" s="16" t="s">
        <v>10</v>
      </c>
      <c r="K7" s="18">
        <f>10%*$G$23</f>
        <v>900000</v>
      </c>
      <c r="L7" s="18">
        <f>20%*$G$23</f>
        <v>1800000</v>
      </c>
      <c r="M7" s="18">
        <f>60%*$G$23</f>
        <v>5400000</v>
      </c>
      <c r="N7" s="18">
        <f>$G$23</f>
        <v>9000000</v>
      </c>
      <c r="P7" s="16" t="s">
        <v>10</v>
      </c>
      <c r="Q7" s="18">
        <f>$G$46</f>
        <v>10000000</v>
      </c>
      <c r="R7" s="18">
        <f>(5%*$G$46)+$G$46</f>
        <v>10500000</v>
      </c>
      <c r="S7" s="18">
        <f>(25%*$G$46)+$G$46</f>
        <v>12500000</v>
      </c>
      <c r="T7" s="18">
        <f>(45%*$G$46)+$G$46</f>
        <v>14500000</v>
      </c>
    </row>
    <row r="8" spans="1:20">
      <c r="A8" s="12"/>
      <c r="B8" s="15"/>
      <c r="C8" s="9" t="s">
        <v>48</v>
      </c>
      <c r="D8" s="9"/>
      <c r="E8" s="16"/>
      <c r="F8" s="17"/>
      <c r="G8" s="17"/>
      <c r="H8" s="19"/>
      <c r="J8" s="16" t="s">
        <v>11</v>
      </c>
      <c r="K8" s="18">
        <f>15%*$G$23</f>
        <v>1350000</v>
      </c>
      <c r="L8" s="18">
        <f>25%*$G$23</f>
        <v>2250000</v>
      </c>
      <c r="M8" s="18">
        <f>(65%*$G$23)+G14</f>
        <v>7850000</v>
      </c>
      <c r="N8" s="18">
        <f>$G$23+G11+G14</f>
        <v>119000000</v>
      </c>
      <c r="P8" s="16" t="s">
        <v>11</v>
      </c>
      <c r="Q8" s="18">
        <f>$G$46</f>
        <v>10000000</v>
      </c>
      <c r="R8" s="18">
        <f>(5%*$G$46)+$G$46</f>
        <v>10500000</v>
      </c>
      <c r="S8" s="18">
        <f>(25%*$G$46)+$G$46</f>
        <v>12500000</v>
      </c>
      <c r="T8" s="18">
        <f>(45%*$G$46)+$G$46</f>
        <v>14500000</v>
      </c>
    </row>
    <row r="9" spans="1:20">
      <c r="A9" s="12"/>
      <c r="B9" s="7"/>
      <c r="C9" s="6" t="s">
        <v>71</v>
      </c>
      <c r="D9" s="7"/>
      <c r="E9" s="7"/>
      <c r="F9" s="7"/>
      <c r="G9" s="5"/>
      <c r="H9" s="11"/>
      <c r="J9" s="16" t="s">
        <v>12</v>
      </c>
      <c r="K9" s="18">
        <f>20%*$G$23</f>
        <v>1800000</v>
      </c>
      <c r="L9" s="18">
        <f>30%*$G$23</f>
        <v>2700000</v>
      </c>
      <c r="M9" s="18">
        <f>70%*$G$23+G14</f>
        <v>8300000</v>
      </c>
      <c r="N9" s="18">
        <f>$G$23+G11+G14</f>
        <v>119000000</v>
      </c>
      <c r="P9" s="16" t="s">
        <v>12</v>
      </c>
      <c r="Q9" s="18">
        <f>$G$46</f>
        <v>10000000</v>
      </c>
      <c r="R9" s="18">
        <f>(5%*$G$46)+$G$46</f>
        <v>10500000</v>
      </c>
      <c r="S9" s="18">
        <f>(25%*$G$46)+$G$46</f>
        <v>12500000</v>
      </c>
      <c r="T9" s="18">
        <f>(45%*$G$46)+$G$46</f>
        <v>14500000</v>
      </c>
    </row>
    <row r="10" spans="1:20">
      <c r="A10" s="12"/>
      <c r="B10" s="15">
        <v>1</v>
      </c>
      <c r="C10" s="16" t="s">
        <v>49</v>
      </c>
      <c r="D10" s="15"/>
      <c r="E10" s="15"/>
      <c r="F10" s="5"/>
      <c r="G10" s="5"/>
      <c r="H10" s="16"/>
      <c r="J10" s="16" t="s">
        <v>5</v>
      </c>
      <c r="K10" s="17"/>
      <c r="L10" s="17"/>
      <c r="M10" s="17"/>
      <c r="N10" s="17"/>
      <c r="P10" s="16" t="s">
        <v>5</v>
      </c>
      <c r="Q10" s="18"/>
      <c r="R10" s="17"/>
      <c r="S10" s="17"/>
      <c r="T10" s="17"/>
    </row>
    <row r="11" spans="1:20" ht="57.75">
      <c r="A11" s="12"/>
      <c r="B11" s="8"/>
      <c r="C11" s="19" t="s">
        <v>67</v>
      </c>
      <c r="D11" s="4">
        <f>(30%*40000)/5</f>
        <v>2400</v>
      </c>
      <c r="E11" s="29" t="s">
        <v>91</v>
      </c>
      <c r="F11" s="5">
        <v>45000</v>
      </c>
      <c r="G11" s="5">
        <f>D11*F11</f>
        <v>108000000</v>
      </c>
      <c r="H11" s="19" t="s">
        <v>92</v>
      </c>
      <c r="P11" s="14"/>
      <c r="Q11" s="12"/>
      <c r="R11" s="12"/>
      <c r="S11" s="12"/>
      <c r="T11" s="12"/>
    </row>
    <row r="12" spans="1:20">
      <c r="A12" s="12"/>
      <c r="B12" s="8"/>
      <c r="C12" s="16" t="s">
        <v>16</v>
      </c>
      <c r="D12" s="15">
        <v>5</v>
      </c>
      <c r="E12" s="15" t="s">
        <v>17</v>
      </c>
      <c r="F12" s="5">
        <v>35000</v>
      </c>
      <c r="G12" s="5">
        <f t="shared" ref="G12:G13" si="0">D12*F12</f>
        <v>175000</v>
      </c>
      <c r="H12" s="16"/>
      <c r="J12" s="80" t="s">
        <v>39</v>
      </c>
      <c r="K12" s="15" t="s">
        <v>40</v>
      </c>
      <c r="L12" s="15" t="s">
        <v>41</v>
      </c>
      <c r="M12" s="15" t="s">
        <v>44</v>
      </c>
      <c r="N12" s="15" t="s">
        <v>42</v>
      </c>
      <c r="P12" s="80" t="s">
        <v>39</v>
      </c>
      <c r="Q12" s="15" t="s">
        <v>40</v>
      </c>
      <c r="R12" s="15" t="s">
        <v>41</v>
      </c>
      <c r="S12" s="15" t="s">
        <v>44</v>
      </c>
      <c r="T12" s="15" t="s">
        <v>42</v>
      </c>
    </row>
    <row r="13" spans="1:20">
      <c r="A13" s="12"/>
      <c r="B13" s="7"/>
      <c r="C13" s="10" t="s">
        <v>13</v>
      </c>
      <c r="D13" s="7">
        <v>10</v>
      </c>
      <c r="E13" s="3" t="s">
        <v>15</v>
      </c>
      <c r="F13" s="2">
        <v>50000</v>
      </c>
      <c r="G13" s="5">
        <f t="shared" si="0"/>
        <v>500000</v>
      </c>
      <c r="H13" s="11"/>
      <c r="J13" s="81"/>
      <c r="K13" s="15">
        <v>1</v>
      </c>
      <c r="L13" s="15">
        <v>2</v>
      </c>
      <c r="M13" s="15">
        <v>4</v>
      </c>
      <c r="N13" s="15">
        <v>10</v>
      </c>
      <c r="P13" s="81"/>
      <c r="Q13" s="15">
        <v>1</v>
      </c>
      <c r="R13" s="15">
        <v>2</v>
      </c>
      <c r="S13" s="15">
        <v>6</v>
      </c>
      <c r="T13" s="15">
        <v>10</v>
      </c>
    </row>
    <row r="14" spans="1:20" ht="24.75">
      <c r="B14" s="7">
        <v>2</v>
      </c>
      <c r="C14" s="27" t="s">
        <v>69</v>
      </c>
      <c r="D14" s="7">
        <v>4</v>
      </c>
      <c r="E14" s="7" t="s">
        <v>70</v>
      </c>
      <c r="F14" s="2">
        <v>500000</v>
      </c>
      <c r="G14" s="5">
        <f>D14*F14</f>
        <v>2000000</v>
      </c>
      <c r="H14" s="19" t="s">
        <v>68</v>
      </c>
      <c r="J14" s="16" t="s">
        <v>10</v>
      </c>
      <c r="K14" s="18">
        <f>10%*(200*(50%*$G$34))</f>
        <v>2500000000</v>
      </c>
      <c r="L14" s="18">
        <f>10%*(200*($G$34))</f>
        <v>5000000000</v>
      </c>
      <c r="M14" s="18">
        <f>10%*(200*($G$28+G31))</f>
        <v>10003000000</v>
      </c>
      <c r="N14" s="18">
        <f>10%*(200*G28)</f>
        <v>10000000000</v>
      </c>
      <c r="P14" s="16" t="s">
        <v>10</v>
      </c>
      <c r="Q14" s="18">
        <f>G48+G49</f>
        <v>9860000000</v>
      </c>
      <c r="R14" s="18">
        <f>G48+(R13*G49)</f>
        <v>19660000000</v>
      </c>
      <c r="S14" s="18">
        <f>G48+(S13*G49)</f>
        <v>58860000000</v>
      </c>
      <c r="T14" s="18">
        <f>G48+(10*G49)</f>
        <v>98060000000</v>
      </c>
    </row>
    <row r="15" spans="1:20">
      <c r="J15" s="16" t="s">
        <v>11</v>
      </c>
      <c r="K15" s="18">
        <f>10%*(200*(G32+G33+(50%*$G$34)))</f>
        <v>2542000000</v>
      </c>
      <c r="L15" s="18">
        <f>10%*(200*(G32+G33+$G$34))</f>
        <v>5042000000</v>
      </c>
      <c r="M15" s="18">
        <f>10%*(200*(G26+$G$28+G29+G31))</f>
        <v>10223000000</v>
      </c>
      <c r="N15" s="18">
        <f>10%*(200*(G26+G27+G28+G29))</f>
        <v>10350000000</v>
      </c>
      <c r="P15" s="16" t="s">
        <v>11</v>
      </c>
      <c r="Q15" s="18">
        <f>G48+G49</f>
        <v>9860000000</v>
      </c>
      <c r="R15" s="18">
        <f>G48+(R13*G49)</f>
        <v>19660000000</v>
      </c>
      <c r="S15" s="18">
        <f>G48+(S13*G49)</f>
        <v>58860000000</v>
      </c>
      <c r="T15" s="18">
        <f>G48+(10*G49)</f>
        <v>98060000000</v>
      </c>
    </row>
    <row r="16" spans="1:20">
      <c r="A16" s="13"/>
      <c r="B16" s="36"/>
      <c r="C16" s="37"/>
      <c r="D16" s="36"/>
      <c r="E16" s="36"/>
      <c r="F16" s="36"/>
      <c r="G16" s="38"/>
      <c r="H16" s="39"/>
      <c r="J16" s="16" t="s">
        <v>12</v>
      </c>
      <c r="K16" s="18">
        <f>10%*(200*(G32+G33+(50%*$G$34)))</f>
        <v>2542000000</v>
      </c>
      <c r="L16" s="18">
        <f>10%*(200*(G32+G33+$G$34))</f>
        <v>5042000000</v>
      </c>
      <c r="M16" s="18">
        <f>10%*(200*(G26+$G$28+G29+G31))</f>
        <v>10223000000</v>
      </c>
      <c r="N16" s="18">
        <f>10%*(200*(G26+G27+G28+G29))</f>
        <v>10350000000</v>
      </c>
      <c r="P16" s="16" t="s">
        <v>12</v>
      </c>
      <c r="Q16" s="18">
        <f>G48+G49</f>
        <v>9860000000</v>
      </c>
      <c r="R16" s="17">
        <f>G48+(R13*G49)</f>
        <v>19660000000</v>
      </c>
      <c r="S16" s="17">
        <f>G48+(S13*G49)</f>
        <v>58860000000</v>
      </c>
      <c r="T16" s="17">
        <f>G48+(10*G49)</f>
        <v>98060000000</v>
      </c>
    </row>
    <row r="17" spans="1:26">
      <c r="A17" s="12"/>
      <c r="B17" s="36"/>
      <c r="C17" s="40"/>
      <c r="D17" s="41"/>
      <c r="E17" s="36"/>
      <c r="F17" s="42"/>
      <c r="G17" s="38"/>
      <c r="H17" s="39"/>
      <c r="J17" s="16" t="s">
        <v>5</v>
      </c>
      <c r="K17" s="17"/>
      <c r="L17" s="17"/>
      <c r="M17" s="17"/>
      <c r="N17" s="17"/>
      <c r="P17" s="16" t="s">
        <v>5</v>
      </c>
      <c r="Q17" s="5">
        <f>$G$49/2</f>
        <v>4900000000</v>
      </c>
      <c r="R17" s="17">
        <f>R13*($G$49/2)</f>
        <v>9800000000</v>
      </c>
      <c r="S17" s="17">
        <f t="shared" ref="S17:T17" si="1">S13*($G$49/2)</f>
        <v>29400000000</v>
      </c>
      <c r="T17" s="17">
        <f t="shared" si="1"/>
        <v>49000000000</v>
      </c>
    </row>
    <row r="18" spans="1:26">
      <c r="A18" s="12"/>
    </row>
    <row r="19" spans="1:26">
      <c r="A19" s="12"/>
      <c r="B19" s="1" t="s">
        <v>1</v>
      </c>
      <c r="C19" s="1" t="s">
        <v>2</v>
      </c>
      <c r="D19" s="1" t="s">
        <v>4</v>
      </c>
      <c r="E19" s="1" t="s">
        <v>14</v>
      </c>
      <c r="F19" s="1" t="s">
        <v>19</v>
      </c>
      <c r="G19" s="1" t="s">
        <v>3</v>
      </c>
      <c r="H19" s="1" t="s">
        <v>20</v>
      </c>
    </row>
    <row r="20" spans="1:26">
      <c r="A20" s="12"/>
      <c r="B20" s="16"/>
      <c r="C20" s="35" t="s">
        <v>110</v>
      </c>
      <c r="D20" s="16"/>
      <c r="E20" s="16"/>
      <c r="F20" s="17"/>
      <c r="G20" s="17"/>
      <c r="H20" s="16"/>
    </row>
    <row r="21" spans="1:26" ht="30">
      <c r="A21" s="12"/>
      <c r="B21" s="15"/>
      <c r="C21" s="9" t="s">
        <v>48</v>
      </c>
      <c r="D21" s="35"/>
      <c r="E21" s="16"/>
      <c r="F21" s="17"/>
      <c r="G21" s="17"/>
      <c r="H21" s="19"/>
      <c r="J21" s="22" t="s">
        <v>38</v>
      </c>
      <c r="K21" s="7" t="s">
        <v>22</v>
      </c>
      <c r="L21" s="7" t="s">
        <v>23</v>
      </c>
      <c r="M21" s="7" t="s">
        <v>24</v>
      </c>
      <c r="N21" s="7" t="s">
        <v>25</v>
      </c>
      <c r="O21" s="7" t="s">
        <v>26</v>
      </c>
      <c r="P21" s="7" t="s">
        <v>27</v>
      </c>
      <c r="Q21" s="7" t="s">
        <v>28</v>
      </c>
      <c r="R21" s="7" t="s">
        <v>29</v>
      </c>
      <c r="S21" s="7" t="s">
        <v>30</v>
      </c>
      <c r="T21" s="7" t="s">
        <v>31</v>
      </c>
      <c r="U21" s="7" t="s">
        <v>32</v>
      </c>
      <c r="V21" s="7" t="s">
        <v>33</v>
      </c>
      <c r="W21" s="7" t="s">
        <v>34</v>
      </c>
      <c r="X21" s="7" t="s">
        <v>35</v>
      </c>
      <c r="Y21" s="7" t="s">
        <v>36</v>
      </c>
      <c r="Z21" s="7" t="s">
        <v>37</v>
      </c>
    </row>
    <row r="22" spans="1:26">
      <c r="A22" s="12"/>
      <c r="B22" s="7"/>
      <c r="C22" s="6" t="s">
        <v>71</v>
      </c>
      <c r="D22" s="7"/>
      <c r="E22" s="7"/>
      <c r="F22" s="7"/>
      <c r="G22" s="5"/>
      <c r="H22" s="11"/>
      <c r="J22" s="22" t="s">
        <v>47</v>
      </c>
      <c r="K22" s="23">
        <f>K7+Q7</f>
        <v>10900000</v>
      </c>
      <c r="L22" s="23">
        <f>K8+Q8</f>
        <v>11350000</v>
      </c>
      <c r="M22" s="23">
        <f>K9+Q9</f>
        <v>11800000</v>
      </c>
      <c r="N22" s="23">
        <f>K10+Q10</f>
        <v>0</v>
      </c>
      <c r="O22" s="23">
        <f>L7+R7</f>
        <v>12300000</v>
      </c>
      <c r="P22" s="23">
        <f>L8+R8</f>
        <v>12750000</v>
      </c>
      <c r="Q22" s="23">
        <f>$L$9+$R$9</f>
        <v>13200000</v>
      </c>
      <c r="R22" s="23">
        <f>L10+R10</f>
        <v>0</v>
      </c>
      <c r="S22" s="23">
        <f>M7+S7</f>
        <v>17900000</v>
      </c>
      <c r="T22" s="23">
        <f>M8+S8</f>
        <v>20350000</v>
      </c>
      <c r="U22" s="23">
        <f>M9+S9</f>
        <v>20800000</v>
      </c>
      <c r="V22" s="23">
        <f>M10+S10</f>
        <v>0</v>
      </c>
      <c r="W22" s="23">
        <f>N7+T7</f>
        <v>23500000</v>
      </c>
      <c r="X22" s="23">
        <f>N8+T8</f>
        <v>133500000</v>
      </c>
      <c r="Y22" s="23">
        <f>N9+T9</f>
        <v>133500000</v>
      </c>
      <c r="Z22" s="23">
        <f>N10+T10</f>
        <v>0</v>
      </c>
    </row>
    <row r="23" spans="1:26" ht="24.75">
      <c r="A23" s="13"/>
      <c r="B23" s="15">
        <v>1</v>
      </c>
      <c r="C23" s="16" t="s">
        <v>80</v>
      </c>
      <c r="D23" s="15">
        <v>6</v>
      </c>
      <c r="E23" s="15" t="s">
        <v>17</v>
      </c>
      <c r="F23" s="5">
        <v>1500000</v>
      </c>
      <c r="G23" s="5">
        <f>D23*F23</f>
        <v>9000000</v>
      </c>
      <c r="H23" s="19" t="s">
        <v>81</v>
      </c>
      <c r="J23" s="11" t="s">
        <v>39</v>
      </c>
      <c r="K23" s="23">
        <f>K14+Q14</f>
        <v>12360000000</v>
      </c>
      <c r="L23" s="24">
        <f>K15+Q15</f>
        <v>12402000000</v>
      </c>
      <c r="M23" s="24">
        <f>K16+Q16</f>
        <v>12402000000</v>
      </c>
      <c r="N23" s="24">
        <f>K17+Q17</f>
        <v>4900000000</v>
      </c>
      <c r="O23" s="24">
        <f>L14+R14</f>
        <v>24660000000</v>
      </c>
      <c r="P23" s="24">
        <f>L15+R15</f>
        <v>24702000000</v>
      </c>
      <c r="Q23" s="24">
        <f>L16+R16</f>
        <v>24702000000</v>
      </c>
      <c r="R23" s="24">
        <f>L17+R17</f>
        <v>9800000000</v>
      </c>
      <c r="S23" s="24">
        <f>M14+S14</f>
        <v>68863000000</v>
      </c>
      <c r="T23" s="24">
        <f>M15+S15</f>
        <v>69083000000</v>
      </c>
      <c r="U23" s="24">
        <f>M16+S16</f>
        <v>69083000000</v>
      </c>
      <c r="V23" s="24">
        <f>M17+S17</f>
        <v>29400000000</v>
      </c>
      <c r="W23" s="24">
        <f>N14+T14</f>
        <v>108060000000</v>
      </c>
      <c r="X23" s="24">
        <f>N15+T15</f>
        <v>108410000000</v>
      </c>
      <c r="Y23" s="24">
        <f>N16+T16</f>
        <v>108410000000</v>
      </c>
      <c r="Z23" s="24">
        <f>N17+T17</f>
        <v>49000000000</v>
      </c>
    </row>
    <row r="24" spans="1:26">
      <c r="B24" s="7"/>
      <c r="C24" s="6" t="s">
        <v>43</v>
      </c>
      <c r="D24" s="7"/>
      <c r="E24" s="7"/>
      <c r="F24" s="7"/>
      <c r="G24" s="5"/>
      <c r="H24" s="11"/>
      <c r="J24" s="12"/>
      <c r="K24" s="12"/>
      <c r="L24" s="12"/>
      <c r="M24" s="12"/>
      <c r="N24" s="12"/>
      <c r="O24" s="12"/>
    </row>
    <row r="25" spans="1:26">
      <c r="B25" s="16"/>
      <c r="C25" s="9" t="s">
        <v>72</v>
      </c>
      <c r="D25" s="16"/>
      <c r="E25" s="16"/>
      <c r="F25" s="17"/>
      <c r="G25" s="17"/>
      <c r="H25" s="16"/>
    </row>
    <row r="26" spans="1:26" ht="36.75">
      <c r="B26" s="43">
        <v>1</v>
      </c>
      <c r="C26" s="44" t="s">
        <v>73</v>
      </c>
      <c r="D26" s="15">
        <v>2</v>
      </c>
      <c r="E26" s="15" t="s">
        <v>17</v>
      </c>
      <c r="F26" s="17">
        <v>4000000</v>
      </c>
      <c r="G26" s="17">
        <f t="shared" ref="G26:G27" si="2">D26*F26</f>
        <v>8000000</v>
      </c>
      <c r="H26" s="28" t="s">
        <v>74</v>
      </c>
    </row>
    <row r="27" spans="1:26" ht="24.75">
      <c r="B27" s="43">
        <v>2</v>
      </c>
      <c r="C27" s="16" t="s">
        <v>83</v>
      </c>
      <c r="D27" s="15">
        <v>1</v>
      </c>
      <c r="E27" s="15" t="s">
        <v>84</v>
      </c>
      <c r="F27" s="5">
        <v>6500000</v>
      </c>
      <c r="G27" s="5">
        <f t="shared" si="2"/>
        <v>6500000</v>
      </c>
      <c r="H27" s="19" t="s">
        <v>85</v>
      </c>
    </row>
    <row r="28" spans="1:26" ht="120.75">
      <c r="B28" s="43">
        <v>3</v>
      </c>
      <c r="C28" s="16" t="s">
        <v>18</v>
      </c>
      <c r="D28" s="15"/>
      <c r="E28" s="15"/>
      <c r="F28" s="5"/>
      <c r="G28" s="5">
        <v>500000000</v>
      </c>
      <c r="H28" s="28" t="s">
        <v>88</v>
      </c>
    </row>
    <row r="29" spans="1:26" ht="24.75">
      <c r="B29" s="45">
        <v>4</v>
      </c>
      <c r="C29" s="10" t="s">
        <v>76</v>
      </c>
      <c r="D29" s="15"/>
      <c r="E29" s="15"/>
      <c r="F29" s="5"/>
      <c r="G29" s="5">
        <v>3000000</v>
      </c>
      <c r="H29" s="28" t="s">
        <v>75</v>
      </c>
    </row>
    <row r="30" spans="1:26">
      <c r="B30" s="8"/>
      <c r="C30" s="9" t="s">
        <v>77</v>
      </c>
      <c r="D30" s="7"/>
      <c r="E30" s="3"/>
      <c r="F30" s="2"/>
      <c r="G30" s="5"/>
      <c r="H30" s="11"/>
    </row>
    <row r="31" spans="1:26">
      <c r="A31" s="12"/>
      <c r="B31" s="43">
        <v>1</v>
      </c>
      <c r="C31" s="44" t="s">
        <v>82</v>
      </c>
      <c r="D31" s="15">
        <v>1</v>
      </c>
      <c r="E31" s="15" t="s">
        <v>17</v>
      </c>
      <c r="F31" s="17">
        <f>10%*1500000</f>
        <v>150000</v>
      </c>
      <c r="G31" s="17">
        <f t="shared" ref="G31:G33" si="3">D31*F31</f>
        <v>150000</v>
      </c>
      <c r="H31" s="19" t="s">
        <v>78</v>
      </c>
    </row>
    <row r="32" spans="1:26" ht="36.75">
      <c r="B32" s="43">
        <v>2</v>
      </c>
      <c r="C32" s="44" t="s">
        <v>73</v>
      </c>
      <c r="D32" s="15">
        <v>2</v>
      </c>
      <c r="E32" s="15" t="s">
        <v>17</v>
      </c>
      <c r="F32" s="17">
        <f>10%*F26</f>
        <v>400000</v>
      </c>
      <c r="G32" s="17">
        <f t="shared" si="3"/>
        <v>800000</v>
      </c>
      <c r="H32" s="28" t="s">
        <v>79</v>
      </c>
    </row>
    <row r="33" spans="1:20" ht="24.75">
      <c r="B33" s="43">
        <v>3</v>
      </c>
      <c r="C33" s="16" t="s">
        <v>83</v>
      </c>
      <c r="D33" s="15">
        <v>1</v>
      </c>
      <c r="E33" s="15" t="s">
        <v>84</v>
      </c>
      <c r="F33" s="5">
        <f>20%*F27</f>
        <v>1300000</v>
      </c>
      <c r="G33" s="5">
        <f t="shared" si="3"/>
        <v>1300000</v>
      </c>
      <c r="H33" s="19" t="s">
        <v>86</v>
      </c>
      <c r="J33" s="12"/>
      <c r="K33" s="12"/>
      <c r="L33" s="12"/>
      <c r="M33" s="12"/>
      <c r="N33" s="12"/>
    </row>
    <row r="34" spans="1:20" ht="60.75">
      <c r="B34" s="43">
        <v>4</v>
      </c>
      <c r="C34" s="16" t="s">
        <v>18</v>
      </c>
      <c r="D34" s="15"/>
      <c r="E34" s="15"/>
      <c r="F34" s="5"/>
      <c r="G34" s="5">
        <f>50%*G28</f>
        <v>250000000</v>
      </c>
      <c r="H34" s="28" t="s">
        <v>87</v>
      </c>
    </row>
    <row r="35" spans="1:20">
      <c r="A35" s="12"/>
      <c r="B35" s="46"/>
    </row>
    <row r="36" spans="1:20" ht="180.75">
      <c r="A36" s="12"/>
      <c r="B36" s="25"/>
      <c r="C36" s="61" t="s">
        <v>111</v>
      </c>
      <c r="D36" s="20"/>
      <c r="E36" s="20"/>
      <c r="F36" s="20"/>
      <c r="G36" s="21"/>
      <c r="H36" s="20"/>
      <c r="J36" s="48" t="s">
        <v>93</v>
      </c>
      <c r="P36" s="48" t="s">
        <v>94</v>
      </c>
    </row>
    <row r="37" spans="1:20">
      <c r="A37" s="12"/>
      <c r="B37" s="25"/>
      <c r="C37" s="20"/>
      <c r="D37" s="20"/>
      <c r="E37" s="20"/>
      <c r="F37" s="20"/>
      <c r="G37" s="21"/>
      <c r="H37" s="20"/>
      <c r="J37" s="80" t="s">
        <v>47</v>
      </c>
      <c r="K37" s="15" t="s">
        <v>40</v>
      </c>
      <c r="L37" s="15" t="s">
        <v>41</v>
      </c>
      <c r="M37" s="15" t="s">
        <v>44</v>
      </c>
      <c r="N37" s="15" t="s">
        <v>42</v>
      </c>
      <c r="P37" s="80" t="s">
        <v>47</v>
      </c>
      <c r="Q37" s="15" t="s">
        <v>40</v>
      </c>
      <c r="R37" s="15" t="s">
        <v>41</v>
      </c>
      <c r="S37" s="15" t="s">
        <v>44</v>
      </c>
      <c r="T37" s="15" t="s">
        <v>42</v>
      </c>
    </row>
    <row r="38" spans="1:20">
      <c r="A38" s="12"/>
      <c r="B38" s="25"/>
      <c r="C38" s="20"/>
      <c r="D38" s="20"/>
      <c r="E38" s="20"/>
      <c r="F38" s="20"/>
      <c r="G38" s="21"/>
      <c r="H38" s="20"/>
      <c r="J38" s="81"/>
      <c r="K38" s="15">
        <v>1</v>
      </c>
      <c r="L38" s="15">
        <v>2</v>
      </c>
      <c r="M38" s="15">
        <v>4</v>
      </c>
      <c r="N38" s="15">
        <v>10</v>
      </c>
      <c r="P38" s="81"/>
      <c r="Q38" s="15">
        <v>1</v>
      </c>
      <c r="R38" s="15">
        <v>2</v>
      </c>
      <c r="S38" s="15">
        <v>6</v>
      </c>
      <c r="T38" s="15">
        <v>10</v>
      </c>
    </row>
    <row r="39" spans="1:20">
      <c r="A39" s="12"/>
      <c r="J39" s="16" t="s">
        <v>10</v>
      </c>
      <c r="K39" s="18">
        <f t="shared" ref="K39:N41" si="4">K7+K14</f>
        <v>2500900000</v>
      </c>
      <c r="L39" s="18">
        <f t="shared" si="4"/>
        <v>5001800000</v>
      </c>
      <c r="M39" s="18">
        <f t="shared" si="4"/>
        <v>10008400000</v>
      </c>
      <c r="N39" s="18">
        <f t="shared" si="4"/>
        <v>10009000000</v>
      </c>
      <c r="P39" s="16" t="s">
        <v>10</v>
      </c>
      <c r="Q39" s="18">
        <f>Q7+Q14</f>
        <v>9870000000</v>
      </c>
      <c r="R39" s="18">
        <f>R7+R14</f>
        <v>19670500000</v>
      </c>
      <c r="S39" s="18">
        <f>S7+S14</f>
        <v>58872500000</v>
      </c>
      <c r="T39" s="18">
        <f>T7+T14</f>
        <v>98074500000</v>
      </c>
    </row>
    <row r="40" spans="1:20">
      <c r="A40" s="12"/>
      <c r="B40" s="12"/>
      <c r="J40" s="16" t="s">
        <v>11</v>
      </c>
      <c r="K40" s="18">
        <f t="shared" si="4"/>
        <v>2543350000</v>
      </c>
      <c r="L40" s="18">
        <f t="shared" si="4"/>
        <v>5044250000</v>
      </c>
      <c r="M40" s="18">
        <f t="shared" si="4"/>
        <v>10230850000</v>
      </c>
      <c r="N40" s="18">
        <f t="shared" si="4"/>
        <v>10469000000</v>
      </c>
      <c r="P40" s="16" t="s">
        <v>11</v>
      </c>
      <c r="Q40" s="18">
        <f>Q8+Q15</f>
        <v>9870000000</v>
      </c>
      <c r="R40" s="18">
        <f>R7+R14</f>
        <v>19670500000</v>
      </c>
      <c r="S40" s="18">
        <f>S7+S14</f>
        <v>58872500000</v>
      </c>
      <c r="T40" s="18">
        <f>T7+T14</f>
        <v>98074500000</v>
      </c>
    </row>
    <row r="41" spans="1:20">
      <c r="B41" s="14" t="s">
        <v>0</v>
      </c>
      <c r="C41" s="12"/>
      <c r="D41" s="12"/>
      <c r="E41" s="12"/>
      <c r="F41" s="12"/>
      <c r="G41" s="12"/>
      <c r="H41" s="12"/>
      <c r="J41" s="16" t="s">
        <v>12</v>
      </c>
      <c r="K41" s="18">
        <f t="shared" si="4"/>
        <v>2543800000</v>
      </c>
      <c r="L41" s="18">
        <f t="shared" si="4"/>
        <v>5044700000</v>
      </c>
      <c r="M41" s="18">
        <f t="shared" si="4"/>
        <v>10231300000</v>
      </c>
      <c r="N41" s="18">
        <f t="shared" si="4"/>
        <v>10469000000</v>
      </c>
      <c r="P41" s="16" t="s">
        <v>12</v>
      </c>
      <c r="Q41" s="18">
        <f>Q9+Q16</f>
        <v>9870000000</v>
      </c>
      <c r="R41" s="18">
        <f>R7+R14</f>
        <v>19670500000</v>
      </c>
      <c r="S41" s="18">
        <f>S7+S14</f>
        <v>58872500000</v>
      </c>
      <c r="T41" s="18">
        <f>T7+T14</f>
        <v>98074500000</v>
      </c>
    </row>
    <row r="42" spans="1:20">
      <c r="B42" s="13" t="s">
        <v>8</v>
      </c>
      <c r="C42" s="12"/>
      <c r="D42" s="12"/>
      <c r="E42" s="12"/>
      <c r="F42" s="12"/>
      <c r="G42" s="12"/>
      <c r="H42" s="12"/>
      <c r="J42" s="16" t="s">
        <v>5</v>
      </c>
      <c r="K42" s="17"/>
      <c r="L42" s="17"/>
      <c r="M42" s="17"/>
      <c r="N42" s="17"/>
      <c r="P42" s="16" t="s">
        <v>5</v>
      </c>
      <c r="Q42" s="17">
        <f>Q17</f>
        <v>4900000000</v>
      </c>
      <c r="R42" s="17">
        <f>R17</f>
        <v>9800000000</v>
      </c>
      <c r="S42" s="17">
        <f>S17</f>
        <v>29400000000</v>
      </c>
      <c r="T42" s="17">
        <f>T17</f>
        <v>49000000000</v>
      </c>
    </row>
    <row r="44" spans="1:20">
      <c r="B44" s="1" t="s">
        <v>1</v>
      </c>
      <c r="C44" s="1" t="s">
        <v>2</v>
      </c>
      <c r="D44" s="1" t="s">
        <v>4</v>
      </c>
      <c r="E44" s="1" t="s">
        <v>14</v>
      </c>
      <c r="F44" s="1" t="s">
        <v>19</v>
      </c>
      <c r="G44" s="1" t="s">
        <v>3</v>
      </c>
      <c r="H44" s="1" t="s">
        <v>20</v>
      </c>
    </row>
    <row r="45" spans="1:20">
      <c r="B45" s="16"/>
      <c r="C45" s="9" t="s">
        <v>48</v>
      </c>
      <c r="D45" s="16"/>
      <c r="E45" s="16"/>
      <c r="F45" s="17"/>
      <c r="G45" s="17"/>
      <c r="H45" s="16"/>
      <c r="I45" s="12"/>
    </row>
    <row r="46" spans="1:20">
      <c r="B46" s="15">
        <v>1</v>
      </c>
      <c r="C46" s="16" t="s">
        <v>21</v>
      </c>
      <c r="D46" s="16"/>
      <c r="E46" s="16"/>
      <c r="F46" s="17"/>
      <c r="G46" s="17">
        <v>10000000</v>
      </c>
      <c r="H46" s="19" t="s">
        <v>90</v>
      </c>
      <c r="I46" s="12"/>
    </row>
    <row r="47" spans="1:20">
      <c r="B47" s="8"/>
      <c r="C47" s="6" t="s">
        <v>43</v>
      </c>
      <c r="D47" s="15"/>
      <c r="E47" s="15"/>
      <c r="F47" s="5"/>
      <c r="G47" s="5"/>
      <c r="H47" s="16"/>
      <c r="J47" s="12"/>
      <c r="K47" s="12"/>
      <c r="L47" s="12"/>
      <c r="M47" s="12"/>
    </row>
    <row r="48" spans="1:20">
      <c r="B48" s="7">
        <v>1</v>
      </c>
      <c r="C48" s="16" t="s">
        <v>21</v>
      </c>
      <c r="D48" s="7">
        <v>200</v>
      </c>
      <c r="E48" s="3" t="s">
        <v>63</v>
      </c>
      <c r="F48" s="2">
        <v>300000</v>
      </c>
      <c r="G48" s="5">
        <f>D48*F48</f>
        <v>60000000</v>
      </c>
      <c r="H48" s="11"/>
      <c r="I48" s="12"/>
      <c r="J48" s="12"/>
      <c r="K48" s="12"/>
      <c r="L48" s="12"/>
      <c r="M48" s="12"/>
    </row>
    <row r="49" spans="1:13" ht="24.75">
      <c r="B49" s="7">
        <v>2</v>
      </c>
      <c r="C49" s="10" t="s">
        <v>46</v>
      </c>
      <c r="D49" s="4">
        <v>700</v>
      </c>
      <c r="E49" s="7" t="s">
        <v>62</v>
      </c>
      <c r="F49" s="5">
        <f>20000000-(30%*20000000)</f>
        <v>14000000</v>
      </c>
      <c r="G49" s="5">
        <f>D49*F49</f>
        <v>9800000000</v>
      </c>
      <c r="H49" s="28" t="s">
        <v>112</v>
      </c>
      <c r="I49" s="12"/>
      <c r="J49" s="12"/>
      <c r="K49" s="12"/>
      <c r="L49" s="12"/>
      <c r="M49" s="12"/>
    </row>
    <row r="50" spans="1:13">
      <c r="I50" s="12"/>
    </row>
    <row r="51" spans="1:13">
      <c r="I51" s="12"/>
    </row>
    <row r="52" spans="1:13">
      <c r="I52" s="12"/>
    </row>
    <row r="53" spans="1:13">
      <c r="I53" s="12"/>
    </row>
    <row r="58" spans="1:13" ht="18.75">
      <c r="A58" s="30" t="s">
        <v>50</v>
      </c>
      <c r="B58" s="30"/>
      <c r="C58" s="30"/>
    </row>
    <row r="59" spans="1:13" ht="18.75">
      <c r="A59" s="30" t="s">
        <v>53</v>
      </c>
      <c r="B59" s="30"/>
      <c r="C59" s="30"/>
    </row>
    <row r="60" spans="1:13" ht="18.75">
      <c r="A60" s="30" t="s">
        <v>52</v>
      </c>
      <c r="B60" s="30"/>
      <c r="C60" s="30"/>
    </row>
    <row r="61" spans="1:13" ht="18.75">
      <c r="A61" s="30" t="s">
        <v>51</v>
      </c>
      <c r="B61" s="30"/>
      <c r="C61" s="30"/>
    </row>
    <row r="62" spans="1:13" ht="18.75">
      <c r="A62" s="30"/>
      <c r="B62" s="30"/>
      <c r="C62" s="30"/>
    </row>
  </sheetData>
  <mergeCells count="6">
    <mergeCell ref="J5:J6"/>
    <mergeCell ref="J12:J13"/>
    <mergeCell ref="P5:P6"/>
    <mergeCell ref="P12:P13"/>
    <mergeCell ref="J37:J38"/>
    <mergeCell ref="P37:P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5" sqref="J5:M7"/>
    </sheetView>
  </sheetViews>
  <sheetFormatPr defaultRowHeight="15"/>
  <cols>
    <col min="1" max="1" width="26.140625" bestFit="1" customWidth="1"/>
    <col min="2" max="2" width="18.7109375" bestFit="1" customWidth="1"/>
    <col min="3" max="3" width="14.85546875" bestFit="1" customWidth="1"/>
    <col min="4" max="4" width="11.28515625" style="47" customWidth="1"/>
    <col min="5" max="5" width="13.5703125" style="47" customWidth="1"/>
    <col min="6" max="6" width="8.140625" bestFit="1" customWidth="1"/>
    <col min="7" max="7" width="15" bestFit="1" customWidth="1"/>
    <col min="10" max="10" width="10.28515625" customWidth="1"/>
    <col min="11" max="11" width="12" customWidth="1"/>
    <col min="12" max="12" width="16" bestFit="1" customWidth="1"/>
  </cols>
  <sheetData>
    <row r="1" spans="1:13">
      <c r="A1" s="33" t="s">
        <v>54</v>
      </c>
      <c r="B1" s="33" t="s">
        <v>55</v>
      </c>
      <c r="C1" s="33" t="s">
        <v>57</v>
      </c>
    </row>
    <row r="5" spans="1:13">
      <c r="A5" t="s">
        <v>60</v>
      </c>
      <c r="B5" s="32">
        <v>700</v>
      </c>
      <c r="C5" s="32">
        <v>160000</v>
      </c>
      <c r="J5" s="84" t="s">
        <v>64</v>
      </c>
      <c r="K5" s="84"/>
      <c r="L5" s="84"/>
    </row>
    <row r="6" spans="1:13">
      <c r="A6" t="s">
        <v>61</v>
      </c>
      <c r="B6" s="32">
        <f>B5/3</f>
        <v>233.33333333333334</v>
      </c>
      <c r="J6" s="34" t="s">
        <v>65</v>
      </c>
      <c r="K6" s="34" t="s">
        <v>66</v>
      </c>
      <c r="L6" t="s">
        <v>89</v>
      </c>
    </row>
    <row r="7" spans="1:13">
      <c r="J7" s="32">
        <f>25%*C5</f>
        <v>40000</v>
      </c>
      <c r="K7" s="32">
        <f>70%*C5</f>
        <v>112000</v>
      </c>
      <c r="L7" s="32">
        <f>5%*C5</f>
        <v>8000</v>
      </c>
      <c r="M7" s="31">
        <f>SUM(J7:L7)</f>
        <v>160000</v>
      </c>
    </row>
    <row r="8" spans="1:13">
      <c r="J8" s="32"/>
      <c r="K8" s="32"/>
      <c r="L8" s="32"/>
      <c r="M8" s="31"/>
    </row>
    <row r="12" spans="1:13" ht="60">
      <c r="A12" s="49" t="s">
        <v>1</v>
      </c>
      <c r="B12" s="49" t="s">
        <v>95</v>
      </c>
      <c r="C12" s="49" t="s">
        <v>108</v>
      </c>
      <c r="D12" s="57" t="s">
        <v>107</v>
      </c>
      <c r="E12" s="57" t="s">
        <v>96</v>
      </c>
      <c r="F12" s="50" t="s">
        <v>97</v>
      </c>
      <c r="G12" s="50" t="s">
        <v>98</v>
      </c>
      <c r="H12" s="50" t="s">
        <v>99</v>
      </c>
    </row>
    <row r="13" spans="1:13" ht="45">
      <c r="A13" s="51">
        <v>1</v>
      </c>
      <c r="B13" s="52" t="s">
        <v>100</v>
      </c>
      <c r="C13" s="59">
        <v>155806</v>
      </c>
      <c r="D13" s="58">
        <v>29000</v>
      </c>
      <c r="E13" s="58">
        <v>2632</v>
      </c>
      <c r="F13" s="53" t="s">
        <v>101</v>
      </c>
      <c r="G13" s="53" t="s">
        <v>101</v>
      </c>
      <c r="H13" s="53" t="s">
        <v>101</v>
      </c>
    </row>
    <row r="14" spans="1:13" ht="30">
      <c r="A14" s="51">
        <v>2</v>
      </c>
      <c r="B14" s="52" t="s">
        <v>102</v>
      </c>
      <c r="C14" s="60">
        <v>76822</v>
      </c>
      <c r="D14" s="58">
        <v>3689</v>
      </c>
      <c r="E14" s="58">
        <v>422</v>
      </c>
      <c r="F14" s="53" t="s">
        <v>101</v>
      </c>
      <c r="G14" s="54">
        <v>916600000</v>
      </c>
      <c r="H14" s="53" t="s">
        <v>101</v>
      </c>
    </row>
    <row r="15" spans="1:13" ht="45">
      <c r="A15" s="51">
        <v>3</v>
      </c>
      <c r="B15" s="52" t="s">
        <v>103</v>
      </c>
      <c r="C15" s="60">
        <v>149212</v>
      </c>
      <c r="D15" s="58">
        <v>15000</v>
      </c>
      <c r="E15" s="58" t="s">
        <v>101</v>
      </c>
      <c r="F15" s="53" t="s">
        <v>101</v>
      </c>
      <c r="G15" s="53" t="s">
        <v>101</v>
      </c>
      <c r="H15" s="53" t="s">
        <v>101</v>
      </c>
    </row>
    <row r="16" spans="1:13" ht="45">
      <c r="A16" s="51">
        <v>4</v>
      </c>
      <c r="B16" s="52" t="s">
        <v>104</v>
      </c>
      <c r="C16" s="60">
        <v>9869</v>
      </c>
      <c r="D16" s="58">
        <v>3121</v>
      </c>
      <c r="E16" s="58">
        <v>158</v>
      </c>
      <c r="F16" s="53" t="s">
        <v>101</v>
      </c>
      <c r="G16" s="53" t="s">
        <v>101</v>
      </c>
      <c r="H16" s="53" t="s">
        <v>101</v>
      </c>
    </row>
    <row r="17" spans="1:8" ht="60">
      <c r="A17" s="51">
        <v>5</v>
      </c>
      <c r="B17" s="52" t="s">
        <v>105</v>
      </c>
      <c r="C17" s="60">
        <v>280000</v>
      </c>
      <c r="D17" s="58">
        <v>130000</v>
      </c>
      <c r="E17" s="58">
        <v>400</v>
      </c>
      <c r="F17" s="53" t="s">
        <v>101</v>
      </c>
      <c r="G17" s="53" t="s">
        <v>101</v>
      </c>
      <c r="H17" s="52" t="s">
        <v>106</v>
      </c>
    </row>
    <row r="18" spans="1:8">
      <c r="A18" s="55">
        <v>6</v>
      </c>
      <c r="B18" s="11" t="s">
        <v>56</v>
      </c>
      <c r="C18" s="56">
        <v>360000</v>
      </c>
      <c r="D18" s="7"/>
      <c r="E18" s="56">
        <v>528</v>
      </c>
      <c r="F18" s="11"/>
      <c r="G18" s="11"/>
      <c r="H18" s="11"/>
    </row>
    <row r="19" spans="1:8">
      <c r="A19" s="55">
        <v>7</v>
      </c>
      <c r="B19" s="11" t="s">
        <v>58</v>
      </c>
      <c r="C19" s="56">
        <v>150000</v>
      </c>
      <c r="D19" s="7"/>
      <c r="E19" s="56">
        <v>600</v>
      </c>
      <c r="F19" s="11"/>
      <c r="G19" s="11"/>
      <c r="H19" s="11"/>
    </row>
    <row r="20" spans="1:8">
      <c r="A20" s="55">
        <v>8</v>
      </c>
      <c r="B20" s="11" t="s">
        <v>59</v>
      </c>
      <c r="C20" s="56">
        <v>117138</v>
      </c>
      <c r="D20" s="7"/>
      <c r="E20" s="56">
        <v>250</v>
      </c>
      <c r="F20" s="11"/>
      <c r="G20" s="11"/>
      <c r="H20" s="11"/>
    </row>
    <row r="21" spans="1:8">
      <c r="A21" s="82" t="s">
        <v>3</v>
      </c>
      <c r="B21" s="82"/>
      <c r="C21" s="31">
        <f>SUM(C13:C20)</f>
        <v>1298847</v>
      </c>
      <c r="D21" s="31">
        <f t="shared" ref="D21:E21" si="0">SUM(D13:D20)</f>
        <v>180810</v>
      </c>
      <c r="E21" s="31">
        <f t="shared" si="0"/>
        <v>4990</v>
      </c>
    </row>
    <row r="22" spans="1:8">
      <c r="A22" s="83" t="s">
        <v>60</v>
      </c>
      <c r="B22" s="83"/>
      <c r="C22" s="31">
        <f>AVERAGE(C13:C20)</f>
        <v>162355.875</v>
      </c>
      <c r="D22" s="31">
        <f t="shared" ref="D22:E22" si="1">AVERAGE(D13:D20)</f>
        <v>36162</v>
      </c>
      <c r="E22" s="31">
        <f t="shared" si="1"/>
        <v>712.85714285714289</v>
      </c>
    </row>
  </sheetData>
  <mergeCells count="3">
    <mergeCell ref="A21:B21"/>
    <mergeCell ref="A22:B22"/>
    <mergeCell ref="J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5" sqref="B25"/>
    </sheetView>
  </sheetViews>
  <sheetFormatPr defaultRowHeight="15"/>
  <cols>
    <col min="1" max="1" width="33.140625" bestFit="1" customWidth="1"/>
    <col min="2" max="2" width="14.140625" style="62" customWidth="1"/>
    <col min="3" max="3" width="26.7109375" style="62" bestFit="1" customWidth="1"/>
    <col min="4" max="4" width="19.5703125" style="62" bestFit="1" customWidth="1"/>
    <col min="5" max="5" width="21.28515625" style="62" customWidth="1"/>
    <col min="6" max="6" width="18.140625" bestFit="1" customWidth="1"/>
    <col min="7" max="7" width="22.28515625" bestFit="1" customWidth="1"/>
    <col min="8" max="8" width="30.28515625" customWidth="1"/>
  </cols>
  <sheetData>
    <row r="1" spans="1:8">
      <c r="A1" s="49" t="s">
        <v>95</v>
      </c>
      <c r="B1" s="49" t="s">
        <v>108</v>
      </c>
      <c r="C1" s="49" t="s">
        <v>107</v>
      </c>
      <c r="D1" s="49" t="s">
        <v>96</v>
      </c>
      <c r="E1" s="49" t="s">
        <v>192</v>
      </c>
      <c r="F1" s="49" t="s">
        <v>134</v>
      </c>
      <c r="G1" s="49" t="s">
        <v>123</v>
      </c>
      <c r="H1" s="49" t="s">
        <v>99</v>
      </c>
    </row>
    <row r="2" spans="1:8">
      <c r="A2" s="65" t="s">
        <v>161</v>
      </c>
      <c r="B2" s="69">
        <v>38050</v>
      </c>
      <c r="C2" s="69"/>
      <c r="D2" s="69">
        <v>500</v>
      </c>
      <c r="E2" s="69">
        <v>6</v>
      </c>
      <c r="F2" s="66"/>
      <c r="G2" s="66"/>
      <c r="H2" s="66"/>
    </row>
    <row r="3" spans="1:8">
      <c r="A3" s="65" t="s">
        <v>152</v>
      </c>
      <c r="B3" s="69"/>
      <c r="C3" s="69">
        <v>135000</v>
      </c>
      <c r="D3" s="69"/>
      <c r="E3" s="73"/>
      <c r="F3" s="66"/>
      <c r="G3" s="66"/>
      <c r="H3" s="66"/>
    </row>
    <row r="4" spans="1:8">
      <c r="A4" s="65" t="s">
        <v>153</v>
      </c>
      <c r="B4" s="69">
        <v>150000</v>
      </c>
      <c r="C4" s="69"/>
      <c r="D4" s="69">
        <v>600</v>
      </c>
      <c r="E4" s="69">
        <v>3</v>
      </c>
      <c r="F4" s="11"/>
      <c r="G4" s="11"/>
      <c r="H4" s="11"/>
    </row>
    <row r="5" spans="1:8">
      <c r="A5" s="65" t="s">
        <v>154</v>
      </c>
      <c r="B5" s="69">
        <v>360000</v>
      </c>
      <c r="C5" s="69"/>
      <c r="D5" s="69">
        <v>528</v>
      </c>
      <c r="E5" s="69">
        <v>7</v>
      </c>
      <c r="F5" s="11"/>
      <c r="G5" s="11"/>
      <c r="H5" s="11"/>
    </row>
    <row r="6" spans="1:8">
      <c r="A6" s="65" t="s">
        <v>155</v>
      </c>
      <c r="B6" s="69">
        <v>130500</v>
      </c>
      <c r="C6" s="69"/>
      <c r="D6" s="69">
        <v>250</v>
      </c>
      <c r="E6" s="69">
        <v>4</v>
      </c>
      <c r="F6" s="66"/>
      <c r="G6" s="66"/>
      <c r="H6" s="66"/>
    </row>
    <row r="7" spans="1:8">
      <c r="A7" s="65" t="s">
        <v>156</v>
      </c>
      <c r="B7" s="69">
        <v>210000</v>
      </c>
      <c r="C7" s="69"/>
      <c r="D7" s="69">
        <v>250</v>
      </c>
      <c r="E7" s="69">
        <v>5</v>
      </c>
      <c r="F7" s="11"/>
      <c r="G7" s="11"/>
      <c r="H7" s="11"/>
    </row>
    <row r="8" spans="1:8">
      <c r="A8" s="65" t="s">
        <v>157</v>
      </c>
      <c r="B8" s="69"/>
      <c r="C8" s="69"/>
      <c r="D8" s="69"/>
      <c r="E8" s="69">
        <v>7</v>
      </c>
      <c r="F8" s="66"/>
      <c r="G8" s="66"/>
      <c r="H8" s="66"/>
    </row>
    <row r="9" spans="1:8">
      <c r="A9" s="65" t="s">
        <v>158</v>
      </c>
      <c r="B9" s="69">
        <v>360000</v>
      </c>
      <c r="C9" s="69"/>
      <c r="D9" s="69">
        <v>500</v>
      </c>
      <c r="E9" s="69">
        <v>6</v>
      </c>
      <c r="F9" s="66"/>
      <c r="G9" s="66"/>
      <c r="H9" s="66"/>
    </row>
    <row r="10" spans="1:8">
      <c r="A10" s="65" t="s">
        <v>159</v>
      </c>
      <c r="B10" s="69">
        <v>48000</v>
      </c>
      <c r="C10" s="69"/>
      <c r="D10" s="69"/>
      <c r="E10" s="69">
        <v>8</v>
      </c>
      <c r="F10" s="66"/>
      <c r="G10" s="66"/>
      <c r="H10" s="66"/>
    </row>
    <row r="11" spans="1:8">
      <c r="A11" s="65" t="s">
        <v>160</v>
      </c>
      <c r="B11" s="69">
        <v>61243</v>
      </c>
      <c r="C11" s="69"/>
      <c r="D11" s="69">
        <v>250</v>
      </c>
      <c r="E11" s="69">
        <v>5</v>
      </c>
      <c r="F11" s="66"/>
      <c r="G11" s="66"/>
      <c r="H11" s="66"/>
    </row>
    <row r="12" spans="1:8" ht="15.75" customHeight="1">
      <c r="A12" s="65" t="s">
        <v>113</v>
      </c>
      <c r="B12" s="69">
        <v>250000</v>
      </c>
      <c r="C12" s="69"/>
      <c r="D12" s="69"/>
      <c r="E12" s="69">
        <v>7</v>
      </c>
      <c r="F12" s="66"/>
      <c r="G12" s="66"/>
      <c r="H12" s="66"/>
    </row>
    <row r="13" spans="1:8">
      <c r="A13" s="65" t="s">
        <v>114</v>
      </c>
      <c r="B13" s="69"/>
      <c r="C13" s="69"/>
      <c r="D13" s="69"/>
      <c r="E13" s="69">
        <v>6</v>
      </c>
      <c r="F13" s="66"/>
      <c r="G13" s="66"/>
      <c r="H13" s="66"/>
    </row>
    <row r="14" spans="1:8">
      <c r="A14" s="65" t="s">
        <v>115</v>
      </c>
      <c r="B14" s="69">
        <v>10000</v>
      </c>
      <c r="C14" s="69"/>
      <c r="D14" s="69"/>
      <c r="E14" s="69">
        <v>5</v>
      </c>
      <c r="F14" s="66"/>
      <c r="G14" s="66"/>
      <c r="H14" s="66"/>
    </row>
    <row r="15" spans="1:8" ht="30">
      <c r="A15" s="65" t="s">
        <v>116</v>
      </c>
      <c r="B15" s="70">
        <v>280000</v>
      </c>
      <c r="C15" s="74">
        <v>130000</v>
      </c>
      <c r="D15" s="74">
        <v>400</v>
      </c>
      <c r="E15" s="75"/>
      <c r="F15" s="53" t="s">
        <v>101</v>
      </c>
      <c r="G15" s="53" t="s">
        <v>101</v>
      </c>
      <c r="H15" s="52" t="s">
        <v>106</v>
      </c>
    </row>
    <row r="16" spans="1:8">
      <c r="A16" s="65" t="s">
        <v>117</v>
      </c>
      <c r="B16" s="69">
        <v>336279</v>
      </c>
      <c r="C16" s="69"/>
      <c r="D16" s="69"/>
      <c r="E16" s="69">
        <v>5</v>
      </c>
      <c r="F16" s="66"/>
      <c r="G16" s="66"/>
      <c r="H16" s="66"/>
    </row>
    <row r="17" spans="1:8">
      <c r="A17" s="65" t="s">
        <v>118</v>
      </c>
      <c r="B17" s="69"/>
      <c r="C17" s="69"/>
      <c r="D17" s="69">
        <v>220</v>
      </c>
      <c r="E17" s="69">
        <v>6</v>
      </c>
      <c r="F17" s="66"/>
      <c r="G17" s="66"/>
      <c r="H17" s="66"/>
    </row>
    <row r="18" spans="1:8">
      <c r="A18" s="65" t="s">
        <v>119</v>
      </c>
      <c r="B18" s="69"/>
      <c r="C18" s="69"/>
      <c r="D18" s="69"/>
      <c r="E18" s="69">
        <v>6</v>
      </c>
      <c r="F18" s="66"/>
      <c r="G18" s="66"/>
      <c r="H18" s="66"/>
    </row>
    <row r="19" spans="1:8">
      <c r="A19" s="65" t="s">
        <v>120</v>
      </c>
      <c r="B19" s="69">
        <v>60000</v>
      </c>
      <c r="C19" s="69"/>
      <c r="D19" s="69">
        <v>227</v>
      </c>
      <c r="E19" s="69">
        <v>5</v>
      </c>
      <c r="F19" s="66"/>
      <c r="G19" s="66"/>
      <c r="H19" s="66"/>
    </row>
    <row r="20" spans="1:8">
      <c r="A20" s="65" t="s">
        <v>121</v>
      </c>
      <c r="B20" s="69">
        <v>55000</v>
      </c>
      <c r="C20" s="69"/>
      <c r="D20" s="69"/>
      <c r="E20" s="69"/>
      <c r="F20" s="66"/>
      <c r="G20" s="66"/>
      <c r="H20" s="66"/>
    </row>
    <row r="21" spans="1:8">
      <c r="A21" s="65" t="s">
        <v>122</v>
      </c>
      <c r="B21" s="69"/>
      <c r="C21" s="69"/>
      <c r="D21" s="69">
        <v>250</v>
      </c>
      <c r="E21" s="69">
        <v>6</v>
      </c>
      <c r="F21" s="66"/>
      <c r="G21" s="66"/>
      <c r="H21" s="66"/>
    </row>
    <row r="22" spans="1:8">
      <c r="B22" s="73">
        <f>AVERAGE(Platinum!B2:B21)</f>
        <v>167790.85714285713</v>
      </c>
      <c r="C22" s="73">
        <f>AVERAGE(Platinum!C2:C21)</f>
        <v>132500</v>
      </c>
      <c r="D22" s="73">
        <f>AVERAGE(Platinum!D2:D21)</f>
        <v>361.36363636363637</v>
      </c>
      <c r="E22" s="73">
        <f>AVERAGE(Platinum!E2:E21)</f>
        <v>5.7058823529411766</v>
      </c>
      <c r="F22" s="72" t="e">
        <f>AVERAGE(Platinum!F2:F21)</f>
        <v>#DIV/0!</v>
      </c>
      <c r="G22" s="72" t="e">
        <f>AVERAGE(Platinum!G2:G21)</f>
        <v>#DIV/0!</v>
      </c>
      <c r="H22" s="72" t="e">
        <f>AVERAGE(Platinum!H2:H21)</f>
        <v>#DIV/0!</v>
      </c>
    </row>
    <row r="24" spans="1:8">
      <c r="A24" s="79" t="s">
        <v>193</v>
      </c>
      <c r="B24" s="71">
        <f>D22</f>
        <v>361.36363636363637</v>
      </c>
    </row>
    <row r="25" spans="1:8">
      <c r="A25" s="79" t="s">
        <v>194</v>
      </c>
      <c r="B25" s="71">
        <f>B24/E22</f>
        <v>63.331771321462043</v>
      </c>
    </row>
    <row r="26" spans="1:8">
      <c r="A26" s="79" t="s">
        <v>195</v>
      </c>
      <c r="B26" s="71">
        <f>B22</f>
        <v>167790.85714285713</v>
      </c>
    </row>
    <row r="31" spans="1:8">
      <c r="A31" s="84" t="s">
        <v>64</v>
      </c>
      <c r="B31" s="84"/>
      <c r="C31" s="84"/>
      <c r="D31"/>
    </row>
    <row r="32" spans="1:8">
      <c r="A32" s="62" t="s">
        <v>65</v>
      </c>
      <c r="B32" s="62" t="s">
        <v>66</v>
      </c>
      <c r="C32" t="s">
        <v>89</v>
      </c>
      <c r="D32"/>
    </row>
    <row r="33" spans="1:4">
      <c r="A33" s="32">
        <f>25%*B26</f>
        <v>41947.714285714283</v>
      </c>
      <c r="B33" s="32">
        <f>70%*B26</f>
        <v>117453.59999999998</v>
      </c>
      <c r="C33" s="32">
        <f>5%*B26</f>
        <v>8389.5428571428565</v>
      </c>
      <c r="D33" s="31">
        <f>SUM(A33:C33)</f>
        <v>167790.85714285713</v>
      </c>
    </row>
  </sheetData>
  <mergeCells count="1">
    <mergeCell ref="A31:C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2"/>
  <sheetViews>
    <sheetView topLeftCell="A38" workbookViewId="0">
      <selection activeCell="F50" sqref="F50"/>
    </sheetView>
  </sheetViews>
  <sheetFormatPr defaultRowHeight="15"/>
  <cols>
    <col min="2" max="2" width="5.85546875" customWidth="1"/>
    <col min="3" max="3" width="24.42578125" bestFit="1" customWidth="1"/>
    <col min="4" max="4" width="16.85546875" bestFit="1" customWidth="1"/>
    <col min="5" max="5" width="12.42578125" customWidth="1"/>
    <col min="6" max="6" width="14.5703125" bestFit="1" customWidth="1"/>
    <col min="7" max="7" width="17" bestFit="1" customWidth="1"/>
    <col min="8" max="8" width="20" customWidth="1"/>
    <col min="10" max="10" width="12.85546875" customWidth="1"/>
    <col min="11" max="14" width="15.28515625" bestFit="1" customWidth="1"/>
    <col min="15" max="15" width="16.28515625" bestFit="1" customWidth="1"/>
    <col min="16" max="16" width="19" bestFit="1" customWidth="1"/>
    <col min="17" max="17" width="18" bestFit="1" customWidth="1"/>
    <col min="18" max="18" width="15.5703125" bestFit="1" customWidth="1"/>
    <col min="19" max="20" width="18" bestFit="1" customWidth="1"/>
    <col min="21" max="26" width="16.28515625" bestFit="1" customWidth="1"/>
  </cols>
  <sheetData>
    <row r="1" spans="1:20" ht="18">
      <c r="A1" s="12"/>
      <c r="B1" s="26" t="s">
        <v>47</v>
      </c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0">
      <c r="A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20">
      <c r="B3" s="13" t="s">
        <v>7</v>
      </c>
    </row>
    <row r="4" spans="1:20">
      <c r="A4" s="14"/>
      <c r="B4" s="14" t="s">
        <v>6</v>
      </c>
      <c r="J4" s="14" t="s">
        <v>9</v>
      </c>
      <c r="K4" s="12"/>
      <c r="L4" s="12"/>
      <c r="M4" s="12"/>
      <c r="N4" s="12"/>
      <c r="P4" s="14" t="s">
        <v>45</v>
      </c>
      <c r="Q4" s="12"/>
      <c r="R4" s="12"/>
      <c r="S4" s="12"/>
      <c r="T4" s="12"/>
    </row>
    <row r="5" spans="1:20">
      <c r="A5" s="12"/>
      <c r="J5" s="80" t="s">
        <v>47</v>
      </c>
      <c r="K5" s="15" t="s">
        <v>40</v>
      </c>
      <c r="L5" s="15" t="s">
        <v>41</v>
      </c>
      <c r="M5" s="15" t="s">
        <v>44</v>
      </c>
      <c r="N5" s="15" t="s">
        <v>42</v>
      </c>
      <c r="P5" s="80" t="s">
        <v>47</v>
      </c>
      <c r="Q5" s="15" t="s">
        <v>40</v>
      </c>
      <c r="R5" s="15" t="s">
        <v>41</v>
      </c>
      <c r="S5" s="15" t="s">
        <v>44</v>
      </c>
      <c r="T5" s="15" t="s">
        <v>42</v>
      </c>
    </row>
    <row r="6" spans="1:20">
      <c r="A6" s="12"/>
      <c r="B6" s="1" t="s">
        <v>1</v>
      </c>
      <c r="C6" s="1" t="s">
        <v>2</v>
      </c>
      <c r="D6" s="1" t="s">
        <v>4</v>
      </c>
      <c r="E6" s="1" t="s">
        <v>14</v>
      </c>
      <c r="F6" s="1" t="s">
        <v>19</v>
      </c>
      <c r="G6" s="1" t="s">
        <v>3</v>
      </c>
      <c r="H6" s="1" t="s">
        <v>20</v>
      </c>
      <c r="J6" s="81"/>
      <c r="K6" s="15">
        <v>1</v>
      </c>
      <c r="L6" s="15">
        <v>2</v>
      </c>
      <c r="M6" s="15">
        <v>4</v>
      </c>
      <c r="N6" s="15">
        <v>10</v>
      </c>
      <c r="P6" s="81"/>
      <c r="Q6" s="15">
        <v>1</v>
      </c>
      <c r="R6" s="15">
        <v>2</v>
      </c>
      <c r="S6" s="15">
        <v>6</v>
      </c>
      <c r="T6" s="15">
        <v>10</v>
      </c>
    </row>
    <row r="7" spans="1:20">
      <c r="A7" s="12"/>
      <c r="B7" s="16"/>
      <c r="C7" s="35" t="s">
        <v>196</v>
      </c>
      <c r="D7" s="16"/>
      <c r="E7" s="16"/>
      <c r="F7" s="17"/>
      <c r="G7" s="17"/>
      <c r="H7" s="16"/>
      <c r="J7" s="16" t="s">
        <v>10</v>
      </c>
      <c r="K7" s="18">
        <f>10%*$G$23</f>
        <v>900000</v>
      </c>
      <c r="L7" s="18">
        <f>20%*$G$23</f>
        <v>1800000</v>
      </c>
      <c r="M7" s="18">
        <f>60%*$G$23</f>
        <v>5400000</v>
      </c>
      <c r="N7" s="18">
        <f>$G$23</f>
        <v>9000000</v>
      </c>
      <c r="P7" s="16" t="s">
        <v>10</v>
      </c>
      <c r="Q7" s="18">
        <f>$G$46</f>
        <v>10000000</v>
      </c>
      <c r="R7" s="18">
        <f>(5%*$G$46)+$G$46</f>
        <v>10500000</v>
      </c>
      <c r="S7" s="18">
        <f>(25%*$G$46)+$G$46</f>
        <v>12500000</v>
      </c>
      <c r="T7" s="18">
        <f>(45%*$G$46)+$G$46</f>
        <v>14500000</v>
      </c>
    </row>
    <row r="8" spans="1:20">
      <c r="A8" s="12"/>
      <c r="B8" s="15"/>
      <c r="C8" s="9" t="s">
        <v>48</v>
      </c>
      <c r="D8" s="9"/>
      <c r="E8" s="16"/>
      <c r="F8" s="17"/>
      <c r="G8" s="17"/>
      <c r="H8" s="19"/>
      <c r="J8" s="16" t="s">
        <v>11</v>
      </c>
      <c r="K8" s="18">
        <f>15%*$G$23</f>
        <v>1350000</v>
      </c>
      <c r="L8" s="18">
        <f>25%*$G$23</f>
        <v>2250000</v>
      </c>
      <c r="M8" s="18">
        <f>(65%*$G$23)+G14</f>
        <v>7850000</v>
      </c>
      <c r="N8" s="18">
        <f>$G$23+G11+G14</f>
        <v>124400000</v>
      </c>
      <c r="P8" s="16" t="s">
        <v>11</v>
      </c>
      <c r="Q8" s="18">
        <f>$G$46</f>
        <v>10000000</v>
      </c>
      <c r="R8" s="18">
        <f>(5%*$G$46)+$G$46</f>
        <v>10500000</v>
      </c>
      <c r="S8" s="18">
        <f>(25%*$G$46)+$G$46</f>
        <v>12500000</v>
      </c>
      <c r="T8" s="18">
        <f>(45%*$G$46)+$G$46</f>
        <v>14500000</v>
      </c>
    </row>
    <row r="9" spans="1:20">
      <c r="A9" s="12"/>
      <c r="B9" s="7"/>
      <c r="C9" s="6" t="s">
        <v>71</v>
      </c>
      <c r="D9" s="7"/>
      <c r="E9" s="7"/>
      <c r="F9" s="7"/>
      <c r="G9" s="5"/>
      <c r="H9" s="11"/>
      <c r="J9" s="16" t="s">
        <v>12</v>
      </c>
      <c r="K9" s="18">
        <f>20%*$G$23</f>
        <v>1800000</v>
      </c>
      <c r="L9" s="18">
        <f>30%*$G$23</f>
        <v>2700000</v>
      </c>
      <c r="M9" s="18">
        <f>70%*$G$23+G14</f>
        <v>8300000</v>
      </c>
      <c r="N9" s="18">
        <f>$G$23+G11+G14</f>
        <v>124400000</v>
      </c>
      <c r="P9" s="16" t="s">
        <v>12</v>
      </c>
      <c r="Q9" s="18">
        <f>$G$46</f>
        <v>10000000</v>
      </c>
      <c r="R9" s="18">
        <f>(5%*$G$46)+$G$46</f>
        <v>10500000</v>
      </c>
      <c r="S9" s="18">
        <f>(25%*$G$46)+$G$46</f>
        <v>12500000</v>
      </c>
      <c r="T9" s="18">
        <f>(45%*$G$46)+$G$46</f>
        <v>14500000</v>
      </c>
    </row>
    <row r="10" spans="1:20">
      <c r="A10" s="12"/>
      <c r="B10" s="15">
        <v>1</v>
      </c>
      <c r="C10" s="16" t="s">
        <v>49</v>
      </c>
      <c r="D10" s="15"/>
      <c r="E10" s="15"/>
      <c r="F10" s="5"/>
      <c r="G10" s="5"/>
      <c r="H10" s="16"/>
      <c r="J10" s="16" t="s">
        <v>5</v>
      </c>
      <c r="K10" s="17"/>
      <c r="L10" s="17"/>
      <c r="M10" s="17"/>
      <c r="N10" s="17"/>
      <c r="P10" s="16" t="s">
        <v>5</v>
      </c>
      <c r="Q10" s="18"/>
      <c r="R10" s="17"/>
      <c r="S10" s="17"/>
      <c r="T10" s="17"/>
    </row>
    <row r="11" spans="1:20" ht="57.75">
      <c r="A11" s="12"/>
      <c r="B11" s="8"/>
      <c r="C11" s="19" t="s">
        <v>67</v>
      </c>
      <c r="D11" s="4">
        <f>(30%*42000)/5</f>
        <v>2520</v>
      </c>
      <c r="E11" s="29" t="s">
        <v>91</v>
      </c>
      <c r="F11" s="5">
        <v>45000</v>
      </c>
      <c r="G11" s="5">
        <f>D11*F11</f>
        <v>113400000</v>
      </c>
      <c r="H11" s="19" t="s">
        <v>92</v>
      </c>
      <c r="P11" s="14"/>
      <c r="Q11" s="12"/>
      <c r="R11" s="12"/>
      <c r="S11" s="12"/>
      <c r="T11" s="12"/>
    </row>
    <row r="12" spans="1:20">
      <c r="A12" s="12"/>
      <c r="B12" s="8"/>
      <c r="C12" s="16" t="s">
        <v>16</v>
      </c>
      <c r="D12" s="15">
        <v>10</v>
      </c>
      <c r="E12" s="15" t="s">
        <v>17</v>
      </c>
      <c r="F12" s="5">
        <v>35000</v>
      </c>
      <c r="G12" s="5">
        <f t="shared" ref="G12:G13" si="0">D12*F12</f>
        <v>350000</v>
      </c>
      <c r="H12" s="16"/>
      <c r="J12" s="80" t="s">
        <v>39</v>
      </c>
      <c r="K12" s="15" t="s">
        <v>40</v>
      </c>
      <c r="L12" s="15" t="s">
        <v>41</v>
      </c>
      <c r="M12" s="15" t="s">
        <v>44</v>
      </c>
      <c r="N12" s="15" t="s">
        <v>42</v>
      </c>
      <c r="P12" s="80" t="s">
        <v>39</v>
      </c>
      <c r="Q12" s="15" t="s">
        <v>40</v>
      </c>
      <c r="R12" s="15" t="s">
        <v>41</v>
      </c>
      <c r="S12" s="15" t="s">
        <v>44</v>
      </c>
      <c r="T12" s="15" t="s">
        <v>42</v>
      </c>
    </row>
    <row r="13" spans="1:20">
      <c r="A13" s="12"/>
      <c r="B13" s="7"/>
      <c r="C13" s="10" t="s">
        <v>13</v>
      </c>
      <c r="D13" s="7">
        <v>10</v>
      </c>
      <c r="E13" s="3" t="s">
        <v>15</v>
      </c>
      <c r="F13" s="2">
        <v>50000</v>
      </c>
      <c r="G13" s="5">
        <f t="shared" si="0"/>
        <v>500000</v>
      </c>
      <c r="H13" s="11"/>
      <c r="J13" s="81"/>
      <c r="K13" s="15">
        <v>1</v>
      </c>
      <c r="L13" s="15">
        <v>2</v>
      </c>
      <c r="M13" s="15">
        <v>4</v>
      </c>
      <c r="N13" s="15">
        <v>10</v>
      </c>
      <c r="P13" s="81"/>
      <c r="Q13" s="15">
        <v>1</v>
      </c>
      <c r="R13" s="15">
        <v>2</v>
      </c>
      <c r="S13" s="15">
        <v>6</v>
      </c>
      <c r="T13" s="15">
        <v>10</v>
      </c>
    </row>
    <row r="14" spans="1:20" ht="24.75">
      <c r="B14" s="7">
        <v>2</v>
      </c>
      <c r="C14" s="27" t="s">
        <v>69</v>
      </c>
      <c r="D14" s="7">
        <v>4</v>
      </c>
      <c r="E14" s="7" t="s">
        <v>70</v>
      </c>
      <c r="F14" s="2">
        <v>500000</v>
      </c>
      <c r="G14" s="5">
        <f>D14*F14</f>
        <v>2000000</v>
      </c>
      <c r="H14" s="19" t="s">
        <v>68</v>
      </c>
      <c r="J14" s="16" t="s">
        <v>10</v>
      </c>
      <c r="K14" s="18">
        <f>10%*(60*(50%*$G$34))</f>
        <v>3000000000</v>
      </c>
      <c r="L14" s="18">
        <f>10%*(60*($G$34))</f>
        <v>6000000000</v>
      </c>
      <c r="M14" s="18">
        <f>10%*(60*($G$28+G31))</f>
        <v>12000900000</v>
      </c>
      <c r="N14" s="18">
        <f>10%*(60*G28)</f>
        <v>12000000000</v>
      </c>
      <c r="P14" s="16" t="s">
        <v>10</v>
      </c>
      <c r="Q14" s="18">
        <f>G48+G49</f>
        <v>10830000000</v>
      </c>
      <c r="R14" s="18">
        <f>G48+(R13*G49)</f>
        <v>21630000000</v>
      </c>
      <c r="S14" s="18">
        <f>G48+(S13*G49)</f>
        <v>64830000000</v>
      </c>
      <c r="T14" s="18">
        <f>G48+(10*G49)</f>
        <v>108030000000</v>
      </c>
    </row>
    <row r="15" spans="1:20">
      <c r="J15" s="16" t="s">
        <v>11</v>
      </c>
      <c r="K15" s="18">
        <f>10%*(60*(G32+G33+(50%*$G$34)))</f>
        <v>3012600000</v>
      </c>
      <c r="L15" s="18">
        <f>10%*(60*(G32+G33+$G$34))</f>
        <v>6012600000</v>
      </c>
      <c r="M15" s="18">
        <f>10%*(60*(G26+$G$28+G29+G31))</f>
        <v>12066900000</v>
      </c>
      <c r="N15" s="18">
        <f>10%*(60*(G26+G27+G28+G29))</f>
        <v>12105000000</v>
      </c>
      <c r="P15" s="16" t="s">
        <v>11</v>
      </c>
      <c r="Q15" s="18">
        <f>G48+G49</f>
        <v>10830000000</v>
      </c>
      <c r="R15" s="18">
        <f>G48+(R13*G49)</f>
        <v>21630000000</v>
      </c>
      <c r="S15" s="18">
        <f>G48+(S13*G49)</f>
        <v>64830000000</v>
      </c>
      <c r="T15" s="18">
        <f>G48+(10*G49)</f>
        <v>108030000000</v>
      </c>
    </row>
    <row r="16" spans="1:20">
      <c r="A16" s="13"/>
      <c r="B16" s="36"/>
      <c r="C16" s="37"/>
      <c r="D16" s="36"/>
      <c r="E16" s="36"/>
      <c r="F16" s="36"/>
      <c r="G16" s="38"/>
      <c r="H16" s="39"/>
      <c r="J16" s="16" t="s">
        <v>12</v>
      </c>
      <c r="K16" s="18">
        <f>10%*(60*(G32+G33+(50%*$G$34)))</f>
        <v>3012600000</v>
      </c>
      <c r="L16" s="18">
        <f>10%*(60*(G32+G33+$G$34))</f>
        <v>6012600000</v>
      </c>
      <c r="M16" s="18">
        <f>10%*(60*(G26+$G$28+G29+G31))</f>
        <v>12066900000</v>
      </c>
      <c r="N16" s="18">
        <f>10%*(60*(G26+G27+G28+G29))</f>
        <v>12105000000</v>
      </c>
      <c r="P16" s="16" t="s">
        <v>12</v>
      </c>
      <c r="Q16" s="18">
        <f>G48+G49</f>
        <v>10830000000</v>
      </c>
      <c r="R16" s="17">
        <f>G48+(R13*G49)</f>
        <v>21630000000</v>
      </c>
      <c r="S16" s="17">
        <f>G48+(S13*G49)</f>
        <v>64830000000</v>
      </c>
      <c r="T16" s="17">
        <f>G48+(10*G49)</f>
        <v>108030000000</v>
      </c>
    </row>
    <row r="17" spans="1:26">
      <c r="A17" s="12"/>
      <c r="B17" s="36"/>
      <c r="C17" s="40"/>
      <c r="D17" s="41"/>
      <c r="E17" s="36"/>
      <c r="F17" s="42"/>
      <c r="G17" s="38"/>
      <c r="H17" s="39"/>
      <c r="J17" s="16" t="s">
        <v>5</v>
      </c>
      <c r="K17" s="17"/>
      <c r="L17" s="17"/>
      <c r="M17" s="17"/>
      <c r="N17" s="17"/>
      <c r="P17" s="16" t="s">
        <v>5</v>
      </c>
      <c r="Q17" s="5">
        <f>40%*$G$49</f>
        <v>4320000000</v>
      </c>
      <c r="R17" s="17">
        <f>R13*(40%*$G$49)</f>
        <v>8640000000</v>
      </c>
      <c r="S17" s="17">
        <f>S13*(40%*$G$49)</f>
        <v>25920000000</v>
      </c>
      <c r="T17" s="17">
        <f>T13*(40%*$G$49)</f>
        <v>43200000000</v>
      </c>
    </row>
    <row r="18" spans="1:26">
      <c r="A18" s="12"/>
    </row>
    <row r="19" spans="1:26">
      <c r="A19" s="12"/>
      <c r="B19" s="1" t="s">
        <v>1</v>
      </c>
      <c r="C19" s="1" t="s">
        <v>2</v>
      </c>
      <c r="D19" s="1" t="s">
        <v>4</v>
      </c>
      <c r="E19" s="1" t="s">
        <v>14</v>
      </c>
      <c r="F19" s="1" t="s">
        <v>19</v>
      </c>
      <c r="G19" s="1" t="s">
        <v>3</v>
      </c>
      <c r="H19" s="1" t="s">
        <v>20</v>
      </c>
    </row>
    <row r="20" spans="1:26">
      <c r="A20" s="12"/>
      <c r="B20" s="16"/>
      <c r="C20" s="35" t="s">
        <v>197</v>
      </c>
      <c r="D20" s="16"/>
      <c r="E20" s="16"/>
      <c r="F20" s="17"/>
      <c r="G20" s="17"/>
      <c r="H20" s="16"/>
    </row>
    <row r="21" spans="1:26" ht="30">
      <c r="A21" s="12"/>
      <c r="B21" s="15"/>
      <c r="C21" s="9" t="s">
        <v>48</v>
      </c>
      <c r="D21" s="35"/>
      <c r="E21" s="16"/>
      <c r="F21" s="17"/>
      <c r="G21" s="17"/>
      <c r="H21" s="19"/>
      <c r="J21" s="22" t="s">
        <v>38</v>
      </c>
      <c r="K21" s="7" t="s">
        <v>22</v>
      </c>
      <c r="L21" s="7" t="s">
        <v>23</v>
      </c>
      <c r="M21" s="7" t="s">
        <v>24</v>
      </c>
      <c r="N21" s="7" t="s">
        <v>25</v>
      </c>
      <c r="O21" s="7" t="s">
        <v>26</v>
      </c>
      <c r="P21" s="7" t="s">
        <v>27</v>
      </c>
      <c r="Q21" s="7" t="s">
        <v>28</v>
      </c>
      <c r="R21" s="7" t="s">
        <v>29</v>
      </c>
      <c r="S21" s="7" t="s">
        <v>30</v>
      </c>
      <c r="T21" s="7" t="s">
        <v>31</v>
      </c>
      <c r="U21" s="7" t="s">
        <v>32</v>
      </c>
      <c r="V21" s="7" t="s">
        <v>33</v>
      </c>
      <c r="W21" s="7" t="s">
        <v>34</v>
      </c>
      <c r="X21" s="7" t="s">
        <v>35</v>
      </c>
      <c r="Y21" s="7" t="s">
        <v>36</v>
      </c>
      <c r="Z21" s="7" t="s">
        <v>37</v>
      </c>
    </row>
    <row r="22" spans="1:26">
      <c r="A22" s="12"/>
      <c r="B22" s="7"/>
      <c r="C22" s="6" t="s">
        <v>71</v>
      </c>
      <c r="D22" s="7"/>
      <c r="E22" s="7"/>
      <c r="F22" s="7"/>
      <c r="G22" s="5"/>
      <c r="H22" s="11"/>
      <c r="J22" s="22" t="s">
        <v>47</v>
      </c>
      <c r="K22" s="23">
        <f>K7+Q7</f>
        <v>10900000</v>
      </c>
      <c r="L22" s="23">
        <f>K8+Q8</f>
        <v>11350000</v>
      </c>
      <c r="M22" s="23">
        <f>K9+Q9</f>
        <v>11800000</v>
      </c>
      <c r="N22" s="23">
        <f>K10+Q10</f>
        <v>0</v>
      </c>
      <c r="O22" s="23">
        <f>L7+R7</f>
        <v>12300000</v>
      </c>
      <c r="P22" s="23">
        <f>L8+R8</f>
        <v>12750000</v>
      </c>
      <c r="Q22" s="23">
        <f>$L$9+$R$9</f>
        <v>13200000</v>
      </c>
      <c r="R22" s="23">
        <f>L10+R10</f>
        <v>0</v>
      </c>
      <c r="S22" s="23">
        <f>M7+S7</f>
        <v>17900000</v>
      </c>
      <c r="T22" s="23">
        <f>M8+S8</f>
        <v>20350000</v>
      </c>
      <c r="U22" s="23">
        <f>M9+S9</f>
        <v>20800000</v>
      </c>
      <c r="V22" s="23">
        <f>M10+S10</f>
        <v>0</v>
      </c>
      <c r="W22" s="23">
        <f>N7+T7</f>
        <v>23500000</v>
      </c>
      <c r="X22" s="23">
        <f>N8+T8</f>
        <v>138900000</v>
      </c>
      <c r="Y22" s="23">
        <f>N9+T9</f>
        <v>138900000</v>
      </c>
      <c r="Z22" s="23">
        <f>N10+T10</f>
        <v>0</v>
      </c>
    </row>
    <row r="23" spans="1:26" ht="24.75">
      <c r="A23" s="13"/>
      <c r="B23" s="15">
        <v>1</v>
      </c>
      <c r="C23" s="16" t="s">
        <v>80</v>
      </c>
      <c r="D23" s="15">
        <v>6</v>
      </c>
      <c r="E23" s="15" t="s">
        <v>17</v>
      </c>
      <c r="F23" s="5">
        <v>1500000</v>
      </c>
      <c r="G23" s="5">
        <f>D23*F23</f>
        <v>9000000</v>
      </c>
      <c r="H23" s="19" t="s">
        <v>81</v>
      </c>
      <c r="J23" s="11" t="s">
        <v>39</v>
      </c>
      <c r="K23" s="23">
        <f>K14+Q14</f>
        <v>13830000000</v>
      </c>
      <c r="L23" s="24">
        <f>K15+Q15</f>
        <v>13842600000</v>
      </c>
      <c r="M23" s="24">
        <f>K16+Q16</f>
        <v>13842600000</v>
      </c>
      <c r="N23" s="24">
        <f>K17+Q17</f>
        <v>4320000000</v>
      </c>
      <c r="O23" s="24">
        <f>L14+R14</f>
        <v>27630000000</v>
      </c>
      <c r="P23" s="24">
        <f>L15+R15</f>
        <v>27642600000</v>
      </c>
      <c r="Q23" s="24">
        <f>L16+R16</f>
        <v>27642600000</v>
      </c>
      <c r="R23" s="24">
        <f>L17+R17</f>
        <v>8640000000</v>
      </c>
      <c r="S23" s="24">
        <f>M14+S14</f>
        <v>76830900000</v>
      </c>
      <c r="T23" s="24">
        <f>M15+S15</f>
        <v>76896900000</v>
      </c>
      <c r="U23" s="24">
        <f>M16+S16</f>
        <v>76896900000</v>
      </c>
      <c r="V23" s="24">
        <f>M17+S17</f>
        <v>25920000000</v>
      </c>
      <c r="W23" s="24">
        <f>N14+T14</f>
        <v>120030000000</v>
      </c>
      <c r="X23" s="24">
        <f>N15+T15</f>
        <v>120135000000</v>
      </c>
      <c r="Y23" s="24">
        <f>N16+T16</f>
        <v>120135000000</v>
      </c>
      <c r="Z23" s="24">
        <f>N17+T17</f>
        <v>43200000000</v>
      </c>
    </row>
    <row r="24" spans="1:26">
      <c r="B24" s="7"/>
      <c r="C24" s="6" t="s">
        <v>43</v>
      </c>
      <c r="D24" s="7"/>
      <c r="E24" s="7"/>
      <c r="F24" s="7"/>
      <c r="G24" s="5"/>
      <c r="H24" s="11"/>
      <c r="J24" s="12"/>
      <c r="K24" s="12"/>
      <c r="L24" s="12"/>
      <c r="M24" s="12"/>
      <c r="N24" s="12"/>
      <c r="O24" s="12"/>
    </row>
    <row r="25" spans="1:26">
      <c r="B25" s="16"/>
      <c r="C25" s="9" t="s">
        <v>72</v>
      </c>
      <c r="D25" s="16"/>
      <c r="E25" s="16"/>
      <c r="F25" s="17"/>
      <c r="G25" s="17"/>
      <c r="H25" s="16"/>
    </row>
    <row r="26" spans="1:26" ht="36.75">
      <c r="B26" s="43">
        <v>1</v>
      </c>
      <c r="C26" s="44" t="s">
        <v>73</v>
      </c>
      <c r="D26" s="15">
        <v>2</v>
      </c>
      <c r="E26" s="15" t="s">
        <v>17</v>
      </c>
      <c r="F26" s="17">
        <v>4000000</v>
      </c>
      <c r="G26" s="17">
        <f t="shared" ref="G26:G27" si="1">D26*F26</f>
        <v>8000000</v>
      </c>
      <c r="H26" s="28" t="s">
        <v>74</v>
      </c>
    </row>
    <row r="27" spans="1:26" ht="24.75">
      <c r="B27" s="43">
        <v>2</v>
      </c>
      <c r="C27" s="16" t="s">
        <v>83</v>
      </c>
      <c r="D27" s="15">
        <v>1</v>
      </c>
      <c r="E27" s="15" t="s">
        <v>84</v>
      </c>
      <c r="F27" s="5">
        <v>6500000</v>
      </c>
      <c r="G27" s="5">
        <f t="shared" si="1"/>
        <v>6500000</v>
      </c>
      <c r="H27" s="19" t="s">
        <v>85</v>
      </c>
    </row>
    <row r="28" spans="1:26" ht="120.75">
      <c r="B28" s="43">
        <v>3</v>
      </c>
      <c r="C28" s="16" t="s">
        <v>18</v>
      </c>
      <c r="D28" s="15"/>
      <c r="E28" s="15"/>
      <c r="F28" s="5"/>
      <c r="G28" s="5">
        <f>20%*10000000000</f>
        <v>2000000000</v>
      </c>
      <c r="H28" s="28" t="s">
        <v>88</v>
      </c>
    </row>
    <row r="29" spans="1:26" ht="24.75">
      <c r="B29" s="45">
        <v>4</v>
      </c>
      <c r="C29" s="10" t="s">
        <v>76</v>
      </c>
      <c r="D29" s="15"/>
      <c r="E29" s="15"/>
      <c r="F29" s="5"/>
      <c r="G29" s="5">
        <v>3000000</v>
      </c>
      <c r="H29" s="28" t="s">
        <v>75</v>
      </c>
    </row>
    <row r="30" spans="1:26">
      <c r="B30" s="8"/>
      <c r="C30" s="9" t="s">
        <v>77</v>
      </c>
      <c r="D30" s="7"/>
      <c r="E30" s="3"/>
      <c r="F30" s="2"/>
      <c r="G30" s="5"/>
      <c r="H30" s="11"/>
    </row>
    <row r="31" spans="1:26">
      <c r="A31" s="12"/>
      <c r="B31" s="43">
        <v>1</v>
      </c>
      <c r="C31" s="44" t="s">
        <v>82</v>
      </c>
      <c r="D31" s="15">
        <v>1</v>
      </c>
      <c r="E31" s="15" t="s">
        <v>17</v>
      </c>
      <c r="F31" s="17">
        <f>10%*1500000</f>
        <v>150000</v>
      </c>
      <c r="G31" s="17">
        <f t="shared" ref="G31:G33" si="2">D31*F31</f>
        <v>150000</v>
      </c>
      <c r="H31" s="19" t="s">
        <v>78</v>
      </c>
    </row>
    <row r="32" spans="1:26" ht="36.75">
      <c r="B32" s="43">
        <v>2</v>
      </c>
      <c r="C32" s="44" t="s">
        <v>73</v>
      </c>
      <c r="D32" s="15">
        <v>2</v>
      </c>
      <c r="E32" s="15" t="s">
        <v>17</v>
      </c>
      <c r="F32" s="17">
        <f>10%*F26</f>
        <v>400000</v>
      </c>
      <c r="G32" s="17">
        <f t="shared" si="2"/>
        <v>800000</v>
      </c>
      <c r="H32" s="28" t="s">
        <v>79</v>
      </c>
    </row>
    <row r="33" spans="1:20" ht="24.75">
      <c r="B33" s="43">
        <v>3</v>
      </c>
      <c r="C33" s="16" t="s">
        <v>83</v>
      </c>
      <c r="D33" s="15">
        <v>1</v>
      </c>
      <c r="E33" s="15" t="s">
        <v>84</v>
      </c>
      <c r="F33" s="5">
        <f>20%*F27</f>
        <v>1300000</v>
      </c>
      <c r="G33" s="5">
        <f t="shared" si="2"/>
        <v>1300000</v>
      </c>
      <c r="H33" s="19" t="s">
        <v>86</v>
      </c>
      <c r="J33" s="12"/>
      <c r="K33" s="12"/>
      <c r="L33" s="12"/>
      <c r="M33" s="12"/>
      <c r="N33" s="12"/>
    </row>
    <row r="34" spans="1:20" ht="60.75">
      <c r="B34" s="43">
        <v>4</v>
      </c>
      <c r="C34" s="16" t="s">
        <v>18</v>
      </c>
      <c r="D34" s="15"/>
      <c r="E34" s="15"/>
      <c r="F34" s="5"/>
      <c r="G34" s="5">
        <f>50%*G28</f>
        <v>1000000000</v>
      </c>
      <c r="H34" s="28" t="s">
        <v>87</v>
      </c>
    </row>
    <row r="35" spans="1:20">
      <c r="A35" s="12"/>
      <c r="B35" s="46"/>
    </row>
    <row r="36" spans="1:20" ht="192.75">
      <c r="A36" s="12"/>
      <c r="B36" s="25"/>
      <c r="C36" s="61" t="s">
        <v>208</v>
      </c>
      <c r="D36" s="20"/>
      <c r="E36" s="20"/>
      <c r="F36" s="20"/>
      <c r="G36" s="21"/>
      <c r="H36" s="20"/>
      <c r="J36" s="48" t="s">
        <v>93</v>
      </c>
      <c r="P36" s="48" t="s">
        <v>94</v>
      </c>
    </row>
    <row r="37" spans="1:20">
      <c r="A37" s="12"/>
      <c r="B37" s="25"/>
      <c r="C37" s="20"/>
      <c r="D37" s="20"/>
      <c r="E37" s="20"/>
      <c r="F37" s="20"/>
      <c r="G37" s="21"/>
      <c r="H37" s="20"/>
      <c r="J37" s="80" t="s">
        <v>47</v>
      </c>
      <c r="K37" s="15" t="s">
        <v>40</v>
      </c>
      <c r="L37" s="15" t="s">
        <v>41</v>
      </c>
      <c r="M37" s="15" t="s">
        <v>44</v>
      </c>
      <c r="N37" s="15" t="s">
        <v>42</v>
      </c>
      <c r="P37" s="80" t="s">
        <v>47</v>
      </c>
      <c r="Q37" s="15" t="s">
        <v>40</v>
      </c>
      <c r="R37" s="15" t="s">
        <v>41</v>
      </c>
      <c r="S37" s="15" t="s">
        <v>44</v>
      </c>
      <c r="T37" s="15" t="s">
        <v>42</v>
      </c>
    </row>
    <row r="38" spans="1:20">
      <c r="A38" s="12"/>
      <c r="B38" s="25"/>
      <c r="C38" s="20"/>
      <c r="D38" s="20"/>
      <c r="E38" s="20"/>
      <c r="F38" s="20"/>
      <c r="G38" s="21"/>
      <c r="H38" s="20"/>
      <c r="J38" s="81"/>
      <c r="K38" s="15">
        <v>1</v>
      </c>
      <c r="L38" s="15">
        <v>2</v>
      </c>
      <c r="M38" s="15">
        <v>4</v>
      </c>
      <c r="N38" s="15">
        <v>10</v>
      </c>
      <c r="P38" s="81"/>
      <c r="Q38" s="15">
        <v>1</v>
      </c>
      <c r="R38" s="15">
        <v>2</v>
      </c>
      <c r="S38" s="15">
        <v>6</v>
      </c>
      <c r="T38" s="15">
        <v>10</v>
      </c>
    </row>
    <row r="39" spans="1:20">
      <c r="A39" s="12"/>
      <c r="J39" s="16" t="s">
        <v>10</v>
      </c>
      <c r="K39" s="18">
        <f t="shared" ref="K39:N41" si="3">K7+K14</f>
        <v>3000900000</v>
      </c>
      <c r="L39" s="18">
        <f t="shared" si="3"/>
        <v>6001800000</v>
      </c>
      <c r="M39" s="18">
        <f t="shared" si="3"/>
        <v>12006300000</v>
      </c>
      <c r="N39" s="18">
        <f t="shared" si="3"/>
        <v>12009000000</v>
      </c>
      <c r="P39" s="16" t="s">
        <v>10</v>
      </c>
      <c r="Q39" s="18">
        <f>Q7+Q14</f>
        <v>10840000000</v>
      </c>
      <c r="R39" s="18">
        <f>R7+R14</f>
        <v>21640500000</v>
      </c>
      <c r="S39" s="18">
        <f>S7+S14</f>
        <v>64842500000</v>
      </c>
      <c r="T39" s="18">
        <f>T7+T14</f>
        <v>108044500000</v>
      </c>
    </row>
    <row r="40" spans="1:20">
      <c r="A40" s="12"/>
      <c r="B40" s="12"/>
      <c r="J40" s="16" t="s">
        <v>11</v>
      </c>
      <c r="K40" s="18">
        <f t="shared" si="3"/>
        <v>3013950000</v>
      </c>
      <c r="L40" s="18">
        <f t="shared" si="3"/>
        <v>6014850000</v>
      </c>
      <c r="M40" s="18">
        <f t="shared" si="3"/>
        <v>12074750000</v>
      </c>
      <c r="N40" s="18">
        <f t="shared" si="3"/>
        <v>12229400000</v>
      </c>
      <c r="P40" s="16" t="s">
        <v>11</v>
      </c>
      <c r="Q40" s="18">
        <f>Q8+Q15</f>
        <v>10840000000</v>
      </c>
      <c r="R40" s="18">
        <f>R7+R14</f>
        <v>21640500000</v>
      </c>
      <c r="S40" s="18">
        <f>S7+S14</f>
        <v>64842500000</v>
      </c>
      <c r="T40" s="18">
        <f>T7+T14</f>
        <v>108044500000</v>
      </c>
    </row>
    <row r="41" spans="1:20">
      <c r="B41" s="14" t="s">
        <v>0</v>
      </c>
      <c r="C41" s="12"/>
      <c r="D41" s="12"/>
      <c r="E41" s="12"/>
      <c r="F41" s="12"/>
      <c r="G41" s="12"/>
      <c r="H41" s="12"/>
      <c r="J41" s="16" t="s">
        <v>12</v>
      </c>
      <c r="K41" s="18">
        <f t="shared" si="3"/>
        <v>3014400000</v>
      </c>
      <c r="L41" s="18">
        <f t="shared" si="3"/>
        <v>6015300000</v>
      </c>
      <c r="M41" s="18">
        <f t="shared" si="3"/>
        <v>12075200000</v>
      </c>
      <c r="N41" s="18">
        <f t="shared" si="3"/>
        <v>12229400000</v>
      </c>
      <c r="P41" s="16" t="s">
        <v>12</v>
      </c>
      <c r="Q41" s="18">
        <f>Q9+Q16</f>
        <v>10840000000</v>
      </c>
      <c r="R41" s="18">
        <f>R7+R14</f>
        <v>21640500000</v>
      </c>
      <c r="S41" s="18">
        <f>S7+S14</f>
        <v>64842500000</v>
      </c>
      <c r="T41" s="18">
        <f>T7+T14</f>
        <v>108044500000</v>
      </c>
    </row>
    <row r="42" spans="1:20">
      <c r="B42" s="13" t="s">
        <v>8</v>
      </c>
      <c r="C42" s="12"/>
      <c r="D42" s="12"/>
      <c r="E42" s="12"/>
      <c r="F42" s="12"/>
      <c r="G42" s="12"/>
      <c r="H42" s="12"/>
      <c r="J42" s="16" t="s">
        <v>5</v>
      </c>
      <c r="K42" s="17"/>
      <c r="L42" s="17"/>
      <c r="M42" s="17"/>
      <c r="N42" s="17"/>
      <c r="P42" s="16" t="s">
        <v>5</v>
      </c>
      <c r="Q42" s="17">
        <f>Q17</f>
        <v>4320000000</v>
      </c>
      <c r="R42" s="17">
        <f>R17</f>
        <v>8640000000</v>
      </c>
      <c r="S42" s="17">
        <f>S17</f>
        <v>25920000000</v>
      </c>
      <c r="T42" s="17">
        <f>T17</f>
        <v>43200000000</v>
      </c>
    </row>
    <row r="44" spans="1:20">
      <c r="B44" s="1" t="s">
        <v>1</v>
      </c>
      <c r="C44" s="1" t="s">
        <v>2</v>
      </c>
      <c r="D44" s="1" t="s">
        <v>4</v>
      </c>
      <c r="E44" s="1" t="s">
        <v>14</v>
      </c>
      <c r="F44" s="1" t="s">
        <v>19</v>
      </c>
      <c r="G44" s="1" t="s">
        <v>3</v>
      </c>
      <c r="H44" s="1" t="s">
        <v>20</v>
      </c>
    </row>
    <row r="45" spans="1:20">
      <c r="B45" s="16"/>
      <c r="C45" s="9" t="s">
        <v>48</v>
      </c>
      <c r="D45" s="16"/>
      <c r="E45" s="16"/>
      <c r="F45" s="17"/>
      <c r="G45" s="17"/>
      <c r="H45" s="16"/>
      <c r="I45" s="12"/>
    </row>
    <row r="46" spans="1:20">
      <c r="B46" s="15">
        <v>1</v>
      </c>
      <c r="C46" s="16" t="s">
        <v>21</v>
      </c>
      <c r="D46" s="16"/>
      <c r="E46" s="16"/>
      <c r="F46" s="17"/>
      <c r="G46" s="17">
        <v>10000000</v>
      </c>
      <c r="H46" s="19" t="s">
        <v>90</v>
      </c>
      <c r="I46" s="12"/>
    </row>
    <row r="47" spans="1:20">
      <c r="B47" s="8"/>
      <c r="C47" s="6" t="s">
        <v>43</v>
      </c>
      <c r="D47" s="15"/>
      <c r="E47" s="15"/>
      <c r="F47" s="5"/>
      <c r="G47" s="5"/>
      <c r="H47" s="16"/>
      <c r="J47" s="12"/>
      <c r="K47" s="12"/>
      <c r="L47" s="12"/>
      <c r="M47" s="12"/>
    </row>
    <row r="48" spans="1:20">
      <c r="B48" s="7">
        <v>1</v>
      </c>
      <c r="C48" s="16" t="s">
        <v>21</v>
      </c>
      <c r="D48" s="7">
        <v>60</v>
      </c>
      <c r="E48" s="3" t="s">
        <v>63</v>
      </c>
      <c r="F48" s="2">
        <v>500000</v>
      </c>
      <c r="G48" s="5">
        <f>D48*F48</f>
        <v>30000000</v>
      </c>
      <c r="H48" s="11"/>
      <c r="I48" s="12"/>
      <c r="J48" s="12"/>
      <c r="K48" s="12"/>
      <c r="L48" s="12"/>
      <c r="M48" s="12"/>
    </row>
    <row r="49" spans="1:13">
      <c r="B49" s="7">
        <v>2</v>
      </c>
      <c r="C49" s="10" t="s">
        <v>46</v>
      </c>
      <c r="D49" s="4">
        <v>360</v>
      </c>
      <c r="E49" s="7" t="s">
        <v>62</v>
      </c>
      <c r="F49" s="86">
        <v>30000000</v>
      </c>
      <c r="G49" s="5">
        <f>D49*F49</f>
        <v>10800000000</v>
      </c>
      <c r="H49" s="28" t="s">
        <v>207</v>
      </c>
      <c r="I49" s="12"/>
      <c r="J49" s="12"/>
      <c r="K49" s="12"/>
      <c r="L49" s="12"/>
      <c r="M49" s="12"/>
    </row>
    <row r="50" spans="1:13">
      <c r="E50" t="s">
        <v>217</v>
      </c>
      <c r="F50" s="87">
        <f>20%*D58</f>
        <v>27777777.77777778</v>
      </c>
      <c r="I50" s="12"/>
    </row>
    <row r="51" spans="1:13">
      <c r="I51" s="12"/>
    </row>
    <row r="52" spans="1:13">
      <c r="I52" s="12"/>
    </row>
    <row r="53" spans="1:13">
      <c r="I53" s="12"/>
    </row>
    <row r="54" spans="1:13">
      <c r="A54" t="s">
        <v>198</v>
      </c>
      <c r="B54" t="s">
        <v>199</v>
      </c>
      <c r="C54" t="s">
        <v>200</v>
      </c>
    </row>
    <row r="55" spans="1:13">
      <c r="C55" t="s">
        <v>201</v>
      </c>
      <c r="D55" t="s">
        <v>203</v>
      </c>
      <c r="E55" t="s">
        <v>205</v>
      </c>
    </row>
    <row r="56" spans="1:13">
      <c r="C56" t="s">
        <v>202</v>
      </c>
      <c r="D56" t="s">
        <v>204</v>
      </c>
      <c r="E56" t="s">
        <v>206</v>
      </c>
    </row>
    <row r="57" spans="1:13">
      <c r="D57" s="77">
        <f>50000000000/12</f>
        <v>4166666666.6666665</v>
      </c>
      <c r="E57" t="s">
        <v>215</v>
      </c>
    </row>
    <row r="58" spans="1:13" ht="18.75">
      <c r="A58" s="30"/>
      <c r="B58" s="30"/>
      <c r="C58" s="30"/>
      <c r="D58" s="77">
        <f>D57/30</f>
        <v>138888888.8888889</v>
      </c>
      <c r="E58" t="s">
        <v>216</v>
      </c>
    </row>
    <row r="59" spans="1:13" ht="18.75">
      <c r="A59" s="30"/>
      <c r="B59" s="30"/>
      <c r="C59" s="30"/>
    </row>
    <row r="60" spans="1:13" ht="18.75">
      <c r="A60" s="30"/>
      <c r="B60" s="30"/>
      <c r="C60" s="30"/>
    </row>
    <row r="61" spans="1:13" ht="18.75">
      <c r="A61" s="30"/>
      <c r="B61" s="30"/>
      <c r="C61" s="30"/>
    </row>
    <row r="62" spans="1:13" ht="18.75">
      <c r="A62" s="30"/>
      <c r="B62" s="30"/>
      <c r="C62" s="30"/>
    </row>
  </sheetData>
  <mergeCells count="6">
    <mergeCell ref="J5:J6"/>
    <mergeCell ref="P5:P6"/>
    <mergeCell ref="J12:J13"/>
    <mergeCell ref="P12:P13"/>
    <mergeCell ref="J37:J38"/>
    <mergeCell ref="P37:P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topLeftCell="A31" zoomScaleNormal="100" workbookViewId="0">
      <selection activeCell="A44" sqref="A44:E53"/>
    </sheetView>
  </sheetViews>
  <sheetFormatPr defaultColWidth="29.85546875" defaultRowHeight="15"/>
  <cols>
    <col min="1" max="1" width="41.140625" bestFit="1" customWidth="1"/>
    <col min="2" max="2" width="14.140625" style="77" bestFit="1" customWidth="1"/>
    <col min="3" max="3" width="26.7109375" bestFit="1" customWidth="1"/>
    <col min="4" max="4" width="19.5703125" bestFit="1" customWidth="1"/>
    <col min="5" max="5" width="22.28515625" bestFit="1" customWidth="1"/>
    <col min="6" max="6" width="18.140625" bestFit="1" customWidth="1"/>
    <col min="7" max="7" width="22.28515625" bestFit="1" customWidth="1"/>
    <col min="8" max="8" width="20.5703125" bestFit="1" customWidth="1"/>
  </cols>
  <sheetData>
    <row r="1" spans="1:8">
      <c r="A1" s="49" t="s">
        <v>95</v>
      </c>
      <c r="B1" s="76" t="s">
        <v>108</v>
      </c>
      <c r="C1" s="49" t="s">
        <v>107</v>
      </c>
      <c r="D1" s="49" t="s">
        <v>96</v>
      </c>
      <c r="E1" s="49" t="s">
        <v>192</v>
      </c>
      <c r="F1" s="49" t="s">
        <v>134</v>
      </c>
      <c r="G1" s="49" t="s">
        <v>123</v>
      </c>
      <c r="H1" s="49" t="s">
        <v>99</v>
      </c>
    </row>
    <row r="2" spans="1:8">
      <c r="A2" s="65" t="s">
        <v>191</v>
      </c>
      <c r="B2" s="68"/>
      <c r="C2" s="66"/>
      <c r="D2" s="66"/>
      <c r="E2" s="66">
        <v>7</v>
      </c>
      <c r="F2" s="66"/>
      <c r="G2" s="66"/>
      <c r="H2" s="66"/>
    </row>
    <row r="3" spans="1:8">
      <c r="A3" s="65" t="s">
        <v>162</v>
      </c>
      <c r="B3" s="68"/>
      <c r="C3" s="66"/>
      <c r="D3" s="66"/>
      <c r="E3" s="66"/>
      <c r="F3" s="66"/>
      <c r="G3" s="66"/>
      <c r="H3" s="66"/>
    </row>
    <row r="4" spans="1:8">
      <c r="A4" s="65" t="s">
        <v>163</v>
      </c>
      <c r="B4" s="68">
        <v>76000</v>
      </c>
      <c r="C4" s="66"/>
      <c r="D4" s="66"/>
      <c r="E4" s="66"/>
      <c r="F4" s="66"/>
      <c r="G4" s="66"/>
      <c r="H4" s="66"/>
    </row>
    <row r="5" spans="1:8">
      <c r="A5" s="65" t="s">
        <v>164</v>
      </c>
      <c r="B5" s="68"/>
      <c r="C5" s="66"/>
      <c r="D5" s="66"/>
      <c r="E5" s="66"/>
      <c r="F5" s="66"/>
      <c r="G5" s="66"/>
      <c r="H5" s="66"/>
    </row>
    <row r="6" spans="1:8">
      <c r="A6" s="65" t="s">
        <v>165</v>
      </c>
      <c r="B6" s="68"/>
      <c r="C6" s="66"/>
      <c r="D6" s="66"/>
      <c r="E6" s="66"/>
      <c r="F6" s="66"/>
      <c r="G6" s="66"/>
      <c r="H6" s="66"/>
    </row>
    <row r="7" spans="1:8">
      <c r="A7" s="65" t="s">
        <v>166</v>
      </c>
      <c r="B7" s="68"/>
      <c r="C7" s="66"/>
      <c r="D7" s="66"/>
      <c r="E7" s="66">
        <v>2</v>
      </c>
      <c r="F7" s="66"/>
      <c r="G7" s="66"/>
      <c r="H7" s="66"/>
    </row>
    <row r="8" spans="1:8">
      <c r="A8" s="65" t="s">
        <v>167</v>
      </c>
      <c r="B8" s="68"/>
      <c r="C8" s="66"/>
      <c r="D8" s="66"/>
      <c r="E8" s="66"/>
      <c r="F8" s="66"/>
      <c r="G8" s="66"/>
      <c r="H8" s="66"/>
    </row>
    <row r="9" spans="1:8">
      <c r="A9" s="65" t="s">
        <v>168</v>
      </c>
      <c r="B9" s="68"/>
      <c r="C9" s="66"/>
      <c r="D9" s="66"/>
      <c r="E9" s="66">
        <v>6</v>
      </c>
      <c r="F9" s="66"/>
      <c r="G9" s="66"/>
      <c r="H9" s="66"/>
    </row>
    <row r="10" spans="1:8">
      <c r="A10" s="65" t="s">
        <v>169</v>
      </c>
      <c r="B10" s="70">
        <v>9869</v>
      </c>
      <c r="C10" s="58">
        <v>3121</v>
      </c>
      <c r="D10" s="58">
        <v>158</v>
      </c>
      <c r="E10" s="58"/>
      <c r="F10" s="53" t="s">
        <v>101</v>
      </c>
      <c r="G10" s="53" t="s">
        <v>101</v>
      </c>
      <c r="H10" s="53" t="s">
        <v>101</v>
      </c>
    </row>
    <row r="11" spans="1:8">
      <c r="A11" s="65" t="s">
        <v>170</v>
      </c>
      <c r="B11" s="68"/>
      <c r="C11" s="66"/>
      <c r="D11" s="66"/>
      <c r="E11" s="66"/>
      <c r="F11" s="66"/>
      <c r="G11" s="66"/>
      <c r="H11" s="66"/>
    </row>
    <row r="12" spans="1:8">
      <c r="A12" s="65" t="s">
        <v>124</v>
      </c>
      <c r="B12" s="68"/>
      <c r="C12" s="66"/>
      <c r="D12" s="66"/>
      <c r="E12" s="66"/>
      <c r="F12" s="66"/>
      <c r="G12" s="66"/>
      <c r="H12" s="66"/>
    </row>
    <row r="13" spans="1:8">
      <c r="A13" s="65" t="s">
        <v>125</v>
      </c>
      <c r="B13" s="68"/>
      <c r="C13" s="66"/>
      <c r="D13" s="66"/>
      <c r="E13" s="66"/>
      <c r="F13" s="66"/>
      <c r="G13" s="66"/>
      <c r="H13" s="66"/>
    </row>
    <row r="14" spans="1:8">
      <c r="A14" s="65" t="s">
        <v>126</v>
      </c>
      <c r="B14" s="68">
        <v>20000</v>
      </c>
      <c r="C14" s="66"/>
      <c r="D14" s="66"/>
      <c r="E14" s="66"/>
      <c r="F14" s="66"/>
      <c r="G14" s="66"/>
      <c r="H14" s="66"/>
    </row>
    <row r="15" spans="1:8">
      <c r="A15" s="65" t="s">
        <v>127</v>
      </c>
      <c r="B15" s="68">
        <v>56000</v>
      </c>
      <c r="C15" s="66"/>
      <c r="D15" s="66">
        <v>165</v>
      </c>
      <c r="E15" s="66">
        <v>6</v>
      </c>
      <c r="F15" s="66"/>
      <c r="G15" s="66"/>
      <c r="H15" s="66"/>
    </row>
    <row r="16" spans="1:8">
      <c r="A16" s="65" t="s">
        <v>128</v>
      </c>
      <c r="B16" s="68">
        <v>10000</v>
      </c>
      <c r="C16" s="66"/>
      <c r="D16" s="66"/>
      <c r="E16" s="66">
        <v>5</v>
      </c>
      <c r="F16" s="66"/>
      <c r="G16" s="66"/>
      <c r="H16" s="66"/>
    </row>
    <row r="17" spans="1:8">
      <c r="A17" s="78" t="s">
        <v>129</v>
      </c>
      <c r="B17" s="68"/>
      <c r="C17" s="66"/>
      <c r="D17" s="66"/>
      <c r="E17" s="66"/>
      <c r="F17" s="66"/>
      <c r="G17" s="66"/>
      <c r="H17" s="66"/>
    </row>
    <row r="18" spans="1:8">
      <c r="A18" s="65" t="s">
        <v>130</v>
      </c>
      <c r="B18" s="68"/>
      <c r="C18" s="66"/>
      <c r="D18" s="66"/>
      <c r="E18" s="66"/>
      <c r="F18" s="66"/>
      <c r="G18" s="66"/>
      <c r="H18" s="66"/>
    </row>
    <row r="19" spans="1:8">
      <c r="A19" s="65" t="s">
        <v>131</v>
      </c>
      <c r="B19" s="68"/>
      <c r="C19" s="66"/>
      <c r="D19" s="66"/>
      <c r="E19" s="66"/>
      <c r="F19" s="66"/>
      <c r="G19" s="66"/>
      <c r="H19" s="66"/>
    </row>
    <row r="20" spans="1:8">
      <c r="A20" s="65" t="s">
        <v>132</v>
      </c>
      <c r="B20" s="68">
        <v>536000</v>
      </c>
      <c r="C20" s="66"/>
      <c r="D20" s="66"/>
      <c r="E20" s="66"/>
      <c r="F20" s="66"/>
      <c r="G20" s="66"/>
      <c r="H20" s="66"/>
    </row>
    <row r="21" spans="1:8">
      <c r="A21" s="65" t="s">
        <v>133</v>
      </c>
      <c r="B21" s="68"/>
      <c r="C21" s="66"/>
      <c r="D21" s="66"/>
      <c r="E21" s="66"/>
      <c r="F21" s="66"/>
      <c r="G21" s="66"/>
      <c r="H21" s="66"/>
    </row>
    <row r="22" spans="1:8">
      <c r="A22" s="65" t="s">
        <v>171</v>
      </c>
      <c r="B22" s="68"/>
      <c r="C22" s="66"/>
      <c r="D22" s="66">
        <v>6000</v>
      </c>
      <c r="E22" s="66">
        <v>5</v>
      </c>
      <c r="F22" s="66"/>
      <c r="G22" s="66"/>
      <c r="H22" s="66"/>
    </row>
    <row r="23" spans="1:8">
      <c r="A23" s="65" t="s">
        <v>172</v>
      </c>
      <c r="B23" s="68"/>
      <c r="C23" s="66"/>
      <c r="D23" s="66"/>
      <c r="E23" s="66"/>
      <c r="F23" s="66"/>
      <c r="G23" s="66"/>
      <c r="H23" s="66"/>
    </row>
    <row r="24" spans="1:8">
      <c r="A24" s="65" t="s">
        <v>173</v>
      </c>
      <c r="B24" s="68"/>
      <c r="C24" s="66"/>
      <c r="D24" s="66"/>
      <c r="E24" s="66"/>
      <c r="F24" s="66"/>
      <c r="G24" s="66"/>
      <c r="H24" s="66"/>
    </row>
    <row r="25" spans="1:8">
      <c r="A25" s="65" t="s">
        <v>174</v>
      </c>
      <c r="B25" s="70">
        <v>149212</v>
      </c>
      <c r="C25" s="58">
        <v>15000</v>
      </c>
      <c r="D25" s="58" t="s">
        <v>101</v>
      </c>
      <c r="E25" s="58"/>
      <c r="F25" s="53" t="s">
        <v>101</v>
      </c>
      <c r="G25" s="53" t="s">
        <v>101</v>
      </c>
      <c r="H25" s="53" t="s">
        <v>101</v>
      </c>
    </row>
    <row r="26" spans="1:8">
      <c r="A26" s="65" t="s">
        <v>175</v>
      </c>
      <c r="B26" s="68">
        <v>220000</v>
      </c>
      <c r="C26" s="66"/>
      <c r="D26" s="66"/>
      <c r="E26" s="66"/>
      <c r="F26" s="66"/>
      <c r="G26" s="66"/>
      <c r="H26" s="66"/>
    </row>
    <row r="27" spans="1:8">
      <c r="A27" s="78" t="s">
        <v>176</v>
      </c>
      <c r="B27" s="68"/>
      <c r="C27" s="66"/>
      <c r="D27" s="66"/>
      <c r="E27" s="66"/>
      <c r="F27" s="66"/>
      <c r="G27" s="66"/>
      <c r="H27" s="66"/>
    </row>
    <row r="28" spans="1:8">
      <c r="A28" s="65" t="s">
        <v>177</v>
      </c>
      <c r="B28" s="68">
        <v>19000</v>
      </c>
      <c r="C28" s="66"/>
      <c r="D28" s="66">
        <v>972</v>
      </c>
      <c r="E28" s="66"/>
      <c r="F28" s="66"/>
      <c r="G28" s="66"/>
      <c r="H28" s="66"/>
    </row>
    <row r="29" spans="1:8">
      <c r="A29" s="65" t="s">
        <v>178</v>
      </c>
      <c r="B29" s="68"/>
      <c r="C29" s="66"/>
      <c r="D29" s="66"/>
      <c r="E29" s="66">
        <v>10</v>
      </c>
      <c r="F29" s="66"/>
      <c r="G29" s="66"/>
      <c r="H29" s="66"/>
    </row>
    <row r="30" spans="1:8">
      <c r="A30" s="65" t="s">
        <v>179</v>
      </c>
      <c r="B30" s="68"/>
      <c r="C30" s="66"/>
      <c r="D30" s="66"/>
      <c r="E30" s="66"/>
      <c r="F30" s="66"/>
      <c r="G30" s="66"/>
      <c r="H30" s="66"/>
    </row>
    <row r="31" spans="1:8">
      <c r="A31" s="65" t="s">
        <v>180</v>
      </c>
      <c r="B31" s="68"/>
      <c r="C31" s="66"/>
      <c r="D31" s="66"/>
      <c r="E31" s="66"/>
      <c r="F31" s="66"/>
      <c r="G31" s="66"/>
      <c r="H31" s="66"/>
    </row>
    <row r="32" spans="1:8">
      <c r="A32" s="65" t="s">
        <v>135</v>
      </c>
      <c r="B32" s="70">
        <v>76822</v>
      </c>
      <c r="C32" s="58">
        <v>3689</v>
      </c>
      <c r="D32" s="58">
        <v>422</v>
      </c>
      <c r="E32" s="58"/>
      <c r="F32" s="53" t="s">
        <v>101</v>
      </c>
      <c r="G32" s="54">
        <v>916600000</v>
      </c>
      <c r="H32" s="53" t="s">
        <v>101</v>
      </c>
    </row>
    <row r="33" spans="1:8">
      <c r="A33" s="65" t="s">
        <v>136</v>
      </c>
      <c r="B33" s="68">
        <v>100000</v>
      </c>
      <c r="C33" s="66"/>
      <c r="D33" s="66"/>
      <c r="E33" s="66"/>
      <c r="F33" s="66"/>
      <c r="G33" s="66"/>
      <c r="H33" s="66"/>
    </row>
    <row r="34" spans="1:8">
      <c r="A34" s="65" t="s">
        <v>137</v>
      </c>
      <c r="B34" s="68"/>
      <c r="C34" s="66"/>
      <c r="D34" s="66"/>
      <c r="E34" s="66"/>
      <c r="F34" s="66"/>
      <c r="G34" s="66"/>
      <c r="H34" s="66"/>
    </row>
    <row r="35" spans="1:8">
      <c r="A35" s="65" t="s">
        <v>138</v>
      </c>
      <c r="B35" s="68"/>
      <c r="C35" s="66"/>
      <c r="D35" s="66"/>
      <c r="E35" s="66"/>
      <c r="F35" s="66"/>
      <c r="G35" s="66"/>
      <c r="H35" s="66"/>
    </row>
    <row r="36" spans="1:8">
      <c r="A36" s="65" t="s">
        <v>139</v>
      </c>
      <c r="B36" s="70">
        <v>155806</v>
      </c>
      <c r="C36" s="58">
        <v>29000</v>
      </c>
      <c r="D36" s="58">
        <v>2632</v>
      </c>
      <c r="E36" s="58"/>
      <c r="F36" s="53" t="s">
        <v>101</v>
      </c>
      <c r="G36" s="53" t="s">
        <v>101</v>
      </c>
      <c r="H36" s="53" t="s">
        <v>101</v>
      </c>
    </row>
    <row r="37" spans="1:8">
      <c r="A37" s="65" t="s">
        <v>140</v>
      </c>
      <c r="B37" s="68"/>
      <c r="C37" s="66"/>
      <c r="D37" s="66"/>
      <c r="E37" s="66"/>
      <c r="F37" s="66"/>
      <c r="G37" s="66"/>
      <c r="H37" s="66"/>
    </row>
    <row r="38" spans="1:8">
      <c r="A38" s="65" t="s">
        <v>141</v>
      </c>
      <c r="B38" s="68"/>
      <c r="C38" s="66"/>
      <c r="D38" s="66"/>
      <c r="E38" s="66"/>
      <c r="F38" s="66"/>
      <c r="G38" s="66"/>
      <c r="H38" s="66"/>
    </row>
    <row r="39" spans="1:8">
      <c r="A39" s="65" t="s">
        <v>142</v>
      </c>
      <c r="B39" s="68"/>
      <c r="C39" s="66"/>
      <c r="D39" s="66"/>
      <c r="E39" s="66"/>
      <c r="F39" s="66"/>
      <c r="G39" s="66"/>
      <c r="H39" s="66"/>
    </row>
    <row r="40" spans="1:8">
      <c r="A40" s="65" t="s">
        <v>143</v>
      </c>
      <c r="B40" s="68"/>
      <c r="C40" s="66"/>
      <c r="D40" s="66"/>
      <c r="E40" s="66"/>
      <c r="F40" s="66"/>
      <c r="G40" s="66"/>
      <c r="H40" s="66"/>
    </row>
    <row r="41" spans="1:8">
      <c r="B41" s="77">
        <f>AVERAGE(B2:B40)</f>
        <v>119059.08333333333</v>
      </c>
      <c r="C41" s="77">
        <f t="shared" ref="C41:H41" si="0">AVERAGE(C2:C40)</f>
        <v>12702.5</v>
      </c>
      <c r="D41" s="77">
        <f t="shared" si="0"/>
        <v>1724.8333333333333</v>
      </c>
      <c r="E41" s="77">
        <f t="shared" si="0"/>
        <v>5.8571428571428568</v>
      </c>
      <c r="F41" s="77" t="e">
        <f t="shared" si="0"/>
        <v>#DIV/0!</v>
      </c>
      <c r="G41" s="77">
        <f t="shared" si="0"/>
        <v>916600000</v>
      </c>
      <c r="H41" s="77" t="e">
        <f t="shared" si="0"/>
        <v>#DIV/0!</v>
      </c>
    </row>
    <row r="44" spans="1:8">
      <c r="A44" s="79" t="s">
        <v>193</v>
      </c>
      <c r="B44" s="71">
        <f>D41</f>
        <v>1724.8333333333333</v>
      </c>
      <c r="C44" s="62"/>
      <c r="D44" s="62"/>
    </row>
    <row r="45" spans="1:8">
      <c r="A45" s="79" t="s">
        <v>194</v>
      </c>
      <c r="B45" s="71">
        <f>B44/E41</f>
        <v>294.48373983739839</v>
      </c>
      <c r="C45" s="62"/>
      <c r="D45" s="62"/>
    </row>
    <row r="46" spans="1:8">
      <c r="A46" s="79" t="s">
        <v>195</v>
      </c>
      <c r="B46" s="71">
        <f>B41</f>
        <v>119059.08333333333</v>
      </c>
      <c r="C46" s="62"/>
      <c r="D46" s="62"/>
    </row>
    <row r="47" spans="1:8">
      <c r="B47" s="62"/>
      <c r="C47" s="62"/>
      <c r="D47" s="62"/>
    </row>
    <row r="48" spans="1:8">
      <c r="B48" s="62"/>
      <c r="C48" s="62"/>
      <c r="D48" s="62"/>
    </row>
    <row r="49" spans="1:4">
      <c r="B49" s="62"/>
      <c r="C49" s="62"/>
      <c r="D49" s="62"/>
    </row>
    <row r="50" spans="1:4">
      <c r="B50" s="62"/>
      <c r="C50" s="62"/>
      <c r="D50" s="62"/>
    </row>
    <row r="51" spans="1:4">
      <c r="A51" s="84" t="s">
        <v>64</v>
      </c>
      <c r="B51" s="84"/>
      <c r="C51" s="84"/>
    </row>
    <row r="52" spans="1:4">
      <c r="A52" s="62" t="s">
        <v>65</v>
      </c>
      <c r="B52" s="62" t="s">
        <v>66</v>
      </c>
      <c r="C52" t="s">
        <v>89</v>
      </c>
    </row>
    <row r="53" spans="1:4">
      <c r="A53" s="32">
        <f>25%*B46</f>
        <v>29764.770833333332</v>
      </c>
      <c r="B53" s="32">
        <f>70%*B46</f>
        <v>83341.358333333323</v>
      </c>
      <c r="C53" s="32">
        <f>5%*B46</f>
        <v>5952.9541666666664</v>
      </c>
      <c r="D53" s="31">
        <f>SUM(A53:C53)</f>
        <v>119059.08333333331</v>
      </c>
    </row>
  </sheetData>
  <mergeCells count="1">
    <mergeCell ref="A51:C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2"/>
  <sheetViews>
    <sheetView topLeftCell="A37" workbookViewId="0">
      <selection activeCell="F50" sqref="F50"/>
    </sheetView>
  </sheetViews>
  <sheetFormatPr defaultRowHeight="15"/>
  <cols>
    <col min="2" max="2" width="5.85546875" customWidth="1"/>
    <col min="3" max="3" width="24.42578125" bestFit="1" customWidth="1"/>
    <col min="4" max="4" width="14.28515625" bestFit="1" customWidth="1"/>
    <col min="5" max="5" width="12.42578125" customWidth="1"/>
    <col min="6" max="6" width="14.5703125" bestFit="1" customWidth="1"/>
    <col min="7" max="7" width="17" bestFit="1" customWidth="1"/>
    <col min="8" max="8" width="20" customWidth="1"/>
    <col min="10" max="10" width="12.85546875" customWidth="1"/>
    <col min="11" max="14" width="15.28515625" bestFit="1" customWidth="1"/>
    <col min="15" max="15" width="16.28515625" bestFit="1" customWidth="1"/>
    <col min="16" max="16" width="19" bestFit="1" customWidth="1"/>
    <col min="17" max="17" width="18" bestFit="1" customWidth="1"/>
    <col min="18" max="18" width="15.5703125" bestFit="1" customWidth="1"/>
    <col min="19" max="20" width="18" bestFit="1" customWidth="1"/>
    <col min="21" max="26" width="16.28515625" bestFit="1" customWidth="1"/>
  </cols>
  <sheetData>
    <row r="1" spans="1:20" ht="18">
      <c r="A1" s="12"/>
      <c r="B1" s="26" t="s">
        <v>47</v>
      </c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0">
      <c r="A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20">
      <c r="B3" s="13" t="s">
        <v>7</v>
      </c>
    </row>
    <row r="4" spans="1:20">
      <c r="A4" s="14"/>
      <c r="B4" s="14" t="s">
        <v>6</v>
      </c>
      <c r="J4" s="14" t="s">
        <v>9</v>
      </c>
      <c r="K4" s="12"/>
      <c r="L4" s="12"/>
      <c r="M4" s="12"/>
      <c r="N4" s="12"/>
      <c r="P4" s="14" t="s">
        <v>45</v>
      </c>
      <c r="Q4" s="12"/>
      <c r="R4" s="12"/>
      <c r="S4" s="12"/>
      <c r="T4" s="12"/>
    </row>
    <row r="5" spans="1:20">
      <c r="A5" s="12"/>
      <c r="J5" s="80" t="s">
        <v>47</v>
      </c>
      <c r="K5" s="15" t="s">
        <v>40</v>
      </c>
      <c r="L5" s="15" t="s">
        <v>41</v>
      </c>
      <c r="M5" s="15" t="s">
        <v>44</v>
      </c>
      <c r="N5" s="15" t="s">
        <v>42</v>
      </c>
      <c r="P5" s="80" t="s">
        <v>47</v>
      </c>
      <c r="Q5" s="15" t="s">
        <v>40</v>
      </c>
      <c r="R5" s="15" t="s">
        <v>41</v>
      </c>
      <c r="S5" s="15" t="s">
        <v>44</v>
      </c>
      <c r="T5" s="15" t="s">
        <v>42</v>
      </c>
    </row>
    <row r="6" spans="1:20">
      <c r="A6" s="12"/>
      <c r="B6" s="1" t="s">
        <v>1</v>
      </c>
      <c r="C6" s="1" t="s">
        <v>2</v>
      </c>
      <c r="D6" s="1" t="s">
        <v>4</v>
      </c>
      <c r="E6" s="1" t="s">
        <v>14</v>
      </c>
      <c r="F6" s="1" t="s">
        <v>19</v>
      </c>
      <c r="G6" s="1" t="s">
        <v>3</v>
      </c>
      <c r="H6" s="1" t="s">
        <v>20</v>
      </c>
      <c r="J6" s="81"/>
      <c r="K6" s="15">
        <v>1</v>
      </c>
      <c r="L6" s="15">
        <v>2</v>
      </c>
      <c r="M6" s="15">
        <v>4</v>
      </c>
      <c r="N6" s="15">
        <v>10</v>
      </c>
      <c r="P6" s="81"/>
      <c r="Q6" s="15">
        <v>1</v>
      </c>
      <c r="R6" s="15">
        <v>2</v>
      </c>
      <c r="S6" s="15">
        <v>6</v>
      </c>
      <c r="T6" s="15">
        <v>10</v>
      </c>
    </row>
    <row r="7" spans="1:20">
      <c r="A7" s="12"/>
      <c r="B7" s="16"/>
      <c r="C7" s="35" t="s">
        <v>209</v>
      </c>
      <c r="D7" s="16"/>
      <c r="E7" s="16"/>
      <c r="F7" s="17"/>
      <c r="G7" s="17"/>
      <c r="H7" s="16"/>
      <c r="J7" s="16" t="s">
        <v>10</v>
      </c>
      <c r="K7" s="18">
        <f>10%*$G$23</f>
        <v>900000</v>
      </c>
      <c r="L7" s="18">
        <f>20%*$G$23</f>
        <v>1800000</v>
      </c>
      <c r="M7" s="18">
        <f>60%*$G$23</f>
        <v>5400000</v>
      </c>
      <c r="N7" s="18">
        <f>$G$23</f>
        <v>9000000</v>
      </c>
      <c r="P7" s="16" t="s">
        <v>10</v>
      </c>
      <c r="Q7" s="18">
        <f>$G$46</f>
        <v>10000000</v>
      </c>
      <c r="R7" s="18">
        <f>(5%*$G$46)+$G$46</f>
        <v>10500000</v>
      </c>
      <c r="S7" s="18">
        <f>(25%*$G$46)+$G$46</f>
        <v>12500000</v>
      </c>
      <c r="T7" s="18">
        <f>(45%*$G$46)+$G$46</f>
        <v>14500000</v>
      </c>
    </row>
    <row r="8" spans="1:20">
      <c r="A8" s="12"/>
      <c r="B8" s="15"/>
      <c r="C8" s="9" t="s">
        <v>48</v>
      </c>
      <c r="D8" s="9"/>
      <c r="E8" s="16"/>
      <c r="F8" s="17"/>
      <c r="G8" s="17"/>
      <c r="H8" s="19"/>
      <c r="J8" s="16" t="s">
        <v>11</v>
      </c>
      <c r="K8" s="18">
        <f>15%*$G$23</f>
        <v>1350000</v>
      </c>
      <c r="L8" s="18">
        <f>25%*$G$23</f>
        <v>2250000</v>
      </c>
      <c r="M8" s="18">
        <f>(65%*$G$23)+G14</f>
        <v>7850000</v>
      </c>
      <c r="N8" s="18">
        <f>$G$23+G11+G14</f>
        <v>92000000</v>
      </c>
      <c r="P8" s="16" t="s">
        <v>11</v>
      </c>
      <c r="Q8" s="18">
        <f>$G$46</f>
        <v>10000000</v>
      </c>
      <c r="R8" s="18">
        <f>(5%*$G$46)+$G$46</f>
        <v>10500000</v>
      </c>
      <c r="S8" s="18">
        <f>(25%*$G$46)+$G$46</f>
        <v>12500000</v>
      </c>
      <c r="T8" s="18">
        <f>(45%*$G$46)+$G$46</f>
        <v>14500000</v>
      </c>
    </row>
    <row r="9" spans="1:20">
      <c r="A9" s="12"/>
      <c r="B9" s="7"/>
      <c r="C9" s="6" t="s">
        <v>71</v>
      </c>
      <c r="D9" s="7"/>
      <c r="E9" s="7"/>
      <c r="F9" s="7"/>
      <c r="G9" s="5"/>
      <c r="H9" s="11"/>
      <c r="J9" s="16" t="s">
        <v>12</v>
      </c>
      <c r="K9" s="18">
        <f>20%*$G$23</f>
        <v>1800000</v>
      </c>
      <c r="L9" s="18">
        <f>30%*$G$23</f>
        <v>2700000</v>
      </c>
      <c r="M9" s="18">
        <f>70%*$G$23+G14</f>
        <v>8300000</v>
      </c>
      <c r="N9" s="18">
        <f>$G$23+G11+G14</f>
        <v>92000000</v>
      </c>
      <c r="P9" s="16" t="s">
        <v>12</v>
      </c>
      <c r="Q9" s="18">
        <f>$G$46</f>
        <v>10000000</v>
      </c>
      <c r="R9" s="18">
        <f>(5%*$G$46)+$G$46</f>
        <v>10500000</v>
      </c>
      <c r="S9" s="18">
        <f>(25%*$G$46)+$G$46</f>
        <v>12500000</v>
      </c>
      <c r="T9" s="18">
        <f>(45%*$G$46)+$G$46</f>
        <v>14500000</v>
      </c>
    </row>
    <row r="10" spans="1:20">
      <c r="A10" s="12"/>
      <c r="B10" s="15">
        <v>1</v>
      </c>
      <c r="C10" s="16" t="s">
        <v>49</v>
      </c>
      <c r="D10" s="15"/>
      <c r="E10" s="15"/>
      <c r="F10" s="5"/>
      <c r="G10" s="5"/>
      <c r="H10" s="16"/>
      <c r="J10" s="16" t="s">
        <v>5</v>
      </c>
      <c r="K10" s="17"/>
      <c r="L10" s="17"/>
      <c r="M10" s="17"/>
      <c r="N10" s="17"/>
      <c r="P10" s="16" t="s">
        <v>5</v>
      </c>
      <c r="Q10" s="18"/>
      <c r="R10" s="17"/>
      <c r="S10" s="17"/>
      <c r="T10" s="17"/>
    </row>
    <row r="11" spans="1:20" ht="57.75">
      <c r="A11" s="12"/>
      <c r="B11" s="8"/>
      <c r="C11" s="19" t="s">
        <v>67</v>
      </c>
      <c r="D11" s="4">
        <f>(30%*30000)/5</f>
        <v>1800</v>
      </c>
      <c r="E11" s="29" t="s">
        <v>91</v>
      </c>
      <c r="F11" s="5">
        <v>45000</v>
      </c>
      <c r="G11" s="5">
        <f>D11*F11</f>
        <v>81000000</v>
      </c>
      <c r="H11" s="19" t="s">
        <v>92</v>
      </c>
      <c r="P11" s="14"/>
      <c r="Q11" s="12"/>
      <c r="R11" s="12"/>
      <c r="S11" s="12"/>
      <c r="T11" s="12"/>
    </row>
    <row r="12" spans="1:20">
      <c r="A12" s="12"/>
      <c r="B12" s="8"/>
      <c r="C12" s="16" t="s">
        <v>16</v>
      </c>
      <c r="D12" s="15">
        <v>6</v>
      </c>
      <c r="E12" s="15" t="s">
        <v>17</v>
      </c>
      <c r="F12" s="5">
        <v>35000</v>
      </c>
      <c r="G12" s="5">
        <f t="shared" ref="G12:G13" si="0">D12*F12</f>
        <v>210000</v>
      </c>
      <c r="H12" s="16"/>
      <c r="J12" s="80" t="s">
        <v>39</v>
      </c>
      <c r="K12" s="15" t="s">
        <v>40</v>
      </c>
      <c r="L12" s="15" t="s">
        <v>41</v>
      </c>
      <c r="M12" s="15" t="s">
        <v>44</v>
      </c>
      <c r="N12" s="15" t="s">
        <v>42</v>
      </c>
      <c r="P12" s="80" t="s">
        <v>39</v>
      </c>
      <c r="Q12" s="15" t="s">
        <v>40</v>
      </c>
      <c r="R12" s="15" t="s">
        <v>41</v>
      </c>
      <c r="S12" s="15" t="s">
        <v>44</v>
      </c>
      <c r="T12" s="15" t="s">
        <v>42</v>
      </c>
    </row>
    <row r="13" spans="1:20">
      <c r="A13" s="12"/>
      <c r="B13" s="7"/>
      <c r="C13" s="10" t="s">
        <v>13</v>
      </c>
      <c r="D13" s="7">
        <v>6</v>
      </c>
      <c r="E13" s="3" t="s">
        <v>15</v>
      </c>
      <c r="F13" s="2">
        <v>50000</v>
      </c>
      <c r="G13" s="5">
        <f t="shared" si="0"/>
        <v>300000</v>
      </c>
      <c r="H13" s="11"/>
      <c r="J13" s="81"/>
      <c r="K13" s="15">
        <v>1</v>
      </c>
      <c r="L13" s="15">
        <v>2</v>
      </c>
      <c r="M13" s="15">
        <v>4</v>
      </c>
      <c r="N13" s="15">
        <v>10</v>
      </c>
      <c r="P13" s="81"/>
      <c r="Q13" s="15">
        <v>1</v>
      </c>
      <c r="R13" s="15">
        <v>2</v>
      </c>
      <c r="S13" s="15">
        <v>6</v>
      </c>
      <c r="T13" s="15">
        <v>10</v>
      </c>
    </row>
    <row r="14" spans="1:20" ht="24.75">
      <c r="B14" s="7">
        <v>2</v>
      </c>
      <c r="C14" s="27" t="s">
        <v>69</v>
      </c>
      <c r="D14" s="7">
        <v>4</v>
      </c>
      <c r="E14" s="7" t="s">
        <v>70</v>
      </c>
      <c r="F14" s="2">
        <v>500000</v>
      </c>
      <c r="G14" s="5">
        <f>D14*F14</f>
        <v>2000000</v>
      </c>
      <c r="H14" s="19" t="s">
        <v>68</v>
      </c>
      <c r="J14" s="16" t="s">
        <v>10</v>
      </c>
      <c r="K14" s="18">
        <f>10%*(300*(50%*$G$34))</f>
        <v>7500000000</v>
      </c>
      <c r="L14" s="18">
        <f>10%*(300*($G$34))</f>
        <v>15000000000</v>
      </c>
      <c r="M14" s="18">
        <f>10%*(300*($G$28+G31))</f>
        <v>30004500000</v>
      </c>
      <c r="N14" s="18">
        <f>10%*(300*G28)</f>
        <v>30000000000</v>
      </c>
      <c r="P14" s="16" t="s">
        <v>10</v>
      </c>
      <c r="Q14" s="18">
        <f>G48+G49</f>
        <v>31650000000</v>
      </c>
      <c r="R14" s="18">
        <f>G48+(R13*G49)</f>
        <v>63150000000</v>
      </c>
      <c r="S14" s="18">
        <f>G48+(S13*G49)</f>
        <v>189150000000</v>
      </c>
      <c r="T14" s="18">
        <f>G48+(10*G49)</f>
        <v>315150000000</v>
      </c>
    </row>
    <row r="15" spans="1:20">
      <c r="J15" s="16" t="s">
        <v>11</v>
      </c>
      <c r="K15" s="18">
        <f>10%*(300*(G32+G33+(50%*$G$34)))</f>
        <v>7563000000</v>
      </c>
      <c r="L15" s="18">
        <f>10%*(300*(G32+G33+$G$34))</f>
        <v>15063000000</v>
      </c>
      <c r="M15" s="18">
        <f>10%*(300*(G26+$G$28+G29+G31))</f>
        <v>30334500000</v>
      </c>
      <c r="N15" s="18">
        <f>10%*(300*(G26+G27+G28+G29))</f>
        <v>30525000000</v>
      </c>
      <c r="P15" s="16" t="s">
        <v>11</v>
      </c>
      <c r="Q15" s="18">
        <f>G48+G49</f>
        <v>31650000000</v>
      </c>
      <c r="R15" s="18">
        <f>G48+(R13*G49)</f>
        <v>63150000000</v>
      </c>
      <c r="S15" s="18">
        <f>G48+(S13*G49)</f>
        <v>189150000000</v>
      </c>
      <c r="T15" s="18">
        <f>G48+(10*G49)</f>
        <v>315150000000</v>
      </c>
    </row>
    <row r="16" spans="1:20">
      <c r="A16" s="13"/>
      <c r="B16" s="36"/>
      <c r="C16" s="37"/>
      <c r="D16" s="36"/>
      <c r="E16" s="36"/>
      <c r="F16" s="36"/>
      <c r="G16" s="38"/>
      <c r="H16" s="39"/>
      <c r="J16" s="16" t="s">
        <v>12</v>
      </c>
      <c r="K16" s="18">
        <f>10%*(300*(G32+G33+(50%*$G$34)))</f>
        <v>7563000000</v>
      </c>
      <c r="L16" s="18">
        <f>10%*(300*(G32+G33+$G$34))</f>
        <v>15063000000</v>
      </c>
      <c r="M16" s="18">
        <f>10%*(300*(G26+$G$28+G29+G31))</f>
        <v>30334500000</v>
      </c>
      <c r="N16" s="18">
        <f>10%*(300*(G26+G27+G28+G29))</f>
        <v>30525000000</v>
      </c>
      <c r="P16" s="16" t="s">
        <v>12</v>
      </c>
      <c r="Q16" s="18">
        <f>G48+G49</f>
        <v>31650000000</v>
      </c>
      <c r="R16" s="17">
        <f>G48+(R13*G49)</f>
        <v>63150000000</v>
      </c>
      <c r="S16" s="17">
        <f>G48+(S13*G49)</f>
        <v>189150000000</v>
      </c>
      <c r="T16" s="17">
        <f>G48+(10*G49)</f>
        <v>315150000000</v>
      </c>
    </row>
    <row r="17" spans="1:26">
      <c r="A17" s="12"/>
      <c r="B17" s="36"/>
      <c r="C17" s="40"/>
      <c r="D17" s="41"/>
      <c r="E17" s="36"/>
      <c r="F17" s="42"/>
      <c r="G17" s="38"/>
      <c r="H17" s="39"/>
      <c r="J17" s="16" t="s">
        <v>5</v>
      </c>
      <c r="K17" s="17"/>
      <c r="L17" s="17"/>
      <c r="M17" s="17"/>
      <c r="N17" s="17"/>
      <c r="P17" s="16" t="s">
        <v>5</v>
      </c>
      <c r="Q17" s="5">
        <f>40%*$G$49</f>
        <v>12600000000</v>
      </c>
      <c r="R17" s="17">
        <f>R13*(40%*$G$49)</f>
        <v>25200000000</v>
      </c>
      <c r="S17" s="17">
        <f>S13*(40%*$G$49)</f>
        <v>75600000000</v>
      </c>
      <c r="T17" s="17">
        <f>T13*(40%*$G$49)</f>
        <v>126000000000</v>
      </c>
    </row>
    <row r="18" spans="1:26">
      <c r="A18" s="12"/>
    </row>
    <row r="19" spans="1:26">
      <c r="A19" s="12"/>
      <c r="B19" s="1" t="s">
        <v>1</v>
      </c>
      <c r="C19" s="1" t="s">
        <v>2</v>
      </c>
      <c r="D19" s="1" t="s">
        <v>4</v>
      </c>
      <c r="E19" s="1" t="s">
        <v>14</v>
      </c>
      <c r="F19" s="1" t="s">
        <v>19</v>
      </c>
      <c r="G19" s="1" t="s">
        <v>3</v>
      </c>
      <c r="H19" s="1" t="s">
        <v>20</v>
      </c>
    </row>
    <row r="20" spans="1:26">
      <c r="A20" s="12"/>
      <c r="B20" s="16"/>
      <c r="C20" s="35" t="s">
        <v>210</v>
      </c>
      <c r="D20" s="16"/>
      <c r="E20" s="16"/>
      <c r="F20" s="17"/>
      <c r="G20" s="17"/>
      <c r="H20" s="16"/>
    </row>
    <row r="21" spans="1:26" ht="30">
      <c r="A21" s="12"/>
      <c r="B21" s="15"/>
      <c r="C21" s="9" t="s">
        <v>48</v>
      </c>
      <c r="D21" s="35"/>
      <c r="E21" s="16"/>
      <c r="F21" s="17"/>
      <c r="G21" s="17"/>
      <c r="H21" s="19"/>
      <c r="J21" s="22" t="s">
        <v>38</v>
      </c>
      <c r="K21" s="7" t="s">
        <v>22</v>
      </c>
      <c r="L21" s="7" t="s">
        <v>23</v>
      </c>
      <c r="M21" s="7" t="s">
        <v>24</v>
      </c>
      <c r="N21" s="7" t="s">
        <v>25</v>
      </c>
      <c r="O21" s="7" t="s">
        <v>26</v>
      </c>
      <c r="P21" s="7" t="s">
        <v>27</v>
      </c>
      <c r="Q21" s="7" t="s">
        <v>28</v>
      </c>
      <c r="R21" s="7" t="s">
        <v>29</v>
      </c>
      <c r="S21" s="7" t="s">
        <v>30</v>
      </c>
      <c r="T21" s="7" t="s">
        <v>31</v>
      </c>
      <c r="U21" s="7" t="s">
        <v>32</v>
      </c>
      <c r="V21" s="7" t="s">
        <v>33</v>
      </c>
      <c r="W21" s="7" t="s">
        <v>34</v>
      </c>
      <c r="X21" s="7" t="s">
        <v>35</v>
      </c>
      <c r="Y21" s="7" t="s">
        <v>36</v>
      </c>
      <c r="Z21" s="7" t="s">
        <v>37</v>
      </c>
    </row>
    <row r="22" spans="1:26">
      <c r="A22" s="12"/>
      <c r="B22" s="7"/>
      <c r="C22" s="6" t="s">
        <v>71</v>
      </c>
      <c r="D22" s="7"/>
      <c r="E22" s="7"/>
      <c r="F22" s="7"/>
      <c r="G22" s="5"/>
      <c r="H22" s="11"/>
      <c r="J22" s="22" t="s">
        <v>47</v>
      </c>
      <c r="K22" s="23">
        <f>K7+Q7</f>
        <v>10900000</v>
      </c>
      <c r="L22" s="23">
        <f>K8+Q8</f>
        <v>11350000</v>
      </c>
      <c r="M22" s="23">
        <f>K9+Q9</f>
        <v>11800000</v>
      </c>
      <c r="N22" s="23">
        <f>K10+Q10</f>
        <v>0</v>
      </c>
      <c r="O22" s="23">
        <f>L7+R7</f>
        <v>12300000</v>
      </c>
      <c r="P22" s="23">
        <f>L8+R8</f>
        <v>12750000</v>
      </c>
      <c r="Q22" s="23">
        <f>$L$9+$R$9</f>
        <v>13200000</v>
      </c>
      <c r="R22" s="23">
        <f>L10+R10</f>
        <v>0</v>
      </c>
      <c r="S22" s="23">
        <f>M7+S7</f>
        <v>17900000</v>
      </c>
      <c r="T22" s="23">
        <f>M8+S8</f>
        <v>20350000</v>
      </c>
      <c r="U22" s="23">
        <f>M9+S9</f>
        <v>20800000</v>
      </c>
      <c r="V22" s="23">
        <f>M10+S10</f>
        <v>0</v>
      </c>
      <c r="W22" s="23">
        <f>N7+T7</f>
        <v>23500000</v>
      </c>
      <c r="X22" s="23">
        <f>N8+T8</f>
        <v>106500000</v>
      </c>
      <c r="Y22" s="23">
        <f>N9+T9</f>
        <v>106500000</v>
      </c>
      <c r="Z22" s="23">
        <f>N10+T10</f>
        <v>0</v>
      </c>
    </row>
    <row r="23" spans="1:26" ht="24.75">
      <c r="A23" s="13"/>
      <c r="B23" s="15">
        <v>1</v>
      </c>
      <c r="C23" s="16" t="s">
        <v>80</v>
      </c>
      <c r="D23" s="15">
        <v>6</v>
      </c>
      <c r="E23" s="15" t="s">
        <v>17</v>
      </c>
      <c r="F23" s="5">
        <v>1500000</v>
      </c>
      <c r="G23" s="5">
        <f>D23*F23</f>
        <v>9000000</v>
      </c>
      <c r="H23" s="19" t="s">
        <v>81</v>
      </c>
      <c r="J23" s="11" t="s">
        <v>39</v>
      </c>
      <c r="K23" s="23">
        <f>K14+Q14</f>
        <v>39150000000</v>
      </c>
      <c r="L23" s="24">
        <f>K15+Q15</f>
        <v>39213000000</v>
      </c>
      <c r="M23" s="24">
        <f>K16+Q16</f>
        <v>39213000000</v>
      </c>
      <c r="N23" s="24">
        <f>K17+Q17</f>
        <v>12600000000</v>
      </c>
      <c r="O23" s="24">
        <f>L14+R14</f>
        <v>78150000000</v>
      </c>
      <c r="P23" s="24">
        <f>L15+R15</f>
        <v>78213000000</v>
      </c>
      <c r="Q23" s="24">
        <f>L16+R16</f>
        <v>78213000000</v>
      </c>
      <c r="R23" s="24">
        <f>L17+R17</f>
        <v>25200000000</v>
      </c>
      <c r="S23" s="24">
        <f>M14+S14</f>
        <v>219154500000</v>
      </c>
      <c r="T23" s="24">
        <f>M15+S15</f>
        <v>219484500000</v>
      </c>
      <c r="U23" s="24">
        <f>M16+S16</f>
        <v>219484500000</v>
      </c>
      <c r="V23" s="24">
        <f>M17+S17</f>
        <v>75600000000</v>
      </c>
      <c r="W23" s="24">
        <f>N14+T14</f>
        <v>345150000000</v>
      </c>
      <c r="X23" s="24">
        <f>N15+T15</f>
        <v>345675000000</v>
      </c>
      <c r="Y23" s="24">
        <f>N16+T16</f>
        <v>345675000000</v>
      </c>
      <c r="Z23" s="24">
        <f>N17+T17</f>
        <v>126000000000</v>
      </c>
    </row>
    <row r="24" spans="1:26">
      <c r="B24" s="7"/>
      <c r="C24" s="6" t="s">
        <v>43</v>
      </c>
      <c r="D24" s="7"/>
      <c r="E24" s="7"/>
      <c r="F24" s="7"/>
      <c r="G24" s="5"/>
      <c r="H24" s="11"/>
      <c r="J24" s="12"/>
      <c r="K24" s="12"/>
      <c r="L24" s="12"/>
      <c r="M24" s="12"/>
      <c r="N24" s="12"/>
      <c r="O24" s="12"/>
    </row>
    <row r="25" spans="1:26">
      <c r="B25" s="16"/>
      <c r="C25" s="9" t="s">
        <v>72</v>
      </c>
      <c r="D25" s="16"/>
      <c r="E25" s="16"/>
      <c r="F25" s="17"/>
      <c r="G25" s="17"/>
      <c r="H25" s="16"/>
    </row>
    <row r="26" spans="1:26" ht="36.75">
      <c r="B26" s="43">
        <v>1</v>
      </c>
      <c r="C26" s="44" t="s">
        <v>73</v>
      </c>
      <c r="D26" s="15">
        <v>2</v>
      </c>
      <c r="E26" s="15" t="s">
        <v>17</v>
      </c>
      <c r="F26" s="17">
        <v>4000000</v>
      </c>
      <c r="G26" s="17">
        <f t="shared" ref="G26:G27" si="1">D26*F26</f>
        <v>8000000</v>
      </c>
      <c r="H26" s="28" t="s">
        <v>74</v>
      </c>
    </row>
    <row r="27" spans="1:26" ht="24.75">
      <c r="B27" s="43">
        <v>2</v>
      </c>
      <c r="C27" s="16" t="s">
        <v>83</v>
      </c>
      <c r="D27" s="15">
        <v>1</v>
      </c>
      <c r="E27" s="15" t="s">
        <v>84</v>
      </c>
      <c r="F27" s="5">
        <v>6500000</v>
      </c>
      <c r="G27" s="5">
        <f t="shared" si="1"/>
        <v>6500000</v>
      </c>
      <c r="H27" s="19" t="s">
        <v>85</v>
      </c>
    </row>
    <row r="28" spans="1:26" ht="120.75">
      <c r="B28" s="43">
        <v>3</v>
      </c>
      <c r="C28" s="16" t="s">
        <v>18</v>
      </c>
      <c r="D28" s="15"/>
      <c r="E28" s="15"/>
      <c r="F28" s="5"/>
      <c r="G28" s="5">
        <f>10%*10000000000</f>
        <v>1000000000</v>
      </c>
      <c r="H28" s="28" t="s">
        <v>88</v>
      </c>
    </row>
    <row r="29" spans="1:26" ht="24.75">
      <c r="B29" s="45">
        <v>4</v>
      </c>
      <c r="C29" s="10" t="s">
        <v>76</v>
      </c>
      <c r="D29" s="15"/>
      <c r="E29" s="15"/>
      <c r="F29" s="5"/>
      <c r="G29" s="5">
        <v>3000000</v>
      </c>
      <c r="H29" s="28" t="s">
        <v>75</v>
      </c>
    </row>
    <row r="30" spans="1:26">
      <c r="B30" s="8"/>
      <c r="C30" s="9" t="s">
        <v>77</v>
      </c>
      <c r="D30" s="7"/>
      <c r="E30" s="3"/>
      <c r="F30" s="2"/>
      <c r="G30" s="5"/>
      <c r="H30" s="11"/>
    </row>
    <row r="31" spans="1:26">
      <c r="A31" s="12"/>
      <c r="B31" s="43">
        <v>1</v>
      </c>
      <c r="C31" s="44" t="s">
        <v>82</v>
      </c>
      <c r="D31" s="15">
        <v>1</v>
      </c>
      <c r="E31" s="15" t="s">
        <v>17</v>
      </c>
      <c r="F31" s="17">
        <f>10%*1500000</f>
        <v>150000</v>
      </c>
      <c r="G31" s="17">
        <f t="shared" ref="G31:G33" si="2">D31*F31</f>
        <v>150000</v>
      </c>
      <c r="H31" s="19" t="s">
        <v>78</v>
      </c>
    </row>
    <row r="32" spans="1:26" ht="36.75">
      <c r="B32" s="43">
        <v>2</v>
      </c>
      <c r="C32" s="44" t="s">
        <v>73</v>
      </c>
      <c r="D32" s="15">
        <v>2</v>
      </c>
      <c r="E32" s="15" t="s">
        <v>17</v>
      </c>
      <c r="F32" s="17">
        <f>10%*F26</f>
        <v>400000</v>
      </c>
      <c r="G32" s="17">
        <f t="shared" si="2"/>
        <v>800000</v>
      </c>
      <c r="H32" s="28" t="s">
        <v>79</v>
      </c>
    </row>
    <row r="33" spans="1:20" ht="24.75">
      <c r="B33" s="43">
        <v>3</v>
      </c>
      <c r="C33" s="16" t="s">
        <v>83</v>
      </c>
      <c r="D33" s="15">
        <v>1</v>
      </c>
      <c r="E33" s="15" t="s">
        <v>84</v>
      </c>
      <c r="F33" s="5">
        <f>20%*F27</f>
        <v>1300000</v>
      </c>
      <c r="G33" s="5">
        <f t="shared" si="2"/>
        <v>1300000</v>
      </c>
      <c r="H33" s="19" t="s">
        <v>86</v>
      </c>
      <c r="J33" s="12"/>
      <c r="K33" s="12"/>
      <c r="L33" s="12"/>
      <c r="M33" s="12"/>
      <c r="N33" s="12"/>
    </row>
    <row r="34" spans="1:20" ht="60.75">
      <c r="B34" s="43">
        <v>4</v>
      </c>
      <c r="C34" s="16" t="s">
        <v>18</v>
      </c>
      <c r="D34" s="15"/>
      <c r="E34" s="15"/>
      <c r="F34" s="5"/>
      <c r="G34" s="5">
        <f>50%*G28</f>
        <v>500000000</v>
      </c>
      <c r="H34" s="28" t="s">
        <v>87</v>
      </c>
    </row>
    <row r="35" spans="1:20">
      <c r="A35" s="12"/>
      <c r="B35" s="46"/>
    </row>
    <row r="36" spans="1:20" ht="192.75">
      <c r="A36" s="12"/>
      <c r="B36" s="25"/>
      <c r="C36" s="61" t="s">
        <v>211</v>
      </c>
      <c r="D36" s="20"/>
      <c r="E36" s="20"/>
      <c r="F36" s="20"/>
      <c r="G36" s="21"/>
      <c r="H36" s="20"/>
      <c r="J36" s="48" t="s">
        <v>93</v>
      </c>
      <c r="P36" s="48" t="s">
        <v>94</v>
      </c>
    </row>
    <row r="37" spans="1:20">
      <c r="A37" s="12"/>
      <c r="B37" s="25"/>
      <c r="C37" s="20"/>
      <c r="D37" s="20"/>
      <c r="E37" s="20"/>
      <c r="F37" s="20"/>
      <c r="G37" s="21"/>
      <c r="H37" s="20"/>
      <c r="J37" s="80" t="s">
        <v>47</v>
      </c>
      <c r="K37" s="15" t="s">
        <v>40</v>
      </c>
      <c r="L37" s="15" t="s">
        <v>41</v>
      </c>
      <c r="M37" s="15" t="s">
        <v>44</v>
      </c>
      <c r="N37" s="15" t="s">
        <v>42</v>
      </c>
      <c r="P37" s="80" t="s">
        <v>47</v>
      </c>
      <c r="Q37" s="15" t="s">
        <v>40</v>
      </c>
      <c r="R37" s="15" t="s">
        <v>41</v>
      </c>
      <c r="S37" s="15" t="s">
        <v>44</v>
      </c>
      <c r="T37" s="15" t="s">
        <v>42</v>
      </c>
    </row>
    <row r="38" spans="1:20">
      <c r="A38" s="12"/>
      <c r="B38" s="25"/>
      <c r="C38" s="20"/>
      <c r="D38" s="20"/>
      <c r="E38" s="20"/>
      <c r="F38" s="20"/>
      <c r="G38" s="21"/>
      <c r="H38" s="20"/>
      <c r="J38" s="81"/>
      <c r="K38" s="15">
        <v>1</v>
      </c>
      <c r="L38" s="15">
        <v>2</v>
      </c>
      <c r="M38" s="15">
        <v>4</v>
      </c>
      <c r="N38" s="15">
        <v>10</v>
      </c>
      <c r="P38" s="81"/>
      <c r="Q38" s="15">
        <v>1</v>
      </c>
      <c r="R38" s="15">
        <v>2</v>
      </c>
      <c r="S38" s="15">
        <v>6</v>
      </c>
      <c r="T38" s="15">
        <v>10</v>
      </c>
    </row>
    <row r="39" spans="1:20">
      <c r="A39" s="12"/>
      <c r="J39" s="16" t="s">
        <v>10</v>
      </c>
      <c r="K39" s="18">
        <f t="shared" ref="K39:N41" si="3">K7+K14</f>
        <v>7500900000</v>
      </c>
      <c r="L39" s="18">
        <f t="shared" si="3"/>
        <v>15001800000</v>
      </c>
      <c r="M39" s="18">
        <f t="shared" si="3"/>
        <v>30009900000</v>
      </c>
      <c r="N39" s="18">
        <f t="shared" si="3"/>
        <v>30009000000</v>
      </c>
      <c r="P39" s="16" t="s">
        <v>10</v>
      </c>
      <c r="Q39" s="18">
        <f>Q7+Q14</f>
        <v>31660000000</v>
      </c>
      <c r="R39" s="18">
        <f>R7+R14</f>
        <v>63160500000</v>
      </c>
      <c r="S39" s="18">
        <f>S7+S14</f>
        <v>189162500000</v>
      </c>
      <c r="T39" s="18">
        <f>T7+T14</f>
        <v>315164500000</v>
      </c>
    </row>
    <row r="40" spans="1:20">
      <c r="A40" s="12"/>
      <c r="B40" s="12"/>
      <c r="J40" s="16" t="s">
        <v>11</v>
      </c>
      <c r="K40" s="18">
        <f t="shared" si="3"/>
        <v>7564350000</v>
      </c>
      <c r="L40" s="18">
        <f t="shared" si="3"/>
        <v>15065250000</v>
      </c>
      <c r="M40" s="18">
        <f t="shared" si="3"/>
        <v>30342350000</v>
      </c>
      <c r="N40" s="18">
        <f t="shared" si="3"/>
        <v>30617000000</v>
      </c>
      <c r="P40" s="16" t="s">
        <v>11</v>
      </c>
      <c r="Q40" s="18">
        <f>Q8+Q15</f>
        <v>31660000000</v>
      </c>
      <c r="R40" s="18">
        <f>R7+R14</f>
        <v>63160500000</v>
      </c>
      <c r="S40" s="18">
        <f>S7+S14</f>
        <v>189162500000</v>
      </c>
      <c r="T40" s="18">
        <f>T7+T14</f>
        <v>315164500000</v>
      </c>
    </row>
    <row r="41" spans="1:20">
      <c r="B41" s="14" t="s">
        <v>0</v>
      </c>
      <c r="C41" s="12"/>
      <c r="D41" s="12"/>
      <c r="E41" s="12"/>
      <c r="F41" s="12"/>
      <c r="G41" s="12"/>
      <c r="H41" s="12"/>
      <c r="J41" s="16" t="s">
        <v>12</v>
      </c>
      <c r="K41" s="18">
        <f t="shared" si="3"/>
        <v>7564800000</v>
      </c>
      <c r="L41" s="18">
        <f t="shared" si="3"/>
        <v>15065700000</v>
      </c>
      <c r="M41" s="18">
        <f t="shared" si="3"/>
        <v>30342800000</v>
      </c>
      <c r="N41" s="18">
        <f t="shared" si="3"/>
        <v>30617000000</v>
      </c>
      <c r="P41" s="16" t="s">
        <v>12</v>
      </c>
      <c r="Q41" s="18">
        <f>Q9+Q16</f>
        <v>31660000000</v>
      </c>
      <c r="R41" s="18">
        <f>R7+R14</f>
        <v>63160500000</v>
      </c>
      <c r="S41" s="18">
        <f>S7+S14</f>
        <v>189162500000</v>
      </c>
      <c r="T41" s="18">
        <f>T7+T14</f>
        <v>315164500000</v>
      </c>
    </row>
    <row r="42" spans="1:20">
      <c r="B42" s="13" t="s">
        <v>8</v>
      </c>
      <c r="C42" s="12"/>
      <c r="D42" s="12"/>
      <c r="E42" s="12"/>
      <c r="F42" s="12"/>
      <c r="G42" s="12"/>
      <c r="H42" s="12"/>
      <c r="J42" s="16" t="s">
        <v>5</v>
      </c>
      <c r="K42" s="17"/>
      <c r="L42" s="17"/>
      <c r="M42" s="17"/>
      <c r="N42" s="17"/>
      <c r="P42" s="16" t="s">
        <v>5</v>
      </c>
      <c r="Q42" s="17">
        <f>Q17</f>
        <v>12600000000</v>
      </c>
      <c r="R42" s="17">
        <f>R17</f>
        <v>25200000000</v>
      </c>
      <c r="S42" s="17">
        <f>S17</f>
        <v>75600000000</v>
      </c>
      <c r="T42" s="17">
        <f>T17</f>
        <v>126000000000</v>
      </c>
    </row>
    <row r="44" spans="1:20">
      <c r="B44" s="1" t="s">
        <v>1</v>
      </c>
      <c r="C44" s="1" t="s">
        <v>2</v>
      </c>
      <c r="D44" s="1" t="s">
        <v>4</v>
      </c>
      <c r="E44" s="1" t="s">
        <v>14</v>
      </c>
      <c r="F44" s="1" t="s">
        <v>19</v>
      </c>
      <c r="G44" s="1" t="s">
        <v>3</v>
      </c>
      <c r="H44" s="1" t="s">
        <v>20</v>
      </c>
    </row>
    <row r="45" spans="1:20">
      <c r="B45" s="16"/>
      <c r="C45" s="9" t="s">
        <v>48</v>
      </c>
      <c r="D45" s="16"/>
      <c r="E45" s="16"/>
      <c r="F45" s="17"/>
      <c r="G45" s="17"/>
      <c r="H45" s="16"/>
      <c r="I45" s="12"/>
    </row>
    <row r="46" spans="1:20">
      <c r="B46" s="15">
        <v>1</v>
      </c>
      <c r="C46" s="16" t="s">
        <v>21</v>
      </c>
      <c r="D46" s="16"/>
      <c r="E46" s="16"/>
      <c r="F46" s="17"/>
      <c r="G46" s="17">
        <v>10000000</v>
      </c>
      <c r="H46" s="19" t="s">
        <v>90</v>
      </c>
      <c r="I46" s="12"/>
    </row>
    <row r="47" spans="1:20">
      <c r="B47" s="8"/>
      <c r="C47" s="6" t="s">
        <v>43</v>
      </c>
      <c r="D47" s="15"/>
      <c r="E47" s="15"/>
      <c r="F47" s="5"/>
      <c r="G47" s="5"/>
      <c r="H47" s="16"/>
      <c r="J47" s="12"/>
      <c r="K47" s="12"/>
      <c r="L47" s="12"/>
      <c r="M47" s="12"/>
    </row>
    <row r="48" spans="1:20">
      <c r="B48" s="7">
        <v>1</v>
      </c>
      <c r="C48" s="16" t="s">
        <v>21</v>
      </c>
      <c r="D48" s="7">
        <v>300</v>
      </c>
      <c r="E48" s="3" t="s">
        <v>63</v>
      </c>
      <c r="F48" s="2">
        <v>500000</v>
      </c>
      <c r="G48" s="5">
        <f>D48*F48</f>
        <v>150000000</v>
      </c>
      <c r="H48" s="11"/>
      <c r="I48" s="12"/>
      <c r="J48" s="12"/>
      <c r="K48" s="12"/>
      <c r="L48" s="12"/>
      <c r="M48" s="12"/>
    </row>
    <row r="49" spans="1:13">
      <c r="B49" s="7">
        <v>2</v>
      </c>
      <c r="C49" s="10" t="s">
        <v>46</v>
      </c>
      <c r="D49" s="4">
        <v>1500</v>
      </c>
      <c r="E49" s="7" t="s">
        <v>62</v>
      </c>
      <c r="F49" s="5">
        <v>21000000</v>
      </c>
      <c r="G49" s="5">
        <f>D49*F49</f>
        <v>31500000000</v>
      </c>
      <c r="H49" s="28" t="s">
        <v>207</v>
      </c>
      <c r="I49" s="12"/>
      <c r="J49" s="12"/>
      <c r="K49" s="12"/>
      <c r="L49" s="12"/>
      <c r="M49" s="12"/>
    </row>
    <row r="50" spans="1:13">
      <c r="E50" t="s">
        <v>217</v>
      </c>
      <c r="F50" s="77">
        <f>15%*D58</f>
        <v>20833333.333333332</v>
      </c>
      <c r="I50" s="12"/>
    </row>
    <row r="51" spans="1:13">
      <c r="I51" s="12"/>
    </row>
    <row r="52" spans="1:13">
      <c r="I52" s="12"/>
    </row>
    <row r="53" spans="1:13">
      <c r="I53" s="12"/>
    </row>
    <row r="54" spans="1:13">
      <c r="A54" t="s">
        <v>198</v>
      </c>
      <c r="B54" t="s">
        <v>199</v>
      </c>
      <c r="C54" t="s">
        <v>200</v>
      </c>
    </row>
    <row r="55" spans="1:13">
      <c r="C55" t="s">
        <v>201</v>
      </c>
      <c r="D55" t="s">
        <v>203</v>
      </c>
      <c r="E55" t="s">
        <v>205</v>
      </c>
    </row>
    <row r="56" spans="1:13">
      <c r="C56" t="s">
        <v>202</v>
      </c>
      <c r="D56" t="s">
        <v>204</v>
      </c>
      <c r="E56" t="s">
        <v>206</v>
      </c>
    </row>
    <row r="57" spans="1:13">
      <c r="D57" s="77">
        <f>50000000000/12</f>
        <v>4166666666.6666665</v>
      </c>
      <c r="E57" t="s">
        <v>215</v>
      </c>
    </row>
    <row r="58" spans="1:13" ht="18.75">
      <c r="A58" s="30"/>
      <c r="B58" s="30"/>
      <c r="C58" s="30"/>
      <c r="D58" s="77">
        <f>D57/30</f>
        <v>138888888.8888889</v>
      </c>
      <c r="E58" t="s">
        <v>216</v>
      </c>
    </row>
    <row r="59" spans="1:13" ht="18.75">
      <c r="A59" s="30"/>
      <c r="B59" s="30"/>
      <c r="C59" s="30"/>
    </row>
    <row r="60" spans="1:13" ht="18.75">
      <c r="A60" s="30"/>
      <c r="B60" s="30"/>
      <c r="C60" s="30"/>
    </row>
    <row r="61" spans="1:13" ht="18.75">
      <c r="A61" s="30"/>
      <c r="B61" s="30"/>
      <c r="C61" s="30"/>
    </row>
    <row r="62" spans="1:13" ht="18.75">
      <c r="A62" s="30"/>
      <c r="B62" s="30"/>
      <c r="C62" s="30"/>
    </row>
  </sheetData>
  <mergeCells count="6">
    <mergeCell ref="J5:J6"/>
    <mergeCell ref="P5:P6"/>
    <mergeCell ref="J12:J13"/>
    <mergeCell ref="P12:P13"/>
    <mergeCell ref="J37:J38"/>
    <mergeCell ref="P37:P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2"/>
  <sheetViews>
    <sheetView topLeftCell="A13" workbookViewId="0">
      <selection activeCell="C23" sqref="C23"/>
    </sheetView>
  </sheetViews>
  <sheetFormatPr defaultColWidth="32.5703125" defaultRowHeight="15"/>
  <cols>
    <col min="2" max="2" width="14.140625" bestFit="1" customWidth="1"/>
    <col min="3" max="3" width="26.7109375" bestFit="1" customWidth="1"/>
    <col min="4" max="4" width="19.5703125" bestFit="1" customWidth="1"/>
    <col min="5" max="5" width="22.28515625" bestFit="1" customWidth="1"/>
    <col min="6" max="6" width="18.140625" bestFit="1" customWidth="1"/>
    <col min="7" max="7" width="22.28515625" bestFit="1" customWidth="1"/>
    <col min="8" max="8" width="20.5703125" bestFit="1" customWidth="1"/>
  </cols>
  <sheetData>
    <row r="1" spans="1:8">
      <c r="A1" s="63" t="s">
        <v>95</v>
      </c>
      <c r="B1" s="63" t="s">
        <v>108</v>
      </c>
      <c r="C1" s="64" t="s">
        <v>107</v>
      </c>
      <c r="D1" s="64" t="s">
        <v>96</v>
      </c>
      <c r="E1" s="49" t="s">
        <v>192</v>
      </c>
      <c r="F1" s="64" t="s">
        <v>134</v>
      </c>
      <c r="G1" s="64" t="s">
        <v>123</v>
      </c>
      <c r="H1" s="64" t="s">
        <v>99</v>
      </c>
    </row>
    <row r="2" spans="1:8">
      <c r="A2" s="65" t="s">
        <v>182</v>
      </c>
      <c r="B2" s="67">
        <v>21200</v>
      </c>
      <c r="C2" s="67"/>
      <c r="D2" s="67"/>
      <c r="E2" s="67">
        <v>8</v>
      </c>
      <c r="F2" s="67"/>
      <c r="G2" s="67"/>
      <c r="H2" s="67"/>
    </row>
    <row r="3" spans="1:8">
      <c r="A3" s="65" t="s">
        <v>184</v>
      </c>
      <c r="B3" s="67"/>
      <c r="C3" s="67"/>
      <c r="D3" s="67"/>
      <c r="E3" s="67"/>
      <c r="F3" s="67"/>
      <c r="G3" s="67"/>
      <c r="H3" s="67"/>
    </row>
    <row r="4" spans="1:8">
      <c r="A4" s="65" t="s">
        <v>185</v>
      </c>
      <c r="B4" s="67"/>
      <c r="C4" s="67"/>
      <c r="D4" s="67"/>
      <c r="E4" s="67"/>
      <c r="F4" s="67"/>
      <c r="G4" s="67"/>
      <c r="H4" s="67"/>
    </row>
    <row r="5" spans="1:8">
      <c r="A5" s="65" t="s">
        <v>186</v>
      </c>
      <c r="B5" s="67"/>
      <c r="C5" s="67"/>
      <c r="D5" s="67"/>
      <c r="E5" s="67"/>
      <c r="F5" s="67"/>
      <c r="G5" s="67"/>
      <c r="H5" s="67"/>
    </row>
    <row r="6" spans="1:8">
      <c r="A6" s="65" t="s">
        <v>187</v>
      </c>
      <c r="B6" s="67"/>
      <c r="C6" s="67"/>
      <c r="D6" s="67"/>
      <c r="E6" s="67"/>
      <c r="F6" s="67"/>
      <c r="G6" s="67"/>
      <c r="H6" s="67"/>
    </row>
    <row r="7" spans="1:8">
      <c r="A7" s="65" t="s">
        <v>188</v>
      </c>
      <c r="B7" s="67"/>
      <c r="C7" s="67"/>
      <c r="D7" s="67"/>
      <c r="E7" s="67"/>
      <c r="F7" s="67"/>
      <c r="G7" s="67"/>
      <c r="H7" s="67"/>
    </row>
    <row r="8" spans="1:8">
      <c r="A8" s="65" t="s">
        <v>189</v>
      </c>
      <c r="B8" s="67"/>
      <c r="C8" s="67"/>
      <c r="D8" s="67"/>
      <c r="E8" s="67"/>
      <c r="F8" s="67"/>
      <c r="G8" s="67"/>
      <c r="H8" s="67"/>
    </row>
    <row r="9" spans="1:8">
      <c r="A9" s="65" t="s">
        <v>190</v>
      </c>
      <c r="B9" s="67"/>
      <c r="C9" s="67"/>
      <c r="D9" s="67"/>
      <c r="E9" s="67">
        <v>5</v>
      </c>
      <c r="F9" s="67"/>
      <c r="G9" s="67"/>
      <c r="H9" s="67"/>
    </row>
    <row r="10" spans="1:8">
      <c r="A10" s="67" t="s">
        <v>181</v>
      </c>
      <c r="B10" s="67"/>
      <c r="C10" s="67"/>
      <c r="D10" s="67"/>
      <c r="E10" s="67"/>
      <c r="F10" s="67"/>
      <c r="G10" s="67"/>
      <c r="H10" s="67"/>
    </row>
    <row r="11" spans="1:8">
      <c r="A11" s="65" t="s">
        <v>144</v>
      </c>
      <c r="B11" s="67"/>
      <c r="C11" s="67"/>
      <c r="D11" s="67"/>
      <c r="E11" s="67"/>
      <c r="F11" s="67"/>
      <c r="G11" s="67"/>
      <c r="H11" s="67"/>
    </row>
    <row r="12" spans="1:8">
      <c r="A12" s="65" t="s">
        <v>145</v>
      </c>
      <c r="B12" s="67"/>
      <c r="C12" s="67"/>
      <c r="D12" s="67"/>
      <c r="E12" s="67"/>
      <c r="F12" s="67"/>
      <c r="G12" s="67"/>
      <c r="H12" s="67"/>
    </row>
    <row r="13" spans="1:8">
      <c r="A13" s="65" t="s">
        <v>146</v>
      </c>
      <c r="B13" s="67"/>
      <c r="C13" s="67"/>
      <c r="D13" s="67"/>
      <c r="E13" s="67"/>
      <c r="F13" s="67"/>
      <c r="G13" s="67"/>
      <c r="H13" s="67"/>
    </row>
    <row r="14" spans="1:8">
      <c r="A14" s="65" t="s">
        <v>147</v>
      </c>
      <c r="B14" s="67">
        <v>29000</v>
      </c>
      <c r="C14" s="67"/>
      <c r="D14" s="67"/>
      <c r="E14" s="67">
        <v>5</v>
      </c>
      <c r="F14" s="67"/>
      <c r="G14" s="67"/>
      <c r="H14" s="67"/>
    </row>
    <row r="15" spans="1:8">
      <c r="A15" s="65" t="s">
        <v>148</v>
      </c>
      <c r="B15" s="67"/>
      <c r="C15" s="67"/>
      <c r="D15" s="67"/>
      <c r="E15" s="67"/>
      <c r="F15" s="67"/>
      <c r="G15" s="67"/>
      <c r="H15" s="67"/>
    </row>
    <row r="16" spans="1:8">
      <c r="A16" s="65" t="s">
        <v>149</v>
      </c>
      <c r="B16" s="67"/>
      <c r="C16" s="67"/>
      <c r="D16" s="67"/>
      <c r="E16" s="67"/>
      <c r="F16" s="67"/>
      <c r="G16" s="67"/>
      <c r="H16" s="67"/>
    </row>
    <row r="17" spans="1:8">
      <c r="A17" s="65" t="s">
        <v>150</v>
      </c>
      <c r="B17" s="67"/>
      <c r="C17" s="67"/>
      <c r="D17" s="67"/>
      <c r="E17" s="67"/>
      <c r="F17" s="67"/>
      <c r="G17" s="67"/>
      <c r="H17" s="67"/>
    </row>
    <row r="18" spans="1:8">
      <c r="A18" s="65" t="s">
        <v>151</v>
      </c>
      <c r="B18" s="67"/>
      <c r="C18" s="67"/>
      <c r="D18" s="67"/>
      <c r="E18" s="67"/>
      <c r="F18" s="67"/>
      <c r="G18" s="67"/>
      <c r="H18" s="67"/>
    </row>
    <row r="19" spans="1:8">
      <c r="A19" s="65" t="s">
        <v>183</v>
      </c>
      <c r="B19" s="67"/>
      <c r="C19" s="67"/>
      <c r="D19" s="67"/>
      <c r="E19" s="67"/>
      <c r="F19" s="67"/>
      <c r="G19" s="67"/>
      <c r="H19" s="67"/>
    </row>
    <row r="20" spans="1:8">
      <c r="B20">
        <f>AVERAGE(B2:B19)</f>
        <v>25100</v>
      </c>
      <c r="C20" t="e">
        <f t="shared" ref="C20:H20" si="0">AVERAGE(C2:C19)</f>
        <v>#DIV/0!</v>
      </c>
      <c r="D20" t="e">
        <f t="shared" si="0"/>
        <v>#DIV/0!</v>
      </c>
      <c r="E20">
        <f t="shared" si="0"/>
        <v>6</v>
      </c>
      <c r="F20" t="e">
        <f t="shared" si="0"/>
        <v>#DIV/0!</v>
      </c>
      <c r="G20" t="e">
        <f t="shared" si="0"/>
        <v>#DIV/0!</v>
      </c>
      <c r="H20" t="e">
        <f t="shared" si="0"/>
        <v>#DIV/0!</v>
      </c>
    </row>
    <row r="23" spans="1:8">
      <c r="A23" s="79" t="s">
        <v>193</v>
      </c>
      <c r="B23" s="71" t="e">
        <f>D20</f>
        <v>#DIV/0!</v>
      </c>
      <c r="C23" s="62">
        <v>1500</v>
      </c>
      <c r="D23" s="85" t="s">
        <v>212</v>
      </c>
    </row>
    <row r="24" spans="1:8">
      <c r="A24" s="79" t="s">
        <v>194</v>
      </c>
      <c r="B24" s="71" t="e">
        <f>B23/E20</f>
        <v>#DIV/0!</v>
      </c>
      <c r="C24" s="62">
        <v>300</v>
      </c>
      <c r="D24" s="85"/>
    </row>
    <row r="25" spans="1:8">
      <c r="A25" s="79" t="s">
        <v>195</v>
      </c>
      <c r="B25" s="71">
        <f>B20</f>
        <v>25100</v>
      </c>
      <c r="C25" s="62"/>
      <c r="D25" s="62"/>
    </row>
    <row r="26" spans="1:8">
      <c r="B26" s="62"/>
      <c r="C26" s="62"/>
      <c r="D26" s="62"/>
    </row>
    <row r="27" spans="1:8">
      <c r="B27" s="62"/>
      <c r="C27" s="62"/>
      <c r="D27" s="62"/>
    </row>
    <row r="28" spans="1:8">
      <c r="B28" s="62"/>
      <c r="C28" s="62"/>
      <c r="D28" s="62"/>
    </row>
    <row r="29" spans="1:8">
      <c r="B29" s="62"/>
      <c r="C29" s="62"/>
      <c r="D29" s="62"/>
    </row>
    <row r="30" spans="1:8">
      <c r="A30" s="84" t="s">
        <v>64</v>
      </c>
      <c r="B30" s="84"/>
      <c r="C30" s="84"/>
    </row>
    <row r="31" spans="1:8">
      <c r="A31" s="62" t="s">
        <v>65</v>
      </c>
      <c r="B31" s="62" t="s">
        <v>66</v>
      </c>
      <c r="C31" t="s">
        <v>89</v>
      </c>
    </row>
    <row r="32" spans="1:8">
      <c r="A32" s="32">
        <f>25%*B25</f>
        <v>6275</v>
      </c>
      <c r="B32" s="32">
        <f>70%*B25</f>
        <v>17570</v>
      </c>
      <c r="C32" s="32">
        <f>5%*B25</f>
        <v>1255</v>
      </c>
      <c r="D32" s="31">
        <f>SUM(A32:C32)</f>
        <v>25100</v>
      </c>
    </row>
  </sheetData>
  <mergeCells count="2">
    <mergeCell ref="A30:C30"/>
    <mergeCell ref="D23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2"/>
  <sheetViews>
    <sheetView tabSelected="1" workbookViewId="0">
      <selection activeCell="F51" sqref="F51"/>
    </sheetView>
  </sheetViews>
  <sheetFormatPr defaultRowHeight="15"/>
  <cols>
    <col min="2" max="2" width="5.85546875" customWidth="1"/>
    <col min="3" max="3" width="24.42578125" bestFit="1" customWidth="1"/>
    <col min="4" max="4" width="14.28515625" bestFit="1" customWidth="1"/>
    <col min="5" max="5" width="12.42578125" customWidth="1"/>
    <col min="6" max="6" width="14.5703125" bestFit="1" customWidth="1"/>
    <col min="7" max="7" width="17" bestFit="1" customWidth="1"/>
    <col min="8" max="8" width="20" customWidth="1"/>
    <col min="10" max="10" width="12.85546875" customWidth="1"/>
    <col min="11" max="14" width="15.28515625" bestFit="1" customWidth="1"/>
    <col min="15" max="15" width="16.28515625" bestFit="1" customWidth="1"/>
    <col min="16" max="16" width="19" bestFit="1" customWidth="1"/>
    <col min="17" max="17" width="18" bestFit="1" customWidth="1"/>
    <col min="18" max="18" width="15.5703125" bestFit="1" customWidth="1"/>
    <col min="19" max="20" width="18" bestFit="1" customWidth="1"/>
    <col min="21" max="26" width="16.28515625" bestFit="1" customWidth="1"/>
  </cols>
  <sheetData>
    <row r="1" spans="1:20" ht="18">
      <c r="A1" s="12"/>
      <c r="B1" s="26" t="s">
        <v>47</v>
      </c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0">
      <c r="A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20">
      <c r="B3" s="13" t="s">
        <v>7</v>
      </c>
    </row>
    <row r="4" spans="1:20">
      <c r="A4" s="14"/>
      <c r="B4" s="14" t="s">
        <v>6</v>
      </c>
      <c r="J4" s="14" t="s">
        <v>9</v>
      </c>
      <c r="K4" s="12"/>
      <c r="L4" s="12"/>
      <c r="M4" s="12"/>
      <c r="N4" s="12"/>
      <c r="P4" s="14" t="s">
        <v>45</v>
      </c>
      <c r="Q4" s="12"/>
      <c r="R4" s="12"/>
      <c r="S4" s="12"/>
      <c r="T4" s="12"/>
    </row>
    <row r="5" spans="1:20">
      <c r="A5" s="12"/>
      <c r="J5" s="80" t="s">
        <v>47</v>
      </c>
      <c r="K5" s="15" t="s">
        <v>40</v>
      </c>
      <c r="L5" s="15" t="s">
        <v>41</v>
      </c>
      <c r="M5" s="15" t="s">
        <v>44</v>
      </c>
      <c r="N5" s="15" t="s">
        <v>42</v>
      </c>
      <c r="P5" s="80" t="s">
        <v>47</v>
      </c>
      <c r="Q5" s="15" t="s">
        <v>40</v>
      </c>
      <c r="R5" s="15" t="s">
        <v>41</v>
      </c>
      <c r="S5" s="15" t="s">
        <v>44</v>
      </c>
      <c r="T5" s="15" t="s">
        <v>42</v>
      </c>
    </row>
    <row r="6" spans="1:20">
      <c r="A6" s="12"/>
      <c r="B6" s="1" t="s">
        <v>1</v>
      </c>
      <c r="C6" s="1" t="s">
        <v>2</v>
      </c>
      <c r="D6" s="1" t="s">
        <v>4</v>
      </c>
      <c r="E6" s="1" t="s">
        <v>14</v>
      </c>
      <c r="F6" s="1" t="s">
        <v>19</v>
      </c>
      <c r="G6" s="1" t="s">
        <v>3</v>
      </c>
      <c r="H6" s="1" t="s">
        <v>20</v>
      </c>
      <c r="J6" s="81"/>
      <c r="K6" s="15">
        <v>1</v>
      </c>
      <c r="L6" s="15">
        <v>2</v>
      </c>
      <c r="M6" s="15">
        <v>4</v>
      </c>
      <c r="N6" s="15">
        <v>10</v>
      </c>
      <c r="P6" s="81"/>
      <c r="Q6" s="15">
        <v>1</v>
      </c>
      <c r="R6" s="15">
        <v>2</v>
      </c>
      <c r="S6" s="15">
        <v>6</v>
      </c>
      <c r="T6" s="15">
        <v>10</v>
      </c>
    </row>
    <row r="7" spans="1:20">
      <c r="A7" s="12"/>
      <c r="B7" s="16"/>
      <c r="C7" s="35" t="s">
        <v>213</v>
      </c>
      <c r="D7" s="16"/>
      <c r="E7" s="16"/>
      <c r="F7" s="17"/>
      <c r="G7" s="17"/>
      <c r="H7" s="16"/>
      <c r="J7" s="16" t="s">
        <v>10</v>
      </c>
      <c r="K7" s="18">
        <f>10%*$G$23</f>
        <v>900000</v>
      </c>
      <c r="L7" s="18">
        <f>20%*$G$23</f>
        <v>1800000</v>
      </c>
      <c r="M7" s="18">
        <f>60%*$G$23</f>
        <v>5400000</v>
      </c>
      <c r="N7" s="18">
        <f>$G$23</f>
        <v>9000000</v>
      </c>
      <c r="P7" s="16" t="s">
        <v>10</v>
      </c>
      <c r="Q7" s="18">
        <f>$G$46</f>
        <v>10000000</v>
      </c>
      <c r="R7" s="18">
        <f>(5%*$G$46)+$G$46</f>
        <v>10500000</v>
      </c>
      <c r="S7" s="18">
        <f>(25%*$G$46)+$G$46</f>
        <v>12500000</v>
      </c>
      <c r="T7" s="18">
        <f>(45%*$G$46)+$G$46</f>
        <v>14500000</v>
      </c>
    </row>
    <row r="8" spans="1:20">
      <c r="A8" s="12"/>
      <c r="B8" s="15"/>
      <c r="C8" s="9" t="s">
        <v>48</v>
      </c>
      <c r="D8" s="9"/>
      <c r="E8" s="16"/>
      <c r="F8" s="17"/>
      <c r="G8" s="17"/>
      <c r="H8" s="19"/>
      <c r="J8" s="16" t="s">
        <v>11</v>
      </c>
      <c r="K8" s="18">
        <f>15%*$G$23</f>
        <v>1350000</v>
      </c>
      <c r="L8" s="18">
        <f>25%*$G$23</f>
        <v>2250000</v>
      </c>
      <c r="M8" s="18">
        <f>(65%*$G$23)+G14</f>
        <v>7850000</v>
      </c>
      <c r="N8" s="18">
        <f>$G$23+G11+G14</f>
        <v>28550000</v>
      </c>
      <c r="P8" s="16" t="s">
        <v>11</v>
      </c>
      <c r="Q8" s="18">
        <f>$G$46</f>
        <v>10000000</v>
      </c>
      <c r="R8" s="18">
        <f>(5%*$G$46)+$G$46</f>
        <v>10500000</v>
      </c>
      <c r="S8" s="18">
        <f>(25%*$G$46)+$G$46</f>
        <v>12500000</v>
      </c>
      <c r="T8" s="18">
        <f>(45%*$G$46)+$G$46</f>
        <v>14500000</v>
      </c>
    </row>
    <row r="9" spans="1:20">
      <c r="A9" s="12"/>
      <c r="B9" s="7"/>
      <c r="C9" s="6" t="s">
        <v>71</v>
      </c>
      <c r="D9" s="7"/>
      <c r="E9" s="7"/>
      <c r="F9" s="7"/>
      <c r="G9" s="5"/>
      <c r="H9" s="11"/>
      <c r="J9" s="16" t="s">
        <v>12</v>
      </c>
      <c r="K9" s="18">
        <f>20%*$G$23</f>
        <v>1800000</v>
      </c>
      <c r="L9" s="18">
        <f>30%*$G$23</f>
        <v>2700000</v>
      </c>
      <c r="M9" s="18">
        <f>70%*$G$23+G14</f>
        <v>8300000</v>
      </c>
      <c r="N9" s="18">
        <f>$G$23+G11+G14</f>
        <v>28550000</v>
      </c>
      <c r="P9" s="16" t="s">
        <v>12</v>
      </c>
      <c r="Q9" s="18">
        <f>$G$46</f>
        <v>10000000</v>
      </c>
      <c r="R9" s="18">
        <f>(5%*$G$46)+$G$46</f>
        <v>10500000</v>
      </c>
      <c r="S9" s="18">
        <f>(25%*$G$46)+$G$46</f>
        <v>12500000</v>
      </c>
      <c r="T9" s="18">
        <f>(45%*$G$46)+$G$46</f>
        <v>14500000</v>
      </c>
    </row>
    <row r="10" spans="1:20">
      <c r="A10" s="12"/>
      <c r="B10" s="15">
        <v>1</v>
      </c>
      <c r="C10" s="16" t="s">
        <v>49</v>
      </c>
      <c r="D10" s="15"/>
      <c r="E10" s="15"/>
      <c r="F10" s="5"/>
      <c r="G10" s="5"/>
      <c r="H10" s="16"/>
      <c r="J10" s="16" t="s">
        <v>5</v>
      </c>
      <c r="K10" s="17"/>
      <c r="L10" s="17"/>
      <c r="M10" s="17"/>
      <c r="N10" s="17"/>
      <c r="P10" s="16" t="s">
        <v>5</v>
      </c>
      <c r="Q10" s="18"/>
      <c r="R10" s="17"/>
      <c r="S10" s="17"/>
      <c r="T10" s="17"/>
    </row>
    <row r="11" spans="1:20" ht="57.75">
      <c r="A11" s="12"/>
      <c r="B11" s="8"/>
      <c r="C11" s="19" t="s">
        <v>67</v>
      </c>
      <c r="D11" s="4">
        <f>(30%*6500)/5</f>
        <v>390</v>
      </c>
      <c r="E11" s="29" t="s">
        <v>91</v>
      </c>
      <c r="F11" s="5">
        <v>45000</v>
      </c>
      <c r="G11" s="5">
        <f>D11*F11</f>
        <v>17550000</v>
      </c>
      <c r="H11" s="19" t="s">
        <v>92</v>
      </c>
      <c r="P11" s="14"/>
      <c r="Q11" s="12"/>
      <c r="R11" s="12"/>
      <c r="S11" s="12"/>
      <c r="T11" s="12"/>
    </row>
    <row r="12" spans="1:20">
      <c r="A12" s="12"/>
      <c r="B12" s="8"/>
      <c r="C12" s="16" t="s">
        <v>16</v>
      </c>
      <c r="D12" s="15">
        <v>4</v>
      </c>
      <c r="E12" s="15" t="s">
        <v>17</v>
      </c>
      <c r="F12" s="5">
        <v>35000</v>
      </c>
      <c r="G12" s="5">
        <f t="shared" ref="G12:G13" si="0">D12*F12</f>
        <v>140000</v>
      </c>
      <c r="H12" s="16"/>
      <c r="J12" s="80" t="s">
        <v>39</v>
      </c>
      <c r="K12" s="15" t="s">
        <v>40</v>
      </c>
      <c r="L12" s="15" t="s">
        <v>41</v>
      </c>
      <c r="M12" s="15" t="s">
        <v>44</v>
      </c>
      <c r="N12" s="15" t="s">
        <v>42</v>
      </c>
      <c r="P12" s="80" t="s">
        <v>39</v>
      </c>
      <c r="Q12" s="15" t="s">
        <v>40</v>
      </c>
      <c r="R12" s="15" t="s">
        <v>41</v>
      </c>
      <c r="S12" s="15" t="s">
        <v>44</v>
      </c>
      <c r="T12" s="15" t="s">
        <v>42</v>
      </c>
    </row>
    <row r="13" spans="1:20">
      <c r="A13" s="12"/>
      <c r="B13" s="7"/>
      <c r="C13" s="10" t="s">
        <v>13</v>
      </c>
      <c r="D13" s="7">
        <v>4</v>
      </c>
      <c r="E13" s="3" t="s">
        <v>15</v>
      </c>
      <c r="F13" s="2">
        <v>50000</v>
      </c>
      <c r="G13" s="5">
        <f t="shared" si="0"/>
        <v>200000</v>
      </c>
      <c r="H13" s="11"/>
      <c r="J13" s="81"/>
      <c r="K13" s="15">
        <v>1</v>
      </c>
      <c r="L13" s="15">
        <v>2</v>
      </c>
      <c r="M13" s="15">
        <v>4</v>
      </c>
      <c r="N13" s="15">
        <v>10</v>
      </c>
      <c r="P13" s="81"/>
      <c r="Q13" s="15">
        <v>1</v>
      </c>
      <c r="R13" s="15">
        <v>2</v>
      </c>
      <c r="S13" s="15">
        <v>6</v>
      </c>
      <c r="T13" s="15">
        <v>10</v>
      </c>
    </row>
    <row r="14" spans="1:20" ht="24.75">
      <c r="B14" s="7">
        <v>2</v>
      </c>
      <c r="C14" s="27" t="s">
        <v>69</v>
      </c>
      <c r="D14" s="7">
        <v>4</v>
      </c>
      <c r="E14" s="7" t="s">
        <v>70</v>
      </c>
      <c r="F14" s="2">
        <v>500000</v>
      </c>
      <c r="G14" s="5">
        <f>D14*F14</f>
        <v>2000000</v>
      </c>
      <c r="H14" s="19" t="s">
        <v>68</v>
      </c>
      <c r="J14" s="16" t="s">
        <v>10</v>
      </c>
      <c r="K14" s="18">
        <f>10%*(300*(50%*$G$34))</f>
        <v>3750000000</v>
      </c>
      <c r="L14" s="18">
        <f>10%*(300*($G$34))</f>
        <v>7500000000</v>
      </c>
      <c r="M14" s="18">
        <f>10%*(300*($G$28+G31))</f>
        <v>15004500000</v>
      </c>
      <c r="N14" s="18">
        <f>10%*(300*G28)</f>
        <v>15000000000</v>
      </c>
      <c r="P14" s="16" t="s">
        <v>10</v>
      </c>
      <c r="Q14" s="18">
        <f>G48+G49</f>
        <v>22650000000</v>
      </c>
      <c r="R14" s="18">
        <f>G48+(R13*G49)</f>
        <v>45150000000</v>
      </c>
      <c r="S14" s="18">
        <f>G48+(S13*G49)</f>
        <v>135150000000</v>
      </c>
      <c r="T14" s="18">
        <f>G48+(10*G49)</f>
        <v>225150000000</v>
      </c>
    </row>
    <row r="15" spans="1:20">
      <c r="J15" s="16" t="s">
        <v>11</v>
      </c>
      <c r="K15" s="18">
        <f>10%*(300*(G32+G33+(50%*$G$34)))</f>
        <v>3813000000</v>
      </c>
      <c r="L15" s="18">
        <f>10%*(300*(G32+G33+$G$34))</f>
        <v>7563000000</v>
      </c>
      <c r="M15" s="18">
        <f>10%*(300*(G26+$G$28+G29+G31))</f>
        <v>15334500000</v>
      </c>
      <c r="N15" s="18">
        <f>10%*(300*(G26+G27+G28+G29))</f>
        <v>15525000000</v>
      </c>
      <c r="P15" s="16" t="s">
        <v>11</v>
      </c>
      <c r="Q15" s="18">
        <f>G48+G49</f>
        <v>22650000000</v>
      </c>
      <c r="R15" s="18">
        <f>G48+(R13*G49)</f>
        <v>45150000000</v>
      </c>
      <c r="S15" s="18">
        <f>G48+(S13*G49)</f>
        <v>135150000000</v>
      </c>
      <c r="T15" s="18">
        <f>G48+(10*G49)</f>
        <v>225150000000</v>
      </c>
    </row>
    <row r="16" spans="1:20">
      <c r="A16" s="13"/>
      <c r="B16" s="36"/>
      <c r="C16" s="37"/>
      <c r="D16" s="36"/>
      <c r="E16" s="36"/>
      <c r="F16" s="36"/>
      <c r="G16" s="38"/>
      <c r="H16" s="39"/>
      <c r="J16" s="16" t="s">
        <v>12</v>
      </c>
      <c r="K16" s="18">
        <f>10%*(300*(G32+G33+(50%*$G$34)))</f>
        <v>3813000000</v>
      </c>
      <c r="L16" s="18">
        <f>10%*(300*(G32+G33+$G$34))</f>
        <v>7563000000</v>
      </c>
      <c r="M16" s="18">
        <f>10%*(300*(G26+$G$28+G29+G31))</f>
        <v>15334500000</v>
      </c>
      <c r="N16" s="18">
        <f>10%*(300*(G26+G27+G28+G29))</f>
        <v>15525000000</v>
      </c>
      <c r="P16" s="16" t="s">
        <v>12</v>
      </c>
      <c r="Q16" s="18">
        <f>G48+G49</f>
        <v>22650000000</v>
      </c>
      <c r="R16" s="17">
        <f>G48+(R13*G49)</f>
        <v>45150000000</v>
      </c>
      <c r="S16" s="17">
        <f>G48+(S13*G49)</f>
        <v>135150000000</v>
      </c>
      <c r="T16" s="17">
        <f>G48+(10*G49)</f>
        <v>225150000000</v>
      </c>
    </row>
    <row r="17" spans="1:26">
      <c r="A17" s="12"/>
      <c r="B17" s="36"/>
      <c r="C17" s="40"/>
      <c r="D17" s="41"/>
      <c r="E17" s="36"/>
      <c r="F17" s="42"/>
      <c r="G17" s="38"/>
      <c r="H17" s="39"/>
      <c r="J17" s="16" t="s">
        <v>5</v>
      </c>
      <c r="K17" s="17"/>
      <c r="L17" s="17"/>
      <c r="M17" s="17"/>
      <c r="N17" s="17"/>
      <c r="P17" s="16" t="s">
        <v>5</v>
      </c>
      <c r="Q17" s="5">
        <f>40%*$G$49</f>
        <v>9000000000</v>
      </c>
      <c r="R17" s="17">
        <f>R13*(40%*$G$49)</f>
        <v>18000000000</v>
      </c>
      <c r="S17" s="17">
        <f>S13*(40%*$G$49)</f>
        <v>54000000000</v>
      </c>
      <c r="T17" s="17">
        <f>T13*(40%*$G$49)</f>
        <v>90000000000</v>
      </c>
    </row>
    <row r="18" spans="1:26">
      <c r="A18" s="12"/>
    </row>
    <row r="19" spans="1:26">
      <c r="A19" s="12"/>
      <c r="B19" s="1" t="s">
        <v>1</v>
      </c>
      <c r="C19" s="1" t="s">
        <v>2</v>
      </c>
      <c r="D19" s="1" t="s">
        <v>4</v>
      </c>
      <c r="E19" s="1" t="s">
        <v>14</v>
      </c>
      <c r="F19" s="1" t="s">
        <v>19</v>
      </c>
      <c r="G19" s="1" t="s">
        <v>3</v>
      </c>
      <c r="H19" s="1" t="s">
        <v>20</v>
      </c>
    </row>
    <row r="20" spans="1:26">
      <c r="A20" s="12"/>
      <c r="B20" s="16"/>
      <c r="C20" s="35" t="s">
        <v>214</v>
      </c>
      <c r="D20" s="16"/>
      <c r="E20" s="16"/>
      <c r="F20" s="17"/>
      <c r="G20" s="17"/>
      <c r="H20" s="16"/>
    </row>
    <row r="21" spans="1:26" ht="30">
      <c r="A21" s="12"/>
      <c r="B21" s="15"/>
      <c r="C21" s="9" t="s">
        <v>48</v>
      </c>
      <c r="D21" s="35"/>
      <c r="E21" s="16"/>
      <c r="F21" s="17"/>
      <c r="G21" s="17"/>
      <c r="H21" s="19"/>
      <c r="J21" s="22" t="s">
        <v>38</v>
      </c>
      <c r="K21" s="7" t="s">
        <v>22</v>
      </c>
      <c r="L21" s="7" t="s">
        <v>23</v>
      </c>
      <c r="M21" s="7" t="s">
        <v>24</v>
      </c>
      <c r="N21" s="7" t="s">
        <v>25</v>
      </c>
      <c r="O21" s="7" t="s">
        <v>26</v>
      </c>
      <c r="P21" s="7" t="s">
        <v>27</v>
      </c>
      <c r="Q21" s="7" t="s">
        <v>28</v>
      </c>
      <c r="R21" s="7" t="s">
        <v>29</v>
      </c>
      <c r="S21" s="7" t="s">
        <v>30</v>
      </c>
      <c r="T21" s="7" t="s">
        <v>31</v>
      </c>
      <c r="U21" s="7" t="s">
        <v>32</v>
      </c>
      <c r="V21" s="7" t="s">
        <v>33</v>
      </c>
      <c r="W21" s="7" t="s">
        <v>34</v>
      </c>
      <c r="X21" s="7" t="s">
        <v>35</v>
      </c>
      <c r="Y21" s="7" t="s">
        <v>36</v>
      </c>
      <c r="Z21" s="7" t="s">
        <v>37</v>
      </c>
    </row>
    <row r="22" spans="1:26">
      <c r="A22" s="12"/>
      <c r="B22" s="7"/>
      <c r="C22" s="6" t="s">
        <v>71</v>
      </c>
      <c r="D22" s="7"/>
      <c r="E22" s="7"/>
      <c r="F22" s="7"/>
      <c r="G22" s="5"/>
      <c r="H22" s="11"/>
      <c r="J22" s="22" t="s">
        <v>47</v>
      </c>
      <c r="K22" s="23">
        <f>K7+Q7</f>
        <v>10900000</v>
      </c>
      <c r="L22" s="23">
        <f>K8+Q8</f>
        <v>11350000</v>
      </c>
      <c r="M22" s="23">
        <f>K9+Q9</f>
        <v>11800000</v>
      </c>
      <c r="N22" s="23">
        <f>K10+Q10</f>
        <v>0</v>
      </c>
      <c r="O22" s="23">
        <f>L7+R7</f>
        <v>12300000</v>
      </c>
      <c r="P22" s="23">
        <f>L8+R8</f>
        <v>12750000</v>
      </c>
      <c r="Q22" s="23">
        <f>$L$9+$R$9</f>
        <v>13200000</v>
      </c>
      <c r="R22" s="23">
        <f>L10+R10</f>
        <v>0</v>
      </c>
      <c r="S22" s="23">
        <f>M7+S7</f>
        <v>17900000</v>
      </c>
      <c r="T22" s="23">
        <f>M8+S8</f>
        <v>20350000</v>
      </c>
      <c r="U22" s="23">
        <f>M9+S9</f>
        <v>20800000</v>
      </c>
      <c r="V22" s="23">
        <f>M10+S10</f>
        <v>0</v>
      </c>
      <c r="W22" s="23">
        <f>N7+T7</f>
        <v>23500000</v>
      </c>
      <c r="X22" s="23">
        <f>N8+T8</f>
        <v>43050000</v>
      </c>
      <c r="Y22" s="23">
        <f>N9+T9</f>
        <v>43050000</v>
      </c>
      <c r="Z22" s="23">
        <f>N10+T10</f>
        <v>0</v>
      </c>
    </row>
    <row r="23" spans="1:26" ht="24.75">
      <c r="A23" s="13"/>
      <c r="B23" s="15">
        <v>1</v>
      </c>
      <c r="C23" s="16" t="s">
        <v>80</v>
      </c>
      <c r="D23" s="15">
        <v>6</v>
      </c>
      <c r="E23" s="15" t="s">
        <v>17</v>
      </c>
      <c r="F23" s="5">
        <v>1500000</v>
      </c>
      <c r="G23" s="5">
        <f>D23*F23</f>
        <v>9000000</v>
      </c>
      <c r="H23" s="19" t="s">
        <v>81</v>
      </c>
      <c r="J23" s="11" t="s">
        <v>39</v>
      </c>
      <c r="K23" s="23">
        <f>K14+Q14</f>
        <v>26400000000</v>
      </c>
      <c r="L23" s="24">
        <f>K15+Q15</f>
        <v>26463000000</v>
      </c>
      <c r="M23" s="24">
        <f>K16+Q16</f>
        <v>26463000000</v>
      </c>
      <c r="N23" s="24">
        <f>K17+Q17</f>
        <v>9000000000</v>
      </c>
      <c r="O23" s="24">
        <f>L14+R14</f>
        <v>52650000000</v>
      </c>
      <c r="P23" s="24">
        <f>L15+R15</f>
        <v>52713000000</v>
      </c>
      <c r="Q23" s="24">
        <f>L16+R16</f>
        <v>52713000000</v>
      </c>
      <c r="R23" s="24">
        <f>L17+R17</f>
        <v>18000000000</v>
      </c>
      <c r="S23" s="24">
        <f>M14+S14</f>
        <v>150154500000</v>
      </c>
      <c r="T23" s="24">
        <f>M15+S15</f>
        <v>150484500000</v>
      </c>
      <c r="U23" s="24">
        <f>M16+S16</f>
        <v>150484500000</v>
      </c>
      <c r="V23" s="24">
        <f>M17+S17</f>
        <v>54000000000</v>
      </c>
      <c r="W23" s="24">
        <f>N14+T14</f>
        <v>240150000000</v>
      </c>
      <c r="X23" s="24">
        <f>N15+T15</f>
        <v>240675000000</v>
      </c>
      <c r="Y23" s="24">
        <f>N16+T16</f>
        <v>240675000000</v>
      </c>
      <c r="Z23" s="24">
        <f>N17+T17</f>
        <v>90000000000</v>
      </c>
    </row>
    <row r="24" spans="1:26">
      <c r="B24" s="7"/>
      <c r="C24" s="6" t="s">
        <v>43</v>
      </c>
      <c r="D24" s="7"/>
      <c r="E24" s="7"/>
      <c r="F24" s="7"/>
      <c r="G24" s="5"/>
      <c r="H24" s="11"/>
      <c r="J24" s="12"/>
      <c r="K24" s="12"/>
      <c r="L24" s="12"/>
      <c r="M24" s="12"/>
      <c r="N24" s="12"/>
      <c r="O24" s="12"/>
    </row>
    <row r="25" spans="1:26">
      <c r="B25" s="16"/>
      <c r="C25" s="9" t="s">
        <v>72</v>
      </c>
      <c r="D25" s="16"/>
      <c r="E25" s="16"/>
      <c r="F25" s="17"/>
      <c r="G25" s="17"/>
      <c r="H25" s="16"/>
    </row>
    <row r="26" spans="1:26" ht="36.75">
      <c r="B26" s="43">
        <v>1</v>
      </c>
      <c r="C26" s="44" t="s">
        <v>73</v>
      </c>
      <c r="D26" s="15">
        <v>2</v>
      </c>
      <c r="E26" s="15" t="s">
        <v>17</v>
      </c>
      <c r="F26" s="17">
        <v>4000000</v>
      </c>
      <c r="G26" s="17">
        <f t="shared" ref="G26:G27" si="1">D26*F26</f>
        <v>8000000</v>
      </c>
      <c r="H26" s="28" t="s">
        <v>74</v>
      </c>
    </row>
    <row r="27" spans="1:26" ht="24.75">
      <c r="B27" s="43">
        <v>2</v>
      </c>
      <c r="C27" s="16" t="s">
        <v>83</v>
      </c>
      <c r="D27" s="15">
        <v>1</v>
      </c>
      <c r="E27" s="15" t="s">
        <v>84</v>
      </c>
      <c r="F27" s="5">
        <v>6500000</v>
      </c>
      <c r="G27" s="5">
        <f t="shared" si="1"/>
        <v>6500000</v>
      </c>
      <c r="H27" s="19" t="s">
        <v>85</v>
      </c>
    </row>
    <row r="28" spans="1:26" ht="120.75">
      <c r="B28" s="43">
        <v>3</v>
      </c>
      <c r="C28" s="16" t="s">
        <v>18</v>
      </c>
      <c r="D28" s="15"/>
      <c r="E28" s="15"/>
      <c r="F28" s="5"/>
      <c r="G28" s="5">
        <f>5%*10000000000</f>
        <v>500000000</v>
      </c>
      <c r="H28" s="28" t="s">
        <v>88</v>
      </c>
    </row>
    <row r="29" spans="1:26" ht="24.75">
      <c r="B29" s="45">
        <v>4</v>
      </c>
      <c r="C29" s="10" t="s">
        <v>76</v>
      </c>
      <c r="D29" s="15"/>
      <c r="E29" s="15"/>
      <c r="F29" s="5"/>
      <c r="G29" s="5">
        <v>3000000</v>
      </c>
      <c r="H29" s="28" t="s">
        <v>75</v>
      </c>
    </row>
    <row r="30" spans="1:26">
      <c r="B30" s="8"/>
      <c r="C30" s="9" t="s">
        <v>77</v>
      </c>
      <c r="D30" s="7"/>
      <c r="E30" s="3"/>
      <c r="F30" s="2"/>
      <c r="G30" s="5"/>
      <c r="H30" s="11"/>
    </row>
    <row r="31" spans="1:26">
      <c r="A31" s="12"/>
      <c r="B31" s="43">
        <v>1</v>
      </c>
      <c r="C31" s="44" t="s">
        <v>82</v>
      </c>
      <c r="D31" s="15">
        <v>1</v>
      </c>
      <c r="E31" s="15" t="s">
        <v>17</v>
      </c>
      <c r="F31" s="17">
        <f>10%*1500000</f>
        <v>150000</v>
      </c>
      <c r="G31" s="17">
        <f t="shared" ref="G31:G33" si="2">D31*F31</f>
        <v>150000</v>
      </c>
      <c r="H31" s="19" t="s">
        <v>78</v>
      </c>
    </row>
    <row r="32" spans="1:26" ht="36.75">
      <c r="B32" s="43">
        <v>2</v>
      </c>
      <c r="C32" s="44" t="s">
        <v>73</v>
      </c>
      <c r="D32" s="15">
        <v>2</v>
      </c>
      <c r="E32" s="15" t="s">
        <v>17</v>
      </c>
      <c r="F32" s="17">
        <f>10%*F26</f>
        <v>400000</v>
      </c>
      <c r="G32" s="17">
        <f t="shared" si="2"/>
        <v>800000</v>
      </c>
      <c r="H32" s="28" t="s">
        <v>79</v>
      </c>
    </row>
    <row r="33" spans="1:20" ht="24.75">
      <c r="B33" s="43">
        <v>3</v>
      </c>
      <c r="C33" s="16" t="s">
        <v>83</v>
      </c>
      <c r="D33" s="15">
        <v>1</v>
      </c>
      <c r="E33" s="15" t="s">
        <v>84</v>
      </c>
      <c r="F33" s="5">
        <f>20%*F27</f>
        <v>1300000</v>
      </c>
      <c r="G33" s="5">
        <f t="shared" si="2"/>
        <v>1300000</v>
      </c>
      <c r="H33" s="19" t="s">
        <v>86</v>
      </c>
      <c r="J33" s="12"/>
      <c r="K33" s="12"/>
      <c r="L33" s="12"/>
      <c r="M33" s="12"/>
      <c r="N33" s="12"/>
    </row>
    <row r="34" spans="1:20" ht="60.75">
      <c r="B34" s="43">
        <v>4</v>
      </c>
      <c r="C34" s="16" t="s">
        <v>18</v>
      </c>
      <c r="D34" s="15"/>
      <c r="E34" s="15"/>
      <c r="F34" s="5"/>
      <c r="G34" s="5">
        <f>50%*G28</f>
        <v>250000000</v>
      </c>
      <c r="H34" s="28" t="s">
        <v>87</v>
      </c>
    </row>
    <row r="35" spans="1:20">
      <c r="A35" s="12"/>
      <c r="B35" s="46"/>
    </row>
    <row r="36" spans="1:20" ht="192.75">
      <c r="A36" s="12"/>
      <c r="B36" s="25"/>
      <c r="C36" s="61" t="s">
        <v>211</v>
      </c>
      <c r="D36" s="20"/>
      <c r="E36" s="20"/>
      <c r="F36" s="20"/>
      <c r="G36" s="21"/>
      <c r="H36" s="20"/>
      <c r="J36" s="48" t="s">
        <v>93</v>
      </c>
      <c r="P36" s="48" t="s">
        <v>94</v>
      </c>
    </row>
    <row r="37" spans="1:20">
      <c r="A37" s="12"/>
      <c r="B37" s="25"/>
      <c r="C37" s="20"/>
      <c r="D37" s="20"/>
      <c r="E37" s="20"/>
      <c r="F37" s="20"/>
      <c r="G37" s="21"/>
      <c r="H37" s="20"/>
      <c r="J37" s="80" t="s">
        <v>47</v>
      </c>
      <c r="K37" s="15" t="s">
        <v>40</v>
      </c>
      <c r="L37" s="15" t="s">
        <v>41</v>
      </c>
      <c r="M37" s="15" t="s">
        <v>44</v>
      </c>
      <c r="N37" s="15" t="s">
        <v>42</v>
      </c>
      <c r="P37" s="80" t="s">
        <v>47</v>
      </c>
      <c r="Q37" s="15" t="s">
        <v>40</v>
      </c>
      <c r="R37" s="15" t="s">
        <v>41</v>
      </c>
      <c r="S37" s="15" t="s">
        <v>44</v>
      </c>
      <c r="T37" s="15" t="s">
        <v>42</v>
      </c>
    </row>
    <row r="38" spans="1:20">
      <c r="A38" s="12"/>
      <c r="B38" s="25"/>
      <c r="C38" s="20"/>
      <c r="D38" s="20"/>
      <c r="E38" s="20"/>
      <c r="F38" s="20"/>
      <c r="G38" s="21"/>
      <c r="H38" s="20"/>
      <c r="J38" s="81"/>
      <c r="K38" s="15">
        <v>1</v>
      </c>
      <c r="L38" s="15">
        <v>2</v>
      </c>
      <c r="M38" s="15">
        <v>4</v>
      </c>
      <c r="N38" s="15">
        <v>10</v>
      </c>
      <c r="P38" s="81"/>
      <c r="Q38" s="15">
        <v>1</v>
      </c>
      <c r="R38" s="15">
        <v>2</v>
      </c>
      <c r="S38" s="15">
        <v>6</v>
      </c>
      <c r="T38" s="15">
        <v>10</v>
      </c>
    </row>
    <row r="39" spans="1:20">
      <c r="A39" s="12"/>
      <c r="J39" s="16" t="s">
        <v>10</v>
      </c>
      <c r="K39" s="18">
        <f t="shared" ref="K39:N41" si="3">K7+K14</f>
        <v>3750900000</v>
      </c>
      <c r="L39" s="18">
        <f t="shared" si="3"/>
        <v>7501800000</v>
      </c>
      <c r="M39" s="18">
        <f t="shared" si="3"/>
        <v>15009900000</v>
      </c>
      <c r="N39" s="18">
        <f t="shared" si="3"/>
        <v>15009000000</v>
      </c>
      <c r="P39" s="16" t="s">
        <v>10</v>
      </c>
      <c r="Q39" s="18">
        <f>Q7+Q14</f>
        <v>22660000000</v>
      </c>
      <c r="R39" s="18">
        <f>R7+R14</f>
        <v>45160500000</v>
      </c>
      <c r="S39" s="18">
        <f>S7+S14</f>
        <v>135162500000</v>
      </c>
      <c r="T39" s="18">
        <f>T7+T14</f>
        <v>225164500000</v>
      </c>
    </row>
    <row r="40" spans="1:20">
      <c r="A40" s="12"/>
      <c r="B40" s="12"/>
      <c r="J40" s="16" t="s">
        <v>11</v>
      </c>
      <c r="K40" s="18">
        <f t="shared" si="3"/>
        <v>3814350000</v>
      </c>
      <c r="L40" s="18">
        <f t="shared" si="3"/>
        <v>7565250000</v>
      </c>
      <c r="M40" s="18">
        <f t="shared" si="3"/>
        <v>15342350000</v>
      </c>
      <c r="N40" s="18">
        <f t="shared" si="3"/>
        <v>15553550000</v>
      </c>
      <c r="P40" s="16" t="s">
        <v>11</v>
      </c>
      <c r="Q40" s="18">
        <f>Q8+Q15</f>
        <v>22660000000</v>
      </c>
      <c r="R40" s="18">
        <f>R7+R14</f>
        <v>45160500000</v>
      </c>
      <c r="S40" s="18">
        <f>S7+S14</f>
        <v>135162500000</v>
      </c>
      <c r="T40" s="18">
        <f>T7+T14</f>
        <v>225164500000</v>
      </c>
    </row>
    <row r="41" spans="1:20">
      <c r="B41" s="14" t="s">
        <v>0</v>
      </c>
      <c r="C41" s="12"/>
      <c r="D41" s="12"/>
      <c r="E41" s="12"/>
      <c r="F41" s="12"/>
      <c r="G41" s="12"/>
      <c r="H41" s="12"/>
      <c r="J41" s="16" t="s">
        <v>12</v>
      </c>
      <c r="K41" s="18">
        <f t="shared" si="3"/>
        <v>3814800000</v>
      </c>
      <c r="L41" s="18">
        <f t="shared" si="3"/>
        <v>7565700000</v>
      </c>
      <c r="M41" s="18">
        <f t="shared" si="3"/>
        <v>15342800000</v>
      </c>
      <c r="N41" s="18">
        <f t="shared" si="3"/>
        <v>15553550000</v>
      </c>
      <c r="P41" s="16" t="s">
        <v>12</v>
      </c>
      <c r="Q41" s="18">
        <f>Q9+Q16</f>
        <v>22660000000</v>
      </c>
      <c r="R41" s="18">
        <f>R7+R14</f>
        <v>45160500000</v>
      </c>
      <c r="S41" s="18">
        <f>S7+S14</f>
        <v>135162500000</v>
      </c>
      <c r="T41" s="18">
        <f>T7+T14</f>
        <v>225164500000</v>
      </c>
    </row>
    <row r="42" spans="1:20">
      <c r="B42" s="13" t="s">
        <v>8</v>
      </c>
      <c r="C42" s="12"/>
      <c r="D42" s="12"/>
      <c r="E42" s="12"/>
      <c r="F42" s="12"/>
      <c r="G42" s="12"/>
      <c r="H42" s="12"/>
      <c r="J42" s="16" t="s">
        <v>5</v>
      </c>
      <c r="K42" s="17"/>
      <c r="L42" s="17"/>
      <c r="M42" s="17"/>
      <c r="N42" s="17"/>
      <c r="P42" s="16" t="s">
        <v>5</v>
      </c>
      <c r="Q42" s="17">
        <f>Q17</f>
        <v>9000000000</v>
      </c>
      <c r="R42" s="17">
        <f>R17</f>
        <v>18000000000</v>
      </c>
      <c r="S42" s="17">
        <f>S17</f>
        <v>54000000000</v>
      </c>
      <c r="T42" s="17">
        <f>T17</f>
        <v>90000000000</v>
      </c>
    </row>
    <row r="44" spans="1:20">
      <c r="B44" s="1" t="s">
        <v>1</v>
      </c>
      <c r="C44" s="1" t="s">
        <v>2</v>
      </c>
      <c r="D44" s="1" t="s">
        <v>4</v>
      </c>
      <c r="E44" s="1" t="s">
        <v>14</v>
      </c>
      <c r="F44" s="1" t="s">
        <v>19</v>
      </c>
      <c r="G44" s="1" t="s">
        <v>3</v>
      </c>
      <c r="H44" s="1" t="s">
        <v>20</v>
      </c>
    </row>
    <row r="45" spans="1:20">
      <c r="B45" s="16"/>
      <c r="C45" s="9" t="s">
        <v>48</v>
      </c>
      <c r="D45" s="16"/>
      <c r="E45" s="16"/>
      <c r="F45" s="17"/>
      <c r="G45" s="17"/>
      <c r="H45" s="16"/>
      <c r="I45" s="12"/>
    </row>
    <row r="46" spans="1:20">
      <c r="B46" s="15">
        <v>1</v>
      </c>
      <c r="C46" s="16" t="s">
        <v>21</v>
      </c>
      <c r="D46" s="16"/>
      <c r="E46" s="16"/>
      <c r="F46" s="17"/>
      <c r="G46" s="17">
        <v>10000000</v>
      </c>
      <c r="H46" s="19" t="s">
        <v>90</v>
      </c>
      <c r="I46" s="12"/>
    </row>
    <row r="47" spans="1:20">
      <c r="B47" s="8"/>
      <c r="C47" s="6" t="s">
        <v>43</v>
      </c>
      <c r="D47" s="15"/>
      <c r="E47" s="15"/>
      <c r="F47" s="5"/>
      <c r="G47" s="5"/>
      <c r="H47" s="16"/>
      <c r="J47" s="12"/>
      <c r="K47" s="12"/>
      <c r="L47" s="12"/>
      <c r="M47" s="12"/>
    </row>
    <row r="48" spans="1:20">
      <c r="B48" s="7">
        <v>1</v>
      </c>
      <c r="C48" s="16" t="s">
        <v>21</v>
      </c>
      <c r="D48" s="7">
        <v>300</v>
      </c>
      <c r="E48" s="3" t="s">
        <v>63</v>
      </c>
      <c r="F48" s="2">
        <v>500000</v>
      </c>
      <c r="G48" s="5">
        <f>D48*F48</f>
        <v>150000000</v>
      </c>
      <c r="H48" s="11"/>
      <c r="I48" s="12"/>
      <c r="J48" s="12"/>
      <c r="K48" s="12"/>
      <c r="L48" s="12"/>
      <c r="M48" s="12"/>
    </row>
    <row r="49" spans="1:13">
      <c r="B49" s="7">
        <v>2</v>
      </c>
      <c r="C49" s="10" t="s">
        <v>46</v>
      </c>
      <c r="D49" s="4">
        <v>1500</v>
      </c>
      <c r="E49" s="7" t="s">
        <v>62</v>
      </c>
      <c r="F49" s="5">
        <v>15000000</v>
      </c>
      <c r="G49" s="5">
        <f>D49*F49</f>
        <v>22500000000</v>
      </c>
      <c r="H49" s="28" t="s">
        <v>207</v>
      </c>
      <c r="I49" s="12"/>
      <c r="J49" s="12"/>
      <c r="K49" s="12"/>
      <c r="L49" s="12"/>
      <c r="M49" s="12"/>
    </row>
    <row r="50" spans="1:13">
      <c r="F50" s="77">
        <f>10%*D58</f>
        <v>13888888.88888889</v>
      </c>
      <c r="I50" s="12"/>
    </row>
    <row r="51" spans="1:13">
      <c r="I51" s="12"/>
    </row>
    <row r="52" spans="1:13">
      <c r="I52" s="12"/>
    </row>
    <row r="53" spans="1:13">
      <c r="I53" s="12"/>
    </row>
    <row r="54" spans="1:13">
      <c r="A54" t="s">
        <v>198</v>
      </c>
      <c r="B54" t="s">
        <v>199</v>
      </c>
      <c r="C54" t="s">
        <v>200</v>
      </c>
    </row>
    <row r="55" spans="1:13">
      <c r="C55" t="s">
        <v>201</v>
      </c>
      <c r="D55" t="s">
        <v>203</v>
      </c>
      <c r="E55" t="s">
        <v>205</v>
      </c>
    </row>
    <row r="56" spans="1:13">
      <c r="C56" t="s">
        <v>202</v>
      </c>
      <c r="D56" t="s">
        <v>204</v>
      </c>
      <c r="E56" t="s">
        <v>206</v>
      </c>
    </row>
    <row r="57" spans="1:13">
      <c r="D57" s="77">
        <f>50000000000/12</f>
        <v>4166666666.6666665</v>
      </c>
      <c r="E57" t="s">
        <v>215</v>
      </c>
    </row>
    <row r="58" spans="1:13" ht="18.75">
      <c r="A58" s="30"/>
      <c r="B58" s="30"/>
      <c r="C58" s="30"/>
      <c r="D58" s="77">
        <f>D57/30</f>
        <v>138888888.8888889</v>
      </c>
      <c r="E58" t="s">
        <v>216</v>
      </c>
    </row>
    <row r="59" spans="1:13" ht="18.75">
      <c r="A59" s="30"/>
      <c r="B59" s="30"/>
      <c r="C59" s="30"/>
    </row>
    <row r="60" spans="1:13" ht="18.75">
      <c r="A60" s="30"/>
      <c r="B60" s="30"/>
      <c r="C60" s="30"/>
    </row>
    <row r="61" spans="1:13" ht="18.75">
      <c r="A61" s="30"/>
      <c r="B61" s="30"/>
      <c r="C61" s="30"/>
    </row>
    <row r="62" spans="1:13" ht="18.75">
      <c r="A62" s="30"/>
      <c r="B62" s="30"/>
      <c r="C62" s="30"/>
    </row>
  </sheetData>
  <mergeCells count="6">
    <mergeCell ref="J5:J6"/>
    <mergeCell ref="P5:P6"/>
    <mergeCell ref="J12:J13"/>
    <mergeCell ref="P12:P13"/>
    <mergeCell ref="J37:J38"/>
    <mergeCell ref="P37:P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Mall</vt:lpstr>
      <vt:lpstr>asumsi</vt:lpstr>
      <vt:lpstr>Platinum</vt:lpstr>
      <vt:lpstr>Matriks_Platinum</vt:lpstr>
      <vt:lpstr>Gold</vt:lpstr>
      <vt:lpstr>Matriks_Gold</vt:lpstr>
      <vt:lpstr>Classic</vt:lpstr>
      <vt:lpstr>Matriks_Classic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2015-08-12T01:56:13Z</dcterms:created>
  <dcterms:modified xsi:type="dcterms:W3CDTF">2015-10-23T07:05:33Z</dcterms:modified>
</cp:coreProperties>
</file>