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/>
  </bookViews>
  <sheets>
    <sheet name="Sheet1" sheetId="1" r:id="rId1"/>
    <sheet name="Data Postgis" sheetId="2" r:id="rId2"/>
  </sheets>
  <calcPr calcId="124519"/>
</workbook>
</file>

<file path=xl/calcChain.xml><?xml version="1.0" encoding="utf-8"?>
<calcChain xmlns="http://schemas.openxmlformats.org/spreadsheetml/2006/main">
  <c r="N31" i="1"/>
  <c r="N32"/>
  <c r="N30"/>
  <c r="M31"/>
  <c r="M32"/>
  <c r="M30"/>
  <c r="L31"/>
  <c r="L32"/>
  <c r="L30"/>
  <c r="K31"/>
  <c r="K32"/>
  <c r="K30"/>
  <c r="N9"/>
  <c r="N8"/>
  <c r="N7"/>
  <c r="M9"/>
  <c r="M8"/>
  <c r="M7"/>
  <c r="L9"/>
  <c r="L8"/>
  <c r="L7"/>
  <c r="K9"/>
  <c r="K8"/>
  <c r="K7"/>
  <c r="G14"/>
  <c r="G26"/>
  <c r="G9"/>
  <c r="G12"/>
  <c r="G11"/>
  <c r="G10"/>
  <c r="B30" i="2" l="1"/>
  <c r="B32" l="1"/>
  <c r="B31"/>
  <c r="B33" l="1"/>
  <c r="P17" i="1"/>
  <c r="Q17"/>
  <c r="O17"/>
  <c r="L17"/>
  <c r="M17"/>
  <c r="K17"/>
  <c r="B38" i="2" l="1"/>
  <c r="B39" s="1"/>
  <c r="B35"/>
  <c r="W17" i="1"/>
  <c r="X17"/>
  <c r="Y17"/>
  <c r="S17"/>
  <c r="T17"/>
  <c r="U17"/>
</calcChain>
</file>

<file path=xl/sharedStrings.xml><?xml version="1.0" encoding="utf-8"?>
<sst xmlns="http://schemas.openxmlformats.org/spreadsheetml/2006/main" count="97" uniqueCount="75">
  <si>
    <t>Luas Taman</t>
  </si>
  <si>
    <t>Kelurahan</t>
  </si>
  <si>
    <t>RW</t>
  </si>
  <si>
    <t>No</t>
  </si>
  <si>
    <t>Total</t>
  </si>
  <si>
    <t>Perhitungan Kerusakan Akibat Banjir</t>
  </si>
  <si>
    <t xml:space="preserve">Kerusakan = kehilangan barang/properti, perbaikan barang/properti dan perbaikan bangunan </t>
  </si>
  <si>
    <t>Rekapitulasi Kerusakan</t>
  </si>
  <si>
    <t>&lt;1 hari</t>
  </si>
  <si>
    <t>1-4 hari</t>
  </si>
  <si>
    <t>5-8 hari</t>
  </si>
  <si>
    <t>&gt;8 hari</t>
  </si>
  <si>
    <t>Pengeluaran</t>
  </si>
  <si>
    <t>Jumlah</t>
  </si>
  <si>
    <t>Satuan</t>
  </si>
  <si>
    <t>Unit Cost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</si>
  <si>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</si>
  <si>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</si>
  <si>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</si>
  <si>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</si>
  <si>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</si>
  <si>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</si>
  <si>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</si>
  <si>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</si>
  <si>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</si>
  <si>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</si>
  <si>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</si>
  <si>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</si>
  <si>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</si>
  <si>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</si>
  <si>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</si>
  <si>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</si>
  <si>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</si>
  <si>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</si>
  <si>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</si>
  <si>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</si>
  <si>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</si>
  <si>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</si>
  <si>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</si>
  <si>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 xml:space="preserve">Kerugian = kebersihan, kehilangan pendapatan dan tambahan lainnya </t>
  </si>
  <si>
    <t>kebersihan</t>
  </si>
  <si>
    <t>range</t>
  </si>
  <si>
    <t>m2</t>
  </si>
  <si>
    <t>limit bawah</t>
  </si>
  <si>
    <t>interval/lebar kelas</t>
  </si>
  <si>
    <t>kehilangan pendapatan</t>
  </si>
  <si>
    <t>rata2</t>
  </si>
  <si>
    <t>max</t>
  </si>
  <si>
    <t>min</t>
  </si>
  <si>
    <t>banyak kelas (pake rumus log)</t>
  </si>
  <si>
    <t>batas bawah</t>
  </si>
  <si>
    <t>batas atas kelas</t>
  </si>
  <si>
    <t>limit atas kelas</t>
  </si>
  <si>
    <t>semua kelas banjir</t>
  </si>
  <si>
    <t>KEBAYORAN LAMA UTARA</t>
  </si>
  <si>
    <t>GROGOL UTARA</t>
  </si>
  <si>
    <t>BALE KAMBANG</t>
  </si>
  <si>
    <t>pakan ternak</t>
  </si>
  <si>
    <t>properti hilang/tak terpakai</t>
  </si>
  <si>
    <t>hewan ternak</t>
  </si>
  <si>
    <t>properti rusak/biaya servis (perawatan sakit)</t>
  </si>
  <si>
    <t>kerusakan bangunan</t>
  </si>
  <si>
    <t>kandang ternak</t>
  </si>
  <si>
    <t>PETERNAKAN</t>
  </si>
  <si>
    <t>hewan ternak mati (ayam, kambing, sapi dsb)</t>
  </si>
  <si>
    <t>ayam/itik</t>
  </si>
  <si>
    <t>kambing</t>
  </si>
  <si>
    <t>sapi</t>
  </si>
  <si>
    <t>ekor</t>
  </si>
  <si>
    <t>saat &gt;150 cm &amp; durasi 5-8 s/d &gt;8 hari</t>
  </si>
  <si>
    <t>mulai 71-150 cm dgn durasi &gt;8 hari (rata2 dari 3 jenis hewan ternak)</t>
  </si>
  <si>
    <t>semua kelas banjir kecuali mulai 71-150 cm dgn durasi &gt;8 hari dengan persentase berbeda setiap kelas banjir</t>
  </si>
  <si>
    <t>semua kelas banjir dengan persentase berbeda setiap kelas banjir</t>
  </si>
  <si>
    <t>hari                     (keuntungan 5% dari total penjualan pada point 2 pengeluaran)</t>
  </si>
  <si>
    <t>Perhitungan Kerugian Akibat Banjir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</si>
</sst>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1" fontId="0" fillId="0" borderId="0" xfId="0" applyNumberFormat="1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164" fontId="4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Fill="1" applyBorder="1"/>
    <xf numFmtId="0" fontId="0" fillId="0" borderId="2" xfId="0" applyBorder="1" applyAlignment="1">
      <alignment vertical="center" wrapText="1"/>
    </xf>
    <xf numFmtId="0" fontId="4" fillId="0" borderId="0" xfId="1" applyFont="1" applyBorder="1"/>
    <xf numFmtId="164" fontId="4" fillId="0" borderId="0" xfId="2" applyNumberFormat="1" applyFont="1" applyBorder="1"/>
    <xf numFmtId="0" fontId="5" fillId="0" borderId="0" xfId="1" applyFont="1" applyBorder="1"/>
    <xf numFmtId="164" fontId="3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3" fillId="0" borderId="0" xfId="1" applyFont="1" applyFill="1" applyBorder="1"/>
    <xf numFmtId="0" fontId="6" fillId="0" borderId="0" xfId="0" applyFont="1" applyBorder="1" applyAlignment="1">
      <alignment horizontal="center"/>
    </xf>
    <xf numFmtId="0" fontId="8" fillId="0" borderId="0" xfId="1" applyFont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1" xfId="1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164" fontId="4" fillId="0" borderId="4" xfId="2" applyNumberFormat="1" applyFont="1" applyBorder="1" applyAlignment="1">
      <alignment horizontal="center"/>
    </xf>
    <xf numFmtId="0" fontId="0" fillId="0" borderId="0" xfId="0" applyFill="1" applyBorder="1"/>
    <xf numFmtId="164" fontId="4" fillId="0" borderId="1" xfId="2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3" fillId="0" borderId="2" xfId="1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1" applyFont="1" applyFill="1" applyBorder="1"/>
    <xf numFmtId="0" fontId="4" fillId="0" borderId="4" xfId="1" applyFont="1" applyBorder="1" applyAlignment="1">
      <alignment wrapText="1"/>
    </xf>
    <xf numFmtId="0" fontId="4" fillId="0" borderId="4" xfId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4" fillId="0" borderId="4" xfId="1" applyFont="1" applyBorder="1"/>
    <xf numFmtId="0" fontId="4" fillId="0" borderId="1" xfId="1" applyFont="1" applyBorder="1" applyAlignment="1">
      <alignment horizontal="center" wrapText="1"/>
    </xf>
    <xf numFmtId="0" fontId="4" fillId="0" borderId="0" xfId="1" applyFont="1" applyFill="1" applyBorder="1"/>
    <xf numFmtId="164" fontId="4" fillId="0" borderId="0" xfId="2" applyNumberFormat="1" applyFont="1" applyFill="1" applyBorder="1" applyAlignment="1">
      <alignment horizontal="center"/>
    </xf>
    <xf numFmtId="0" fontId="4" fillId="0" borderId="0" xfId="0" applyFont="1" applyBorder="1" applyAlignment="1">
      <alignment wrapText="1"/>
    </xf>
    <xf numFmtId="0" fontId="1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0"/>
  <sheetViews>
    <sheetView tabSelected="1" topLeftCell="D19" workbookViewId="0">
      <selection activeCell="K30" sqref="K30:N32"/>
    </sheetView>
  </sheetViews>
  <sheetFormatPr defaultRowHeight="15"/>
  <cols>
    <col min="3" max="3" width="38.42578125" bestFit="1" customWidth="1"/>
    <col min="5" max="5" width="16.85546875" bestFit="1" customWidth="1"/>
    <col min="6" max="6" width="11" bestFit="1" customWidth="1"/>
    <col min="7" max="7" width="12" bestFit="1" customWidth="1"/>
    <col min="8" max="8" width="17.5703125" bestFit="1" customWidth="1"/>
    <col min="10" max="10" width="17.42578125" customWidth="1"/>
    <col min="11" max="13" width="11.5703125" bestFit="1" customWidth="1"/>
    <col min="14" max="14" width="12" bestFit="1" customWidth="1"/>
    <col min="15" max="17" width="11.5703125" bestFit="1" customWidth="1"/>
    <col min="18" max="18" width="5.140625" bestFit="1" customWidth="1"/>
    <col min="19" max="21" width="11.5703125" bestFit="1" customWidth="1"/>
    <col min="23" max="23" width="11.5703125" bestFit="1" customWidth="1"/>
    <col min="24" max="25" width="12.5703125" bestFit="1" customWidth="1"/>
  </cols>
  <sheetData>
    <row r="1" spans="1:26" ht="18">
      <c r="A1" s="3"/>
      <c r="B1" s="29" t="s">
        <v>63</v>
      </c>
      <c r="C1" s="3"/>
      <c r="D1" s="3"/>
      <c r="E1" s="3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6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  <c r="Z2" s="2"/>
    </row>
    <row r="3" spans="1:26">
      <c r="A3" s="2"/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/>
      <c r="B4" s="5" t="s">
        <v>6</v>
      </c>
      <c r="C4" s="2"/>
      <c r="D4" s="2"/>
      <c r="E4" s="2"/>
      <c r="F4" s="2"/>
      <c r="G4" s="2"/>
      <c r="H4" s="2"/>
      <c r="I4" s="2"/>
      <c r="J4" s="4" t="s">
        <v>7</v>
      </c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/>
      <c r="B5" s="2"/>
      <c r="C5" s="2"/>
      <c r="D5" s="2"/>
      <c r="E5" s="2"/>
      <c r="F5" s="2"/>
      <c r="G5" s="2"/>
      <c r="H5" s="2"/>
      <c r="I5" s="2"/>
      <c r="J5" s="57" t="s">
        <v>63</v>
      </c>
      <c r="K5" s="6" t="s">
        <v>8</v>
      </c>
      <c r="L5" s="6" t="s">
        <v>9</v>
      </c>
      <c r="M5" s="6" t="s">
        <v>10</v>
      </c>
      <c r="N5" s="6" t="s">
        <v>11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/>
      <c r="B6" s="7" t="s">
        <v>3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4</v>
      </c>
      <c r="H6" s="7" t="s">
        <v>16</v>
      </c>
      <c r="I6" s="2"/>
      <c r="J6" s="58"/>
      <c r="K6" s="6">
        <v>1</v>
      </c>
      <c r="L6" s="6">
        <v>2</v>
      </c>
      <c r="M6" s="6">
        <v>6</v>
      </c>
      <c r="N6" s="6">
        <v>10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/>
      <c r="B7" s="15"/>
      <c r="C7" s="16" t="s">
        <v>58</v>
      </c>
      <c r="D7" s="15"/>
      <c r="E7" s="15"/>
      <c r="F7" s="15"/>
      <c r="G7" s="39"/>
      <c r="H7" s="15"/>
      <c r="I7" s="2"/>
      <c r="J7" s="8" t="s">
        <v>17</v>
      </c>
      <c r="K7" s="10">
        <f>(10%*$G$8)+(5%*$G$14)</f>
        <v>1373749.9999999998</v>
      </c>
      <c r="L7" s="10">
        <f>(20%*$G$8)+(15%*$G$14)</f>
        <v>3821249.9999999995</v>
      </c>
      <c r="M7" s="10">
        <f>(60%*$G$8)+(55%*$G$14)</f>
        <v>13611249.999999998</v>
      </c>
      <c r="N7" s="10">
        <f>(100%*$G$8)+(95%*$G$14)</f>
        <v>23401249.999999996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8.75">
      <c r="A8" s="3"/>
      <c r="B8" s="6">
        <v>1</v>
      </c>
      <c r="C8" s="44" t="s">
        <v>57</v>
      </c>
      <c r="D8" s="45"/>
      <c r="E8" s="6"/>
      <c r="F8" s="11"/>
      <c r="G8" s="11">
        <v>3000000</v>
      </c>
      <c r="H8" s="46" t="s">
        <v>72</v>
      </c>
      <c r="I8" s="2"/>
      <c r="J8" s="8" t="s">
        <v>18</v>
      </c>
      <c r="K8" s="10">
        <f>(15%*$G$8)+(10%*$G$14)</f>
        <v>2597499.9999999995</v>
      </c>
      <c r="L8" s="10">
        <f>(25%*$G$8)+(20%*$G$14)</f>
        <v>5044999.9999999991</v>
      </c>
      <c r="M8" s="10">
        <f>(65%*$G$8)+(60%*$G$14)</f>
        <v>14834999.999999998</v>
      </c>
      <c r="N8" s="10">
        <f>(100%*$G$8)+(G9)</f>
        <v>146166666.66666666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8.75">
      <c r="A9" s="3"/>
      <c r="B9" s="6">
        <v>2</v>
      </c>
      <c r="C9" s="44" t="s">
        <v>64</v>
      </c>
      <c r="D9" s="45"/>
      <c r="E9" s="6"/>
      <c r="F9" s="11"/>
      <c r="G9" s="11">
        <f>AVERAGE(G10:G12)</f>
        <v>143166666.66666666</v>
      </c>
      <c r="H9" s="46" t="s">
        <v>70</v>
      </c>
      <c r="I9" s="2"/>
      <c r="J9" s="8" t="s">
        <v>19</v>
      </c>
      <c r="K9" s="10">
        <f>(20%*$G$8)+(15%*$G$14)</f>
        <v>3821249.9999999995</v>
      </c>
      <c r="L9" s="10">
        <f>(30%*$G$8)+(25%*$G$14)</f>
        <v>6268749.9999999991</v>
      </c>
      <c r="M9" s="10">
        <f>(70%*$G$8)+(65%*$G$14)+(G16)</f>
        <v>26058750</v>
      </c>
      <c r="N9" s="10">
        <f>(100%*$G$8)+(G9)+(G16)</f>
        <v>156166666.66666666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/>
      <c r="B10" s="6"/>
      <c r="C10" s="8" t="s">
        <v>65</v>
      </c>
      <c r="D10" s="6">
        <v>100</v>
      </c>
      <c r="E10" s="13" t="s">
        <v>68</v>
      </c>
      <c r="F10" s="11">
        <v>35000</v>
      </c>
      <c r="G10" s="11">
        <f>D10*F10</f>
        <v>3500000</v>
      </c>
      <c r="H10" s="46"/>
      <c r="I10" s="2"/>
      <c r="J10" s="8" t="s">
        <v>20</v>
      </c>
      <c r="K10" s="9"/>
      <c r="L10" s="9"/>
      <c r="M10" s="9"/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/>
      <c r="B11" s="6"/>
      <c r="C11" s="8" t="s">
        <v>66</v>
      </c>
      <c r="D11" s="12">
        <v>70</v>
      </c>
      <c r="E11" s="13" t="s">
        <v>68</v>
      </c>
      <c r="F11" s="11">
        <v>1800000</v>
      </c>
      <c r="G11" s="11">
        <f>D11*F11</f>
        <v>126000000</v>
      </c>
      <c r="H11" s="15"/>
      <c r="I11" s="2"/>
      <c r="J11" s="2"/>
      <c r="K11" s="2"/>
      <c r="L11" s="2"/>
      <c r="M11" s="2"/>
      <c r="N11" s="2"/>
      <c r="O11" s="2"/>
      <c r="P11" s="4"/>
      <c r="Q11" s="3"/>
      <c r="R11" s="3"/>
      <c r="S11" s="3"/>
      <c r="T11" s="3"/>
      <c r="U11" s="2"/>
      <c r="V11" s="2"/>
      <c r="W11" s="2"/>
      <c r="X11" s="2"/>
      <c r="Y11" s="2"/>
      <c r="Z11" s="2"/>
    </row>
    <row r="12" spans="1:26">
      <c r="A12" s="3"/>
      <c r="B12" s="15"/>
      <c r="C12" s="47" t="s">
        <v>67</v>
      </c>
      <c r="D12" s="12">
        <v>40</v>
      </c>
      <c r="E12" s="13" t="s">
        <v>68</v>
      </c>
      <c r="F12" s="14">
        <v>7500000</v>
      </c>
      <c r="G12" s="9">
        <f>D12*F12</f>
        <v>300000000</v>
      </c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35" customFormat="1">
      <c r="A13" s="3"/>
      <c r="B13" s="6"/>
      <c r="C13" s="43" t="s">
        <v>60</v>
      </c>
      <c r="D13" s="6"/>
      <c r="E13" s="6"/>
      <c r="F13" s="11"/>
      <c r="G13" s="11"/>
      <c r="H13" s="15"/>
    </row>
    <row r="14" spans="1:26" s="35" customFormat="1" ht="72.75">
      <c r="A14" s="3"/>
      <c r="B14" s="6">
        <v>1</v>
      </c>
      <c r="C14" s="8" t="s">
        <v>59</v>
      </c>
      <c r="D14" s="12"/>
      <c r="E14" s="6"/>
      <c r="F14" s="11"/>
      <c r="G14" s="11">
        <f>15%*G9</f>
        <v>21474999.999999996</v>
      </c>
      <c r="H14" s="46" t="s">
        <v>71</v>
      </c>
    </row>
    <row r="15" spans="1:26">
      <c r="A15" s="3"/>
      <c r="B15" s="15"/>
      <c r="C15" s="16" t="s">
        <v>61</v>
      </c>
      <c r="D15" s="12"/>
      <c r="E15" s="13"/>
      <c r="F15" s="14"/>
      <c r="G15" s="9"/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6.75">
      <c r="A16" s="3"/>
      <c r="B16" s="6">
        <v>1</v>
      </c>
      <c r="C16" s="47" t="s">
        <v>62</v>
      </c>
      <c r="D16" s="45">
        <v>500</v>
      </c>
      <c r="E16" s="6" t="s">
        <v>42</v>
      </c>
      <c r="F16" s="14"/>
      <c r="G16" s="9">
        <v>10000000</v>
      </c>
      <c r="H16" s="46" t="s">
        <v>69</v>
      </c>
      <c r="I16" s="2"/>
      <c r="J16" s="17" t="s">
        <v>21</v>
      </c>
      <c r="K16" s="12" t="s">
        <v>22</v>
      </c>
      <c r="L16" s="12" t="s">
        <v>23</v>
      </c>
      <c r="M16" s="12" t="s">
        <v>24</v>
      </c>
      <c r="N16" s="12" t="s">
        <v>25</v>
      </c>
      <c r="O16" s="12" t="s">
        <v>26</v>
      </c>
      <c r="P16" s="12" t="s">
        <v>27</v>
      </c>
      <c r="Q16" s="12" t="s">
        <v>28</v>
      </c>
      <c r="R16" s="12" t="s">
        <v>29</v>
      </c>
      <c r="S16" s="12" t="s">
        <v>30</v>
      </c>
      <c r="T16" s="12" t="s">
        <v>31</v>
      </c>
      <c r="U16" s="12" t="s">
        <v>32</v>
      </c>
      <c r="V16" s="12" t="s">
        <v>33</v>
      </c>
      <c r="W16" s="12" t="s">
        <v>34</v>
      </c>
      <c r="X16" s="12" t="s">
        <v>35</v>
      </c>
      <c r="Y16" s="12" t="s">
        <v>36</v>
      </c>
      <c r="Z16" s="12" t="s">
        <v>37</v>
      </c>
    </row>
    <row r="17" spans="1:26" s="35" customFormat="1">
      <c r="A17" s="3"/>
      <c r="B17" s="25"/>
      <c r="C17" s="53"/>
      <c r="D17" s="28"/>
      <c r="E17" s="25"/>
      <c r="F17" s="54"/>
      <c r="G17" s="19"/>
      <c r="H17" s="55"/>
      <c r="J17" s="59" t="s">
        <v>63</v>
      </c>
      <c r="K17" s="60">
        <f>K7+K30</f>
        <v>9532083.3333333321</v>
      </c>
      <c r="L17" s="60">
        <f>K8+K31</f>
        <v>10755833.333333332</v>
      </c>
      <c r="M17" s="60">
        <f>K9+K32</f>
        <v>11979583.333333332</v>
      </c>
      <c r="N17" s="60">
        <v>0</v>
      </c>
      <c r="O17" s="60">
        <f>L7+L30</f>
        <v>19187916.666666664</v>
      </c>
      <c r="P17" s="60">
        <f>L8+L31</f>
        <v>20411666.666666664</v>
      </c>
      <c r="Q17" s="60">
        <f>L9+L32</f>
        <v>21635416.666666664</v>
      </c>
      <c r="R17" s="60">
        <v>0</v>
      </c>
      <c r="S17" s="60">
        <f>M7+M30</f>
        <v>29177916.666666664</v>
      </c>
      <c r="T17" s="60">
        <f>M8+M31</f>
        <v>30401666.666666664</v>
      </c>
      <c r="U17" s="60">
        <f>M9+M32</f>
        <v>41625416.666666664</v>
      </c>
      <c r="V17" s="60">
        <v>0</v>
      </c>
      <c r="W17" s="60">
        <f>N7+N30</f>
        <v>39167916.666666664</v>
      </c>
      <c r="X17" s="60">
        <f>N8+N31</f>
        <v>161933333.33333331</v>
      </c>
      <c r="Y17" s="60">
        <f>N9+N32</f>
        <v>171933333.33333331</v>
      </c>
      <c r="Z17" s="60">
        <v>0</v>
      </c>
    </row>
    <row r="18" spans="1:26" s="35" customFormat="1">
      <c r="A18" s="3"/>
      <c r="B18" s="25"/>
      <c r="C18" s="53"/>
      <c r="D18" s="28"/>
      <c r="E18" s="25"/>
      <c r="F18" s="54"/>
      <c r="G18" s="19"/>
      <c r="H18" s="55"/>
      <c r="J18" s="63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s="35" customFormat="1">
      <c r="A19" s="3"/>
      <c r="B19" s="25"/>
      <c r="C19" s="53"/>
      <c r="D19" s="28"/>
      <c r="E19" s="25"/>
      <c r="F19" s="54"/>
      <c r="G19" s="19"/>
      <c r="H19" s="55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s="35" customFormat="1">
      <c r="A20" s="3"/>
      <c r="B20" s="25"/>
      <c r="C20" s="53"/>
      <c r="D20" s="28"/>
      <c r="E20" s="25"/>
      <c r="F20" s="54"/>
      <c r="G20" s="19"/>
      <c r="H20" s="55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s="35" customFormat="1">
      <c r="A21" s="56"/>
      <c r="B21" s="4" t="s">
        <v>74</v>
      </c>
      <c r="C21" s="53"/>
      <c r="D21" s="28"/>
      <c r="E21" s="25"/>
      <c r="F21" s="54"/>
      <c r="G21" s="19"/>
      <c r="H21" s="55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>
      <c r="A22" s="3"/>
      <c r="B22" s="5" t="s">
        <v>39</v>
      </c>
      <c r="C22" s="3"/>
      <c r="D22" s="3"/>
      <c r="E22" s="3"/>
      <c r="F22" s="3"/>
      <c r="G22" s="3"/>
      <c r="H22" s="3"/>
      <c r="I22" s="2"/>
    </row>
    <row r="23" spans="1:2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/>
      <c r="B24" s="7" t="s">
        <v>3</v>
      </c>
      <c r="C24" s="7" t="s">
        <v>12</v>
      </c>
      <c r="D24" s="7" t="s">
        <v>13</v>
      </c>
      <c r="E24" s="7" t="s">
        <v>14</v>
      </c>
      <c r="F24" s="7" t="s">
        <v>15</v>
      </c>
      <c r="G24" s="7" t="s">
        <v>4</v>
      </c>
      <c r="H24" s="7" t="s">
        <v>16</v>
      </c>
      <c r="I24" s="2"/>
      <c r="J24" s="2"/>
      <c r="K24" s="2"/>
      <c r="L24" s="2"/>
      <c r="M24" s="2"/>
      <c r="N24" s="2"/>
      <c r="O24" s="2"/>
    </row>
    <row r="25" spans="1:26">
      <c r="A25" s="3"/>
      <c r="B25" s="30">
        <v>1</v>
      </c>
      <c r="C25" s="8" t="s">
        <v>40</v>
      </c>
      <c r="D25" s="31"/>
      <c r="E25" s="30"/>
      <c r="F25" s="32"/>
      <c r="G25" s="32">
        <v>1000000</v>
      </c>
      <c r="H25" s="33" t="s">
        <v>53</v>
      </c>
      <c r="I25" s="2"/>
      <c r="J25" s="2"/>
      <c r="K25" s="2"/>
      <c r="L25" s="2"/>
      <c r="M25" s="2"/>
      <c r="N25" s="2"/>
      <c r="O25" s="3"/>
    </row>
    <row r="26" spans="1:26" ht="60.75">
      <c r="A26" s="3"/>
      <c r="B26" s="30">
        <v>2</v>
      </c>
      <c r="C26" s="31" t="s">
        <v>45</v>
      </c>
      <c r="D26" s="30"/>
      <c r="E26" s="52" t="s">
        <v>73</v>
      </c>
      <c r="F26" s="41"/>
      <c r="G26" s="41">
        <f>5%*G9</f>
        <v>7158333.333333333</v>
      </c>
      <c r="H26" s="31" t="s">
        <v>53</v>
      </c>
      <c r="I26" s="2"/>
      <c r="J26" s="2"/>
      <c r="K26" s="2"/>
      <c r="L26" s="2"/>
      <c r="M26" s="2"/>
      <c r="N26" s="2"/>
      <c r="O26" s="2"/>
    </row>
    <row r="27" spans="1:26">
      <c r="A27" s="3"/>
      <c r="B27" s="42"/>
      <c r="C27" s="48"/>
      <c r="D27" s="42"/>
      <c r="E27" s="49"/>
      <c r="F27" s="50"/>
      <c r="G27" s="39"/>
      <c r="H27" s="51"/>
      <c r="I27" s="2"/>
      <c r="J27" s="4" t="s">
        <v>38</v>
      </c>
      <c r="K27" s="3"/>
      <c r="L27" s="3"/>
      <c r="M27" s="3"/>
      <c r="N27" s="3"/>
      <c r="O27" s="2"/>
    </row>
    <row r="28" spans="1:26">
      <c r="A28" s="3"/>
      <c r="B28" s="2"/>
      <c r="C28" s="2"/>
      <c r="D28" s="2"/>
      <c r="E28" s="2"/>
      <c r="F28" s="2"/>
      <c r="G28" s="24"/>
      <c r="H28" s="2"/>
      <c r="I28" s="2"/>
      <c r="J28" s="57" t="s">
        <v>63</v>
      </c>
      <c r="K28" s="6" t="s">
        <v>8</v>
      </c>
      <c r="L28" s="6" t="s">
        <v>9</v>
      </c>
      <c r="M28" s="6" t="s">
        <v>10</v>
      </c>
      <c r="N28" s="6" t="s">
        <v>11</v>
      </c>
      <c r="O28" s="2"/>
    </row>
    <row r="29" spans="1:26">
      <c r="A29" s="3"/>
      <c r="B29" s="2"/>
      <c r="C29" s="2"/>
      <c r="D29" s="2"/>
      <c r="E29" s="2"/>
      <c r="F29" s="2"/>
      <c r="G29" s="2"/>
      <c r="H29" s="2"/>
      <c r="I29" s="2"/>
      <c r="J29" s="58"/>
      <c r="K29" s="6">
        <v>1</v>
      </c>
      <c r="L29" s="6">
        <v>2</v>
      </c>
      <c r="M29" s="6">
        <v>6</v>
      </c>
      <c r="N29" s="6">
        <v>10</v>
      </c>
      <c r="O29" s="2"/>
    </row>
    <row r="30" spans="1:26">
      <c r="E30" s="35"/>
      <c r="G30" s="35"/>
      <c r="I30" s="3"/>
      <c r="J30" s="8" t="s">
        <v>17</v>
      </c>
      <c r="K30" s="32">
        <f>$G$25+$G$26</f>
        <v>8158333.333333333</v>
      </c>
      <c r="L30" s="32">
        <f>$G$25+$G$26+(5%*$G$25+$G$26)</f>
        <v>15366666.666666666</v>
      </c>
      <c r="M30" s="32">
        <f>$G$25+$G$26+(25%*$G$25+$G$26)</f>
        <v>15566666.666666666</v>
      </c>
      <c r="N30" s="32">
        <f>$G$25+$G$26+(45%*$G$25+$G$26)</f>
        <v>15766666.666666666</v>
      </c>
      <c r="O30" s="2"/>
    </row>
    <row r="31" spans="1:26">
      <c r="E31" s="35"/>
      <c r="G31" s="35"/>
      <c r="I31" s="3"/>
      <c r="J31" s="8" t="s">
        <v>18</v>
      </c>
      <c r="K31" s="32">
        <f t="shared" ref="K31:K32" si="0">$G$25+$G$26</f>
        <v>8158333.333333333</v>
      </c>
      <c r="L31" s="32">
        <f t="shared" ref="L31:L32" si="1">$G$25+$G$26+(5%*$G$25+$G$26)</f>
        <v>15366666.666666666</v>
      </c>
      <c r="M31" s="32">
        <f t="shared" ref="M31:M32" si="2">$G$25+$G$26+(25%*$G$25+$G$26)</f>
        <v>15566666.666666666</v>
      </c>
      <c r="N31" s="32">
        <f t="shared" ref="N31:N32" si="3">$G$25+$G$26+(45%*$G$25+$G$26)</f>
        <v>15766666.666666666</v>
      </c>
      <c r="O31" s="2"/>
    </row>
    <row r="32" spans="1:26">
      <c r="E32" s="40"/>
      <c r="G32" s="35"/>
      <c r="I32" s="2"/>
      <c r="J32" s="8" t="s">
        <v>19</v>
      </c>
      <c r="K32" s="32">
        <f t="shared" si="0"/>
        <v>8158333.333333333</v>
      </c>
      <c r="L32" s="32">
        <f t="shared" si="1"/>
        <v>15366666.666666666</v>
      </c>
      <c r="M32" s="32">
        <f t="shared" si="2"/>
        <v>15566666.666666666</v>
      </c>
      <c r="N32" s="32">
        <f t="shared" si="3"/>
        <v>15766666.666666666</v>
      </c>
      <c r="O32" s="2"/>
    </row>
    <row r="33" spans="1:15">
      <c r="G33" s="35"/>
      <c r="H33" s="35"/>
      <c r="I33" s="3"/>
      <c r="J33" s="8" t="s">
        <v>20</v>
      </c>
      <c r="K33" s="10"/>
      <c r="L33" s="10"/>
      <c r="M33" s="10"/>
      <c r="N33" s="10"/>
      <c r="O33" s="2"/>
    </row>
    <row r="34" spans="1:15">
      <c r="I34" s="3"/>
      <c r="J34" s="3"/>
      <c r="K34" s="3"/>
      <c r="L34" s="3"/>
      <c r="M34" s="3"/>
      <c r="N34" s="3"/>
      <c r="O34" s="2"/>
    </row>
    <row r="35" spans="1:15">
      <c r="I35" s="3"/>
      <c r="J35" s="2"/>
      <c r="K35" s="2"/>
      <c r="L35" s="2"/>
      <c r="M35" s="2"/>
      <c r="N35" s="2"/>
      <c r="O35" s="2"/>
    </row>
    <row r="36" spans="1:15">
      <c r="A36" s="5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</row>
    <row r="37" spans="1:15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</row>
    <row r="40" spans="1:15">
      <c r="A40" s="2"/>
      <c r="B40" s="2"/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</row>
    <row r="41" spans="1:15">
      <c r="A41" s="2"/>
      <c r="B41" s="2"/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</row>
    <row r="43" spans="1:15">
      <c r="A43" s="2"/>
      <c r="B43" s="25"/>
      <c r="C43" s="18"/>
      <c r="D43" s="25"/>
      <c r="E43" s="25"/>
      <c r="F43" s="24"/>
      <c r="G43" s="24"/>
      <c r="H43" s="18"/>
      <c r="I43" s="2"/>
      <c r="J43" s="2"/>
      <c r="K43" s="2"/>
      <c r="L43" s="2"/>
      <c r="M43" s="2"/>
    </row>
    <row r="44" spans="1:15">
      <c r="A44" s="2"/>
      <c r="B44" s="25"/>
      <c r="C44" s="18"/>
      <c r="D44" s="25"/>
      <c r="E44" s="25"/>
      <c r="F44" s="24"/>
      <c r="G44" s="24"/>
      <c r="H44" s="18"/>
      <c r="I44" s="2"/>
      <c r="J44" s="2"/>
      <c r="K44" s="2"/>
      <c r="L44" s="2"/>
      <c r="M44" s="2"/>
    </row>
    <row r="45" spans="1:15">
      <c r="A45" s="2"/>
      <c r="B45" s="26"/>
      <c r="C45" s="27"/>
      <c r="D45" s="28"/>
      <c r="E45" s="25"/>
      <c r="F45" s="24"/>
      <c r="G45" s="24"/>
      <c r="H45" s="18"/>
      <c r="I45" s="2"/>
      <c r="J45" s="2"/>
      <c r="K45" s="2"/>
      <c r="L45" s="2"/>
      <c r="M45" s="2"/>
    </row>
    <row r="46" spans="1:1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3"/>
      <c r="B49" s="2"/>
      <c r="C49" s="2"/>
      <c r="D49" s="2"/>
      <c r="E49" s="2"/>
      <c r="F49" s="2"/>
      <c r="G49" s="2"/>
      <c r="H49" s="2"/>
      <c r="I49" s="2"/>
      <c r="J49" s="4"/>
      <c r="K49" s="3"/>
      <c r="L49" s="3"/>
      <c r="M49" s="3"/>
    </row>
    <row r="50" spans="1:13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3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</row>
    <row r="52" spans="1:13">
      <c r="A52" s="3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</row>
    <row r="53" spans="1:13">
      <c r="A53" s="3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</row>
    <row r="54" spans="1:13">
      <c r="A54" s="3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</row>
    <row r="55" spans="1:13">
      <c r="A55" s="3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</row>
    <row r="56" spans="1:13">
      <c r="A56" s="3"/>
      <c r="B56" s="22"/>
      <c r="C56" s="18"/>
      <c r="D56" s="18"/>
      <c r="E56" s="18"/>
      <c r="F56" s="19"/>
      <c r="G56" s="21"/>
      <c r="H56" s="18"/>
      <c r="I56" s="3"/>
      <c r="J56" s="2"/>
      <c r="K56" s="2"/>
      <c r="L56" s="2"/>
      <c r="M56" s="2"/>
    </row>
    <row r="57" spans="1:13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5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</row>
    <row r="61" spans="1:13">
      <c r="A61" s="3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</row>
    <row r="62" spans="1:13">
      <c r="A62" s="3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</row>
    <row r="63" spans="1:1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3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</row>
    <row r="66" spans="1:13">
      <c r="A66" s="2"/>
      <c r="B66" s="20"/>
      <c r="C66" s="18"/>
      <c r="D66" s="18"/>
      <c r="E66" s="18"/>
      <c r="F66" s="18"/>
      <c r="G66" s="21"/>
      <c r="H66" s="18"/>
      <c r="I66" s="3"/>
      <c r="J66" s="2"/>
      <c r="K66" s="2"/>
      <c r="L66" s="2"/>
      <c r="M66" s="2"/>
    </row>
    <row r="67" spans="1:13">
      <c r="A67" s="2"/>
      <c r="B67" s="18"/>
      <c r="C67" s="18"/>
      <c r="D67" s="18"/>
      <c r="E67" s="18"/>
      <c r="F67" s="19"/>
      <c r="G67" s="19"/>
      <c r="H67" s="23"/>
      <c r="I67" s="3"/>
      <c r="J67" s="2"/>
      <c r="K67" s="2"/>
      <c r="L67" s="2"/>
      <c r="M67" s="2"/>
    </row>
    <row r="68" spans="1:13">
      <c r="A68" s="2"/>
      <c r="B68" s="18"/>
      <c r="C68" s="18"/>
      <c r="D68" s="18"/>
      <c r="E68" s="18"/>
      <c r="F68" s="19"/>
      <c r="G68" s="19"/>
      <c r="H68" s="18"/>
      <c r="I68" s="3"/>
      <c r="J68" s="2"/>
      <c r="K68" s="2"/>
      <c r="L68" s="2"/>
      <c r="M68" s="2"/>
    </row>
    <row r="69" spans="1:13">
      <c r="A69" s="2"/>
      <c r="B69" s="18"/>
      <c r="C69" s="18"/>
      <c r="D69" s="18"/>
      <c r="E69" s="18"/>
      <c r="F69" s="19"/>
      <c r="G69" s="19"/>
      <c r="H69" s="18"/>
      <c r="I69" s="3"/>
      <c r="J69" s="2"/>
      <c r="K69" s="2"/>
      <c r="L69" s="2"/>
      <c r="M69" s="2"/>
    </row>
    <row r="70" spans="1:13">
      <c r="A70" s="2"/>
      <c r="B70" s="2"/>
      <c r="C70" s="18"/>
      <c r="D70" s="18"/>
      <c r="E70" s="18"/>
      <c r="F70" s="19"/>
      <c r="G70" s="19"/>
      <c r="H70" s="18"/>
      <c r="I70" s="2"/>
      <c r="J70" s="2"/>
      <c r="K70" s="2"/>
      <c r="L70" s="2"/>
      <c r="M70" s="2"/>
    </row>
  </sheetData>
  <mergeCells count="2">
    <mergeCell ref="J5:J6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91"/>
  <sheetViews>
    <sheetView workbookViewId="0">
      <selection activeCell="D9" sqref="D9"/>
    </sheetView>
  </sheetViews>
  <sheetFormatPr defaultRowHeight="15"/>
  <cols>
    <col min="1" max="1" width="6.140625" customWidth="1"/>
    <col min="2" max="2" width="11.140625" bestFit="1" customWidth="1"/>
    <col min="3" max="3" width="28.140625" bestFit="1" customWidth="1"/>
  </cols>
  <sheetData>
    <row r="1" spans="1:4">
      <c r="A1" s="36" t="s">
        <v>3</v>
      </c>
      <c r="B1" s="36" t="s">
        <v>0</v>
      </c>
      <c r="C1" s="36" t="s">
        <v>1</v>
      </c>
      <c r="D1" s="36" t="s">
        <v>2</v>
      </c>
    </row>
    <row r="2" spans="1:4">
      <c r="A2" s="34">
        <v>1</v>
      </c>
      <c r="B2" s="37">
        <v>1115.711</v>
      </c>
      <c r="C2" s="35" t="s">
        <v>54</v>
      </c>
      <c r="D2" s="34">
        <v>9</v>
      </c>
    </row>
    <row r="3" spans="1:4">
      <c r="A3" s="34">
        <v>2</v>
      </c>
      <c r="B3" s="37">
        <v>92.073729999999998</v>
      </c>
      <c r="C3" s="35" t="s">
        <v>55</v>
      </c>
      <c r="D3" s="34">
        <v>14</v>
      </c>
    </row>
    <row r="4" spans="1:4">
      <c r="A4" s="34">
        <v>3</v>
      </c>
      <c r="B4" s="37">
        <v>224.21680000000001</v>
      </c>
      <c r="C4" t="s">
        <v>56</v>
      </c>
      <c r="D4" s="34">
        <v>5</v>
      </c>
    </row>
    <row r="5" spans="1:4">
      <c r="A5" s="34"/>
      <c r="B5" s="37"/>
      <c r="D5" s="34"/>
    </row>
    <row r="6" spans="1:4">
      <c r="A6" s="34"/>
      <c r="B6" s="37"/>
      <c r="D6" s="34"/>
    </row>
    <row r="7" spans="1:4">
      <c r="A7" s="34"/>
      <c r="B7" s="37"/>
      <c r="D7" s="34"/>
    </row>
    <row r="8" spans="1:4">
      <c r="A8" s="34"/>
      <c r="B8" s="37"/>
      <c r="D8" s="34"/>
    </row>
    <row r="9" spans="1:4">
      <c r="A9" s="34"/>
      <c r="B9" s="37"/>
      <c r="D9" s="34"/>
    </row>
    <row r="10" spans="1:4">
      <c r="A10" s="34"/>
      <c r="B10" s="37"/>
      <c r="D10" s="34"/>
    </row>
    <row r="11" spans="1:4">
      <c r="A11" s="34"/>
      <c r="B11" s="37"/>
      <c r="D11" s="34"/>
    </row>
    <row r="12" spans="1:4">
      <c r="A12" s="34"/>
      <c r="B12" s="37"/>
      <c r="D12" s="34"/>
    </row>
    <row r="13" spans="1:4">
      <c r="A13" s="34"/>
      <c r="B13" s="37"/>
      <c r="D13" s="34"/>
    </row>
    <row r="14" spans="1:4">
      <c r="A14" s="34"/>
      <c r="B14" s="37"/>
      <c r="D14" s="34"/>
    </row>
    <row r="15" spans="1:4">
      <c r="A15" s="34"/>
      <c r="B15" s="37"/>
      <c r="D15" s="34"/>
    </row>
    <row r="16" spans="1:4">
      <c r="A16" s="34"/>
      <c r="B16" s="37"/>
      <c r="D16" s="34"/>
    </row>
    <row r="17" spans="1:5">
      <c r="A17" s="34"/>
      <c r="B17" s="37"/>
      <c r="D17" s="34"/>
    </row>
    <row r="18" spans="1:5">
      <c r="A18" s="34"/>
      <c r="B18" s="37"/>
      <c r="D18" s="34"/>
    </row>
    <row r="19" spans="1:5">
      <c r="A19" s="34"/>
      <c r="B19" s="37"/>
      <c r="D19" s="34"/>
    </row>
    <row r="20" spans="1:5">
      <c r="A20" s="34"/>
      <c r="B20" s="37"/>
      <c r="D20" s="34"/>
    </row>
    <row r="21" spans="1:5">
      <c r="A21" s="34"/>
      <c r="B21" s="37"/>
      <c r="D21" s="34"/>
    </row>
    <row r="22" spans="1:5">
      <c r="A22" s="34"/>
      <c r="B22" s="37"/>
      <c r="D22" s="34"/>
    </row>
    <row r="23" spans="1:5">
      <c r="A23" s="34"/>
      <c r="B23" s="37"/>
      <c r="D23" s="34"/>
    </row>
    <row r="24" spans="1:5">
      <c r="A24" s="34"/>
      <c r="B24" s="37"/>
      <c r="D24" s="34"/>
    </row>
    <row r="25" spans="1:5">
      <c r="A25" s="34"/>
      <c r="B25" s="37"/>
      <c r="D25" s="34"/>
    </row>
    <row r="26" spans="1:5">
      <c r="A26" s="34"/>
      <c r="B26" s="37"/>
      <c r="D26" s="34"/>
    </row>
    <row r="27" spans="1:5">
      <c r="A27" s="34"/>
      <c r="B27" s="37"/>
      <c r="D27" s="34"/>
    </row>
    <row r="28" spans="1:5">
      <c r="A28" s="34"/>
      <c r="B28" s="37"/>
      <c r="D28" s="34"/>
    </row>
    <row r="29" spans="1:5">
      <c r="A29" s="34"/>
      <c r="B29" s="37"/>
      <c r="D29" s="34"/>
    </row>
    <row r="30" spans="1:5">
      <c r="B30" s="1">
        <f>AVERAGE(B2:B29)</f>
        <v>477.33384333333333</v>
      </c>
      <c r="C30" s="35" t="s">
        <v>46</v>
      </c>
    </row>
    <row r="31" spans="1:5">
      <c r="B31" s="1">
        <f>MAX(B2:B29)</f>
        <v>1115.711</v>
      </c>
      <c r="C31" s="35" t="s">
        <v>47</v>
      </c>
    </row>
    <row r="32" spans="1:5">
      <c r="B32" s="1">
        <f>MIN(B2:B29)</f>
        <v>92.073729999999998</v>
      </c>
      <c r="C32" s="35" t="s">
        <v>48</v>
      </c>
      <c r="E32" s="35"/>
    </row>
    <row r="33" spans="2:3">
      <c r="B33" s="1">
        <f>B31-B32</f>
        <v>1023.6372700000001</v>
      </c>
      <c r="C33" s="35" t="s">
        <v>41</v>
      </c>
    </row>
    <row r="34" spans="2:3">
      <c r="B34" s="1">
        <v>2</v>
      </c>
      <c r="C34" s="35" t="s">
        <v>49</v>
      </c>
    </row>
    <row r="35" spans="2:3">
      <c r="B35" s="1">
        <f>B33/2</f>
        <v>511.81863500000003</v>
      </c>
      <c r="C35" s="35" t="s">
        <v>44</v>
      </c>
    </row>
    <row r="36" spans="2:3">
      <c r="B36" s="1">
        <v>119</v>
      </c>
      <c r="C36" s="35" t="s">
        <v>43</v>
      </c>
    </row>
    <row r="37" spans="2:3">
      <c r="B37" s="38">
        <v>118.5</v>
      </c>
      <c r="C37" s="35" t="s">
        <v>50</v>
      </c>
    </row>
    <row r="38" spans="2:3">
      <c r="B38" s="1">
        <f>B37+B35</f>
        <v>630.31863500000009</v>
      </c>
      <c r="C38" s="35" t="s">
        <v>51</v>
      </c>
    </row>
    <row r="39" spans="2:3">
      <c r="B39" s="1">
        <f>B38-0.5</f>
        <v>629.81863500000009</v>
      </c>
      <c r="C39" s="35" t="s">
        <v>52</v>
      </c>
    </row>
    <row r="40" spans="2:3">
      <c r="B40" s="1"/>
    </row>
    <row r="41" spans="2:3">
      <c r="B41" s="1"/>
    </row>
    <row r="42" spans="2:3">
      <c r="B42" s="1"/>
    </row>
    <row r="43" spans="2:3">
      <c r="B43" s="1"/>
    </row>
    <row r="44" spans="2:3">
      <c r="B44" s="1"/>
    </row>
    <row r="45" spans="2:3">
      <c r="B45" s="1"/>
    </row>
    <row r="46" spans="2:3">
      <c r="B46" s="1"/>
    </row>
    <row r="47" spans="2:3">
      <c r="B47" s="1"/>
    </row>
    <row r="48" spans="2:3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</sheetData>
  <sortState ref="A2:D1591">
    <sortCondition ref="A2:A159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Postgis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2015-10-02T02:46:12Z</dcterms:modified>
</cp:coreProperties>
</file>