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ubilei/Desktop/python/数据分析/excel/1.Excel/"/>
    </mc:Choice>
  </mc:AlternateContent>
  <xr:revisionPtr revIDLastSave="0" documentId="13_ncr:1_{EC826829-722D-CE44-877C-9E6C70EB0B73}" xr6:coauthVersionLast="47" xr6:coauthVersionMax="47" xr10:uidLastSave="{00000000-0000-0000-0000-000000000000}"/>
  <bookViews>
    <workbookView xWindow="0" yWindow="0" windowWidth="10220" windowHeight="18000" xr2:uid="{AF362D59-AA08-A44B-B082-599ADFE1E6FA}"/>
    <workbookView xWindow="0" yWindow="0" windowWidth="28800" windowHeight="18000" activeTab="5" xr2:uid="{6C31A660-B6B9-5043-85C9-596E3CD588B2}"/>
    <workbookView xWindow="0" yWindow="0" windowWidth="28800" windowHeight="18000" activeTab="3" xr2:uid="{08A12212-B5DE-9943-88D6-668403123651}"/>
    <workbookView xWindow="0" yWindow="0" windowWidth="28800" windowHeight="18000" xr2:uid="{9440FC57-CEAD-014F-A0E4-2BFAE2967650}"/>
    <workbookView xWindow="10460" yWindow="0" windowWidth="18340" windowHeight="18000" activeTab="3" xr2:uid="{A0FB20EC-C120-9641-91D8-66DC64C931C6}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源数据备份" sheetId="29" state="hidden" r:id="rId7"/>
  </sheets>
  <definedNames>
    <definedName name="_xlnm._FilterDatabase" localSheetId="0" hidden="1">'拌客源数据1-8月'!$A$1:$X$562</definedName>
    <definedName name="_xlnm._FilterDatabase" localSheetId="6" hidden="1">源数据备份!$A$1:$X$562</definedName>
    <definedName name="切片器_平台i1">#N/A</definedName>
  </definedNames>
  <calcPr calcId="191029"/>
  <pivotCaches>
    <pivotCache cacheId="6" r:id="rId8"/>
    <pivotCache cacheId="1" r:id="rId9"/>
    <pivotCache cacheId="5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6" l="1"/>
  <c r="H6" i="16"/>
  <c r="F13" i="16"/>
  <c r="C13" i="16"/>
  <c r="F26" i="16"/>
  <c r="F27" i="16"/>
  <c r="F28" i="16"/>
  <c r="F29" i="16"/>
  <c r="F30" i="16"/>
  <c r="F31" i="16"/>
  <c r="D26" i="16"/>
  <c r="D27" i="16"/>
  <c r="D28" i="16"/>
  <c r="D29" i="16"/>
  <c r="D30" i="16"/>
  <c r="D31" i="16"/>
  <c r="D25" i="16"/>
  <c r="F25" i="16"/>
  <c r="C26" i="16"/>
  <c r="C27" i="16"/>
  <c r="C28" i="16"/>
  <c r="C29" i="16"/>
  <c r="C30" i="16"/>
  <c r="C31" i="16"/>
  <c r="C25" i="16"/>
  <c r="G14" i="16"/>
  <c r="G15" i="16"/>
  <c r="G16" i="16"/>
  <c r="G17" i="16"/>
  <c r="G18" i="16"/>
  <c r="G19" i="16"/>
  <c r="F14" i="16"/>
  <c r="F15" i="16"/>
  <c r="F16" i="16"/>
  <c r="F17" i="16"/>
  <c r="F18" i="16"/>
  <c r="F19" i="16"/>
  <c r="D14" i="16"/>
  <c r="D15" i="16"/>
  <c r="D16" i="16"/>
  <c r="D17" i="16"/>
  <c r="D18" i="16"/>
  <c r="D19" i="16"/>
  <c r="D13" i="16"/>
  <c r="G13" i="16"/>
  <c r="C14" i="16"/>
  <c r="H26" i="16" s="1"/>
  <c r="C15" i="16"/>
  <c r="H27" i="16" s="1"/>
  <c r="C16" i="16"/>
  <c r="H28" i="16" s="1"/>
  <c r="C17" i="16"/>
  <c r="H29" i="16" s="1"/>
  <c r="C18" i="16"/>
  <c r="H30" i="16" s="1"/>
  <c r="C19" i="16"/>
  <c r="H31" i="16" s="1"/>
  <c r="B27" i="16"/>
  <c r="B28" i="16" s="1"/>
  <c r="B29" i="16" s="1"/>
  <c r="B30" i="16" s="1"/>
  <c r="B31" i="16" s="1"/>
  <c r="B26" i="16"/>
  <c r="B25" i="16"/>
  <c r="A27" i="16"/>
  <c r="A28" i="16"/>
  <c r="A29" i="16"/>
  <c r="A30" i="16"/>
  <c r="A31" i="16"/>
  <c r="A26" i="16"/>
  <c r="B15" i="16"/>
  <c r="B16" i="16"/>
  <c r="B17" i="16"/>
  <c r="B18" i="16"/>
  <c r="B19" i="16"/>
  <c r="B14" i="16"/>
  <c r="A15" i="16"/>
  <c r="A16" i="16" s="1"/>
  <c r="A17" i="16" s="1"/>
  <c r="A18" i="16" s="1"/>
  <c r="A19" i="16" s="1"/>
  <c r="A14" i="16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I112" i="18"/>
  <c r="H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F112" i="18"/>
  <c r="E112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C106" i="18"/>
  <c r="P97" i="18"/>
  <c r="P98" i="18"/>
  <c r="P99" i="18"/>
  <c r="P100" i="18"/>
  <c r="P101" i="18"/>
  <c r="P102" i="18"/>
  <c r="P103" i="18"/>
  <c r="P96" i="18"/>
  <c r="C97" i="18"/>
  <c r="C98" i="18"/>
  <c r="C99" i="18"/>
  <c r="C100" i="18"/>
  <c r="C101" i="18"/>
  <c r="C102" i="18"/>
  <c r="C103" i="18"/>
  <c r="C96" i="18"/>
  <c r="E81" i="18"/>
  <c r="E82" i="18"/>
  <c r="E83" i="18"/>
  <c r="E84" i="18"/>
  <c r="E85" i="18"/>
  <c r="E86" i="18"/>
  <c r="E87" i="18"/>
  <c r="E80" i="18"/>
  <c r="D65" i="18"/>
  <c r="D66" i="18"/>
  <c r="D67" i="18"/>
  <c r="D68" i="18"/>
  <c r="D69" i="18"/>
  <c r="D70" i="18"/>
  <c r="D71" i="18"/>
  <c r="D64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G40" i="18"/>
  <c r="G41" i="18"/>
  <c r="G42" i="18"/>
  <c r="G43" i="18"/>
  <c r="G44" i="18"/>
  <c r="G45" i="18"/>
  <c r="E40" i="18"/>
  <c r="E41" i="18"/>
  <c r="E42" i="18"/>
  <c r="E43" i="18"/>
  <c r="E44" i="18"/>
  <c r="E45" i="18"/>
  <c r="G39" i="18"/>
  <c r="E39" i="18"/>
  <c r="E31" i="18"/>
  <c r="E32" i="18"/>
  <c r="E33" i="18"/>
  <c r="E34" i="18"/>
  <c r="E35" i="18"/>
  <c r="E30" i="18"/>
  <c r="J30" i="18"/>
  <c r="I30" i="18"/>
  <c r="C30" i="18"/>
  <c r="D30" i="18" s="1"/>
  <c r="H30" i="18"/>
  <c r="G30" i="18"/>
  <c r="F30" i="18"/>
  <c r="C21" i="18"/>
  <c r="C31" i="18"/>
  <c r="D31" i="18" s="1"/>
  <c r="C32" i="18"/>
  <c r="D32" i="18" s="1"/>
  <c r="C33" i="18"/>
  <c r="D33" i="18" s="1"/>
  <c r="C34" i="18"/>
  <c r="D34" i="18" s="1"/>
  <c r="C35" i="18"/>
  <c r="D35" i="18" s="1"/>
  <c r="C36" i="18"/>
  <c r="C15" i="18"/>
  <c r="C16" i="18"/>
  <c r="C17" i="18"/>
  <c r="C18" i="18"/>
  <c r="C19" i="18"/>
  <c r="C20" i="18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E15" i="16" l="1"/>
  <c r="E14" i="16"/>
  <c r="E28" i="16"/>
  <c r="F32" i="16"/>
  <c r="E31" i="16"/>
  <c r="E30" i="16"/>
  <c r="E29" i="16"/>
  <c r="G28" i="16"/>
  <c r="E19" i="16"/>
  <c r="G27" i="16"/>
  <c r="E18" i="16"/>
  <c r="E27" i="16"/>
  <c r="E17" i="16"/>
  <c r="E26" i="16"/>
  <c r="E16" i="16"/>
  <c r="C32" i="16"/>
  <c r="A6" i="16" s="1"/>
  <c r="E25" i="16"/>
  <c r="E13" i="16"/>
  <c r="D32" i="16"/>
  <c r="G25" i="16"/>
  <c r="G31" i="16"/>
  <c r="G30" i="16"/>
  <c r="G29" i="16"/>
  <c r="H25" i="16"/>
  <c r="G26" i="16"/>
  <c r="H19" i="16"/>
  <c r="H17" i="16"/>
  <c r="H16" i="16"/>
  <c r="H15" i="16"/>
  <c r="F20" i="16"/>
  <c r="A9" i="16" s="1"/>
  <c r="B9" i="16" s="1"/>
  <c r="H14" i="16"/>
  <c r="H18" i="16"/>
  <c r="G20" i="16"/>
  <c r="D20" i="16"/>
  <c r="D18" i="3"/>
  <c r="D17" i="3"/>
  <c r="D16" i="3"/>
  <c r="D15" i="3"/>
  <c r="D14" i="3"/>
  <c r="C13" i="3"/>
  <c r="E32" i="16" l="1"/>
  <c r="C6" i="16" s="1"/>
  <c r="C9" i="16"/>
  <c r="D9" i="16" s="1"/>
  <c r="G32" i="16"/>
  <c r="E6" i="16" s="1"/>
  <c r="D20" i="3"/>
  <c r="D1" i="3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  <c r="C20" i="16"/>
  <c r="H32" i="16" s="1"/>
  <c r="H13" i="16"/>
  <c r="H20" i="16" l="1"/>
  <c r="E20" i="16"/>
  <c r="E9" i="16" s="1"/>
  <c r="F9" i="16" s="1"/>
</calcChain>
</file>

<file path=xl/sharedStrings.xml><?xml version="1.0" encoding="utf-8"?>
<sst xmlns="http://schemas.openxmlformats.org/spreadsheetml/2006/main" count="8309" uniqueCount="163">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</sst>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_ * #,##0.00_ ;_ * \-#,##0.00_ ;_ * &quot;-&quot;??_ ;_ @_ "/>
    <numFmt numFmtId="177" formatCode="_ * #,##0_ ;_ * \-#,##0_ ;_ * &quot;-&quot;??_ ;_ @_ "/>
    <numFmt numFmtId="178" formatCode="0.00%;0.00%"/>
    <numFmt numFmtId="179" formatCode="[$-804]aaa;@"/>
    <numFmt numFmtId="180" formatCode="yyyymmdd"/>
    <numFmt numFmtId="181" formatCode="yyyy/mm/dd"/>
    <numFmt numFmtId="182" formatCode="yyyy/mm"/>
    <numFmt numFmtId="183" formatCode="0.00_);[Red]\(0.00\)"/>
    <numFmt numFmtId="184" formatCode="0_);[Red]\(0\)"/>
    <numFmt numFmtId="189" formatCode="yyyy\-mm\-dd;@"/>
  </numFmts>
  <fonts count="2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7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7" fontId="19" fillId="33" borderId="15" xfId="42" applyNumberFormat="1" applyFont="1" applyFill="1" applyBorder="1">
      <alignment vertical="center"/>
    </xf>
    <xf numFmtId="178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9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42" applyFont="1" applyFill="1">
      <alignment vertical="center"/>
    </xf>
    <xf numFmtId="181" fontId="0" fillId="0" borderId="24" xfId="0" applyNumberFormat="1" applyFill="1" applyBorder="1" applyAlignment="1">
      <alignment horizontal="center" vertical="center"/>
    </xf>
    <xf numFmtId="183" fontId="0" fillId="0" borderId="0" xfId="0" applyNumberFormat="1" applyFill="1">
      <alignment vertical="center"/>
    </xf>
    <xf numFmtId="181" fontId="0" fillId="0" borderId="0" xfId="0" applyNumberFormat="1" applyFill="1" applyBorder="1" applyAlignment="1">
      <alignment horizontal="center" vertical="center"/>
    </xf>
    <xf numFmtId="182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1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19" fillId="33" borderId="0" xfId="0" applyNumberFormat="1" applyFont="1" applyFill="1">
      <alignment vertical="center"/>
    </xf>
    <xf numFmtId="184" fontId="19" fillId="33" borderId="0" xfId="0" applyNumberFormat="1" applyFont="1" applyFill="1" applyAlignment="1">
      <alignment horizontal="center" vertical="center"/>
    </xf>
    <xf numFmtId="184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0" fontId="21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14" fontId="19" fillId="0" borderId="19" xfId="0" applyNumberFormat="1" applyFont="1" applyBorder="1">
      <alignment vertical="center"/>
    </xf>
    <xf numFmtId="179" fontId="19" fillId="0" borderId="0" xfId="0" applyNumberFormat="1" applyFont="1" applyBorder="1">
      <alignment vertical="center"/>
    </xf>
    <xf numFmtId="0" fontId="19" fillId="0" borderId="0" xfId="0" applyFont="1" applyBorder="1">
      <alignment vertical="center"/>
    </xf>
    <xf numFmtId="14" fontId="19" fillId="0" borderId="21" xfId="0" applyNumberFormat="1" applyFont="1" applyBorder="1">
      <alignment vertical="center"/>
    </xf>
    <xf numFmtId="179" fontId="19" fillId="0" borderId="22" xfId="0" applyNumberFormat="1" applyFont="1" applyBorder="1">
      <alignment vertical="center"/>
    </xf>
    <xf numFmtId="0" fontId="19" fillId="0" borderId="22" xfId="0" applyFont="1" applyBorder="1">
      <alignment vertical="center"/>
    </xf>
    <xf numFmtId="189" fontId="19" fillId="0" borderId="0" xfId="0" applyNumberFormat="1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right" vertical="center"/>
    </xf>
    <xf numFmtId="9" fontId="19" fillId="0" borderId="0" xfId="43" applyFont="1" applyBorder="1">
      <alignment vertical="center"/>
    </xf>
    <xf numFmtId="10" fontId="19" fillId="0" borderId="0" xfId="43" applyNumberFormat="1" applyFont="1" applyBorder="1">
      <alignment vertical="center"/>
    </xf>
    <xf numFmtId="10" fontId="22" fillId="0" borderId="0" xfId="43" applyNumberFormat="1" applyFont="1" applyBorder="1" applyAlignment="1">
      <alignment horizontal="right" vertical="center"/>
    </xf>
    <xf numFmtId="2" fontId="19" fillId="0" borderId="0" xfId="0" applyNumberFormat="1" applyFont="1" applyBorder="1">
      <alignment vertical="center"/>
    </xf>
    <xf numFmtId="10" fontId="19" fillId="0" borderId="22" xfId="43" applyNumberFormat="1" applyFont="1" applyBorder="1">
      <alignment vertical="center"/>
    </xf>
    <xf numFmtId="10" fontId="19" fillId="0" borderId="20" xfId="43" applyNumberFormat="1" applyFont="1" applyBorder="1">
      <alignment vertical="center"/>
    </xf>
    <xf numFmtId="10" fontId="19" fillId="0" borderId="23" xfId="43" applyNumberFormat="1" applyFont="1" applyBorder="1">
      <alignment vertical="center"/>
    </xf>
    <xf numFmtId="2" fontId="19" fillId="0" borderId="20" xfId="0" applyNumberFormat="1" applyFont="1" applyBorder="1">
      <alignment vertical="center"/>
    </xf>
    <xf numFmtId="2" fontId="19" fillId="0" borderId="23" xfId="0" applyNumberFormat="1" applyFont="1" applyBorder="1">
      <alignment vertical="center"/>
    </xf>
    <xf numFmtId="0" fontId="26" fillId="0" borderId="0" xfId="0" applyFont="1" applyBorder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color theme="9"/>
      </font>
    </dxf>
    <dxf>
      <font>
        <b/>
        <i val="0"/>
        <u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/>
      </font>
    </dxf>
    <dxf>
      <font>
        <color rgb="FF9C0006"/>
      </font>
    </dxf>
    <dxf>
      <font>
        <color theme="9"/>
      </font>
    </dxf>
    <dxf>
      <font>
        <b/>
        <i val="0"/>
        <color theme="9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28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4.415056134261" createdVersion="7" refreshedVersion="7" minRefreshableVersion="3" recordCount="8" xr:uid="{0DB1B289-7D13-944B-957A-D1491366A079}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350C3-E038-B84F-97E7-F56743D2454F}" name="数据透视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6:P115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FA32F-BB32-0144-8ABC-869A3AA82D59}" name="数据透视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S106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workbookViewId="0">
      <pane xSplit="1" topLeftCell="G1" activePane="topRight" state="frozen"/>
      <selection pane="topRight" sqref="A1:XFD1"/>
    </sheetView>
    <sheetView workbookViewId="1"/>
    <sheetView workbookViewId="2"/>
    <sheetView tabSelected="1" workbookViewId="3"/>
    <sheetView topLeftCell="A319" workbookViewId="4"/>
  </sheetViews>
  <sheetFormatPr baseColWidth="10" defaultColWidth="8.83203125" defaultRowHeight="15"/>
  <cols>
    <col min="1" max="1" width="10.5" style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  <sheetView workbookViewId="1"/>
    <sheetView workbookViewId="2"/>
    <sheetView workbookViewId="3"/>
    <sheetView workbookViewId="4"/>
  </sheetViews>
  <sheetFormatPr baseColWidth="10" defaultColWidth="8.83203125" defaultRowHeight="15"/>
  <cols>
    <col min="1" max="1" width="24.5" bestFit="1" customWidth="1"/>
    <col min="2" max="2" width="12.1640625" bestFit="1" customWidth="1"/>
    <col min="3" max="3" width="15.6640625" bestFit="1" customWidth="1"/>
    <col min="4" max="4" width="23" bestFit="1" customWidth="1"/>
  </cols>
  <sheetData>
    <row r="1" spans="1:3">
      <c r="A1" s="59" t="s">
        <v>10</v>
      </c>
      <c r="B1" t="s">
        <v>22</v>
      </c>
    </row>
    <row r="3" spans="1:3">
      <c r="A3" s="59" t="s">
        <v>135</v>
      </c>
      <c r="B3" t="s">
        <v>137</v>
      </c>
      <c r="C3" t="s">
        <v>148</v>
      </c>
    </row>
    <row r="4" spans="1:3">
      <c r="A4" s="60" t="s">
        <v>41</v>
      </c>
      <c r="B4" s="61">
        <v>114007.74</v>
      </c>
      <c r="C4" s="61">
        <v>36582.480000000003</v>
      </c>
    </row>
    <row r="5" spans="1:3">
      <c r="A5" s="60" t="s">
        <v>28</v>
      </c>
      <c r="B5" s="61">
        <v>169975.03999999992</v>
      </c>
      <c r="C5" s="61">
        <v>63680.929999999986</v>
      </c>
    </row>
    <row r="6" spans="1:3">
      <c r="A6" s="60" t="s">
        <v>24</v>
      </c>
      <c r="B6" s="61">
        <v>4313.57</v>
      </c>
      <c r="C6" s="61">
        <v>1897.6299999999999</v>
      </c>
    </row>
    <row r="7" spans="1:3">
      <c r="A7" s="60" t="s">
        <v>21</v>
      </c>
      <c r="B7" s="61">
        <v>16838.82</v>
      </c>
      <c r="C7" s="61">
        <v>5992.61</v>
      </c>
    </row>
    <row r="8" spans="1:3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Y145"/>
  <sheetViews>
    <sheetView workbookViewId="0"/>
    <sheetView workbookViewId="1"/>
    <sheetView workbookViewId="2"/>
    <sheetView workbookViewId="3"/>
    <sheetView topLeftCell="A3" workbookViewId="4"/>
  </sheetViews>
  <sheetFormatPr baseColWidth="10" defaultColWidth="9" defaultRowHeight="15"/>
  <cols>
    <col min="1" max="1" width="9" style="37"/>
    <col min="2" max="2" width="13.33203125" style="37" customWidth="1"/>
    <col min="3" max="3" width="45.1640625" style="37" customWidth="1"/>
    <col min="4" max="4" width="31.33203125" style="37" customWidth="1"/>
    <col min="5" max="5" width="34.1640625" style="37" customWidth="1"/>
    <col min="6" max="6" width="21.33203125" style="37" bestFit="1" customWidth="1"/>
    <col min="7" max="7" width="24.5" style="37" bestFit="1" customWidth="1"/>
    <col min="8" max="8" width="14.1640625" style="37" customWidth="1"/>
    <col min="9" max="9" width="12.1640625" style="37" customWidth="1"/>
    <col min="10" max="10" width="19.5" style="37" bestFit="1" customWidth="1"/>
    <col min="11" max="11" width="28.1640625" style="37" customWidth="1"/>
    <col min="12" max="12" width="21.6640625" style="37" customWidth="1"/>
    <col min="13" max="13" width="11.6640625" style="37" bestFit="1" customWidth="1"/>
    <col min="14" max="14" width="9" style="37"/>
    <col min="15" max="15" width="11.6640625" style="37" bestFit="1" customWidth="1"/>
    <col min="16" max="16" width="12.1640625" style="37" bestFit="1" customWidth="1"/>
    <col min="17" max="18" width="9" style="37"/>
    <col min="19" max="19" width="9.1640625" style="37" bestFit="1" customWidth="1"/>
    <col min="20" max="20" width="10.5" style="37" bestFit="1" customWidth="1"/>
    <col min="21" max="22" width="9" style="37"/>
    <col min="23" max="23" width="9.1640625" style="37" bestFit="1" customWidth="1"/>
    <col min="24" max="24" width="10.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E4" s="67"/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M11" s="38"/>
    </row>
    <row r="12" spans="2:13">
      <c r="B12" s="37" t="s">
        <v>79</v>
      </c>
      <c r="D12" s="53">
        <f>B16</f>
        <v>44019</v>
      </c>
      <c r="M12" s="38"/>
    </row>
    <row r="13" spans="2:13">
      <c r="M13" s="38"/>
    </row>
    <row r="14" spans="2:13">
      <c r="B14" s="39"/>
      <c r="C14" s="40" t="s">
        <v>55</v>
      </c>
      <c r="F14" s="53"/>
      <c r="G14" s="53"/>
    </row>
    <row r="15" spans="2:13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>
      <c r="B47" s="48"/>
      <c r="C47" s="42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>
      <c r="B88" s="41"/>
      <c r="C88" s="41"/>
      <c r="D88" s="41"/>
      <c r="E88" s="42"/>
    </row>
    <row r="89" spans="2:25">
      <c r="B89" s="41"/>
      <c r="C89" s="41"/>
      <c r="D89" s="41"/>
      <c r="E89" s="42"/>
    </row>
    <row r="90" spans="2:25">
      <c r="B90" s="41"/>
      <c r="C90" s="41"/>
      <c r="D90" s="41"/>
      <c r="E90" s="42"/>
    </row>
    <row r="93" spans="2:25">
      <c r="B93" s="37" t="s">
        <v>105</v>
      </c>
      <c r="P93" s="37">
        <f>VLOOKUP(O96,O110:P117,2,FALSE)</f>
        <v>273854.58</v>
      </c>
    </row>
    <row r="94" spans="2:25">
      <c r="F94" s="37" t="s">
        <v>121</v>
      </c>
      <c r="I94" s="37" t="s">
        <v>130</v>
      </c>
      <c r="S94" s="37" t="s">
        <v>118</v>
      </c>
    </row>
    <row r="95" spans="2: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>
      <c r="L107"/>
      <c r="M107"/>
      <c r="N107"/>
      <c r="S107"/>
      <c r="T107"/>
      <c r="U107"/>
      <c r="W107"/>
      <c r="X107"/>
      <c r="Y107"/>
    </row>
    <row r="108" spans="2:25">
      <c r="L108"/>
      <c r="M108"/>
      <c r="N108"/>
      <c r="S108"/>
      <c r="T108"/>
      <c r="U108"/>
      <c r="W108"/>
      <c r="X108"/>
      <c r="Y108"/>
    </row>
    <row r="109" spans="2:25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>
      <c r="B111" s="77" t="s">
        <v>11</v>
      </c>
      <c r="C111" s="78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>
      <c r="B112" s="69" t="s">
        <v>159</v>
      </c>
      <c r="C112" s="70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>
      <c r="B113" s="69" t="s">
        <v>23</v>
      </c>
      <c r="C113" s="70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>
      <c r="B114" s="69" t="s">
        <v>32</v>
      </c>
      <c r="C114" s="70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>
      <c r="B115" s="69" t="s">
        <v>30</v>
      </c>
      <c r="C115" s="70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>
      <c r="B116" s="69" t="s">
        <v>25</v>
      </c>
      <c r="C116" s="70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>
      <c r="B117" s="69" t="s">
        <v>34</v>
      </c>
      <c r="C117" s="70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>
      <c r="B118" s="69" t="s">
        <v>33</v>
      </c>
      <c r="C118" s="70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>
      <c r="B119" s="69" t="s">
        <v>35</v>
      </c>
      <c r="C119" s="70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69" t="s">
        <v>36</v>
      </c>
      <c r="C120" s="70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69" t="s">
        <v>37</v>
      </c>
      <c r="C121" s="70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69" t="s">
        <v>38</v>
      </c>
      <c r="C122" s="70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69" t="s">
        <v>39</v>
      </c>
      <c r="C123" s="70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>
      <c r="B124" s="69" t="s">
        <v>41</v>
      </c>
      <c r="C124" s="70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>
      <c r="B125" s="69" t="s">
        <v>42</v>
      </c>
      <c r="C125" s="70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>
      <c r="B126" s="69" t="s">
        <v>43</v>
      </c>
      <c r="C126" s="70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>
      <c r="B127" s="52"/>
      <c r="C127" s="52"/>
      <c r="D127" s="41"/>
      <c r="E127" s="41"/>
      <c r="F127" s="41"/>
      <c r="G127" s="41"/>
    </row>
    <row r="128" spans="2:21">
      <c r="B128" s="52"/>
      <c r="C128" s="52"/>
      <c r="D128" s="41"/>
      <c r="E128" s="41"/>
      <c r="F128" s="41"/>
      <c r="G128" s="41"/>
      <c r="H128" s="41"/>
    </row>
    <row r="129" spans="2:10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>
      <c r="D132" s="41"/>
      <c r="E132" s="41"/>
      <c r="F132" s="41"/>
      <c r="G132" s="41"/>
      <c r="H132" s="41"/>
      <c r="I132" s="41"/>
      <c r="J132" s="41"/>
    </row>
    <row r="133" spans="2:10">
      <c r="D133" s="41"/>
      <c r="E133" s="41"/>
      <c r="F133" s="41"/>
      <c r="G133" s="41"/>
      <c r="H133" s="41"/>
      <c r="I133" s="41"/>
      <c r="J133" s="41"/>
    </row>
    <row r="134" spans="2:10">
      <c r="D134" s="41"/>
      <c r="E134" s="41"/>
      <c r="F134" s="41"/>
      <c r="G134" s="41"/>
      <c r="H134" s="41"/>
      <c r="I134" s="41"/>
      <c r="J134" s="41"/>
    </row>
    <row r="135" spans="2:10">
      <c r="D135" s="41"/>
      <c r="E135" s="41"/>
      <c r="F135" s="41"/>
      <c r="G135" s="41"/>
      <c r="H135" s="41"/>
      <c r="I135" s="41"/>
      <c r="J135" s="41"/>
    </row>
    <row r="136" spans="2:10">
      <c r="D136" s="41"/>
      <c r="E136" s="41"/>
      <c r="F136" s="41"/>
      <c r="G136" s="41"/>
      <c r="H136" s="41"/>
      <c r="I136" s="41"/>
      <c r="J136" s="41"/>
    </row>
    <row r="137" spans="2:10">
      <c r="D137" s="41"/>
      <c r="E137" s="41"/>
      <c r="F137" s="41"/>
      <c r="G137" s="41"/>
      <c r="H137" s="41"/>
      <c r="I137" s="41"/>
      <c r="J137" s="41"/>
    </row>
    <row r="138" spans="2:10">
      <c r="D138" s="41"/>
      <c r="E138" s="41"/>
      <c r="F138" s="41"/>
      <c r="G138" s="41"/>
      <c r="H138" s="41"/>
      <c r="I138" s="41"/>
      <c r="J138" s="41"/>
    </row>
    <row r="139" spans="2:10">
      <c r="D139" s="41"/>
      <c r="E139" s="41"/>
      <c r="F139" s="41"/>
      <c r="G139" s="41"/>
      <c r="H139" s="41"/>
      <c r="I139" s="41"/>
      <c r="J139" s="41"/>
    </row>
    <row r="140" spans="2:10">
      <c r="D140" s="41"/>
      <c r="E140" s="41"/>
      <c r="F140" s="41"/>
      <c r="G140" s="41"/>
      <c r="H140" s="41"/>
      <c r="I140" s="41"/>
      <c r="J140" s="41"/>
    </row>
    <row r="141" spans="2:10">
      <c r="D141" s="41"/>
      <c r="E141" s="41"/>
      <c r="F141" s="41"/>
      <c r="G141" s="41"/>
      <c r="H141" s="41"/>
      <c r="I141" s="41"/>
      <c r="J141" s="41"/>
    </row>
    <row r="142" spans="2:10">
      <c r="D142" s="41"/>
      <c r="E142" s="41"/>
      <c r="F142" s="41"/>
      <c r="G142" s="41"/>
      <c r="H142" s="41"/>
      <c r="I142" s="41"/>
      <c r="J142" s="41"/>
    </row>
    <row r="143" spans="2:10">
      <c r="D143" s="41"/>
      <c r="E143" s="41"/>
      <c r="F143" s="41"/>
      <c r="G143" s="41"/>
      <c r="H143" s="41"/>
      <c r="I143" s="41"/>
      <c r="J143" s="41"/>
    </row>
    <row r="144" spans="2:10">
      <c r="E144" s="41"/>
      <c r="F144" s="41"/>
      <c r="G144" s="41"/>
      <c r="H144" s="41"/>
      <c r="I144" s="41"/>
      <c r="J144" s="41"/>
    </row>
    <row r="145" spans="5:10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topLeftCell="A5" workbookViewId="0">
      <selection activeCell="B31" sqref="B31"/>
    </sheetView>
    <sheetView topLeftCell="A20" workbookViewId="1">
      <selection activeCell="C39" sqref="C39"/>
    </sheetView>
    <sheetView tabSelected="1" topLeftCell="C8" workbookViewId="2">
      <selection activeCell="C39" sqref="C39:C46"/>
    </sheetView>
    <sheetView workbookViewId="3"/>
    <sheetView tabSelected="1" topLeftCell="A33" workbookViewId="4">
      <selection activeCell="E20" sqref="E20"/>
    </sheetView>
  </sheetViews>
  <sheetFormatPr baseColWidth="10" defaultColWidth="9" defaultRowHeight="15"/>
  <cols>
    <col min="1" max="1" width="9" style="37"/>
    <col min="2" max="2" width="13.33203125" style="37" customWidth="1"/>
    <col min="3" max="3" width="59.83203125" style="37" customWidth="1"/>
    <col min="4" max="4" width="53.83203125" style="37" customWidth="1"/>
    <col min="5" max="5" width="34.1640625" style="37" customWidth="1"/>
    <col min="6" max="7" width="21.33203125" style="37" bestFit="1" customWidth="1"/>
    <col min="8" max="8" width="14.1640625" style="37" customWidth="1"/>
    <col min="9" max="9" width="12.1640625" style="37" customWidth="1"/>
    <col min="10" max="10" width="19.5" style="37" bestFit="1" customWidth="1"/>
    <col min="11" max="11" width="16.6640625" style="37" customWidth="1"/>
    <col min="12" max="13" width="11.6640625" style="37" bestFit="1" customWidth="1"/>
    <col min="14" max="14" width="9" style="37"/>
    <col min="15" max="15" width="12" style="37" bestFit="1" customWidth="1"/>
    <col min="16" max="16" width="36" style="37" customWidth="1"/>
    <col min="17" max="17" width="12.1640625" style="37" bestFit="1" customWidth="1"/>
    <col min="18" max="18" width="9" style="37"/>
    <col min="19" max="19" width="10" style="37" bestFit="1" customWidth="1"/>
    <col min="20" max="21" width="10.83203125" style="37" bestFit="1" customWidth="1"/>
    <col min="22" max="22" width="9" style="37"/>
    <col min="23" max="23" width="9.1640625" style="37" bestFit="1" customWidth="1"/>
    <col min="24" max="24" width="10.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C11" s="55"/>
      <c r="D11" s="55"/>
      <c r="M11" s="38"/>
    </row>
    <row r="12" spans="2:13">
      <c r="B12" s="37" t="s">
        <v>79</v>
      </c>
      <c r="D12" s="53"/>
      <c r="M12" s="38"/>
    </row>
    <row r="13" spans="2:13">
      <c r="M13" s="38"/>
    </row>
    <row r="14" spans="2:13">
      <c r="B14" s="39"/>
      <c r="C14" s="40" t="s">
        <v>55</v>
      </c>
      <c r="D14" s="37" t="s">
        <v>150</v>
      </c>
      <c r="E14" s="73">
        <v>1</v>
      </c>
      <c r="F14" s="53"/>
      <c r="G14" s="53"/>
    </row>
    <row r="15" spans="2:13">
      <c r="B15" s="44">
        <v>44013</v>
      </c>
      <c r="C15" s="71">
        <f>SUMIF('拌客源数据1-8月'!A:A,$B15,'拌客源数据1-8月'!J:J)</f>
        <v>6001.38</v>
      </c>
      <c r="D15" s="71"/>
      <c r="E15" s="74">
        <v>2</v>
      </c>
      <c r="F15" s="53"/>
      <c r="G15" s="53"/>
    </row>
    <row r="16" spans="2:13">
      <c r="B16" s="44">
        <v>44019</v>
      </c>
      <c r="C16" s="71">
        <f>SUMIF('拌客源数据1-8月'!A:A,B16,'拌客源数据1-8月'!J:J)</f>
        <v>4764.71</v>
      </c>
      <c r="D16" s="41"/>
      <c r="E16" s="42"/>
      <c r="F16" s="53"/>
      <c r="G16" s="53"/>
    </row>
    <row r="17" spans="2:12">
      <c r="B17" s="44">
        <v>44028</v>
      </c>
      <c r="C17" s="71">
        <f>SUMIF('拌客源数据1-8月'!A:A,B17,'拌客源数据1-8月'!J:J)</f>
        <v>11158.91</v>
      </c>
      <c r="D17" s="41"/>
      <c r="E17" s="42"/>
      <c r="F17" s="53"/>
      <c r="G17" s="53"/>
    </row>
    <row r="18" spans="2:12">
      <c r="B18" s="44">
        <v>44029</v>
      </c>
      <c r="C18" s="71">
        <f>SUMIF('拌客源数据1-8月'!A:A,B18,'拌客源数据1-8月'!J:J)</f>
        <v>10788.41</v>
      </c>
      <c r="D18" s="41"/>
      <c r="E18" s="42"/>
      <c r="F18" s="53"/>
    </row>
    <row r="19" spans="2:12">
      <c r="B19" s="44">
        <v>44051</v>
      </c>
      <c r="C19" s="71">
        <f>SUMIF('拌客源数据1-8月'!A:A,B19,'拌客源数据1-8月'!J:J)</f>
        <v>1374.4099999999999</v>
      </c>
      <c r="D19" s="41"/>
      <c r="E19" s="42"/>
      <c r="F19" s="53"/>
    </row>
    <row r="20" spans="2:12">
      <c r="B20" s="44">
        <v>44062</v>
      </c>
      <c r="C20" s="71">
        <f>SUMIF('拌客源数据1-8月'!A:A,B20,'拌客源数据1-8月'!J:J)</f>
        <v>2588.69</v>
      </c>
      <c r="D20" s="41"/>
      <c r="E20" s="42"/>
      <c r="F20" s="53"/>
    </row>
    <row r="21" spans="2:12">
      <c r="B21" s="44">
        <v>44064</v>
      </c>
      <c r="C21" s="71">
        <f>SUMIF('拌客源数据1-8月'!A:A,B21,'拌客源数据1-8月'!J:J)</f>
        <v>2118.79</v>
      </c>
      <c r="D21" s="41"/>
      <c r="E21" s="42"/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44013</v>
      </c>
      <c r="C30" s="40">
        <f>SUMIFS('拌客源数据1-8月'!J:J,'拌客源数据1-8月'!A:A,B30,'拌客源数据1-8月'!H:H,"美团")</f>
        <v>1008.28</v>
      </c>
      <c r="D30" s="54">
        <f>C30/SUMIFS('拌客源数据1-8月'!J:J,'拌客源数据1-8月'!A:A,B30-1,'拌客源数据1-8月'!H:H,"美团")-1</f>
        <v>8.2182224082600674E-2</v>
      </c>
      <c r="E30" s="54">
        <f>SUMIFS('拌客源数据1-8月'!J:J,'拌客源数据1-8月'!A:A,B30,'拌客源数据1-8月'!H:H,"美团")/SUMIFS('拌客源数据1-8月'!J:J,'拌客源数据1-8月'!A:A,DATE(YEAR(B30),MONTH(B30)-1,DAY(B30)),'拌客源数据1-8月'!H:H,"美团")-1</f>
        <v>-0.10886031198904067</v>
      </c>
      <c r="F30" s="75">
        <f>YEAR(B30)</f>
        <v>2020</v>
      </c>
      <c r="G30" s="75">
        <f>MONTH(B30)</f>
        <v>7</v>
      </c>
      <c r="H30" s="75">
        <f>DAY(B30)</f>
        <v>1</v>
      </c>
      <c r="I30" s="55">
        <f>DATE(YEAR(B30),MONTH(B30),DAY(B30))</f>
        <v>44013</v>
      </c>
      <c r="J30" s="40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>
      <c r="B31" s="44">
        <v>44014</v>
      </c>
      <c r="C31" s="40">
        <f>SUMIFS('拌客源数据1-8月'!J:J,'拌客源数据1-8月'!A:A,B31,'拌客源数据1-8月'!H:H,"美团")</f>
        <v>1023.39</v>
      </c>
      <c r="D31" s="54">
        <f>C31/SUMIFS('拌客源数据1-8月'!J:J,'拌客源数据1-8月'!A:A,B31-1,'拌客源数据1-8月'!H:H,"美团")-1</f>
        <v>1.4985916610465333E-2</v>
      </c>
      <c r="E31" s="54">
        <f>SUMIFS('拌客源数据1-8月'!J:J,'拌客源数据1-8月'!A:A,B31,'拌客源数据1-8月'!H:H,"美团")/SUMIFS('拌客源数据1-8月'!J:J,'拌客源数据1-8月'!A:A,DATE(YEAR(B31),MONTH(B31)-1,DAY(B31)),'拌客源数据1-8月'!H:H,"美团")-1</f>
        <v>0.21923585546302582</v>
      </c>
      <c r="F31" s="75"/>
      <c r="G31" s="75"/>
      <c r="H31" s="75"/>
      <c r="I31" s="75"/>
      <c r="J31" s="75"/>
    </row>
    <row r="32" spans="2:12">
      <c r="B32" s="44">
        <v>44015</v>
      </c>
      <c r="C32" s="40">
        <f>SUMIFS('拌客源数据1-8月'!J:J,'拌客源数据1-8月'!A:A,B32,'拌客源数据1-8月'!H:H,"美团")</f>
        <v>999.86</v>
      </c>
      <c r="D32" s="54">
        <f>C32/SUMIFS('拌客源数据1-8月'!J:J,'拌客源数据1-8月'!A:A,B32-1,'拌客源数据1-8月'!H:H,"美团")-1</f>
        <v>-2.2992212157632919E-2</v>
      </c>
      <c r="E32" s="54">
        <f>SUMIFS('拌客源数据1-8月'!J:J,'拌客源数据1-8月'!A:A,B32,'拌客源数据1-8月'!H:H,"美团")/SUMIFS('拌客源数据1-8月'!J:J,'拌客源数据1-8月'!A:A,DATE(YEAR(B32),MONTH(B32)-1,DAY(B32)),'拌客源数据1-8月'!H:H,"美团")-1</f>
        <v>-0.18069110187893822</v>
      </c>
      <c r="F32" s="75"/>
      <c r="G32" s="75"/>
      <c r="H32" s="75"/>
      <c r="I32" s="75"/>
      <c r="J32" s="75"/>
    </row>
    <row r="33" spans="2:10">
      <c r="B33" s="44">
        <v>44016</v>
      </c>
      <c r="C33" s="40">
        <f>SUMIFS('拌客源数据1-8月'!J:J,'拌客源数据1-8月'!A:A,B33,'拌客源数据1-8月'!H:H,"美团")</f>
        <v>1144.82</v>
      </c>
      <c r="D33" s="54">
        <f>C33/SUMIFS('拌客源数据1-8月'!J:J,'拌客源数据1-8月'!A:A,B33-1,'拌客源数据1-8月'!H:H,"美团")-1</f>
        <v>0.14498029724161365</v>
      </c>
      <c r="E33" s="54">
        <f>SUMIFS('拌客源数据1-8月'!J:J,'拌客源数据1-8月'!A:A,B33,'拌客源数据1-8月'!H:H,"美团")/SUMIFS('拌客源数据1-8月'!J:J,'拌客源数据1-8月'!A:A,DATE(YEAR(B33),MONTH(B33)-1,DAY(B33)),'拌客源数据1-8月'!H:H,"美团")-1</f>
        <v>-0.22352973093957507</v>
      </c>
      <c r="F33" s="75"/>
      <c r="G33" s="75"/>
      <c r="H33" s="75"/>
      <c r="I33" s="75"/>
      <c r="J33" s="75"/>
    </row>
    <row r="34" spans="2:10">
      <c r="B34" s="44">
        <v>44017</v>
      </c>
      <c r="C34" s="40">
        <f>SUMIFS('拌客源数据1-8月'!J:J,'拌客源数据1-8月'!A:A,B34,'拌客源数据1-8月'!H:H,"美团")</f>
        <v>755.47</v>
      </c>
      <c r="D34" s="54">
        <f>C34/SUMIFS('拌客源数据1-8月'!J:J,'拌客源数据1-8月'!A:A,B34-1,'拌客源数据1-8月'!H:H,"美团")-1</f>
        <v>-0.34009713317377399</v>
      </c>
      <c r="E34" s="54">
        <f>SUMIFS('拌客源数据1-8月'!J:J,'拌客源数据1-8月'!A:A,B34,'拌客源数据1-8月'!H:H,"美团")/SUMIFS('拌客源数据1-8月'!J:J,'拌客源数据1-8月'!A:A,DATE(YEAR(B34),MONTH(B34)-1,DAY(B34)),'拌客源数据1-8月'!H:H,"美团")-1</f>
        <v>-0.33924291986635635</v>
      </c>
      <c r="F34" s="75"/>
      <c r="G34" s="75"/>
      <c r="H34" s="75"/>
      <c r="I34" s="75"/>
      <c r="J34" s="75"/>
    </row>
    <row r="35" spans="2:10">
      <c r="B35" s="44">
        <v>44044</v>
      </c>
      <c r="C35" s="40">
        <f>SUMIFS('拌客源数据1-8月'!J:J,'拌客源数据1-8月'!A:A,B35,'拌客源数据1-8月'!H:H,"美团")</f>
        <v>3387.1000000000004</v>
      </c>
      <c r="D35" s="54">
        <f>C35/SUMIFS('拌客源数据1-8月'!J:J,'拌客源数据1-8月'!A:A,B35-1,'拌客源数据1-8月'!H:H,"美团")-1</f>
        <v>-0.41335610328923089</v>
      </c>
      <c r="E35" s="54">
        <f>SUMIFS('拌客源数据1-8月'!J:J,'拌客源数据1-8月'!A:A,B35,'拌客源数据1-8月'!H:H,"美团")/SUMIFS('拌客源数据1-8月'!J:J,'拌客源数据1-8月'!A:A,DATE(YEAR(B35),MONTH(B35)-1,DAY(B35)),'拌客源数据1-8月'!H:H,"美团")-1</f>
        <v>2.3592851192129176</v>
      </c>
      <c r="F35" s="75"/>
      <c r="G35" s="75"/>
      <c r="H35" s="75"/>
      <c r="I35" s="75"/>
      <c r="J35" s="75"/>
    </row>
    <row r="36" spans="2:10">
      <c r="B36" s="44">
        <v>44048</v>
      </c>
      <c r="C36" s="40">
        <f>SUMIFS('拌客源数据1-8月'!J:J,'拌客源数据1-8月'!A:A,B36,'拌客源数据1-8月'!H:H,"美团")</f>
        <v>1817.37</v>
      </c>
      <c r="D36" s="68"/>
      <c r="E36" s="68"/>
      <c r="F36" s="75"/>
      <c r="G36" s="75"/>
      <c r="H36" s="75"/>
      <c r="I36" s="75"/>
      <c r="J36" s="75"/>
    </row>
    <row r="37" spans="2:10"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71">
        <f>SUMIFS('拌客源数据1-8月'!J:J,'拌客源数据1-8月'!A:A,"&gt;="&amp;DATE(YEAR(B39),MONTH(B39),1),'拌客源数据1-8月'!A:A,"&lt;="&amp;DATE(YEAR(B39),MONTH(B39)+1,0),'拌客源数据1-8月'!H:H,"美团")</f>
        <v>6787.9800000000005</v>
      </c>
      <c r="D39" s="71" t="e">
        <f>C39/SUMIFS('拌客源数据1-8月'!J:J,'拌客源数据1-8月'!A:A,"&gt;="&amp;DATE(YEAR(B39),MONTH(B39)-1,1),'拌客源数据1-8月'!A:A,"&lt;="&amp;DATE(YEAR(B39),MONTH(B39),0),'拌客源数据1-8月'!H:H,"美团")-1</f>
        <v>#DIV/0!</v>
      </c>
      <c r="E39" s="58">
        <f>DATE(YEAR(B39),MONTH(B39),1)</f>
        <v>43831</v>
      </c>
      <c r="F39" s="75"/>
      <c r="G39" s="55">
        <f>DATE(YEAR(B39),MONTH(B39)+1,0)</f>
        <v>43861</v>
      </c>
    </row>
    <row r="40" spans="2:10">
      <c r="B40" s="47">
        <v>43862</v>
      </c>
      <c r="C40" s="71">
        <f>SUMIFS('拌客源数据1-8月'!J:J,'拌客源数据1-8月'!A:A,"&gt;="&amp;DATE(YEAR(B40),MONTH(B40),1),'拌客源数据1-8月'!A:A,"&lt;="&amp;DATE(YEAR(B40),MONTH(B40)+1,0),'拌客源数据1-8月'!H:H,"美团")</f>
        <v>2678.62</v>
      </c>
      <c r="D40" s="54">
        <f>C40/SUMIFS('拌客源数据1-8月'!J:J,'拌客源数据1-8月'!A:A,"&gt;="&amp;DATE(YEAR(B40),MONTH(B40)-1,1),'拌客源数据1-8月'!A:A,"&lt;="&amp;DATE(YEAR(B40),MONTH(B40),0),'拌客源数据1-8月'!H:H,"美团")-1</f>
        <v>-0.60538775895037999</v>
      </c>
      <c r="E40" s="58">
        <f t="shared" ref="E40:E45" si="0">DATE(YEAR(B40),MONTH(B40),1)</f>
        <v>43862</v>
      </c>
      <c r="F40" s="75"/>
      <c r="G40" s="55">
        <f t="shared" ref="G40:G45" si="1">DATE(YEAR(B40),MONTH(B40)+1,0)</f>
        <v>43890</v>
      </c>
    </row>
    <row r="41" spans="2:10">
      <c r="B41" s="47">
        <v>43891</v>
      </c>
      <c r="C41" s="71">
        <f>SUMIFS('拌客源数据1-8月'!J:J,'拌客源数据1-8月'!A:A,"&gt;="&amp;DATE(YEAR(B41),MONTH(B41),1),'拌客源数据1-8月'!A:A,"&lt;="&amp;DATE(YEAR(B41),MONTH(B41)+1,0),'拌客源数据1-8月'!H:H,"美团")</f>
        <v>24829.310000000009</v>
      </c>
      <c r="D41" s="54">
        <f>C41/SUMIFS('拌客源数据1-8月'!J:J,'拌客源数据1-8月'!A:A,"&gt;="&amp;DATE(YEAR(B41),MONTH(B41)-1,1),'拌客源数据1-8月'!A:A,"&lt;="&amp;DATE(YEAR(B41),MONTH(B41),0),'拌客源数据1-8月'!H:H,"美团")-1</f>
        <v>8.2694409808035516</v>
      </c>
      <c r="E41" s="58">
        <f t="shared" si="0"/>
        <v>43891</v>
      </c>
      <c r="F41" s="75"/>
      <c r="G41" s="55">
        <f t="shared" si="1"/>
        <v>43921</v>
      </c>
    </row>
    <row r="42" spans="2:10">
      <c r="B42" s="47">
        <v>43922</v>
      </c>
      <c r="C42" s="71">
        <f>SUMIFS('拌客源数据1-8月'!J:J,'拌客源数据1-8月'!A:A,"&gt;="&amp;DATE(YEAR(B42),MONTH(B42),1),'拌客源数据1-8月'!A:A,"&lt;="&amp;DATE(YEAR(B42),MONTH(B42)+1,0),'拌客源数据1-8月'!H:H,"美团")</f>
        <v>38698.99</v>
      </c>
      <c r="D42" s="54">
        <f>C42/SUMIFS('拌客源数据1-8月'!J:J,'拌客源数据1-8月'!A:A,"&gt;="&amp;DATE(YEAR(B42),MONTH(B42)-1,1),'拌客源数据1-8月'!A:A,"&lt;="&amp;DATE(YEAR(B42),MONTH(B42),0),'拌客源数据1-8月'!H:H,"美团")-1</f>
        <v>0.55860110490384085</v>
      </c>
      <c r="E42" s="58">
        <f t="shared" si="0"/>
        <v>43922</v>
      </c>
      <c r="F42" s="75"/>
      <c r="G42" s="55">
        <f t="shared" si="1"/>
        <v>43951</v>
      </c>
    </row>
    <row r="43" spans="2:10">
      <c r="B43" s="47">
        <v>43952</v>
      </c>
      <c r="C43" s="71">
        <f>SUMIFS('拌客源数据1-8月'!J:J,'拌客源数据1-8月'!A:A,"&gt;="&amp;DATE(YEAR(B43),MONTH(B43),1),'拌客源数据1-8月'!A:A,"&lt;="&amp;DATE(YEAR(B43),MONTH(B43)+1,0),'拌客源数据1-8月'!H:H,"美团")</f>
        <v>30397.779999999995</v>
      </c>
      <c r="D43" s="54">
        <f>C43/SUMIFS('拌客源数据1-8月'!J:J,'拌客源数据1-8月'!A:A,"&gt;="&amp;DATE(YEAR(B43),MONTH(B43)-1,1),'拌客源数据1-8月'!A:A,"&lt;="&amp;DATE(YEAR(B43),MONTH(B43),0),'拌客源数据1-8月'!H:H,"美团")-1</f>
        <v>-0.21450714863617892</v>
      </c>
      <c r="E43" s="58">
        <f t="shared" si="0"/>
        <v>43952</v>
      </c>
      <c r="F43" s="75"/>
      <c r="G43" s="55">
        <f t="shared" si="1"/>
        <v>43982</v>
      </c>
    </row>
    <row r="44" spans="2:10">
      <c r="B44" s="47">
        <v>43983</v>
      </c>
      <c r="C44" s="71">
        <f>SUMIFS('拌客源数据1-8月'!J:J,'拌客源数据1-8月'!A:A,"&gt;="&amp;DATE(YEAR(B44),MONTH(B44),1),'拌客源数据1-8月'!A:A,"&lt;="&amp;DATE(YEAR(B44),MONTH(B44)+1,0),'拌客源数据1-8月'!H:H,"美团")</f>
        <v>26037.540000000005</v>
      </c>
      <c r="D44" s="54">
        <f>C44/SUMIFS('拌客源数据1-8月'!J:J,'拌客源数据1-8月'!A:A,"&gt;="&amp;DATE(YEAR(B44),MONTH(B44)-1,1),'拌客源数据1-8月'!A:A,"&lt;="&amp;DATE(YEAR(B44),MONTH(B44),0),'拌客源数据1-8月'!H:H,"美团")-1</f>
        <v>-0.14343942222096451</v>
      </c>
      <c r="E44" s="58">
        <f t="shared" si="0"/>
        <v>43983</v>
      </c>
      <c r="F44" s="75"/>
      <c r="G44" s="55">
        <f t="shared" si="1"/>
        <v>44012</v>
      </c>
    </row>
    <row r="45" spans="2:10">
      <c r="B45" s="47">
        <v>44013</v>
      </c>
      <c r="C45" s="71">
        <f>SUMIFS('拌客源数据1-8月'!J:J,'拌客源数据1-8月'!A:A,"&gt;="&amp;DATE(YEAR(B45),MONTH(B45),1),'拌客源数据1-8月'!A:A,"&lt;="&amp;DATE(YEAR(B45),MONTH(B45)+1,0),'拌客源数据1-8月'!H:H,"美团")</f>
        <v>133045.43</v>
      </c>
      <c r="D45" s="54">
        <f>C45/SUMIFS('拌客源数据1-8月'!J:J,'拌客源数据1-8月'!A:A,"&gt;="&amp;DATE(YEAR(B45),MONTH(B45)-1,1),'拌客源数据1-8月'!A:A,"&lt;="&amp;DATE(YEAR(B45),MONTH(B45),0),'拌客源数据1-8月'!H:H,"美团")-1</f>
        <v>4.1097542240933658</v>
      </c>
      <c r="E45" s="58">
        <f t="shared" si="0"/>
        <v>44013</v>
      </c>
      <c r="F45" s="75"/>
      <c r="G45" s="55">
        <f t="shared" si="1"/>
        <v>44043</v>
      </c>
    </row>
    <row r="46" spans="2:10">
      <c r="B46" s="47">
        <v>44044</v>
      </c>
      <c r="C46" s="71">
        <f>SUMIFS('拌客源数据1-8月'!J:J,'拌客源数据1-8月'!A:A,"&gt;="&amp;DATE(YEAR(B46),MONTH(B46),1),'拌客源数据1-8月'!A:A,"&lt;="&amp;DATE(YEAR(B46),MONTH(B46)+1,0),'拌客源数据1-8月'!H:H,"美团")</f>
        <v>42659.520000000004</v>
      </c>
      <c r="D46" s="54">
        <f>C46/SUMIFS('拌客源数据1-8月'!J:J,'拌客源数据1-8月'!A:A,"&gt;="&amp;DATE(YEAR(B46),MONTH(B46)-1,1),'拌客源数据1-8月'!A:A,"&lt;="&amp;DATE(YEAR(B46),MONTH(B46),0),'拌客源数据1-8月'!H:H,"美团")-1</f>
        <v>-0.67936125276907289</v>
      </c>
      <c r="E46" s="76"/>
      <c r="F46" s="75"/>
      <c r="G46" s="75"/>
    </row>
    <row r="47" spans="2:10">
      <c r="B47" s="48"/>
      <c r="C47" s="72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2">IF(C65&gt;100000,"达标","不达标")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2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2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2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2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2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2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/>
    </row>
    <row r="81" spans="2:21">
      <c r="B81" s="40" t="s">
        <v>91</v>
      </c>
      <c r="C81" s="40">
        <v>32755.710000000006</v>
      </c>
      <c r="D81" s="40">
        <v>902.87</v>
      </c>
      <c r="E81" s="40" t="str">
        <f t="shared" ref="E81:E87" si="3">IF(C81&gt;100000,IF(D81&lt;5000,"达标","不达标"),"不达标")</f>
        <v>不达标</v>
      </c>
      <c r="I81" s="40">
        <v>1</v>
      </c>
      <c r="J81" s="40">
        <v>0</v>
      </c>
      <c r="K81" s="40"/>
    </row>
    <row r="82" spans="2:21">
      <c r="B82" s="40" t="s">
        <v>92</v>
      </c>
      <c r="C82" s="40">
        <v>78895.689999999988</v>
      </c>
      <c r="D82" s="40">
        <v>2645.3200000000006</v>
      </c>
      <c r="E82" s="40" t="str">
        <f t="shared" si="3"/>
        <v>不达标</v>
      </c>
      <c r="I82" s="40">
        <v>1</v>
      </c>
      <c r="J82" s="40">
        <v>1</v>
      </c>
      <c r="K82" s="40"/>
    </row>
    <row r="83" spans="2:21">
      <c r="B83" s="40" t="s">
        <v>93</v>
      </c>
      <c r="C83" s="40">
        <v>108307.06999999999</v>
      </c>
      <c r="D83" s="40">
        <v>4513.12</v>
      </c>
      <c r="E83" s="40" t="str">
        <f t="shared" si="3"/>
        <v>达标</v>
      </c>
      <c r="I83" s="40">
        <v>0</v>
      </c>
      <c r="J83" s="40">
        <v>1</v>
      </c>
      <c r="K83" s="40"/>
    </row>
    <row r="84" spans="2:21">
      <c r="B84" s="40" t="s">
        <v>94</v>
      </c>
      <c r="C84" s="40">
        <v>194276.97</v>
      </c>
      <c r="D84" s="40">
        <v>11804.4</v>
      </c>
      <c r="E84" s="40" t="str">
        <f t="shared" si="3"/>
        <v>不达标</v>
      </c>
    </row>
    <row r="85" spans="2:21">
      <c r="B85" s="40" t="s">
        <v>95</v>
      </c>
      <c r="C85" s="40">
        <v>255727.79000000007</v>
      </c>
      <c r="D85" s="40">
        <v>8302.5300000000007</v>
      </c>
      <c r="E85" s="40" t="str">
        <f t="shared" si="3"/>
        <v>不达标</v>
      </c>
    </row>
    <row r="86" spans="2:21">
      <c r="B86" s="40" t="s">
        <v>96</v>
      </c>
      <c r="C86" s="40">
        <v>255891.73</v>
      </c>
      <c r="D86" s="40">
        <v>13616.330000000004</v>
      </c>
      <c r="E86" s="40" t="str">
        <f t="shared" si="3"/>
        <v>不达标</v>
      </c>
    </row>
    <row r="87" spans="2:21" ht="12" customHeight="1">
      <c r="B87" s="40" t="s">
        <v>97</v>
      </c>
      <c r="C87" s="40">
        <v>81384.920000000013</v>
      </c>
      <c r="D87" s="40">
        <v>3680.309999999999</v>
      </c>
      <c r="E87" s="40" t="str">
        <f t="shared" si="3"/>
        <v>不达标</v>
      </c>
    </row>
    <row r="88" spans="2:21">
      <c r="B88" s="41"/>
      <c r="C88" s="41"/>
      <c r="D88" s="41"/>
      <c r="E88" s="42"/>
    </row>
    <row r="89" spans="2:21">
      <c r="B89" s="41"/>
      <c r="C89" s="41"/>
      <c r="D89" s="41"/>
      <c r="E89" s="42"/>
    </row>
    <row r="90" spans="2:21">
      <c r="B90" s="41"/>
      <c r="C90" s="41"/>
      <c r="D90" s="41"/>
      <c r="E90" s="42"/>
    </row>
    <row r="93" spans="2:21">
      <c r="B93" s="37" t="s">
        <v>105</v>
      </c>
    </row>
    <row r="94" spans="2:21">
      <c r="F94" s="37" t="s">
        <v>121</v>
      </c>
      <c r="I94" s="37" t="s">
        <v>130</v>
      </c>
      <c r="S94" s="37" t="s">
        <v>118</v>
      </c>
    </row>
    <row r="95" spans="2:21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>
      <c r="B96" s="50" t="s">
        <v>46</v>
      </c>
      <c r="C96" s="40" t="str">
        <f>VLOOKUP(B96,'拌客源数据1-8月'!D:E,2,0)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/>
      <c r="O96" s="50" t="s">
        <v>46</v>
      </c>
      <c r="P96" s="39">
        <f>VLOOKUP(O96,$O$106:$P$114,2,0)</f>
        <v>273854.58</v>
      </c>
      <c r="Q96" s="42"/>
      <c r="R96" s="42"/>
      <c r="S96" s="40" t="s">
        <v>106</v>
      </c>
      <c r="T96" s="40" t="s">
        <v>114</v>
      </c>
      <c r="U96" s="40">
        <v>1</v>
      </c>
    </row>
    <row r="97" spans="2:22">
      <c r="B97" s="50" t="s">
        <v>47</v>
      </c>
      <c r="C97" s="40" t="str">
        <f>VLOOKUP(B97,'拌客源数据1-8月'!D:E,2,0)</f>
        <v>五角场店</v>
      </c>
      <c r="D97" s="41"/>
      <c r="E97" s="41"/>
      <c r="F97" s="40" t="s">
        <v>127</v>
      </c>
      <c r="G97" s="40">
        <v>2</v>
      </c>
      <c r="O97" s="50" t="s">
        <v>47</v>
      </c>
      <c r="P97" s="39">
        <f t="shared" ref="P97:P103" si="4">VLOOKUP(O97,$O$106:$P$114,2,0)</f>
        <v>16838.82</v>
      </c>
      <c r="Q97" s="42"/>
      <c r="R97" s="42"/>
      <c r="S97" s="40" t="s">
        <v>106</v>
      </c>
      <c r="T97" s="40" t="s">
        <v>115</v>
      </c>
      <c r="U97" s="40">
        <v>2</v>
      </c>
    </row>
    <row r="98" spans="2:22">
      <c r="B98" s="50" t="s">
        <v>44</v>
      </c>
      <c r="C98" s="40" t="str">
        <f>VLOOKUP(B98,'拌客源数据1-8月'!D:E,2,0)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>
        <f t="shared" si="4"/>
        <v>6452.04</v>
      </c>
      <c r="Q98" s="42"/>
      <c r="R98" s="42"/>
      <c r="S98" s="40" t="s">
        <v>107</v>
      </c>
      <c r="T98" s="40" t="s">
        <v>116</v>
      </c>
      <c r="U98" s="40">
        <v>3</v>
      </c>
    </row>
    <row r="99" spans="2:22">
      <c r="B99" s="50" t="s">
        <v>45</v>
      </c>
      <c r="C99" s="40" t="str">
        <f>VLOOKUP(B99,'拌客源数据1-8月'!D:E,2,0)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/>
      <c r="O99" s="50" t="s">
        <v>45</v>
      </c>
      <c r="P99" s="39">
        <f t="shared" si="4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</row>
    <row r="100" spans="2:22">
      <c r="B100" s="50" t="s">
        <v>48</v>
      </c>
      <c r="C100" s="40" t="str">
        <f>VLOOKUP(B100,'拌客源数据1-8月'!D:E,2,0)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>
        <f t="shared" si="4"/>
        <v>4313.57</v>
      </c>
      <c r="Q100" s="42"/>
      <c r="R100" s="42"/>
      <c r="S100" s="40" t="s">
        <v>107</v>
      </c>
      <c r="T100" s="40" t="s">
        <v>114</v>
      </c>
      <c r="U100" s="40">
        <v>5</v>
      </c>
    </row>
    <row r="101" spans="2:22">
      <c r="B101" s="50" t="s">
        <v>49</v>
      </c>
      <c r="C101" s="40" t="str">
        <f>VLOOKUP(B101,'拌客源数据1-8月'!D:E,2,0)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>
        <f t="shared" si="4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</row>
    <row r="102" spans="2:22">
      <c r="B102" s="50" t="s">
        <v>50</v>
      </c>
      <c r="C102" s="40" t="str">
        <f>VLOOKUP(B102,'拌客源数据1-8月'!D:E,2,0)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>
        <f t="shared" si="4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</row>
    <row r="103" spans="2:22">
      <c r="B103" s="50" t="s">
        <v>51</v>
      </c>
      <c r="C103" s="40" t="str">
        <f>VLOOKUP(B103,'拌客源数据1-8月'!D:E,2,0)</f>
        <v>拌客干拌麻辣烫(武宁路店)</v>
      </c>
      <c r="D103" s="41"/>
      <c r="E103" s="41"/>
      <c r="F103" s="40" t="s">
        <v>160</v>
      </c>
      <c r="G103" s="40">
        <v>8</v>
      </c>
      <c r="O103" s="50" t="s">
        <v>51</v>
      </c>
      <c r="P103" s="39">
        <f t="shared" si="4"/>
        <v>114007.74</v>
      </c>
      <c r="Q103" s="42"/>
      <c r="R103" s="42"/>
      <c r="S103" s="40" t="s">
        <v>112</v>
      </c>
      <c r="T103" s="40" t="s">
        <v>115</v>
      </c>
      <c r="U103" s="40">
        <v>8</v>
      </c>
    </row>
    <row r="104" spans="2:22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>
      <c r="B105" s="51"/>
      <c r="C105" s="41"/>
      <c r="D105" s="41"/>
      <c r="E105" s="41"/>
      <c r="F105" s="41"/>
      <c r="G105" s="41"/>
      <c r="O105"/>
      <c r="P105"/>
      <c r="Q105"/>
      <c r="R105" s="42"/>
      <c r="S105"/>
      <c r="T105"/>
      <c r="U105"/>
    </row>
    <row r="106" spans="2:22">
      <c r="B106" s="51"/>
      <c r="C106" s="41">
        <f>MATCH(D111,B111:D111,0)</f>
        <v>3</v>
      </c>
      <c r="D106" s="41"/>
      <c r="E106" s="41"/>
      <c r="F106" s="41"/>
      <c r="G106" s="41"/>
      <c r="O106" s="59" t="s">
        <v>135</v>
      </c>
      <c r="P106" t="s">
        <v>137</v>
      </c>
      <c r="Q106"/>
      <c r="R106" s="42"/>
      <c r="S106" s="59" t="s">
        <v>135</v>
      </c>
      <c r="T106" t="s">
        <v>144</v>
      </c>
      <c r="U106"/>
    </row>
    <row r="107" spans="2:22">
      <c r="O107" s="60" t="s">
        <v>45</v>
      </c>
      <c r="P107" s="61">
        <v>60286.000000000022</v>
      </c>
      <c r="Q107"/>
      <c r="S107" s="60" t="s">
        <v>145</v>
      </c>
      <c r="T107" s="61">
        <v>19</v>
      </c>
      <c r="U107"/>
    </row>
    <row r="108" spans="2:22">
      <c r="O108" s="60" t="s">
        <v>46</v>
      </c>
      <c r="P108" s="61">
        <v>273854.58</v>
      </c>
      <c r="Q108"/>
      <c r="S108" s="62" t="s">
        <v>140</v>
      </c>
      <c r="T108" s="61">
        <v>1</v>
      </c>
      <c r="U108"/>
    </row>
    <row r="109" spans="2:22">
      <c r="B109" s="37" t="s">
        <v>133</v>
      </c>
      <c r="O109" s="60" t="s">
        <v>44</v>
      </c>
      <c r="P109" s="61">
        <v>6452.04</v>
      </c>
      <c r="Q109"/>
      <c r="S109" s="62" t="s">
        <v>141</v>
      </c>
      <c r="T109" s="61">
        <v>5</v>
      </c>
      <c r="U109"/>
      <c r="V109"/>
    </row>
    <row r="110" spans="2:22">
      <c r="O110" s="60" t="s">
        <v>50</v>
      </c>
      <c r="P110" s="61">
        <v>425745.45999999996</v>
      </c>
      <c r="Q110"/>
      <c r="S110" s="62" t="s">
        <v>142</v>
      </c>
      <c r="T110" s="61">
        <v>13</v>
      </c>
      <c r="U110"/>
      <c r="V110"/>
    </row>
    <row r="111" spans="2:22">
      <c r="B111" s="69" t="s">
        <v>11</v>
      </c>
      <c r="C111" s="70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O111" s="60" t="s">
        <v>48</v>
      </c>
      <c r="P111" s="61">
        <v>4313.57</v>
      </c>
      <c r="Q111"/>
      <c r="S111" s="60" t="s">
        <v>146</v>
      </c>
      <c r="T111" s="61">
        <v>10</v>
      </c>
      <c r="U111"/>
      <c r="V111"/>
    </row>
    <row r="112" spans="2:22">
      <c r="B112" s="69" t="s">
        <v>29</v>
      </c>
      <c r="C112" s="70"/>
      <c r="D112" s="40" t="str">
        <f>INDEX('拌客源数据1-8月'!$A:$X,MATCH($B112,'拌客源数据1-8月'!$I:$I,0),MATCH(D$111,'拌客源数据1-8月'!$1:$1,0))</f>
        <v>2001104355</v>
      </c>
      <c r="E112" s="40" t="str">
        <f>INDEX('拌客源数据1-8月'!$A:$X,MATCH($B112,'拌客源数据1-8月'!$I:$I,0),MATCH(E$111,'拌客源数据1-8月'!$1:$1,0))</f>
        <v>蛙小辣火锅杯（总账号）</v>
      </c>
      <c r="F112" s="40">
        <f>INDEX('拌客源数据1-8月'!$A:$X,MATCH($B112,'拌客源数据1-8月'!$I:$I,0),MATCH(F$111,'拌客源数据1-8月'!$1:$1,0))</f>
        <v>4636</v>
      </c>
      <c r="G112" s="40">
        <f>SUMIFS(INDEX('拌客源数据1-8月'!$A:$X,0,MATCH($G$111,'拌客源数据1-8月'!$1:$1,0)),INDEX('拌客源数据1-8月'!$A:$X,0,MATCH($B$111,'拌客源数据1-8月'!$1:$1,0)),B112)</f>
        <v>116343.26000000004</v>
      </c>
      <c r="H112" s="40">
        <f>INDEX('拌客源数据1-8月'!$A:$X,MATCH($B112,'拌客源数据1-8月'!$I:$I,0),MATCH(H$111,'拌客源数据1-8月'!$1:$1,0))</f>
        <v>361</v>
      </c>
      <c r="I112" s="40">
        <f>INDEX('拌客源数据1-8月'!$A:$X,MATCH($B112,'拌客源数据1-8月'!$I:$I,0),MATCH(I$111,'拌客源数据1-8月'!$1:$1,0))</f>
        <v>52</v>
      </c>
      <c r="J112" s="41"/>
      <c r="O112" s="60" t="s">
        <v>47</v>
      </c>
      <c r="P112" s="61">
        <v>16838.82</v>
      </c>
      <c r="Q112"/>
      <c r="S112" s="62" t="s">
        <v>140</v>
      </c>
      <c r="T112" s="61">
        <v>2</v>
      </c>
      <c r="U112"/>
      <c r="V112"/>
    </row>
    <row r="113" spans="2:21">
      <c r="B113" s="69" t="s">
        <v>23</v>
      </c>
      <c r="C113" s="70"/>
      <c r="D113" s="40" t="str">
        <f>INDEX('拌客源数据1-8月'!$A:$X,MATCH(B113,'拌客源数据1-8月'!$I:$I,0),MATCH($D$111,'拌客源数据1-8月'!$1:$1,0))</f>
        <v>8184590</v>
      </c>
      <c r="E113" s="40" t="str">
        <f>INDEX('拌客源数据1-8月'!$A:$X,MATCH($B113,'拌客源数据1-8月'!$I:$I,0),MATCH(E$111,'拌客源数据1-8月'!$1:$1,0))</f>
        <v>蛙小辣火锅杯（总账号）</v>
      </c>
      <c r="F113" s="40">
        <f>INDEX('拌客源数据1-8月'!$A:$X,MATCH($B113,'拌客源数据1-8月'!$I:$I,0),MATCH(F$111,'拌客源数据1-8月'!$1:$1,0))</f>
        <v>4636</v>
      </c>
      <c r="G113" s="40">
        <f>SUMIFS(INDEX('拌客源数据1-8月'!$A:$X,0,MATCH($G$111,'拌客源数据1-8月'!$1:$1,0)),INDEX('拌客源数据1-8月'!$A:$X,0,MATCH($B$111,'拌客源数据1-8月'!$1:$1,0)),B113)</f>
        <v>6787.9800000000005</v>
      </c>
      <c r="H113" s="40">
        <f>INDEX('拌客源数据1-8月'!$A:$X,MATCH($B113,'拌客源数据1-8月'!$I:$I,0),MATCH(H$111,'拌客源数据1-8月'!$1:$1,0))</f>
        <v>324</v>
      </c>
      <c r="I113" s="40">
        <f>INDEX('拌客源数据1-8月'!$A:$X,MATCH($B113,'拌客源数据1-8月'!$I:$I,0),MATCH(I$111,'拌客源数据1-8月'!$1:$1,0))</f>
        <v>38</v>
      </c>
      <c r="J113" s="41"/>
      <c r="O113" s="60" t="s">
        <v>49</v>
      </c>
      <c r="P113" s="61">
        <v>169975.03999999998</v>
      </c>
      <c r="Q113"/>
      <c r="S113" s="62" t="s">
        <v>143</v>
      </c>
      <c r="T113" s="61">
        <v>8</v>
      </c>
      <c r="U113"/>
    </row>
    <row r="114" spans="2:21">
      <c r="B114" s="69" t="s">
        <v>32</v>
      </c>
      <c r="C114" s="70"/>
      <c r="D114" s="40" t="str">
        <f>INDEX('拌客源数据1-8月'!$A:$X,MATCH(B114,'拌客源数据1-8月'!$I:$I,0),MATCH($D$111,'拌客源数据1-8月'!$1:$1,0))</f>
        <v>305225345</v>
      </c>
      <c r="E114" s="40" t="str">
        <f>INDEX('拌客源数据1-8月'!$A:$X,MATCH($B114,'拌客源数据1-8月'!$I:$I,0),MATCH(E$111,'拌客源数据1-8月'!$1:$1,0))</f>
        <v>蛙小辣火锅杯（总账号）</v>
      </c>
      <c r="F114" s="40">
        <f>INDEX('拌客源数据1-8月'!$A:$X,MATCH($B114,'拌客源数据1-8月'!$I:$I,0),MATCH(F$111,'拌客源数据1-8月'!$1:$1,0))</f>
        <v>4636</v>
      </c>
      <c r="G114" s="40">
        <f>SUMIFS(INDEX('拌客源数据1-8月'!$A:$X,0,MATCH($G$111,'拌客源数据1-8月'!$1:$1,0)),INDEX('拌客源数据1-8月'!$A:$X,0,MATCH($B$111,'拌客源数据1-8月'!$1:$1,0)),B114)</f>
        <v>6452.04</v>
      </c>
      <c r="H114" s="40">
        <f>INDEX('拌客源数据1-8月'!$A:$X,MATCH($B114,'拌客源数据1-8月'!$I:$I,0),MATCH(H$111,'拌客源数据1-8月'!$1:$1,0))</f>
        <v>180</v>
      </c>
      <c r="I114" s="40">
        <f>INDEX('拌客源数据1-8月'!$A:$X,MATCH($B114,'拌客源数据1-8月'!$I:$I,0),MATCH(I$111,'拌客源数据1-8月'!$1:$1,0))</f>
        <v>23</v>
      </c>
      <c r="J114" s="41"/>
      <c r="O114" s="60" t="s">
        <v>51</v>
      </c>
      <c r="P114" s="61">
        <v>114007.74</v>
      </c>
      <c r="Q114"/>
      <c r="S114" s="60" t="s">
        <v>147</v>
      </c>
      <c r="T114" s="61">
        <v>7</v>
      </c>
      <c r="U114"/>
    </row>
    <row r="115" spans="2:21">
      <c r="B115" s="69" t="s">
        <v>30</v>
      </c>
      <c r="C115" s="70"/>
      <c r="D115" s="40" t="str">
        <f>INDEX('拌客源数据1-8月'!$A:$X,MATCH(B115,'拌客源数据1-8月'!$I:$I,0),MATCH($D$111,'拌客源数据1-8月'!$1:$1,0))</f>
        <v>2000507076</v>
      </c>
      <c r="E115" s="40" t="str">
        <f>INDEX('拌客源数据1-8月'!$A:$X,MATCH($B115,'拌客源数据1-8月'!$I:$I,0),MATCH(E$111,'拌客源数据1-8月'!$1:$1,0))</f>
        <v>蛙小辣火锅杯（总账号）</v>
      </c>
      <c r="F115" s="40">
        <f>INDEX('拌客源数据1-8月'!$A:$X,MATCH($B115,'拌客源数据1-8月'!$I:$I,0),MATCH(F$111,'拌客源数据1-8月'!$1:$1,0))</f>
        <v>4636</v>
      </c>
      <c r="G115" s="40">
        <f>SUMIFS(INDEX('拌客源数据1-8月'!$A:$X,0,MATCH($G$111,'拌客源数据1-8月'!$1:$1,0)),INDEX('拌客源数据1-8月'!$A:$X,0,MATCH($B$111,'拌客源数据1-8月'!$1:$1,0)),B115)</f>
        <v>33744.82</v>
      </c>
      <c r="H115" s="40">
        <f>INDEX('拌客源数据1-8月'!$A:$X,MATCH($B115,'拌客源数据1-8月'!$I:$I,0),MATCH(H$111,'拌客源数据1-8月'!$1:$1,0))</f>
        <v>194</v>
      </c>
      <c r="I115" s="40">
        <f>INDEX('拌客源数据1-8月'!$A:$X,MATCH($B115,'拌客源数据1-8月'!$I:$I,0),MATCH(I$111,'拌客源数据1-8月'!$1:$1,0))</f>
        <v>33</v>
      </c>
      <c r="J115" s="41"/>
      <c r="O115" s="60" t="s">
        <v>136</v>
      </c>
      <c r="P115" s="61">
        <v>1071473.2499999998</v>
      </c>
      <c r="Q115"/>
      <c r="S115" s="62" t="s">
        <v>141</v>
      </c>
      <c r="T115" s="61">
        <v>7</v>
      </c>
      <c r="U115"/>
    </row>
    <row r="116" spans="2:21">
      <c r="B116" s="69" t="s">
        <v>25</v>
      </c>
      <c r="C116" s="70"/>
      <c r="D116" s="40" t="str">
        <f>INDEX('拌客源数据1-8月'!$A:$X,MATCH(B116,'拌客源数据1-8月'!$I:$I,0),MATCH($D$111,'拌客源数据1-8月'!$1:$1,0))</f>
        <v>8106681</v>
      </c>
      <c r="E116" s="40" t="str">
        <f>INDEX('拌客源数据1-8月'!$A:$X,MATCH($B116,'拌客源数据1-8月'!$I:$I,0),MATCH(E$111,'拌客源数据1-8月'!$1:$1,0))</f>
        <v>蛙小辣火锅杯（总账号）</v>
      </c>
      <c r="F116" s="40">
        <f>INDEX('拌客源数据1-8月'!$A:$X,MATCH($B116,'拌客源数据1-8月'!$I:$I,0),MATCH(F$111,'拌客源数据1-8月'!$1:$1,0))</f>
        <v>4636</v>
      </c>
      <c r="G116" s="40">
        <f>SUMIFS(INDEX('拌客源数据1-8月'!$A:$X,0,MATCH($G$111,'拌客源数据1-8月'!$1:$1,0)),INDEX('拌客源数据1-8月'!$A:$X,0,MATCH($B$111,'拌客源数据1-8月'!$1:$1,0)),B116)</f>
        <v>4313.57</v>
      </c>
      <c r="H116" s="40">
        <f>INDEX('拌客源数据1-8月'!$A:$X,MATCH($B116,'拌客源数据1-8月'!$I:$I,0),MATCH(H$111,'拌客源数据1-8月'!$1:$1,0))</f>
        <v>119</v>
      </c>
      <c r="I116" s="40">
        <f>INDEX('拌客源数据1-8月'!$A:$X,MATCH($B116,'拌客源数据1-8月'!$I:$I,0),MATCH(I$111,'拌客源数据1-8月'!$1:$1,0))</f>
        <v>22</v>
      </c>
      <c r="J116" s="41"/>
      <c r="O116"/>
      <c r="P116"/>
      <c r="Q116"/>
      <c r="S116" s="60" t="s">
        <v>136</v>
      </c>
      <c r="T116" s="61">
        <v>36</v>
      </c>
      <c r="U116"/>
    </row>
    <row r="117" spans="2:21">
      <c r="B117" s="69" t="s">
        <v>34</v>
      </c>
      <c r="C117" s="70"/>
      <c r="D117" s="40" t="str">
        <f>INDEX('拌客源数据1-8月'!$A:$X,MATCH(B117,'拌客源数据1-8月'!$I:$I,0),MATCH($D$111,'拌客源数据1-8月'!$1:$1,0))</f>
        <v>8491999</v>
      </c>
      <c r="E117" s="40" t="str">
        <f>INDEX('拌客源数据1-8月'!$A:$X,MATCH($B117,'拌客源数据1-8月'!$I:$I,0),MATCH(E$111,'拌客源数据1-8月'!$1:$1,0))</f>
        <v>蛙小辣火锅杯（总账号）</v>
      </c>
      <c r="F117" s="40">
        <f>INDEX('拌客源数据1-8月'!$A:$X,MATCH($B117,'拌客源数据1-8月'!$I:$I,0),MATCH(F$111,'拌客源数据1-8月'!$1:$1,0))</f>
        <v>4636</v>
      </c>
      <c r="G117" s="40">
        <f>SUMIFS(INDEX('拌客源数据1-8月'!$A:$X,0,MATCH($G$111,'拌客源数据1-8月'!$1:$1,0)),INDEX('拌客源数据1-8月'!$A:$X,0,MATCH($B$111,'拌客源数据1-8月'!$1:$1,0)),B117)</f>
        <v>169975.03999999998</v>
      </c>
      <c r="H117" s="40">
        <f>INDEX('拌客源数据1-8月'!$A:$X,MATCH($B117,'拌客源数据1-8月'!$I:$I,0),MATCH(H$111,'拌客源数据1-8月'!$1:$1,0))</f>
        <v>114</v>
      </c>
      <c r="I117" s="40">
        <f>INDEX('拌客源数据1-8月'!$A:$X,MATCH($B117,'拌客源数据1-8月'!$I:$I,0),MATCH(I$111,'拌客源数据1-8月'!$1:$1,0))</f>
        <v>9</v>
      </c>
      <c r="J117" s="41"/>
      <c r="O117"/>
      <c r="P117"/>
      <c r="Q117"/>
      <c r="S117"/>
      <c r="T117"/>
      <c r="U117"/>
    </row>
    <row r="118" spans="2:21">
      <c r="B118" s="69" t="s">
        <v>33</v>
      </c>
      <c r="C118" s="70"/>
      <c r="D118" s="40" t="str">
        <f>INDEX('拌客源数据1-8月'!$A:$X,MATCH(B118,'拌客源数据1-8月'!$I:$I,0),MATCH($D$111,'拌客源数据1-8月'!$1:$1,0))</f>
        <v>8184590</v>
      </c>
      <c r="E118" s="40" t="str">
        <f>INDEX('拌客源数据1-8月'!$A:$X,MATCH($B118,'拌客源数据1-8月'!$I:$I,0),MATCH(E$111,'拌客源数据1-8月'!$1:$1,0))</f>
        <v>蛙小辣火锅杯（总账号）</v>
      </c>
      <c r="F118" s="40">
        <f>INDEX('拌客源数据1-8月'!$A:$X,MATCH($B118,'拌客源数据1-8月'!$I:$I,0),MATCH(F$111,'拌客源数据1-8月'!$1:$1,0))</f>
        <v>4636</v>
      </c>
      <c r="G118" s="40">
        <f>SUMIFS(INDEX('拌客源数据1-8月'!$A:$X,0,MATCH($G$111,'拌客源数据1-8月'!$1:$1,0)),INDEX('拌客源数据1-8月'!$A:$X,0,MATCH($B$111,'拌客源数据1-8月'!$1:$1,0)),B118)</f>
        <v>9368.7099999999973</v>
      </c>
      <c r="H118" s="40">
        <f>INDEX('拌客源数据1-8月'!$A:$X,MATCH($B118,'拌客源数据1-8月'!$I:$I,0),MATCH(H$111,'拌客源数据1-8月'!$1:$1,0))</f>
        <v>54</v>
      </c>
      <c r="I118" s="40">
        <f>INDEX('拌客源数据1-8月'!$A:$X,MATCH($B118,'拌客源数据1-8月'!$I:$I,0),MATCH(I$111,'拌客源数据1-8月'!$1:$1,0))</f>
        <v>15</v>
      </c>
      <c r="J118" s="41"/>
      <c r="O118"/>
      <c r="P118"/>
      <c r="Q118"/>
      <c r="S118"/>
      <c r="T118"/>
      <c r="U118"/>
    </row>
    <row r="119" spans="2:21">
      <c r="B119" s="69" t="s">
        <v>35</v>
      </c>
      <c r="C119" s="70"/>
      <c r="D119" s="40" t="str">
        <f>INDEX('拌客源数据1-8月'!$A:$X,MATCH(B119,'拌客源数据1-8月'!$I:$I,0),MATCH($D$111,'拌客源数据1-8月'!$1:$1,0))</f>
        <v>2000507076</v>
      </c>
      <c r="E119" s="40" t="str">
        <f>INDEX('拌客源数据1-8月'!$A:$X,MATCH($B119,'拌客源数据1-8月'!$I:$I,0),MATCH(E$111,'拌客源数据1-8月'!$1:$1,0))</f>
        <v>蛙小辣火锅杯（总账号）</v>
      </c>
      <c r="F119" s="40">
        <f>INDEX('拌客源数据1-8月'!$A:$X,MATCH($B119,'拌客源数据1-8月'!$I:$I,0),MATCH(F$111,'拌客源数据1-8月'!$1:$1,0))</f>
        <v>4636</v>
      </c>
      <c r="G119" s="40">
        <f>SUMIFS(INDEX('拌客源数据1-8月'!$A:$X,0,MATCH($G$111,'拌客源数据1-8月'!$1:$1,0)),INDEX('拌客源数据1-8月'!$A:$X,0,MATCH($B$111,'拌客源数据1-8月'!$1:$1,0)),B119)</f>
        <v>784.71</v>
      </c>
      <c r="H119" s="40">
        <f>INDEX('拌客源数据1-8月'!$A:$X,MATCH($B119,'拌客源数据1-8月'!$I:$I,0),MATCH(H$111,'拌客源数据1-8月'!$1:$1,0))</f>
        <v>48</v>
      </c>
      <c r="I119" s="40">
        <f>INDEX('拌客源数据1-8月'!$A:$X,MATCH($B119,'拌客源数据1-8月'!$I:$I,0),MATCH(I$111,'拌客源数据1-8月'!$1:$1,0))</f>
        <v>11</v>
      </c>
      <c r="J119" s="41"/>
      <c r="O119"/>
      <c r="P119"/>
      <c r="Q119"/>
      <c r="S119"/>
      <c r="T119"/>
      <c r="U119"/>
    </row>
    <row r="120" spans="2:21">
      <c r="B120" s="69" t="s">
        <v>36</v>
      </c>
      <c r="C120" s="70"/>
      <c r="D120" s="40" t="str">
        <f>INDEX('拌客源数据1-8月'!$A:$X,MATCH(B120,'拌客源数据1-8月'!$I:$I,0),MATCH($D$111,'拌客源数据1-8月'!$1:$1,0))</f>
        <v>2000507076</v>
      </c>
      <c r="E120" s="40" t="str">
        <f>INDEX('拌客源数据1-8月'!$A:$X,MATCH($B120,'拌客源数据1-8月'!$I:$I,0),MATCH(E$111,'拌客源数据1-8月'!$1:$1,0))</f>
        <v>蛙小辣火锅杯（总账号）</v>
      </c>
      <c r="F120" s="40">
        <f>INDEX('拌客源数据1-8月'!$A:$X,MATCH($B120,'拌客源数据1-8月'!$I:$I,0),MATCH(F$111,'拌客源数据1-8月'!$1:$1,0))</f>
        <v>4636</v>
      </c>
      <c r="G120" s="40">
        <f>SUMIFS(INDEX('拌客源数据1-8月'!$A:$X,0,MATCH($G$111,'拌客源数据1-8月'!$1:$1,0)),INDEX('拌客源数据1-8月'!$A:$X,0,MATCH($B$111,'拌客源数据1-8月'!$1:$1,0)),B120)</f>
        <v>11932.99</v>
      </c>
      <c r="H120" s="40">
        <f>INDEX('拌客源数据1-8月'!$A:$X,MATCH($B120,'拌客源数据1-8月'!$I:$I,0),MATCH(H$111,'拌客源数据1-8月'!$1:$1,0))</f>
        <v>67</v>
      </c>
      <c r="I120" s="40">
        <f>INDEX('拌客源数据1-8月'!$A:$X,MATCH($B120,'拌客源数据1-8月'!$I:$I,0),MATCH(I$111,'拌客源数据1-8月'!$1:$1,0))</f>
        <v>24</v>
      </c>
      <c r="J120" s="41"/>
      <c r="O120"/>
      <c r="P120"/>
      <c r="Q120"/>
      <c r="S120"/>
      <c r="T120"/>
      <c r="U120"/>
    </row>
    <row r="121" spans="2:21">
      <c r="B121" s="69" t="s">
        <v>37</v>
      </c>
      <c r="C121" s="70"/>
      <c r="D121" s="40" t="str">
        <f>INDEX('拌客源数据1-8月'!$A:$X,MATCH(B121,'拌客源数据1-8月'!$I:$I,0),MATCH($D$111,'拌客源数据1-8月'!$1:$1,0))</f>
        <v>2001104355</v>
      </c>
      <c r="E121" s="40" t="str">
        <f>INDEX('拌客源数据1-8月'!$A:$X,MATCH($B121,'拌客源数据1-8月'!$I:$I,0),MATCH(E$111,'拌客源数据1-8月'!$1:$1,0))</f>
        <v>蛙小辣火锅杯（总账号）</v>
      </c>
      <c r="F121" s="40">
        <f>INDEX('拌客源数据1-8月'!$A:$X,MATCH($B121,'拌客源数据1-8月'!$I:$I,0),MATCH(F$111,'拌客源数据1-8月'!$1:$1,0))</f>
        <v>4636</v>
      </c>
      <c r="G121" s="40">
        <f>SUMIFS(INDEX('拌客源数据1-8月'!$A:$X,0,MATCH($G$111,'拌客源数据1-8月'!$1:$1,0)),INDEX('拌客源数据1-8月'!$A:$X,0,MATCH($B$111,'拌客源数据1-8月'!$1:$1,0)),B121)</f>
        <v>157511.31999999995</v>
      </c>
      <c r="H121" s="40">
        <f>INDEX('拌客源数据1-8月'!$A:$X,MATCH($B121,'拌客源数据1-8月'!$I:$I,0),MATCH(H$111,'拌客源数据1-8月'!$1:$1,0))</f>
        <v>140</v>
      </c>
      <c r="I121" s="40">
        <f>INDEX('拌客源数据1-8月'!$A:$X,MATCH($B121,'拌客源数据1-8月'!$I:$I,0),MATCH(I$111,'拌客源数据1-8月'!$1:$1,0))</f>
        <v>31</v>
      </c>
      <c r="J121" s="41"/>
      <c r="O121"/>
      <c r="P121"/>
      <c r="Q121"/>
      <c r="S121"/>
      <c r="T121"/>
      <c r="U121"/>
    </row>
    <row r="122" spans="2:21">
      <c r="B122" s="69" t="s">
        <v>38</v>
      </c>
      <c r="C122" s="70"/>
      <c r="D122" s="40" t="str">
        <f>INDEX('拌客源数据1-8月'!$A:$X,MATCH(B122,'拌客源数据1-8月'!$I:$I,0),MATCH($D$111,'拌客源数据1-8月'!$1:$1,0))</f>
        <v>2000507076</v>
      </c>
      <c r="E122" s="40" t="str">
        <f>INDEX('拌客源数据1-8月'!$A:$X,MATCH($B122,'拌客源数据1-8月'!$I:$I,0),MATCH(E$111,'拌客源数据1-8月'!$1:$1,0))</f>
        <v>蛙小辣火锅杯（总账号）</v>
      </c>
      <c r="F122" s="40">
        <f>INDEX('拌客源数据1-8月'!$A:$X,MATCH($B122,'拌客源数据1-8月'!$I:$I,0),MATCH(F$111,'拌客源数据1-8月'!$1:$1,0))</f>
        <v>4636</v>
      </c>
      <c r="G122" s="40">
        <f>SUMIFS(INDEX('拌客源数据1-8月'!$A:$X,0,MATCH($G$111,'拌客源数据1-8月'!$1:$1,0)),INDEX('拌客源数据1-8月'!$A:$X,0,MATCH($B$111,'拌客源数据1-8月'!$1:$1,0)),B122)</f>
        <v>13823.480000000001</v>
      </c>
      <c r="H122" s="40">
        <f>INDEX('拌客源数据1-8月'!$A:$X,MATCH($B122,'拌客源数据1-8月'!$I:$I,0),MATCH(H$111,'拌客源数据1-8月'!$1:$1,0))</f>
        <v>71</v>
      </c>
      <c r="I122" s="40">
        <f>INDEX('拌客源数据1-8月'!$A:$X,MATCH($B122,'拌客源数据1-8月'!$I:$I,0),MATCH(I$111,'拌客源数据1-8月'!$1:$1,0))</f>
        <v>19</v>
      </c>
      <c r="J122" s="41"/>
      <c r="O122"/>
      <c r="P122"/>
      <c r="Q122"/>
      <c r="S122"/>
      <c r="T122"/>
      <c r="U122"/>
    </row>
    <row r="123" spans="2:21">
      <c r="B123" s="69" t="s">
        <v>39</v>
      </c>
      <c r="C123" s="70"/>
      <c r="D123" s="40" t="str">
        <f>INDEX('拌客源数据1-8月'!$A:$X,MATCH(B123,'拌客源数据1-8月'!$I:$I,0),MATCH($D$111,'拌客源数据1-8月'!$1:$1,0))</f>
        <v>8184590</v>
      </c>
      <c r="E123" s="40" t="str">
        <f>INDEX('拌客源数据1-8月'!$A:$X,MATCH($B123,'拌客源数据1-8月'!$I:$I,0),MATCH(E$111,'拌客源数据1-8月'!$1:$1,0))</f>
        <v>蛙小辣火锅杯（总账号）</v>
      </c>
      <c r="F123" s="40">
        <f>INDEX('拌客源数据1-8月'!$A:$X,MATCH($B123,'拌客源数据1-8月'!$I:$I,0),MATCH(F$111,'拌客源数据1-8月'!$1:$1,0))</f>
        <v>4636</v>
      </c>
      <c r="G123" s="40">
        <f>SUMIFS(INDEX('拌客源数据1-8月'!$A:$X,0,MATCH($G$111,'拌客源数据1-8月'!$1:$1,0)),INDEX('拌客源数据1-8月'!$A:$X,0,MATCH($B$111,'拌客源数据1-8月'!$1:$1,0)),B123)</f>
        <v>682.13</v>
      </c>
      <c r="H123" s="40">
        <f>INDEX('拌客源数据1-8月'!$A:$X,MATCH($B123,'拌客源数据1-8月'!$I:$I,0),MATCH(H$111,'拌客源数据1-8月'!$1:$1,0))</f>
        <v>45</v>
      </c>
      <c r="I123" s="40">
        <f>INDEX('拌客源数据1-8月'!$A:$X,MATCH($B123,'拌客源数据1-8月'!$I:$I,0),MATCH(I$111,'拌客源数据1-8月'!$1:$1,0))</f>
        <v>8</v>
      </c>
      <c r="J123" s="41"/>
      <c r="O123"/>
      <c r="P123"/>
      <c r="Q123"/>
      <c r="S123"/>
      <c r="T123"/>
      <c r="U123"/>
    </row>
    <row r="124" spans="2:21">
      <c r="B124" s="69" t="s">
        <v>41</v>
      </c>
      <c r="C124" s="70"/>
      <c r="D124" s="40" t="str">
        <f>INDEX('拌客源数据1-8月'!$A:$X,MATCH(B124,'拌客源数据1-8月'!$I:$I,0),MATCH($D$111,'拌客源数据1-8月'!$1:$1,0))</f>
        <v>337460136</v>
      </c>
      <c r="E124" s="40" t="str">
        <f>INDEX('拌客源数据1-8月'!$A:$X,MATCH($B124,'拌客源数据1-8月'!$I:$I,0),MATCH(E$111,'拌客源数据1-8月'!$1:$1,0))</f>
        <v>拌客（武宁路店）</v>
      </c>
      <c r="F124" s="40">
        <f>INDEX('拌客源数据1-8月'!$A:$X,MATCH($B124,'拌客源数据1-8月'!$I:$I,0),MATCH(F$111,'拌客源数据1-8月'!$1:$1,0))</f>
        <v>6108</v>
      </c>
      <c r="G124" s="40">
        <f>SUMIFS(INDEX('拌客源数据1-8月'!$A:$X,0,MATCH($G$111,'拌客源数据1-8月'!$1:$1,0)),INDEX('拌客源数据1-8月'!$A:$X,0,MATCH($B$111,'拌客源数据1-8月'!$1:$1,0)),B124)</f>
        <v>3913.76</v>
      </c>
      <c r="H124" s="40">
        <f>INDEX('拌客源数据1-8月'!$A:$X,MATCH($B124,'拌客源数据1-8月'!$I:$I,0),MATCH(H$111,'拌客源数据1-8月'!$1:$1,0))</f>
        <v>174</v>
      </c>
      <c r="I124" s="40">
        <f>INDEX('拌客源数据1-8月'!$A:$X,MATCH($B124,'拌客源数据1-8月'!$I:$I,0),MATCH(I$111,'拌客源数据1-8月'!$1:$1,0))</f>
        <v>25</v>
      </c>
      <c r="J124" s="41"/>
      <c r="O124"/>
      <c r="P124"/>
      <c r="Q124"/>
    </row>
    <row r="125" spans="2:21">
      <c r="B125" s="69" t="s">
        <v>42</v>
      </c>
      <c r="C125" s="70"/>
      <c r="D125" s="40" t="str">
        <f>INDEX('拌客源数据1-8月'!$A:$X,MATCH(B125,'拌客源数据1-8月'!$I:$I,0),MATCH($D$111,'拌客源数据1-8月'!$1:$1,0))</f>
        <v>337460136</v>
      </c>
      <c r="E125" s="40" t="str">
        <f>INDEX('拌客源数据1-8月'!$A:$X,MATCH($B125,'拌客源数据1-8月'!$I:$I,0),MATCH(E$111,'拌客源数据1-8月'!$1:$1,0))</f>
        <v>拌客（武宁路店）</v>
      </c>
      <c r="F125" s="40">
        <f>INDEX('拌客源数据1-8月'!$A:$X,MATCH($B125,'拌客源数据1-8月'!$I:$I,0),MATCH(F$111,'拌客源数据1-8月'!$1:$1,0))</f>
        <v>6108</v>
      </c>
      <c r="G125" s="40">
        <f>SUMIFS(INDEX('拌客源数据1-8月'!$A:$X,0,MATCH($G$111,'拌客源数据1-8月'!$1:$1,0)),INDEX('拌客源数据1-8月'!$A:$X,0,MATCH($B$111,'拌客源数据1-8月'!$1:$1,0)),B125)</f>
        <v>421831.69999999995</v>
      </c>
      <c r="H125" s="40">
        <f>INDEX('拌客源数据1-8月'!$A:$X,MATCH($B125,'拌客源数据1-8月'!$I:$I,0),MATCH(H$111,'拌客源数据1-8月'!$1:$1,0))</f>
        <v>259</v>
      </c>
      <c r="I125" s="40">
        <f>INDEX('拌客源数据1-8月'!$A:$X,MATCH($B125,'拌客源数据1-8月'!$I:$I,0),MATCH(I$111,'拌客源数据1-8月'!$1:$1,0))</f>
        <v>62</v>
      </c>
      <c r="J125" s="41"/>
      <c r="O125"/>
      <c r="P125"/>
      <c r="Q125"/>
    </row>
    <row r="126" spans="2:21">
      <c r="B126" s="69" t="s">
        <v>43</v>
      </c>
      <c r="C126" s="70"/>
      <c r="D126" s="40" t="str">
        <f>INDEX('拌客源数据1-8月'!$A:$X,MATCH(B126,'拌客源数据1-8月'!$I:$I,0),MATCH($D$111,'拌客源数据1-8月'!$1:$1,0))</f>
        <v>9428110</v>
      </c>
      <c r="E126" s="40" t="str">
        <f>INDEX('拌客源数据1-8月'!$A:$X,MATCH($B126,'拌客源数据1-8月'!$I:$I,0),MATCH(E$111,'拌客源数据1-8月'!$1:$1,0))</f>
        <v>拌客（武宁路店）</v>
      </c>
      <c r="F126" s="40">
        <f>INDEX('拌客源数据1-8月'!$A:$X,MATCH($B126,'拌客源数据1-8月'!$I:$I,0),MATCH(F$111,'拌客源数据1-8月'!$1:$1,0))</f>
        <v>6108</v>
      </c>
      <c r="G126" s="40">
        <f>SUMIFS(INDEX('拌客源数据1-8月'!$A:$X,0,MATCH($G$111,'拌客源数据1-8月'!$1:$1,0)),INDEX('拌客源数据1-8月'!$A:$X,0,MATCH($B$111,'拌客源数据1-8月'!$1:$1,0)),B126)</f>
        <v>114007.74</v>
      </c>
      <c r="H126" s="40">
        <f>INDEX('拌客源数据1-8月'!$A:$X,MATCH($B126,'拌客源数据1-8月'!$I:$I,0),MATCH(H$111,'拌客源数据1-8月'!$1:$1,0))</f>
        <v>323</v>
      </c>
      <c r="I126" s="40">
        <f>INDEX('拌客源数据1-8月'!$A:$X,MATCH($B126,'拌客源数据1-8月'!$I:$I,0),MATCH(I$111,'拌客源数据1-8月'!$1:$1,0))</f>
        <v>98</v>
      </c>
      <c r="J126" s="41"/>
      <c r="O126"/>
      <c r="P126"/>
      <c r="Q126"/>
    </row>
    <row r="127" spans="2:21">
      <c r="B127" s="52"/>
      <c r="C127" s="52"/>
      <c r="D127" s="41"/>
      <c r="E127" s="41"/>
      <c r="F127" s="41"/>
      <c r="G127" s="41"/>
    </row>
    <row r="128" spans="2:21">
      <c r="B128" s="52"/>
      <c r="C128" s="52"/>
      <c r="D128" s="41"/>
      <c r="E128" s="41"/>
      <c r="F128" s="41"/>
      <c r="G128" s="41"/>
    </row>
    <row r="129" spans="2:7">
      <c r="B129" s="52"/>
      <c r="C129" s="52"/>
      <c r="D129" s="41"/>
      <c r="E129" s="41"/>
      <c r="F129" s="41"/>
      <c r="G129" s="41"/>
    </row>
    <row r="130" spans="2:7">
      <c r="B130" s="52"/>
      <c r="C130" s="52"/>
      <c r="D130" s="41"/>
      <c r="E130" s="41"/>
      <c r="F130" s="41"/>
      <c r="G130" s="41"/>
    </row>
    <row r="131" spans="2:7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/>
    <sheetView workbookViewId="1"/>
    <sheetView workbookViewId="2"/>
    <sheetView workbookViewId="3"/>
    <sheetView workbookViewId="4"/>
  </sheetViews>
  <sheetFormatPr baseColWidth="10" defaultColWidth="9" defaultRowHeight="18"/>
  <cols>
    <col min="1" max="1" width="13.83203125" style="2" bestFit="1" customWidth="1"/>
    <col min="2" max="2" width="12.5" style="2" customWidth="1"/>
    <col min="3" max="3" width="12.5" style="2" bestFit="1" customWidth="1"/>
    <col min="4" max="4" width="13.1640625" style="2" customWidth="1"/>
    <col min="5" max="5" width="11.33203125" style="2" bestFit="1" customWidth="1"/>
    <col min="6" max="6" width="11.83203125" style="2" customWidth="1"/>
    <col min="7" max="7" width="11.1640625" style="2" bestFit="1" customWidth="1"/>
    <col min="8" max="8" width="11.5" style="2" bestFit="1" customWidth="1"/>
    <col min="9" max="9" width="11.664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>
      <c r="A2" s="79" t="s">
        <v>57</v>
      </c>
      <c r="B2" s="80"/>
      <c r="C2" s="80"/>
      <c r="D2" s="80"/>
      <c r="E2" s="80"/>
      <c r="F2" s="80"/>
      <c r="G2" s="80"/>
      <c r="H2" s="80"/>
    </row>
    <row r="3" spans="1:11">
      <c r="A3" s="80"/>
      <c r="B3" s="80"/>
      <c r="C3" s="80"/>
      <c r="D3" s="80"/>
      <c r="E3" s="80"/>
      <c r="F3" s="80"/>
      <c r="G3" s="80"/>
      <c r="H3" s="80"/>
    </row>
    <row r="4" spans="1:11" ht="19" thickBot="1">
      <c r="A4" s="3" t="s">
        <v>58</v>
      </c>
    </row>
    <row r="5" spans="1:11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162</v>
      </c>
    </row>
    <row r="6" spans="1:11">
      <c r="A6" s="8">
        <f>$C$32</f>
        <v>16036</v>
      </c>
      <c r="B6" s="4"/>
      <c r="C6" s="9">
        <f>SUM($D$25:$D$31)/$A$6</f>
        <v>7.3584435021202294E-2</v>
      </c>
      <c r="D6" s="4"/>
      <c r="E6" s="9">
        <f>G32</f>
        <v>0.21271186440677967</v>
      </c>
      <c r="F6" s="4"/>
      <c r="G6" s="81" t="s">
        <v>63</v>
      </c>
      <c r="H6" s="82"/>
    </row>
    <row r="7" spans="1:11">
      <c r="A7" s="3" t="s">
        <v>64</v>
      </c>
      <c r="G7" s="83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0.25984995000000005</v>
      </c>
      <c r="H7" s="84"/>
      <c r="I7" s="10"/>
      <c r="K7" s="63"/>
    </row>
    <row r="8" spans="1:11" ht="19" thickBot="1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200000</v>
      </c>
    </row>
    <row r="9" spans="1:11">
      <c r="A9" s="8">
        <f>F20</f>
        <v>258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-0.33505154639175261</v>
      </c>
      <c r="C9" s="8">
        <f>D20</f>
        <v>5417.5099999999993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-0.24846467894553603</v>
      </c>
      <c r="E9" s="14">
        <f>E20</f>
        <v>0.36122657449154993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6.4597617325405032E-2</v>
      </c>
      <c r="I9" s="15"/>
    </row>
    <row r="11" spans="1:11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2233.92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768.67000000000007</v>
      </c>
      <c r="E13" s="25">
        <f>D13/C13</f>
        <v>0.34409020913909183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55.847999999999999</v>
      </c>
    </row>
    <row r="14" spans="1:11">
      <c r="A14" s="22">
        <f>A13+1</f>
        <v>44054</v>
      </c>
      <c r="B14" s="23">
        <f t="shared" ref="B14:B19" si="0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2360.1800000000003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923.19</v>
      </c>
      <c r="E14" s="25">
        <f t="shared" ref="E14:E20" si="1">D14/C14</f>
        <v>0.39115236973451173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39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26">
        <f t="shared" ref="H14:H19" si="2">C14/F14</f>
        <v>60.517435897435902</v>
      </c>
    </row>
    <row r="15" spans="1:11">
      <c r="A15" s="22">
        <f t="shared" ref="A15:A19" si="3">A14+1</f>
        <v>44055</v>
      </c>
      <c r="B15" s="23">
        <f t="shared" si="0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1787.54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661.01</v>
      </c>
      <c r="E15" s="25">
        <f t="shared" si="1"/>
        <v>0.36978752923011515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31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57.662580645161292</v>
      </c>
    </row>
    <row r="16" spans="1:11">
      <c r="A16" s="22">
        <f t="shared" si="3"/>
        <v>44056</v>
      </c>
      <c r="B16" s="23">
        <f t="shared" si="0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1814.93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634.1</v>
      </c>
      <c r="E16" s="25">
        <f t="shared" si="1"/>
        <v>0.34937986589014453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33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26">
        <f t="shared" si="2"/>
        <v>54.99787878787879</v>
      </c>
    </row>
    <row r="17" spans="1:8">
      <c r="A17" s="22">
        <f t="shared" si="3"/>
        <v>44057</v>
      </c>
      <c r="B17" s="23">
        <f t="shared" si="0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2222.31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799.33</v>
      </c>
      <c r="E17" s="25">
        <f t="shared" si="1"/>
        <v>0.35968429247044742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37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60.062432432432431</v>
      </c>
    </row>
    <row r="18" spans="1:8">
      <c r="A18" s="22">
        <f t="shared" si="3"/>
        <v>44058</v>
      </c>
      <c r="B18" s="23">
        <f t="shared" si="0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2528.64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876.06</v>
      </c>
      <c r="E18" s="25">
        <f t="shared" si="1"/>
        <v>0.34645501138952162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43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58.805581395348831</v>
      </c>
    </row>
    <row r="19" spans="1:8">
      <c r="A19" s="27">
        <f t="shared" si="3"/>
        <v>44059</v>
      </c>
      <c r="B19" s="28">
        <f t="shared" si="0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2050.02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755.15</v>
      </c>
      <c r="E19" s="30">
        <f t="shared" si="1"/>
        <v>0.3683622598803914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35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58.572000000000003</v>
      </c>
    </row>
    <row r="20" spans="1:8">
      <c r="A20" s="24" t="s">
        <v>72</v>
      </c>
      <c r="B20" s="23"/>
      <c r="C20" s="64">
        <f>SUM(C13:C19)</f>
        <v>14997.539999999999</v>
      </c>
      <c r="D20" s="64">
        <f>SUM(D13:D19)</f>
        <v>5417.5099999999993</v>
      </c>
      <c r="E20" s="25">
        <f t="shared" si="1"/>
        <v>0.36122657449154993</v>
      </c>
      <c r="F20" s="24">
        <f>SUM(F13:F19)</f>
        <v>258</v>
      </c>
      <c r="G20" s="24">
        <f>SUM(G13:G19)</f>
        <v>5</v>
      </c>
      <c r="H20" s="32">
        <f>C20/F20</f>
        <v>58.129999999999995</v>
      </c>
    </row>
    <row r="23" spans="1:8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2375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175</v>
      </c>
      <c r="E25" s="25">
        <f>D25/C25</f>
        <v>7.3684210526315783E-2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36</v>
      </c>
      <c r="G25" s="25">
        <f>F25/D25</f>
        <v>0.20571428571428571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4.3918313995129639E-2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1989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155</v>
      </c>
      <c r="E26" s="25">
        <f t="shared" ref="E26:E31" si="6">D26/C26</f>
        <v>7.7928607340372047E-2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37</v>
      </c>
      <c r="G26" s="25">
        <f t="shared" ref="G26:G31" si="7">F26/D26</f>
        <v>0.23870967741935484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5.0559703073494389E-2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1913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149</v>
      </c>
      <c r="E27" s="25">
        <f t="shared" si="6"/>
        <v>7.7888133821223213E-2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31</v>
      </c>
      <c r="G27" s="25">
        <f t="shared" si="7"/>
        <v>0.20805369127516779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6.1906306991731656E-2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2044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143</v>
      </c>
      <c r="E28" s="25">
        <f t="shared" si="6"/>
        <v>6.9960861056751464E-2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34</v>
      </c>
      <c r="G28" s="25">
        <f t="shared" si="7"/>
        <v>0.23776223776223776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5.5462194134209032E-2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2301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168</v>
      </c>
      <c r="E29" s="25">
        <f t="shared" si="6"/>
        <v>7.3011734028683176E-2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37</v>
      </c>
      <c r="G29" s="25">
        <f t="shared" si="7"/>
        <v>0.22023809523809523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5.1369970886149995E-2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2725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201</v>
      </c>
      <c r="E30" s="25">
        <f t="shared" si="6"/>
        <v>7.3761467889908255E-2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43</v>
      </c>
      <c r="G30" s="25">
        <f t="shared" si="7"/>
        <v>0.21393034825870647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4.346209820298659E-2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2689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189</v>
      </c>
      <c r="E31" s="30">
        <f t="shared" si="6"/>
        <v>7.0286351803644481E-2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33</v>
      </c>
      <c r="G31" s="30">
        <f t="shared" si="7"/>
        <v>0.17460317460317459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5.5960429654344834E-2</v>
      </c>
    </row>
    <row r="32" spans="1:8">
      <c r="A32" s="24" t="s">
        <v>72</v>
      </c>
      <c r="B32" s="24"/>
      <c r="C32" s="24">
        <f>SUM(C25:C31)</f>
        <v>16036</v>
      </c>
      <c r="D32" s="24">
        <f>SUM(D25:D31)</f>
        <v>1180</v>
      </c>
      <c r="E32" s="35">
        <f>D32/C32</f>
        <v>7.3584435021202294E-2</v>
      </c>
      <c r="F32" s="24">
        <f>SUM(F25:F31)</f>
        <v>251</v>
      </c>
      <c r="G32" s="35">
        <f>F32/D32</f>
        <v>0.21271186440677967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5.1177726480476138E-2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27" priority="21" operator="lessThan">
      <formula>0</formula>
    </cfRule>
    <cfRule type="cellIs" dxfId="26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25" priority="18" operator="greaterThan">
      <formula>0</formula>
    </cfRule>
    <cfRule type="cellIs" dxfId="24" priority="19" operator="lessThan">
      <formula>0</formula>
    </cfRule>
  </conditionalFormatting>
  <conditionalFormatting sqref="F9">
    <cfRule type="cellIs" dxfId="23" priority="16" operator="lessThan">
      <formula>0</formula>
    </cfRule>
    <cfRule type="cellIs" dxfId="22" priority="17" operator="greaterThan">
      <formula>0</formula>
    </cfRule>
  </conditionalFormatting>
  <conditionalFormatting sqref="A13:B13 E13:H13 A14:H19">
    <cfRule type="expression" dxfId="21" priority="14">
      <formula>$C13&lt;AVERAGE($C$13:$C$19)</formula>
    </cfRule>
  </conditionalFormatting>
  <conditionalFormatting sqref="D9">
    <cfRule type="cellIs" dxfId="20" priority="12" operator="lessThan">
      <formula>0</formula>
    </cfRule>
    <cfRule type="cellIs" dxfId="19" priority="13" operator="greaterThan">
      <formula>0</formula>
    </cfRule>
  </conditionalFormatting>
  <conditionalFormatting sqref="D9">
    <cfRule type="cellIs" dxfId="18" priority="10" operator="lessThan">
      <formula>0</formula>
    </cfRule>
    <cfRule type="cellIs" dxfId="17" priority="11" operator="greaterThan">
      <formula>0</formula>
    </cfRule>
  </conditionalFormatting>
  <conditionalFormatting sqref="D9">
    <cfRule type="cellIs" dxfId="16" priority="7" operator="greaterThan">
      <formula>0</formula>
    </cfRule>
    <cfRule type="cellIs" dxfId="15" priority="8" operator="lessThan">
      <formula>0</formula>
    </cfRule>
  </conditionalFormatting>
  <conditionalFormatting sqref="F9">
    <cfRule type="cellIs" dxfId="14" priority="5" operator="greaterThan">
      <formula>0</formula>
    </cfRule>
    <cfRule type="cellIs" dxfId="13" priority="6" operator="lessThan">
      <formula>0</formula>
    </cfRule>
  </conditionalFormatting>
  <conditionalFormatting sqref="D9">
    <cfRule type="cellIs" dxfId="12" priority="3" operator="greaterThan">
      <formula>0</formula>
    </cfRule>
    <cfRule type="cellIs" dxfId="11" priority="4" operator="lessThan">
      <formula>0</formula>
    </cfRule>
  </conditionalFormatting>
  <conditionalFormatting sqref="F9">
    <cfRule type="cellIs" dxfId="10" priority="1" operator="greaterThan">
      <formula>0</formula>
    </cfRule>
    <cfRule type="cellIs" dxfId="9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4"/>
  <sheetViews>
    <sheetView workbookViewId="0"/>
    <sheetView showGridLines="0" tabSelected="1" topLeftCell="A3" workbookViewId="1">
      <selection activeCell="L13" sqref="L13"/>
    </sheetView>
    <sheetView workbookViewId="2"/>
    <sheetView workbookViewId="3"/>
    <sheetView workbookViewId="4"/>
  </sheetViews>
  <sheetFormatPr baseColWidth="10" defaultColWidth="8.83203125" defaultRowHeight="18"/>
  <cols>
    <col min="1" max="1" width="14.83203125" style="66" customWidth="1"/>
    <col min="2" max="2" width="12.1640625" style="66" customWidth="1"/>
    <col min="3" max="3" width="17.1640625" style="66" customWidth="1"/>
    <col min="4" max="4" width="17.6640625" style="66" customWidth="1"/>
    <col min="5" max="5" width="12.33203125" style="66" customWidth="1"/>
    <col min="6" max="6" width="16.33203125" style="66" customWidth="1"/>
    <col min="7" max="7" width="12.5" style="66" customWidth="1"/>
    <col min="8" max="8" width="17.5" style="66" customWidth="1"/>
  </cols>
  <sheetData>
    <row r="1" spans="1:8">
      <c r="A1" s="93" t="s">
        <v>56</v>
      </c>
      <c r="B1" s="97">
        <v>44053</v>
      </c>
      <c r="C1" s="98" t="s">
        <v>77</v>
      </c>
      <c r="D1" s="97">
        <v>44059</v>
      </c>
      <c r="E1" s="93"/>
      <c r="F1" s="93"/>
      <c r="G1" s="93"/>
      <c r="H1" s="93"/>
    </row>
    <row r="2" spans="1:8">
      <c r="A2" s="93"/>
      <c r="B2" s="93"/>
      <c r="C2" s="93"/>
      <c r="D2" s="93"/>
      <c r="E2" s="93"/>
      <c r="F2" s="93"/>
      <c r="G2" s="93"/>
      <c r="H2" s="93"/>
    </row>
    <row r="3" spans="1:8" ht="23">
      <c r="A3" s="93"/>
      <c r="B3" s="99" t="s">
        <v>57</v>
      </c>
      <c r="C3" s="99"/>
      <c r="D3" s="99"/>
      <c r="E3" s="99"/>
      <c r="F3" s="99"/>
      <c r="G3" s="99"/>
      <c r="H3" s="99"/>
    </row>
    <row r="4" spans="1:8">
      <c r="A4" s="100" t="s">
        <v>58</v>
      </c>
      <c r="B4" s="93"/>
      <c r="C4" s="93"/>
      <c r="D4" s="93"/>
      <c r="E4" s="93"/>
      <c r="F4" s="93"/>
      <c r="G4" s="93"/>
      <c r="H4" s="93"/>
    </row>
    <row r="5" spans="1:8">
      <c r="A5" s="101" t="s">
        <v>59</v>
      </c>
      <c r="B5" s="93"/>
      <c r="C5" s="101" t="s">
        <v>60</v>
      </c>
      <c r="D5" s="93"/>
      <c r="E5" s="101" t="s">
        <v>61</v>
      </c>
      <c r="F5" s="93"/>
      <c r="G5" s="93" t="s">
        <v>62</v>
      </c>
      <c r="H5" s="111" t="s">
        <v>27</v>
      </c>
    </row>
    <row r="6" spans="1:8">
      <c r="A6" s="101">
        <f>C32</f>
        <v>7220</v>
      </c>
      <c r="B6" s="93"/>
      <c r="C6" s="104">
        <f>E32</f>
        <v>6.7867036011080337E-2</v>
      </c>
      <c r="D6" s="93"/>
      <c r="E6" s="104">
        <f>G32</f>
        <v>0.21020408163265306</v>
      </c>
      <c r="F6" s="93"/>
      <c r="G6" s="93" t="s">
        <v>63</v>
      </c>
      <c r="H6" s="102">
        <f>IF($H$5="全部",SUMIFS(INDEX('拌客源数据1-8月'!$A:$X,0,MATCH(C12,'拌客源数据1-8月'!$1:$1,0)),'拌客源数据1-8月'!$A:$A,"&gt;="&amp;(DATE(YEAR($A13),MONTH($A13),1)),'拌客源数据1-8月'!$A:$A,"&lt;="&amp;($A19)),SUMIFS(INDEX('拌客源数据1-8月'!$A:$X,0,MATCH(C12,'拌客源数据1-8月'!$1:$1,0)),'拌客源数据1-8月'!$A:$A,"&gt;="&amp;(DATE(YEAR($A13),MONTH($A13),1)),'拌客源数据1-8月'!$A:$A,"&lt;="&amp;($A19),'拌客源数据1-8月'!$H:$H,$H$5))/H8</f>
        <v>0.50107279999999998</v>
      </c>
    </row>
    <row r="7" spans="1:8">
      <c r="A7" s="100" t="s">
        <v>64</v>
      </c>
      <c r="B7" s="93"/>
      <c r="C7" s="93"/>
      <c r="D7" s="93"/>
      <c r="E7" s="93"/>
      <c r="F7" s="93"/>
      <c r="G7" s="93"/>
      <c r="H7" s="93"/>
    </row>
    <row r="8" spans="1:8">
      <c r="A8" s="101" t="s">
        <v>53</v>
      </c>
      <c r="B8" s="93"/>
      <c r="C8" s="101" t="s">
        <v>54</v>
      </c>
      <c r="D8" s="93"/>
      <c r="E8" s="101" t="s">
        <v>65</v>
      </c>
      <c r="F8" s="93"/>
      <c r="G8" s="93" t="s">
        <v>66</v>
      </c>
      <c r="H8" s="93">
        <f>IF(H5="全部",200000,IF(H5="美团",150000,50000))</f>
        <v>50000</v>
      </c>
    </row>
    <row r="9" spans="1:8">
      <c r="A9" s="101">
        <f>F20</f>
        <v>105</v>
      </c>
      <c r="B9" s="103">
        <f>A9/IF($H$5="全部",SUMIFS(INDEX('拌客源数据1-8月'!$A:$X,0,MATCH(A8,'拌客源数据1-8月'!$1:$1,0)),'拌客源数据1-8月'!$A:$A,"&gt;="&amp;($A13-7),'拌客源数据1-8月'!$A:$A,"&lt;="&amp;($A19-7)),SUMIFS(INDEX('拌客源数据1-8月'!$A:$X,0,MATCH(A8,'拌客源数据1-8月'!$1:$1,0)),'拌客源数据1-8月'!$A:$A,"&gt;="&amp;($A13-7),'拌客源数据1-8月'!$A:$A,"&lt;="&amp;($A19-7),'拌客源数据1-8月'!$H:$H,$H$5))-1</f>
        <v>-0.4</v>
      </c>
      <c r="C9" s="101">
        <f>D20</f>
        <v>2595.59</v>
      </c>
      <c r="D9" s="103">
        <f>C9/IF($H$5="全部",SUMIFS(INDEX('拌客源数据1-8月'!$A:$X,0,MATCH(C8,'拌客源数据1-8月'!$1:$1,0)),'拌客源数据1-8月'!$A:$A,"&gt;="&amp;($A13-7),'拌客源数据1-8月'!$A:$A,"&lt;="&amp;($A19-7)),SUMIFS(INDEX('拌客源数据1-8月'!$A:$X,0,MATCH(C8,'拌客源数据1-8月'!$1:$1,0)),'拌客源数据1-8月'!$A:$A,"&gt;="&amp;($A13-7),'拌客源数据1-8月'!$A:$A,"&lt;="&amp;($A19-7),'拌客源数据1-8月'!$H:$H,$H$5))-1</f>
        <v>-0.19188834093003559</v>
      </c>
      <c r="E9" s="104">
        <f>E20</f>
        <v>0.37482201806245907</v>
      </c>
      <c r="F9" s="103">
        <f>E9/(IF($H$5="全部",SUMIFS(INDEX('拌客源数据1-8月'!$A:$X,0,MATCH(C8,'拌客源数据1-8月'!$1:$1,0)),'拌客源数据1-8月'!$A:$A,"&gt;="&amp;($A13-7),'拌客源数据1-8月'!$A:$A,"&lt;="&amp;($A19-7)),SUMIFS(INDEX('拌客源数据1-8月'!$A:$X,0,MATCH(C8,'拌客源数据1-8月'!$1:$1,0)),'拌客源数据1-8月'!$A:$A,"&gt;="&amp;($A13-7),'拌客源数据1-8月'!$A:$A,"&lt;="&amp;($A19-7),'拌客源数据1-8月'!$H:$H,$H$5))/IF($H$5="全部",SUMIFS(INDEX('拌客源数据1-8月'!$A:$X,0,MATCH(C12,'拌客源数据1-8月'!$1:$1,0)),'拌客源数据1-8月'!$A:$A,"&gt;="&amp;($A13-7),'拌客源数据1-8月'!$A:$A,"&lt;="&amp;($A19-7)),SUMIFS(INDEX('拌客源数据1-8月'!$A:$X,0,MATCH(C12,'拌客源数据1-8月'!$1:$1,0)),'拌客源数据1-8月'!$A:$A,"&gt;="&amp;($A13-7),'拌客源数据1-8月'!$A:$A,"&lt;="&amp;($A19-7),'拌客源数据1-8月'!$H:$H,$H$5)))-1</f>
        <v>0.15053970592705168</v>
      </c>
      <c r="G9" s="93"/>
      <c r="H9" s="93"/>
    </row>
    <row r="10" spans="1:8">
      <c r="A10" s="93"/>
      <c r="B10" s="93"/>
      <c r="C10" s="93"/>
      <c r="D10" s="93"/>
      <c r="E10" s="93"/>
      <c r="F10" s="93"/>
      <c r="G10" s="93"/>
      <c r="H10" s="93"/>
    </row>
    <row r="11" spans="1:8">
      <c r="A11" s="85" t="s">
        <v>67</v>
      </c>
      <c r="B11" s="86"/>
      <c r="C11" s="86" t="s">
        <v>68</v>
      </c>
      <c r="D11" s="86"/>
      <c r="E11" s="86"/>
      <c r="F11" s="86"/>
      <c r="G11" s="86"/>
      <c r="H11" s="87"/>
    </row>
    <row r="12" spans="1:8">
      <c r="A12" s="88" t="s">
        <v>69</v>
      </c>
      <c r="B12" s="89" t="s">
        <v>70</v>
      </c>
      <c r="C12" s="89" t="s">
        <v>55</v>
      </c>
      <c r="D12" s="89" t="s">
        <v>54</v>
      </c>
      <c r="E12" s="89" t="s">
        <v>65</v>
      </c>
      <c r="F12" s="89" t="s">
        <v>53</v>
      </c>
      <c r="G12" s="89" t="s">
        <v>52</v>
      </c>
      <c r="H12" s="90" t="s">
        <v>71</v>
      </c>
    </row>
    <row r="13" spans="1:8">
      <c r="A13" s="91">
        <v>44053</v>
      </c>
      <c r="B13" s="92">
        <v>44053</v>
      </c>
      <c r="C13" s="93">
        <f>IF($H$5="全部",SUMIFS(INDEX('拌客源数据1-8月'!$A:$X,0,MATCH(C$12,'拌客源数据1-8月'!$1:$1,0)),'拌客源数据1-8月'!$A:$A,$A13),SUMIFS(INDEX('拌客源数据1-8月'!$A:$X,0,MATCH(C$12,'拌客源数据1-8月'!$1:$1,0)),'拌客源数据1-8月'!$A:$A,$A13,'拌客源数据1-8月'!$H:$H,$H$5))</f>
        <v>695.55</v>
      </c>
      <c r="D13" s="93">
        <f>IF($H$5="全部",SUMIFS(INDEX('拌客源数据1-8月'!$A:$X,0,MATCH(D$12,'拌客源数据1-8月'!$1:$1,0)),'拌客源数据1-8月'!$A:$A,$A13),SUMIFS(INDEX('拌客源数据1-8月'!$A:$X,0,MATCH(D$12,'拌客源数据1-8月'!$1:$1,0)),'拌客源数据1-8月'!$A:$A,$A13,'拌客源数据1-8月'!$H:$H,$H$5))</f>
        <v>268.69</v>
      </c>
      <c r="E13" s="103">
        <f>D13/C13</f>
        <v>0.38629861260872694</v>
      </c>
      <c r="F13" s="93">
        <f>IF($H$5="全部",SUMIFS(INDEX('拌客源数据1-8月'!$A:$X,0,MATCH(F$12,'拌客源数据1-8月'!$1:$1,0)),'拌客源数据1-8月'!$A:$A,$A13),SUMIFS(INDEX('拌客源数据1-8月'!$A:$X,0,MATCH(F$12,'拌客源数据1-8月'!$1:$1,0)),'拌客源数据1-8月'!$A:$A,$A13,'拌客源数据1-8月'!$H:$H,$H$5))</f>
        <v>10</v>
      </c>
      <c r="G13" s="93">
        <f>IF($H$5="全部",SUMIFS(INDEX('拌客源数据1-8月'!$A:$X,0,MATCH(G$12,'拌客源数据1-8月'!$1:$1,0)),'拌客源数据1-8月'!$A:$A,$A13),SUMIFS(INDEX('拌客源数据1-8月'!$A:$X,0,MATCH(G$12,'拌客源数据1-8月'!$1:$1,0)),'拌客源数据1-8月'!$A:$A,$A13,'拌客源数据1-8月'!$H:$H,$H$5))</f>
        <v>0</v>
      </c>
      <c r="H13" s="109">
        <f>C13/F13</f>
        <v>69.554999999999993</v>
      </c>
    </row>
    <row r="14" spans="1:8">
      <c r="A14" s="91">
        <f>A13+1</f>
        <v>44054</v>
      </c>
      <c r="B14" s="92">
        <f>B13+1</f>
        <v>44054</v>
      </c>
      <c r="C14" s="93">
        <f>IF($H$5="全部",SUMIFS(INDEX('拌客源数据1-8月'!$A:$X,0,MATCH(C$12,'拌客源数据1-8月'!$1:$1,0)),'拌客源数据1-8月'!$A:$A,$A14),SUMIFS(INDEX('拌客源数据1-8月'!$A:$X,0,MATCH(C$12,'拌客源数据1-8月'!$1:$1,0)),'拌客源数据1-8月'!$A:$A,$A14,'拌客源数据1-8月'!$H:$H,$H$5))</f>
        <v>1107.25</v>
      </c>
      <c r="D14" s="93">
        <f>IF($H$5="全部",SUMIFS(INDEX('拌客源数据1-8月'!$A:$X,0,MATCH(D$12,'拌客源数据1-8月'!$1:$1,0)),'拌客源数据1-8月'!$A:$A,$A14),SUMIFS(INDEX('拌客源数据1-8月'!$A:$X,0,MATCH(D$12,'拌客源数据1-8月'!$1:$1,0)),'拌客源数据1-8月'!$A:$A,$A14,'拌客源数据1-8月'!$H:$H,$H$5))</f>
        <v>503.36</v>
      </c>
      <c r="E14" s="103">
        <f t="shared" ref="E14:E19" si="0">D14/C14</f>
        <v>0.45460374802438475</v>
      </c>
      <c r="F14" s="93">
        <f>IF($H$5="全部",SUMIFS(INDEX('拌客源数据1-8月'!$A:$X,0,MATCH(F$12,'拌客源数据1-8月'!$1:$1,0)),'拌客源数据1-8月'!$A:$A,$A14),SUMIFS(INDEX('拌客源数据1-8月'!$A:$X,0,MATCH(F$12,'拌客源数据1-8月'!$1:$1,0)),'拌客源数据1-8月'!$A:$A,$A14,'拌客源数据1-8月'!$H:$H,$H$5))</f>
        <v>13</v>
      </c>
      <c r="G14" s="93">
        <f>IF($H$5="全部",SUMIFS(INDEX('拌客源数据1-8月'!$A:$X,0,MATCH(G$12,'拌客源数据1-8月'!$1:$1,0)),'拌客源数据1-8月'!$A:$A,$A14),SUMIFS(INDEX('拌客源数据1-8月'!$A:$X,0,MATCH(G$12,'拌客源数据1-8月'!$1:$1,0)),'拌客源数据1-8月'!$A:$A,$A14,'拌客源数据1-8月'!$H:$H,$H$5))</f>
        <v>1</v>
      </c>
      <c r="H14" s="109">
        <f t="shared" ref="H14:H19" si="1">C14/F14</f>
        <v>85.17307692307692</v>
      </c>
    </row>
    <row r="15" spans="1:8">
      <c r="A15" s="91">
        <f t="shared" ref="A15:A19" si="2">A14+1</f>
        <v>44055</v>
      </c>
      <c r="B15" s="92">
        <f t="shared" ref="B15:B19" si="3">B14+1</f>
        <v>44055</v>
      </c>
      <c r="C15" s="93">
        <f>IF($H$5="全部",SUMIFS(INDEX('拌客源数据1-8月'!$A:$X,0,MATCH(C$12,'拌客源数据1-8月'!$1:$1,0)),'拌客源数据1-8月'!$A:$A,$A15),SUMIFS(INDEX('拌客源数据1-8月'!$A:$X,0,MATCH(C$12,'拌客源数据1-8月'!$1:$1,0)),'拌客源数据1-8月'!$A:$A,$A15,'拌客源数据1-8月'!$H:$H,$H$5))</f>
        <v>875.68</v>
      </c>
      <c r="D15" s="93">
        <f>IF($H$5="全部",SUMIFS(INDEX('拌客源数据1-8月'!$A:$X,0,MATCH(D$12,'拌客源数据1-8月'!$1:$1,0)),'拌客源数据1-8月'!$A:$A,$A15),SUMIFS(INDEX('拌客源数据1-8月'!$A:$X,0,MATCH(D$12,'拌客源数据1-8月'!$1:$1,0)),'拌客源数据1-8月'!$A:$A,$A15,'拌客源数据1-8月'!$H:$H,$H$5))</f>
        <v>314.57</v>
      </c>
      <c r="E15" s="103">
        <f t="shared" si="0"/>
        <v>0.35922939886716609</v>
      </c>
      <c r="F15" s="93">
        <f>IF($H$5="全部",SUMIFS(INDEX('拌客源数据1-8月'!$A:$X,0,MATCH(F$12,'拌客源数据1-8月'!$1:$1,0)),'拌客源数据1-8月'!$A:$A,$A15),SUMIFS(INDEX('拌客源数据1-8月'!$A:$X,0,MATCH(F$12,'拌客源数据1-8月'!$1:$1,0)),'拌客源数据1-8月'!$A:$A,$A15,'拌客源数据1-8月'!$H:$H,$H$5))</f>
        <v>16</v>
      </c>
      <c r="G15" s="93">
        <f>IF($H$5="全部",SUMIFS(INDEX('拌客源数据1-8月'!$A:$X,0,MATCH(G$12,'拌客源数据1-8月'!$1:$1,0)),'拌客源数据1-8月'!$A:$A,$A15),SUMIFS(INDEX('拌客源数据1-8月'!$A:$X,0,MATCH(G$12,'拌客源数据1-8月'!$1:$1,0)),'拌客源数据1-8月'!$A:$A,$A15,'拌客源数据1-8月'!$H:$H,$H$5))</f>
        <v>0</v>
      </c>
      <c r="H15" s="109">
        <f t="shared" si="1"/>
        <v>54.73</v>
      </c>
    </row>
    <row r="16" spans="1:8">
      <c r="A16" s="91">
        <f t="shared" si="2"/>
        <v>44056</v>
      </c>
      <c r="B16" s="92">
        <f t="shared" si="3"/>
        <v>44056</v>
      </c>
      <c r="C16" s="93">
        <f>IF($H$5="全部",SUMIFS(INDEX('拌客源数据1-8月'!$A:$X,0,MATCH(C$12,'拌客源数据1-8月'!$1:$1,0)),'拌客源数据1-8月'!$A:$A,$A16),SUMIFS(INDEX('拌客源数据1-8月'!$A:$X,0,MATCH(C$12,'拌客源数据1-8月'!$1:$1,0)),'拌客源数据1-8月'!$A:$A,$A16,'拌客源数据1-8月'!$H:$H,$H$5))</f>
        <v>760.49</v>
      </c>
      <c r="D16" s="93">
        <f>IF($H$5="全部",SUMIFS(INDEX('拌客源数据1-8月'!$A:$X,0,MATCH(D$12,'拌客源数据1-8月'!$1:$1,0)),'拌客源数据1-8月'!$A:$A,$A16),SUMIFS(INDEX('拌客源数据1-8月'!$A:$X,0,MATCH(D$12,'拌客源数据1-8月'!$1:$1,0)),'拌客源数据1-8月'!$A:$A,$A16,'拌客源数据1-8月'!$H:$H,$H$5))</f>
        <v>286.12</v>
      </c>
      <c r="E16" s="103">
        <f t="shared" si="0"/>
        <v>0.37623111415008742</v>
      </c>
      <c r="F16" s="93">
        <f>IF($H$5="全部",SUMIFS(INDEX('拌客源数据1-8月'!$A:$X,0,MATCH(F$12,'拌客源数据1-8月'!$1:$1,0)),'拌客源数据1-8月'!$A:$A,$A16),SUMIFS(INDEX('拌客源数据1-8月'!$A:$X,0,MATCH(F$12,'拌客源数据1-8月'!$1:$1,0)),'拌客源数据1-8月'!$A:$A,$A16,'拌客源数据1-8月'!$H:$H,$H$5))</f>
        <v>12</v>
      </c>
      <c r="G16" s="93">
        <f>IF($H$5="全部",SUMIFS(INDEX('拌客源数据1-8月'!$A:$X,0,MATCH(G$12,'拌客源数据1-8月'!$1:$1,0)),'拌客源数据1-8月'!$A:$A,$A16),SUMIFS(INDEX('拌客源数据1-8月'!$A:$X,0,MATCH(G$12,'拌客源数据1-8月'!$1:$1,0)),'拌客源数据1-8月'!$A:$A,$A16,'拌客源数据1-8月'!$H:$H,$H$5))</f>
        <v>1</v>
      </c>
      <c r="H16" s="109">
        <f t="shared" si="1"/>
        <v>63.374166666666667</v>
      </c>
    </row>
    <row r="17" spans="1:8">
      <c r="A17" s="91">
        <f t="shared" si="2"/>
        <v>44057</v>
      </c>
      <c r="B17" s="92">
        <f t="shared" si="3"/>
        <v>44057</v>
      </c>
      <c r="C17" s="93">
        <f>IF($H$5="全部",SUMIFS(INDEX('拌客源数据1-8月'!$A:$X,0,MATCH(C$12,'拌客源数据1-8月'!$1:$1,0)),'拌客源数据1-8月'!$A:$A,$A17),SUMIFS(INDEX('拌客源数据1-8月'!$A:$X,0,MATCH(C$12,'拌客源数据1-8月'!$1:$1,0)),'拌客源数据1-8月'!$A:$A,$A17,'拌客源数据1-8月'!$H:$H,$H$5))</f>
        <v>1210.5999999999999</v>
      </c>
      <c r="D17" s="93">
        <f>IF($H$5="全部",SUMIFS(INDEX('拌客源数据1-8月'!$A:$X,0,MATCH(D$12,'拌客源数据1-8月'!$1:$1,0)),'拌客源数据1-8月'!$A:$A,$A17),SUMIFS(INDEX('拌客源数据1-8月'!$A:$X,0,MATCH(D$12,'拌客源数据1-8月'!$1:$1,0)),'拌客源数据1-8月'!$A:$A,$A17,'拌客源数据1-8月'!$H:$H,$H$5))</f>
        <v>442.92</v>
      </c>
      <c r="E17" s="103">
        <f t="shared" si="0"/>
        <v>0.36586816454650589</v>
      </c>
      <c r="F17" s="93">
        <f>IF($H$5="全部",SUMIFS(INDEX('拌客源数据1-8月'!$A:$X,0,MATCH(F$12,'拌客源数据1-8月'!$1:$1,0)),'拌客源数据1-8月'!$A:$A,$A17),SUMIFS(INDEX('拌客源数据1-8月'!$A:$X,0,MATCH(F$12,'拌客源数据1-8月'!$1:$1,0)),'拌客源数据1-8月'!$A:$A,$A17,'拌客源数据1-8月'!$H:$H,$H$5))</f>
        <v>19</v>
      </c>
      <c r="G17" s="93">
        <f>IF($H$5="全部",SUMIFS(INDEX('拌客源数据1-8月'!$A:$X,0,MATCH(G$12,'拌客源数据1-8月'!$1:$1,0)),'拌客源数据1-8月'!$A:$A,$A17),SUMIFS(INDEX('拌客源数据1-8月'!$A:$X,0,MATCH(G$12,'拌客源数据1-8月'!$1:$1,0)),'拌客源数据1-8月'!$A:$A,$A17,'拌客源数据1-8月'!$H:$H,$H$5))</f>
        <v>0</v>
      </c>
      <c r="H17" s="109">
        <f t="shared" si="1"/>
        <v>63.715789473684204</v>
      </c>
    </row>
    <row r="18" spans="1:8">
      <c r="A18" s="91">
        <f t="shared" si="2"/>
        <v>44058</v>
      </c>
      <c r="B18" s="92">
        <f t="shared" si="3"/>
        <v>44058</v>
      </c>
      <c r="C18" s="93">
        <f>IF($H$5="全部",SUMIFS(INDEX('拌客源数据1-8月'!$A:$X,0,MATCH(C$12,'拌客源数据1-8月'!$1:$1,0)),'拌客源数据1-8月'!$A:$A,$A18),SUMIFS(INDEX('拌客源数据1-8月'!$A:$X,0,MATCH(C$12,'拌客源数据1-8月'!$1:$1,0)),'拌客源数据1-8月'!$A:$A,$A18,'拌客源数据1-8月'!$H:$H,$H$5))</f>
        <v>1389.29</v>
      </c>
      <c r="D18" s="93">
        <f>IF($H$5="全部",SUMIFS(INDEX('拌客源数据1-8月'!$A:$X,0,MATCH(D$12,'拌客源数据1-8月'!$1:$1,0)),'拌客源数据1-8月'!$A:$A,$A18),SUMIFS(INDEX('拌客源数据1-8月'!$A:$X,0,MATCH(D$12,'拌客源数据1-8月'!$1:$1,0)),'拌客源数据1-8月'!$A:$A,$A18,'拌客源数据1-8月'!$H:$H,$H$5))</f>
        <v>461.15</v>
      </c>
      <c r="E18" s="103">
        <f t="shared" si="0"/>
        <v>0.33193213799854604</v>
      </c>
      <c r="F18" s="93">
        <f>IF($H$5="全部",SUMIFS(INDEX('拌客源数据1-8月'!$A:$X,0,MATCH(F$12,'拌客源数据1-8月'!$1:$1,0)),'拌客源数据1-8月'!$A:$A,$A18),SUMIFS(INDEX('拌客源数据1-8月'!$A:$X,0,MATCH(F$12,'拌客源数据1-8月'!$1:$1,0)),'拌客源数据1-8月'!$A:$A,$A18,'拌客源数据1-8月'!$H:$H,$H$5))</f>
        <v>21</v>
      </c>
      <c r="G18" s="93">
        <f>IF($H$5="全部",SUMIFS(INDEX('拌客源数据1-8月'!$A:$X,0,MATCH(G$12,'拌客源数据1-8月'!$1:$1,0)),'拌客源数据1-8月'!$A:$A,$A18),SUMIFS(INDEX('拌客源数据1-8月'!$A:$X,0,MATCH(G$12,'拌客源数据1-8月'!$1:$1,0)),'拌客源数据1-8月'!$A:$A,$A18,'拌客源数据1-8月'!$H:$H,$H$5))</f>
        <v>0</v>
      </c>
      <c r="H18" s="109">
        <f t="shared" si="1"/>
        <v>66.156666666666666</v>
      </c>
    </row>
    <row r="19" spans="1:8">
      <c r="A19" s="94">
        <f t="shared" si="2"/>
        <v>44059</v>
      </c>
      <c r="B19" s="95">
        <f t="shared" si="3"/>
        <v>44059</v>
      </c>
      <c r="C19" s="96">
        <f>IF($H$5="全部",SUMIFS(INDEX('拌客源数据1-8月'!$A:$X,0,MATCH(C$12,'拌客源数据1-8月'!$1:$1,0)),'拌客源数据1-8月'!$A:$A,$A19),SUMIFS(INDEX('拌客源数据1-8月'!$A:$X,0,MATCH(C$12,'拌客源数据1-8月'!$1:$1,0)),'拌客源数据1-8月'!$A:$A,$A19,'拌客源数据1-8月'!$H:$H,$H$5))</f>
        <v>886</v>
      </c>
      <c r="D19" s="96">
        <f>IF($H$5="全部",SUMIFS(INDEX('拌客源数据1-8月'!$A:$X,0,MATCH(D$12,'拌客源数据1-8月'!$1:$1,0)),'拌客源数据1-8月'!$A:$A,$A19),SUMIFS(INDEX('拌客源数据1-8月'!$A:$X,0,MATCH(D$12,'拌客源数据1-8月'!$1:$1,0)),'拌客源数据1-8月'!$A:$A,$A19,'拌客源数据1-8月'!$H:$H,$H$5))</f>
        <v>318.77999999999997</v>
      </c>
      <c r="E19" s="106">
        <f t="shared" si="0"/>
        <v>0.35979683972911963</v>
      </c>
      <c r="F19" s="96">
        <f>IF($H$5="全部",SUMIFS(INDEX('拌客源数据1-8月'!$A:$X,0,MATCH(F$12,'拌客源数据1-8月'!$1:$1,0)),'拌客源数据1-8月'!$A:$A,$A19),SUMIFS(INDEX('拌客源数据1-8月'!$A:$X,0,MATCH(F$12,'拌客源数据1-8月'!$1:$1,0)),'拌客源数据1-8月'!$A:$A,$A19,'拌客源数据1-8月'!$H:$H,$H$5))</f>
        <v>14</v>
      </c>
      <c r="G19" s="96">
        <f>IF($H$5="全部",SUMIFS(INDEX('拌客源数据1-8月'!$A:$X,0,MATCH(G$12,'拌客源数据1-8月'!$1:$1,0)),'拌客源数据1-8月'!$A:$A,$A19),SUMIFS(INDEX('拌客源数据1-8月'!$A:$X,0,MATCH(G$12,'拌客源数据1-8月'!$1:$1,0)),'拌客源数据1-8月'!$A:$A,$A19,'拌客源数据1-8月'!$H:$H,$H$5))</f>
        <v>0</v>
      </c>
      <c r="H19" s="110">
        <f t="shared" si="1"/>
        <v>63.285714285714285</v>
      </c>
    </row>
    <row r="20" spans="1:8">
      <c r="A20" s="93" t="s">
        <v>72</v>
      </c>
      <c r="B20" s="93"/>
      <c r="C20" s="93">
        <f>SUM(C13:C19)</f>
        <v>6924.86</v>
      </c>
      <c r="D20" s="93">
        <f>SUM(D13:D19)</f>
        <v>2595.59</v>
      </c>
      <c r="E20" s="103">
        <f>D20/C20</f>
        <v>0.37482201806245907</v>
      </c>
      <c r="F20" s="93">
        <f>SUM(F13:F19)</f>
        <v>105</v>
      </c>
      <c r="G20" s="93">
        <f>SUM(G13:G19)</f>
        <v>2</v>
      </c>
      <c r="H20" s="105">
        <f>C20/F20</f>
        <v>65.951047619047614</v>
      </c>
    </row>
    <row r="21" spans="1:8">
      <c r="A21" s="93"/>
      <c r="B21" s="93"/>
      <c r="C21" s="93"/>
      <c r="D21" s="93"/>
      <c r="E21" s="93"/>
      <c r="F21" s="93"/>
      <c r="G21" s="93"/>
      <c r="H21" s="93"/>
    </row>
    <row r="22" spans="1:8">
      <c r="A22" s="93"/>
      <c r="B22" s="93"/>
      <c r="C22" s="93"/>
      <c r="D22" s="93"/>
      <c r="E22" s="93"/>
      <c r="F22" s="93"/>
      <c r="G22" s="93"/>
      <c r="H22" s="93"/>
    </row>
    <row r="23" spans="1:8">
      <c r="A23" s="85" t="s">
        <v>73</v>
      </c>
      <c r="B23" s="86"/>
      <c r="C23" s="86" t="s">
        <v>68</v>
      </c>
      <c r="D23" s="86"/>
      <c r="E23" s="86"/>
      <c r="F23" s="86"/>
      <c r="G23" s="86"/>
      <c r="H23" s="87"/>
    </row>
    <row r="24" spans="1:8">
      <c r="A24" s="88" t="s">
        <v>69</v>
      </c>
      <c r="B24" s="89" t="s">
        <v>70</v>
      </c>
      <c r="C24" s="89" t="s">
        <v>59</v>
      </c>
      <c r="D24" s="89" t="s">
        <v>74</v>
      </c>
      <c r="E24" s="89" t="s">
        <v>60</v>
      </c>
      <c r="F24" s="89" t="s">
        <v>75</v>
      </c>
      <c r="G24" s="89" t="s">
        <v>61</v>
      </c>
      <c r="H24" s="90" t="s">
        <v>76</v>
      </c>
    </row>
    <row r="25" spans="1:8">
      <c r="A25" s="91">
        <v>44053</v>
      </c>
      <c r="B25" s="92">
        <f>A25</f>
        <v>44053</v>
      </c>
      <c r="C25" s="93">
        <f>IF($H$5="全部",SUMIFS(INDEX('拌客源数据1-8月'!$A:$X,0,MATCH(C$24,'拌客源数据1-8月'!$1:$1,0)),'拌客源数据1-8月'!$A:$A,$A13),SUMIFS(INDEX('拌客源数据1-8月'!$A:$X,0,MATCH(C$24,'拌客源数据1-8月'!$1:$1,0)),'拌客源数据1-8月'!$A:$A,$A13,'拌客源数据1-8月'!$H:$H,$H$5))</f>
        <v>1003</v>
      </c>
      <c r="D25" s="93">
        <f>IF($H$5="全部",SUMIFS(INDEX('拌客源数据1-8月'!$A:$X,0,MATCH(D$24,'拌客源数据1-8月'!$1:$1,0)),'拌客源数据1-8月'!$A:$A,$A13),SUMIFS(INDEX('拌客源数据1-8月'!$A:$X,0,MATCH(D$24,'拌客源数据1-8月'!$1:$1,0)),'拌客源数据1-8月'!$A:$A,$A13,'拌客源数据1-8月'!$H:$H,$H$5))</f>
        <v>64</v>
      </c>
      <c r="E25" s="103">
        <f>D25/C25</f>
        <v>6.3808574277168489E-2</v>
      </c>
      <c r="F25" s="93">
        <f>IF($H$5="全部",SUMIFS(INDEX('拌客源数据1-8月'!$A:$X,0,MATCH(F$24,'拌客源数据1-8月'!$1:$1,0)),'拌客源数据1-8月'!$A:$A,$A13),SUMIFS(INDEX('拌客源数据1-8月'!$A:$X,0,MATCH(F$24,'拌客源数据1-8月'!$1:$1,0)),'拌客源数据1-8月'!$A:$A,$A13,'拌客源数据1-8月'!$H:$H,$H$5))</f>
        <v>10</v>
      </c>
      <c r="G25" s="103">
        <f>F25/D25</f>
        <v>0.15625</v>
      </c>
      <c r="H25" s="107">
        <f>IF($H$5="全部",SUMIFS(INDEX('拌客源数据1-8月'!$A:$X,0,MATCH("cpc总费用",'拌客源数据1-8月'!$1:$1,0)),'拌客源数据1-8月'!$A:$A,$A13),SUMIFS(INDEX('拌客源数据1-8月'!$A:$X,0,MATCH("cpc总费用",'拌客源数据1-8月'!$1:$1,0)),'拌客源数据1-8月'!$A:$A,$A13,'拌客源数据1-8月'!$H:$H,$H$5))/C13</f>
        <v>2.6036949176910358E-2</v>
      </c>
    </row>
    <row r="26" spans="1:8">
      <c r="A26" s="91">
        <f>A25+1</f>
        <v>44054</v>
      </c>
      <c r="B26" s="92">
        <f>B25+1</f>
        <v>44054</v>
      </c>
      <c r="C26" s="93">
        <f>IF($H$5="全部",SUMIFS(INDEX('拌客源数据1-8月'!$A:$X,0,MATCH(C$24,'拌客源数据1-8月'!$1:$1,0)),'拌客源数据1-8月'!$A:$A,$A14),SUMIFS(INDEX('拌客源数据1-8月'!$A:$X,0,MATCH(C$24,'拌客源数据1-8月'!$1:$1,0)),'拌客源数据1-8月'!$A:$A,$A14,'拌客源数据1-8月'!$H:$H,$H$5))</f>
        <v>866</v>
      </c>
      <c r="D26" s="93">
        <f>IF($H$5="全部",SUMIFS(INDEX('拌客源数据1-8月'!$A:$X,0,MATCH(D$24,'拌客源数据1-8月'!$1:$1,0)),'拌客源数据1-8月'!$A:$A,$A14),SUMIFS(INDEX('拌客源数据1-8月'!$A:$X,0,MATCH(D$24,'拌客源数据1-8月'!$1:$1,0)),'拌客源数据1-8月'!$A:$A,$A14,'拌客源数据1-8月'!$H:$H,$H$5))</f>
        <v>58</v>
      </c>
      <c r="E26" s="103">
        <f t="shared" ref="E26:E31" si="4">D26/C26</f>
        <v>6.6974595842956119E-2</v>
      </c>
      <c r="F26" s="93">
        <f>IF($H$5="全部",SUMIFS(INDEX('拌客源数据1-8月'!$A:$X,0,MATCH(F$24,'拌客源数据1-8月'!$1:$1,0)),'拌客源数据1-8月'!$A:$A,$A14),SUMIFS(INDEX('拌客源数据1-8月'!$A:$X,0,MATCH(F$24,'拌客源数据1-8月'!$1:$1,0)),'拌客源数据1-8月'!$A:$A,$A14,'拌客源数据1-8月'!$H:$H,$H$5))</f>
        <v>12</v>
      </c>
      <c r="G26" s="103">
        <f t="shared" ref="G26:G31" si="5">F26/D26</f>
        <v>0.20689655172413793</v>
      </c>
      <c r="H26" s="107">
        <f>IF($H$5="全部",SUMIFS(INDEX('拌客源数据1-8月'!$A:$X,0,MATCH("cpc总费用",'拌客源数据1-8月'!$1:$1,0)),'拌客源数据1-8月'!$A:$A,$A14),SUMIFS(INDEX('拌客源数据1-8月'!$A:$X,0,MATCH("cpc总费用",'拌客源数据1-8月'!$1:$1,0)),'拌客源数据1-8月'!$A:$A,$A14,'拌客源数据1-8月'!$H:$H,$H$5))/C14</f>
        <v>3.5520433506434856E-2</v>
      </c>
    </row>
    <row r="27" spans="1:8">
      <c r="A27" s="91">
        <f t="shared" ref="A27:A31" si="6">A26+1</f>
        <v>44055</v>
      </c>
      <c r="B27" s="92">
        <f t="shared" ref="B27:B31" si="7">B26+1</f>
        <v>44055</v>
      </c>
      <c r="C27" s="93">
        <f>IF($H$5="全部",SUMIFS(INDEX('拌客源数据1-8月'!$A:$X,0,MATCH(C$24,'拌客源数据1-8月'!$1:$1,0)),'拌客源数据1-8月'!$A:$A,$A15),SUMIFS(INDEX('拌客源数据1-8月'!$A:$X,0,MATCH(C$24,'拌客源数据1-8月'!$1:$1,0)),'拌客源数据1-8月'!$A:$A,$A15,'拌客源数据1-8月'!$H:$H,$H$5))</f>
        <v>894</v>
      </c>
      <c r="D27" s="93">
        <f>IF($H$5="全部",SUMIFS(INDEX('拌客源数据1-8月'!$A:$X,0,MATCH(D$24,'拌客源数据1-8月'!$1:$1,0)),'拌客源数据1-8月'!$A:$A,$A15),SUMIFS(INDEX('拌客源数据1-8月'!$A:$X,0,MATCH(D$24,'拌客源数据1-8月'!$1:$1,0)),'拌客源数据1-8月'!$A:$A,$A15,'拌客源数据1-8月'!$H:$H,$H$5))</f>
        <v>57</v>
      </c>
      <c r="E27" s="103">
        <f t="shared" si="4"/>
        <v>6.3758389261744972E-2</v>
      </c>
      <c r="F27" s="93">
        <f>IF($H$5="全部",SUMIFS(INDEX('拌客源数据1-8月'!$A:$X,0,MATCH(F$24,'拌客源数据1-8月'!$1:$1,0)),'拌客源数据1-8月'!$A:$A,$A15),SUMIFS(INDEX('拌客源数据1-8月'!$A:$X,0,MATCH(F$24,'拌客源数据1-8月'!$1:$1,0)),'拌客源数据1-8月'!$A:$A,$A15,'拌客源数据1-8月'!$H:$H,$H$5))</f>
        <v>15</v>
      </c>
      <c r="G27" s="103">
        <f t="shared" si="5"/>
        <v>0.26315789473684209</v>
      </c>
      <c r="H27" s="107">
        <f>IF($H$5="全部",SUMIFS(INDEX('拌客源数据1-8月'!$A:$X,0,MATCH("cpc总费用",'拌客源数据1-8月'!$1:$1,0)),'拌客源数据1-8月'!$A:$A,$A15),SUMIFS(INDEX('拌客源数据1-8月'!$A:$X,0,MATCH("cpc总费用",'拌客源数据1-8月'!$1:$1,0)),'拌客源数据1-8月'!$A:$A,$A15,'拌客源数据1-8月'!$H:$H,$H$5))/C15</f>
        <v>5.054357756257994E-2</v>
      </c>
    </row>
    <row r="28" spans="1:8">
      <c r="A28" s="91">
        <f t="shared" si="6"/>
        <v>44056</v>
      </c>
      <c r="B28" s="92">
        <f t="shared" si="7"/>
        <v>44056</v>
      </c>
      <c r="C28" s="93">
        <f>IF($H$5="全部",SUMIFS(INDEX('拌客源数据1-8月'!$A:$X,0,MATCH(C$24,'拌客源数据1-8月'!$1:$1,0)),'拌客源数据1-8月'!$A:$A,$A16),SUMIFS(INDEX('拌客源数据1-8月'!$A:$X,0,MATCH(C$24,'拌客源数据1-8月'!$1:$1,0)),'拌客源数据1-8月'!$A:$A,$A16,'拌客源数据1-8月'!$H:$H,$H$5))</f>
        <v>922</v>
      </c>
      <c r="D28" s="93">
        <f>IF($H$5="全部",SUMIFS(INDEX('拌客源数据1-8月'!$A:$X,0,MATCH(D$24,'拌客源数据1-8月'!$1:$1,0)),'拌客源数据1-8月'!$A:$A,$A16),SUMIFS(INDEX('拌客源数据1-8月'!$A:$X,0,MATCH(D$24,'拌客源数据1-8月'!$1:$1,0)),'拌客源数据1-8月'!$A:$A,$A16,'拌客源数据1-8月'!$H:$H,$H$5))</f>
        <v>56</v>
      </c>
      <c r="E28" s="103">
        <f t="shared" si="4"/>
        <v>6.0737527114967459E-2</v>
      </c>
      <c r="F28" s="93">
        <f>IF($H$5="全部",SUMIFS(INDEX('拌客源数据1-8月'!$A:$X,0,MATCH(F$24,'拌客源数据1-8月'!$1:$1,0)),'拌客源数据1-8月'!$A:$A,$A16),SUMIFS(INDEX('拌客源数据1-8月'!$A:$X,0,MATCH(F$24,'拌客源数据1-8月'!$1:$1,0)),'拌客源数据1-8月'!$A:$A,$A16,'拌客源数据1-8月'!$H:$H,$H$5))</f>
        <v>13</v>
      </c>
      <c r="G28" s="103">
        <f t="shared" si="5"/>
        <v>0.23214285714285715</v>
      </c>
      <c r="H28" s="107">
        <f>IF($H$5="全部",SUMIFS(INDEX('拌客源数据1-8月'!$A:$X,0,MATCH("cpc总费用",'拌客源数据1-8月'!$1:$1,0)),'拌客源数据1-8月'!$A:$A,$A16),SUMIFS(INDEX('拌客源数据1-8月'!$A:$X,0,MATCH("cpc总费用",'拌客源数据1-8月'!$1:$1,0)),'拌客源数据1-8月'!$A:$A,$A16,'拌客源数据1-8月'!$H:$H,$H$5))/C16</f>
        <v>5.5096056489894671E-2</v>
      </c>
    </row>
    <row r="29" spans="1:8">
      <c r="A29" s="91">
        <f t="shared" si="6"/>
        <v>44057</v>
      </c>
      <c r="B29" s="92">
        <f t="shared" si="7"/>
        <v>44057</v>
      </c>
      <c r="C29" s="93">
        <f>IF($H$5="全部",SUMIFS(INDEX('拌客源数据1-8月'!$A:$X,0,MATCH(C$24,'拌客源数据1-8月'!$1:$1,0)),'拌客源数据1-8月'!$A:$A,$A17),SUMIFS(INDEX('拌客源数据1-8月'!$A:$X,0,MATCH(C$24,'拌客源数据1-8月'!$1:$1,0)),'拌客源数据1-8月'!$A:$A,$A17,'拌客源数据1-8月'!$H:$H,$H$5))</f>
        <v>1020</v>
      </c>
      <c r="D29" s="93">
        <f>IF($H$5="全部",SUMIFS(INDEX('拌客源数据1-8月'!$A:$X,0,MATCH(D$24,'拌客源数据1-8月'!$1:$1,0)),'拌客源数据1-8月'!$A:$A,$A17),SUMIFS(INDEX('拌客源数据1-8月'!$A:$X,0,MATCH(D$24,'拌客源数据1-8月'!$1:$1,0)),'拌客源数据1-8月'!$A:$A,$A17,'拌客源数据1-8月'!$H:$H,$H$5))</f>
        <v>74</v>
      </c>
      <c r="E29" s="103">
        <f t="shared" si="4"/>
        <v>7.2549019607843143E-2</v>
      </c>
      <c r="F29" s="93">
        <f>IF($H$5="全部",SUMIFS(INDEX('拌客源数据1-8月'!$A:$X,0,MATCH(F$24,'拌客源数据1-8月'!$1:$1,0)),'拌客源数据1-8月'!$A:$A,$A17),SUMIFS(INDEX('拌客源数据1-8月'!$A:$X,0,MATCH(F$24,'拌客源数据1-8月'!$1:$1,0)),'拌客源数据1-8月'!$A:$A,$A17,'拌客源数据1-8月'!$H:$H,$H$5))</f>
        <v>19</v>
      </c>
      <c r="G29" s="103">
        <f t="shared" si="5"/>
        <v>0.25675675675675674</v>
      </c>
      <c r="H29" s="107">
        <f>IF($H$5="全部",SUMIFS(INDEX('拌客源数据1-8月'!$A:$X,0,MATCH("cpc总费用",'拌客源数据1-8月'!$1:$1,0)),'拌客源数据1-8月'!$A:$A,$A17),SUMIFS(INDEX('拌客源数据1-8月'!$A:$X,0,MATCH("cpc总费用",'拌客源数据1-8月'!$1:$1,0)),'拌客源数据1-8月'!$A:$A,$A17,'拌客源数据1-8月'!$H:$H,$H$5))/C17</f>
        <v>3.9055014042623494E-2</v>
      </c>
    </row>
    <row r="30" spans="1:8">
      <c r="A30" s="91">
        <f t="shared" si="6"/>
        <v>44058</v>
      </c>
      <c r="B30" s="92">
        <f t="shared" si="7"/>
        <v>44058</v>
      </c>
      <c r="C30" s="93">
        <f>IF($H$5="全部",SUMIFS(INDEX('拌客源数据1-8月'!$A:$X,0,MATCH(C$24,'拌客源数据1-8月'!$1:$1,0)),'拌客源数据1-8月'!$A:$A,$A18),SUMIFS(INDEX('拌客源数据1-8月'!$A:$X,0,MATCH(C$24,'拌客源数据1-8月'!$1:$1,0)),'拌客源数据1-8月'!$A:$A,$A18,'拌客源数据1-8月'!$H:$H,$H$5))</f>
        <v>1258</v>
      </c>
      <c r="D30" s="93">
        <f>IF($H$5="全部",SUMIFS(INDEX('拌客源数据1-8月'!$A:$X,0,MATCH(D$24,'拌客源数据1-8月'!$1:$1,0)),'拌客源数据1-8月'!$A:$A,$A18),SUMIFS(INDEX('拌客源数据1-8月'!$A:$X,0,MATCH(D$24,'拌客源数据1-8月'!$1:$1,0)),'拌客源数据1-8月'!$A:$A,$A18,'拌客源数据1-8月'!$H:$H,$H$5))</f>
        <v>92</v>
      </c>
      <c r="E30" s="103">
        <f t="shared" si="4"/>
        <v>7.3131955484896663E-2</v>
      </c>
      <c r="F30" s="93">
        <f>IF($H$5="全部",SUMIFS(INDEX('拌客源数据1-8月'!$A:$X,0,MATCH(F$24,'拌客源数据1-8月'!$1:$1,0)),'拌客源数据1-8月'!$A:$A,$A18),SUMIFS(INDEX('拌客源数据1-8月'!$A:$X,0,MATCH(F$24,'拌客源数据1-8月'!$1:$1,0)),'拌客源数据1-8月'!$A:$A,$A18,'拌客源数据1-8月'!$H:$H,$H$5))</f>
        <v>21</v>
      </c>
      <c r="G30" s="103">
        <f t="shared" si="5"/>
        <v>0.22826086956521738</v>
      </c>
      <c r="H30" s="107">
        <f>IF($H$5="全部",SUMIFS(INDEX('拌客源数据1-8月'!$A:$X,0,MATCH("cpc总费用",'拌客源数据1-8月'!$1:$1,0)),'拌客源数据1-8月'!$A:$A,$A18),SUMIFS(INDEX('拌客源数据1-8月'!$A:$X,0,MATCH("cpc总费用",'拌客源数据1-8月'!$1:$1,0)),'拌客源数据1-8月'!$A:$A,$A18,'拌客源数据1-8月'!$H:$H,$H$5))/C18</f>
        <v>2.4163421603840812E-2</v>
      </c>
    </row>
    <row r="31" spans="1:8">
      <c r="A31" s="94">
        <f t="shared" si="6"/>
        <v>44059</v>
      </c>
      <c r="B31" s="95">
        <f t="shared" si="7"/>
        <v>44059</v>
      </c>
      <c r="C31" s="96">
        <f>IF($H$5="全部",SUMIFS(INDEX('拌客源数据1-8月'!$A:$X,0,MATCH(C$24,'拌客源数据1-8月'!$1:$1,0)),'拌客源数据1-8月'!$A:$A,$A19),SUMIFS(INDEX('拌客源数据1-8月'!$A:$X,0,MATCH(C$24,'拌客源数据1-8月'!$1:$1,0)),'拌客源数据1-8月'!$A:$A,$A19,'拌客源数据1-8月'!$H:$H,$H$5))</f>
        <v>1257</v>
      </c>
      <c r="D31" s="96">
        <f>IF($H$5="全部",SUMIFS(INDEX('拌客源数据1-8月'!$A:$X,0,MATCH(D$24,'拌客源数据1-8月'!$1:$1,0)),'拌客源数据1-8月'!$A:$A,$A19),SUMIFS(INDEX('拌客源数据1-8月'!$A:$X,0,MATCH(D$24,'拌客源数据1-8月'!$1:$1,0)),'拌客源数据1-8月'!$A:$A,$A19,'拌客源数据1-8月'!$H:$H,$H$5))</f>
        <v>89</v>
      </c>
      <c r="E31" s="106">
        <f t="shared" si="4"/>
        <v>7.0803500397772473E-2</v>
      </c>
      <c r="F31" s="96">
        <f>IF($H$5="全部",SUMIFS(INDEX('拌客源数据1-8月'!$A:$X,0,MATCH(F$24,'拌客源数据1-8月'!$1:$1,0)),'拌客源数据1-8月'!$A:$A,$A19),SUMIFS(INDEX('拌客源数据1-8月'!$A:$X,0,MATCH(F$24,'拌客源数据1-8月'!$1:$1,0)),'拌客源数据1-8月'!$A:$A,$A19,'拌客源数据1-8月'!$H:$H,$H$5))</f>
        <v>13</v>
      </c>
      <c r="G31" s="106">
        <f t="shared" si="5"/>
        <v>0.14606741573033707</v>
      </c>
      <c r="H31" s="108">
        <f>IF($H$5="全部",SUMIFS(INDEX('拌客源数据1-8月'!$A:$X,0,MATCH("cpc总费用",'拌客源数据1-8月'!$1:$1,0)),'拌客源数据1-8月'!$A:$A,$A19),SUMIFS(INDEX('拌客源数据1-8月'!$A:$X,0,MATCH("cpc总费用",'拌客源数据1-8月'!$1:$1,0)),'拌客源数据1-8月'!$A:$A,$A19,'拌客源数据1-8月'!$H:$H,$H$5))/C19</f>
        <v>7.6275395033860049E-2</v>
      </c>
    </row>
    <row r="32" spans="1:8">
      <c r="A32" s="93" t="s">
        <v>72</v>
      </c>
      <c r="B32" s="93"/>
      <c r="C32" s="93">
        <f>SUM(C25:C31)</f>
        <v>7220</v>
      </c>
      <c r="D32" s="93">
        <f>SUM(D25:D31)</f>
        <v>490</v>
      </c>
      <c r="E32" s="103">
        <f>D32/C32</f>
        <v>6.7867036011080337E-2</v>
      </c>
      <c r="F32" s="93">
        <f>SUM(F25:F31)</f>
        <v>103</v>
      </c>
      <c r="G32" s="103">
        <f>F32/D32</f>
        <v>0.21020408163265306</v>
      </c>
      <c r="H32" s="103">
        <f>IF($H$5="全部",SUMIFS(INDEX('拌客源数据1-8月'!$A:$X,0,MATCH("cpc总费用",'拌客源数据1-8月'!$1:$1,0)),'拌客源数据1-8月'!$A:$A,"&gt;="&amp;($A13),'拌客源数据1-8月'!$A:$A,"&lt;="&amp;($A19)),SUMIFS(INDEX('拌客源数据1-8月'!$A:$X,0,MATCH("cpc总费用",'拌客源数据1-8月'!$1:$1,0)),'拌客源数据1-8月'!$A:$A,"&gt;="&amp;($A13),'拌客源数据1-8月'!$A:$A,"&lt;="&amp;($A19),'拌客源数据1-8月'!$H:$H,$H$5))/C20</f>
        <v>4.2171249671473503E-2</v>
      </c>
    </row>
    <row r="33" spans="1:8">
      <c r="A33" s="93"/>
      <c r="B33" s="93"/>
      <c r="C33" s="93"/>
      <c r="D33" s="93"/>
      <c r="E33" s="93"/>
      <c r="F33" s="93"/>
      <c r="G33" s="93"/>
      <c r="H33" s="93"/>
    </row>
    <row r="34" spans="1:8">
      <c r="A34" s="93"/>
      <c r="B34" s="93"/>
      <c r="C34" s="93"/>
      <c r="D34" s="93"/>
      <c r="E34" s="93"/>
      <c r="F34" s="93"/>
      <c r="G34" s="93"/>
      <c r="H34" s="93"/>
    </row>
  </sheetData>
  <mergeCells count="1">
    <mergeCell ref="B3:H3"/>
  </mergeCells>
  <phoneticPr fontId="18" type="noConversion"/>
  <conditionalFormatting sqref="B9">
    <cfRule type="iconSet" priority="18">
      <iconSet iconSet="3Arrows">
        <cfvo type="percent" val="0"/>
        <cfvo type="num" val="0"/>
        <cfvo type="num" val="0" gte="0"/>
      </iconSet>
    </cfRule>
    <cfRule type="cellIs" dxfId="0" priority="14" operator="greaterThan">
      <formula>0</formula>
    </cfRule>
    <cfRule type="cellIs" dxfId="8" priority="13" operator="greaterThan">
      <formula>0</formula>
    </cfRule>
    <cfRule type="cellIs" dxfId="7" priority="6" operator="lessThan">
      <formula>0</formula>
    </cfRule>
  </conditionalFormatting>
  <conditionalFormatting sqref="H6">
    <cfRule type="dataBar" priority="1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{A69A3E28-6E20-D04D-930E-12BFF3808BDC}</x14:id>
        </ext>
      </extLst>
    </cfRule>
  </conditionalFormatting>
  <conditionalFormatting sqref="F9">
    <cfRule type="cellIs" dxfId="6" priority="8" operator="greaterThan">
      <formula>0</formula>
    </cfRule>
    <cfRule type="cellIs" dxfId="5" priority="9" operator="greaterThan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9">
    <cfRule type="cellIs" dxfId="4" priority="2" operator="lessThan">
      <formula>0</formula>
    </cfRule>
    <cfRule type="cellIs" dxfId="3" priority="3" operator="greaterThan">
      <formula>0</formula>
    </cfRule>
    <cfRule type="cellIs" dxfId="2" priority="4" operator="greaterThan">
      <formula>0</formula>
    </cfRule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A13:H19">
    <cfRule type="expression" dxfId="1" priority="1">
      <formula>$C14&lt;AVERAGE($C$13:$C$19)</formula>
    </cfRule>
  </conditionalFormatting>
  <dataValidations count="1">
    <dataValidation type="list" allowBlank="1" showInputMessage="1" showErrorMessage="1" sqref="H5" xr:uid="{2DEAFFE2-3D37-C740-A25B-D04844319785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9A3E28-6E20-D04D-930E-12BFF3808BDC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axisColor theme="7"/>
            </x14:dataBar>
          </x14:cfRule>
          <xm:sqref>H6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FBAFCBC-DCAA-1A4F-B31F-285F85A966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7FC1AB66-8A01-C943-B1F2-FB8D9DFC8D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93F0B8C3-F5BB-7D4C-85CD-FE35885BE9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  <sheetView workbookViewId="2"/>
    <sheetView workbookViewId="3"/>
    <sheetView workbookViewId="4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Microsoft Office User</cp:lastModifiedBy>
  <dcterms:created xsi:type="dcterms:W3CDTF">2021-06-18T07:16:56Z</dcterms:created>
  <dcterms:modified xsi:type="dcterms:W3CDTF">2021-11-14T13:17:02Z</dcterms:modified>
</cp:coreProperties>
</file>